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60" yWindow="1905" windowWidth="15480" windowHeight="11355" tabRatio="980" activeTab="4"/>
  </bookViews>
  <sheets>
    <sheet name="COPY ELECTRONIC TB HERE" sheetId="211" r:id="rId1"/>
    <sheet name="Input Schedule" sheetId="39" r:id="rId2"/>
    <sheet name="Linked TB" sheetId="212" r:id="rId3"/>
    <sheet name="Sch.A-B.S" sheetId="30" r:id="rId4"/>
    <sheet name="Sch.B-I.S" sheetId="9" r:id="rId5"/>
    <sheet name="Sch.C-R.B" sheetId="12" r:id="rId6"/>
    <sheet name="wp-p-restate(audit)" sheetId="49" state="hidden" r:id="rId7"/>
    <sheet name="Exhibit 9" sheetId="233" r:id="rId8"/>
    <sheet name="wp.h-cap.struc" sheetId="21" r:id="rId9"/>
    <sheet name="Schedule D" sheetId="221" r:id="rId10"/>
    <sheet name="xxxRate-Rev Comp" sheetId="2" r:id="rId11"/>
    <sheet name="Sch.E ORM " sheetId="213" r:id="rId12"/>
    <sheet name="Revenue Requirement" sheetId="222" r:id="rId13"/>
    <sheet name="wp-appendix" sheetId="229" r:id="rId14"/>
    <sheet name="wp.a-uncoll" sheetId="29" r:id="rId15"/>
    <sheet name="Wp b - salary" sheetId="56" r:id="rId16"/>
    <sheet name="wp b1" sheetId="57" r:id="rId17"/>
    <sheet name="Wp b2 - Captime" sheetId="216" r:id="rId18"/>
    <sheet name="wp b3 - CSR" sheetId="215" r:id="rId19"/>
    <sheet name="Wp b4 - WSC" sheetId="214" r:id="rId20"/>
    <sheet name="wp-d-rc.exp" sheetId="19" r:id="rId21"/>
    <sheet name="wp-e-toi" sheetId="10" r:id="rId22"/>
    <sheet name="wp-f-depr" sheetId="26" r:id="rId23"/>
    <sheet name="wp(g)-inc.tx" sheetId="11" r:id="rId24"/>
    <sheet name="wp-i-wc" sheetId="22" r:id="rId25"/>
    <sheet name="wp-o-restate-acq" sheetId="48" state="hidden" r:id="rId26"/>
    <sheet name="wp-p2 Allocation of Vehicles" sheetId="227" r:id="rId27"/>
    <sheet name="wp-p2a Allocation of Trans Exp" sheetId="228" r:id="rId28"/>
    <sheet name="wp-p3-alloc of State computers" sheetId="225" r:id="rId29"/>
    <sheet name="wp-p4-alloc of WSC computers" sheetId="226" r:id="rId30"/>
    <sheet name="wp-p5 Recon Summary" sheetId="232" r:id="rId31"/>
    <sheet name="wp-p5a-restatement (audit)" sheetId="231" r:id="rId32"/>
    <sheet name="wp-q City of Clinton" sheetId="50" r:id="rId33"/>
    <sheet name="wp-q(2) salary allocation" sheetId="52" r:id="rId34"/>
    <sheet name="wp-q(3) Clinton salary revised" sheetId="53" r:id="rId35"/>
    <sheet name="wp-q(4) Clinton trans exp" sheetId="54" r:id="rId36"/>
    <sheet name="CPI" sheetId="55" state="hidden" r:id="rId37"/>
    <sheet name="plnt category" sheetId="31" state="hidden" r:id="rId38"/>
    <sheet name="wp c2" sheetId="58" state="hidden" r:id="rId39"/>
    <sheet name="wp c3" sheetId="59" state="hidden" r:id="rId40"/>
    <sheet name="Rate Base Reallocation wp-$ " sheetId="63" state="hidden" r:id="rId41"/>
    <sheet name="16003-170" sheetId="68" state="hidden" r:id="rId42"/>
    <sheet name="16003-171" sheetId="69" state="hidden" r:id="rId43"/>
    <sheet name="16003-172" sheetId="70" state="hidden" r:id="rId44"/>
    <sheet name="16011-170" sheetId="72" state="hidden" r:id="rId45"/>
    <sheet name="16011-171" sheetId="73" state="hidden" r:id="rId46"/>
    <sheet name="16011-172" sheetId="74" state="hidden" r:id="rId47"/>
    <sheet name="16011-173" sheetId="75" state="hidden" r:id="rId48"/>
    <sheet name="16012-171" sheetId="76" state="hidden" r:id="rId49"/>
    <sheet name="16013-171" sheetId="78" state="hidden" r:id="rId50"/>
    <sheet name="16013-172" sheetId="79" state="hidden" r:id="rId51"/>
    <sheet name="16015-172" sheetId="83" state="hidden" r:id="rId52"/>
    <sheet name="16015-173" sheetId="84" state="hidden" r:id="rId53"/>
    <sheet name="16016-172" sheetId="87" state="hidden" r:id="rId54"/>
    <sheet name="16017-170" sheetId="89" state="hidden" r:id="rId55"/>
    <sheet name="16017-172" sheetId="90" state="hidden" r:id="rId56"/>
    <sheet name="16031-170" sheetId="93" state="hidden" r:id="rId57"/>
    <sheet name="16031-172" sheetId="95" state="hidden" r:id="rId58"/>
    <sheet name="16031-173" sheetId="96" state="hidden" r:id="rId59"/>
    <sheet name="16033-170" sheetId="97" state="hidden" r:id="rId60"/>
    <sheet name="16037-170" sheetId="98" state="hidden" r:id="rId61"/>
    <sheet name="16037-171" sheetId="99" state="hidden" r:id="rId62"/>
    <sheet name="16037-172" sheetId="100" state="hidden" r:id="rId63"/>
    <sheet name="16037-173" sheetId="101" state="hidden" r:id="rId64"/>
    <sheet name="16039-171" sheetId="103" state="hidden" r:id="rId65"/>
    <sheet name="16040-171" sheetId="104" state="hidden" r:id="rId66"/>
    <sheet name="16040-173" sheetId="105" state="hidden" r:id="rId67"/>
    <sheet name="16041-172" sheetId="107" state="hidden" r:id="rId68"/>
    <sheet name="16041-173" sheetId="108" state="hidden" r:id="rId69"/>
    <sheet name="16043-170" sheetId="109" state="hidden" r:id="rId70"/>
    <sheet name="16045-173" sheetId="110" state="hidden" r:id="rId71"/>
    <sheet name="16050-173" sheetId="111" state="hidden" r:id="rId72"/>
    <sheet name="16056-171" sheetId="113" state="hidden" r:id="rId73"/>
    <sheet name="16056-173" sheetId="114" state="hidden" r:id="rId74"/>
    <sheet name="16058-172" sheetId="115" state="hidden" r:id="rId75"/>
    <sheet name="16059-171" sheetId="116" state="hidden" r:id="rId76"/>
    <sheet name="16059-172" sheetId="117" state="hidden" r:id="rId77"/>
    <sheet name="16059-173" sheetId="118" state="hidden" r:id="rId78"/>
    <sheet name="16060-173" sheetId="119" state="hidden" r:id="rId79"/>
    <sheet name="16068-170" sheetId="120" state="hidden" r:id="rId80"/>
    <sheet name="16068-171" sheetId="121" state="hidden" r:id="rId81"/>
    <sheet name="16068-172" sheetId="122" state="hidden" r:id="rId82"/>
    <sheet name="16068-173" sheetId="123" state="hidden" r:id="rId83"/>
    <sheet name="16069-170" sheetId="124" state="hidden" r:id="rId84"/>
    <sheet name="16069-171" sheetId="125" state="hidden" r:id="rId85"/>
    <sheet name="16069-172" sheetId="126" state="hidden" r:id="rId86"/>
    <sheet name="16069-173" sheetId="127" state="hidden" r:id="rId87"/>
    <sheet name="16070-172" sheetId="128" state="hidden" r:id="rId88"/>
    <sheet name="16071-170" sheetId="129" state="hidden" r:id="rId89"/>
    <sheet name="16071-171" sheetId="130" state="hidden" r:id="rId90"/>
    <sheet name="16071-173" sheetId="131" state="hidden" r:id="rId91"/>
    <sheet name="16073-170" sheetId="132" state="hidden" r:id="rId92"/>
    <sheet name="16075-170" sheetId="133" state="hidden" r:id="rId93"/>
    <sheet name="16075-171" sheetId="134" state="hidden" r:id="rId94"/>
    <sheet name="16076-170" sheetId="135" state="hidden" r:id="rId95"/>
    <sheet name="16076-171" sheetId="136" state="hidden" r:id="rId96"/>
    <sheet name="16077-171" sheetId="137" state="hidden" r:id="rId97"/>
    <sheet name="16078-170" sheetId="138" state="hidden" r:id="rId98"/>
    <sheet name="16079-171" sheetId="139" state="hidden" r:id="rId99"/>
    <sheet name="16081-170" sheetId="140" state="hidden" r:id="rId100"/>
    <sheet name="16081-171" sheetId="141" state="hidden" r:id="rId101"/>
    <sheet name="16081-172" sheetId="142" state="hidden" r:id="rId102"/>
    <sheet name="16081-173" sheetId="143" state="hidden" r:id="rId103"/>
    <sheet name="16082-170" sheetId="144" state="hidden" r:id="rId104"/>
    <sheet name="16082-171" sheetId="145" state="hidden" r:id="rId105"/>
    <sheet name="16082-172" sheetId="146" state="hidden" r:id="rId106"/>
    <sheet name="16082-173" sheetId="147" state="hidden" r:id="rId107"/>
    <sheet name="16083-171" sheetId="148" state="hidden" r:id="rId108"/>
    <sheet name="16083-172" sheetId="149" state="hidden" r:id="rId109"/>
    <sheet name="16088-170" sheetId="150" state="hidden" r:id="rId110"/>
    <sheet name="16089-171" sheetId="151" state="hidden" r:id="rId111"/>
    <sheet name="16090-172" sheetId="152" state="hidden" r:id="rId112"/>
    <sheet name="16091-170" sheetId="153" state="hidden" r:id="rId113"/>
    <sheet name="16091-171" sheetId="154" state="hidden" r:id="rId114"/>
    <sheet name="16091-172" sheetId="155" state="hidden" r:id="rId115"/>
    <sheet name="16091-173" sheetId="156" state="hidden" r:id="rId116"/>
    <sheet name="16092-170" sheetId="157" state="hidden" r:id="rId117"/>
    <sheet name="16093-170" sheetId="158" state="hidden" r:id="rId118"/>
    <sheet name="16093-172" sheetId="159" state="hidden" r:id="rId119"/>
    <sheet name="16093-173" sheetId="160" state="hidden" r:id="rId120"/>
    <sheet name="16094-170" sheetId="161" state="hidden" r:id="rId121"/>
    <sheet name="16094-171" sheetId="162" state="hidden" r:id="rId122"/>
    <sheet name="16094-172" sheetId="163" state="hidden" r:id="rId123"/>
    <sheet name="16094-173" sheetId="164" state="hidden" r:id="rId124"/>
    <sheet name="16095-170" sheetId="165" state="hidden" r:id="rId125"/>
    <sheet name="16095-172" sheetId="166" state="hidden" r:id="rId126"/>
    <sheet name="16096-170" sheetId="167" state="hidden" r:id="rId127"/>
    <sheet name="16098-170" sheetId="168" state="hidden" r:id="rId128"/>
    <sheet name="16204" sheetId="169" state="hidden" r:id="rId129"/>
    <sheet name="16205" sheetId="170" state="hidden" r:id="rId130"/>
    <sheet name="16206" sheetId="171" state="hidden" r:id="rId131"/>
    <sheet name="16208" sheetId="172" state="hidden" r:id="rId132"/>
    <sheet name="16214" sheetId="173" state="hidden" r:id="rId133"/>
    <sheet name="16230" sheetId="174" state="hidden" r:id="rId134"/>
    <sheet name="16234" sheetId="175" state="hidden" r:id="rId135"/>
    <sheet name="16235" sheetId="176" state="hidden" r:id="rId136"/>
    <sheet name="16236" sheetId="177" state="hidden" r:id="rId137"/>
    <sheet name="16238" sheetId="178" state="hidden" r:id="rId138"/>
    <sheet name="16242" sheetId="179" state="hidden" r:id="rId139"/>
    <sheet name="16244" sheetId="180" state="hidden" r:id="rId140"/>
    <sheet name="16246" sheetId="181" state="hidden" r:id="rId141"/>
    <sheet name="16247" sheetId="182" state="hidden" r:id="rId142"/>
    <sheet name="16248" sheetId="183" state="hidden" r:id="rId143"/>
    <sheet name="16252" sheetId="184" state="hidden" r:id="rId144"/>
    <sheet name="16254" sheetId="185" state="hidden" r:id="rId145"/>
    <sheet name="16257" sheetId="186" state="hidden" r:id="rId146"/>
    <sheet name="16262" sheetId="187" state="hidden" r:id="rId147"/>
    <sheet name="16263" sheetId="188" state="hidden" r:id="rId148"/>
    <sheet name="16264" sheetId="189" state="hidden" r:id="rId149"/>
    <sheet name="16265" sheetId="190" state="hidden" r:id="rId150"/>
    <sheet name="16272" sheetId="193" state="hidden" r:id="rId151"/>
    <sheet name="16275" sheetId="194" state="hidden" r:id="rId152"/>
    <sheet name="16276" sheetId="195" state="hidden" r:id="rId153"/>
    <sheet name="16278" sheetId="196" state="hidden" r:id="rId154"/>
    <sheet name="16279" sheetId="197" state="hidden" r:id="rId155"/>
    <sheet name="16280" sheetId="198" state="hidden" r:id="rId156"/>
    <sheet name="16285" sheetId="199" state="hidden" r:id="rId157"/>
    <sheet name="16286" sheetId="200" state="hidden" r:id="rId158"/>
    <sheet name="16287" sheetId="201" state="hidden" r:id="rId159"/>
    <sheet name="16290" sheetId="202" state="hidden" r:id="rId160"/>
    <sheet name="16291" sheetId="203" state="hidden" r:id="rId161"/>
    <sheet name="16292" sheetId="204" state="hidden" r:id="rId162"/>
    <sheet name="16293" sheetId="205" state="hidden" r:id="rId163"/>
    <sheet name="16294" sheetId="206" state="hidden" r:id="rId164"/>
    <sheet name="16295" sheetId="207" state="hidden" r:id="rId165"/>
    <sheet name="16296" sheetId="208" state="hidden" r:id="rId166"/>
    <sheet name="Sch.D&amp;E-REV" sheetId="27" state="hidden" r:id="rId167"/>
    <sheet name="Expense Reallocation Wp-$" sheetId="61" state="hidden" r:id="rId168"/>
    <sheet name="wp-l-gl plant additions" sheetId="42" state="hidden" r:id="rId169"/>
    <sheet name="wp-j-pf.plant" sheetId="13" state="hidden" r:id="rId170"/>
    <sheet name="wp-k-retirements" sheetId="40" state="hidden" r:id="rId171"/>
    <sheet name="w.p-b2" sheetId="45" state="hidden" r:id="rId172"/>
    <sheet name="wp-r Expense Reports" sheetId="224" r:id="rId173"/>
    <sheet name="Allocation Calc" sheetId="220" r:id="rId174"/>
    <sheet name="Operators allocation" sheetId="223" state="hidden" r:id="rId175"/>
  </sheets>
  <externalReferences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</externalReferences>
  <definedNames>
    <definedName name="\D">'[1]A-15'!#REF!</definedName>
    <definedName name="\G">'[1]A-15'!#REF!</definedName>
    <definedName name="\P">'[1]A-15'!#REF!</definedName>
    <definedName name="\S">'[1]A-15'!#REF!</definedName>
    <definedName name="_1CONTRACT_LABOR">#REF!</definedName>
    <definedName name="_CNC2.CE2">'[2]Cust Eq Input'!#REF!</definedName>
    <definedName name="_xlnm._FilterDatabase" localSheetId="18" hidden="1">'wp b3 - CSR'!$D$9:$D$50</definedName>
    <definedName name="_pri0004">'[1]A-15'!#REF!</definedName>
    <definedName name="_pri0005">'[1]A-15'!#REF!</definedName>
    <definedName name="_pri0006">'[1]A-15'!#REF!</definedName>
    <definedName name="_pri0007">'[1]A-15'!#REF!</definedName>
    <definedName name="_pri0008">'[1]A-15'!#REF!</definedName>
    <definedName name="_pri0009">'[1]A-15'!#REF!</definedName>
    <definedName name="_pri0010">'[1]A-15'!#REF!</definedName>
    <definedName name="_pri0011">'[1]A-15'!#REF!</definedName>
    <definedName name="_pri0012">'[1]A-15'!#REF!</definedName>
    <definedName name="_pri0013">'[1]A-15'!#REF!</definedName>
    <definedName name="_pri0014">'[1]A-15'!#REF!</definedName>
    <definedName name="_pri0015">'[1]A-15'!#REF!</definedName>
    <definedName name="_pri0016">'[1]A-15'!#REF!</definedName>
    <definedName name="_pri0017">'[1]A-15'!#REF!</definedName>
    <definedName name="_pri0019">'[1]A-15'!#REF!</definedName>
    <definedName name="_WORLDOX">'Sch.B-I.S'!$N$206</definedName>
    <definedName name="Account_and_Adjustment_Information" localSheetId="29">OFFSET(#REF!,0,0,COUNTA(#REF!),COUNTA(#REF!))</definedName>
    <definedName name="Account_and_Adjustment_Information">OFFSET(#REF!,0,0,COUNTA(#REF!),COUNTA(#REF!))</definedName>
    <definedName name="Account_Balance">'[3]COPY ELECTRONIC TB HERE'!$L$2:$L$512</definedName>
    <definedName name="Account_Name">'[3]COPY ELECTRONIC TB HERE'!$B$2:$B$513</definedName>
    <definedName name="Account_Number">'[3]COPY ELECTRONIC TB HERE'!$A$2:$A$512</definedName>
    <definedName name="Accounts">#REF!</definedName>
    <definedName name="AccumDepr">[4]Data!$I$13:$J$131</definedName>
    <definedName name="AFUDC">'[1]A-15'!#REF!</definedName>
    <definedName name="AIAC">[4]Data!$O$13:$P$131</definedName>
    <definedName name="allocation_data">OFFSET(#REF!,1,0,COUNTA(#REF!)-1,COUNTA(#REF!))</definedName>
    <definedName name="ALLOCATION_TABLE">'Linked TB'!$B$684:$H$691</definedName>
    <definedName name="ANNAACIAC">'[1]A-15'!#REF!</definedName>
    <definedName name="ANNAD">'[1]A-15'!#REF!</definedName>
    <definedName name="ANNAFC">'[1]A-15'!#REF!</definedName>
    <definedName name="ANNCIAC">'[1]A-15'!#REF!</definedName>
    <definedName name="ANNPL">'[1]A-15'!#REF!</definedName>
    <definedName name="ARB">'[1]A-15'!#REF!</definedName>
    <definedName name="BALANCE">'[1]A-15'!#REF!</definedName>
    <definedName name="Calculate">'[5]General Data'!$A$42</definedName>
    <definedName name="CAM.CE">#REF!</definedName>
    <definedName name="CCE.CAM.">#REF!</definedName>
    <definedName name="CCE.CB.">#REF!</definedName>
    <definedName name="CCE.CH.">#REF!</definedName>
    <definedName name="CCE.CHAR.">#REF!</definedName>
    <definedName name="CCE.CL.">#REF!</definedName>
    <definedName name="CCE.CLAR.">#REF!</definedName>
    <definedName name="CCE.DM.">#REF!</definedName>
    <definedName name="CCE.FC.">#REF!</definedName>
    <definedName name="CCE.GN.">#REF!</definedName>
    <definedName name="CCE.GT.">#REF!</definedName>
    <definedName name="CCE.HR.">#REF!</definedName>
    <definedName name="CCE.KILL.">#REF!</definedName>
    <definedName name="CCE.MED.">#REF!</definedName>
    <definedName name="CCE.VAL.">#REF!</definedName>
    <definedName name="CCE.WH.">#REF!</definedName>
    <definedName name="CCE.WUW.">#REF!</definedName>
    <definedName name="CH.CE">#REF!</definedName>
    <definedName name="CHAR.CE">#REF!</definedName>
    <definedName name="Charlotte_office_factor">'[3]Input Schedule'!#REF!</definedName>
    <definedName name="Charlotte_Warehouse_factor">'[3]Input Schedule'!#REF!</definedName>
    <definedName name="CIAC">[4]Data!$R$13:$S$131</definedName>
    <definedName name="CL.CE">#REF!</definedName>
    <definedName name="CLAR.CE">#REF!</definedName>
    <definedName name="CNC.CE">#REF!</definedName>
    <definedName name="CNC2.CE">#REF!</definedName>
    <definedName name="Co.">'[6]General Data'!$C$2</definedName>
    <definedName name="co_sub">'[3]Input Schedule'!$C$5</definedName>
    <definedName name="COL.CE">#REF!</definedName>
    <definedName name="Company_Name">[7]Input!$B$5</definedName>
    <definedName name="company_title">'[3]Input Schedule'!$C$3</definedName>
    <definedName name="Company2">'[5]WSC Factor'!$C$101</definedName>
    <definedName name="Company3">'[5]WSC Factor'!$C$152</definedName>
    <definedName name="Computers_rate">[8]Input!$B$20</definedName>
    <definedName name="CPI">'[9]wp-t-Assumptions'!$C$26</definedName>
    <definedName name="CSI.CE">#REF!</definedName>
    <definedName name="CustomerDeposits">[4]Data!$AA$13:$AB$131</definedName>
    <definedName name="CWIP">[4]Data!$F$13:$G$131</definedName>
    <definedName name="CWS.CE">#REF!</definedName>
    <definedName name="cws_customers">'[3]Input Schedule'!$C$15</definedName>
    <definedName name="DeferredCharges">[4]Data!$U$13:$V$131</definedName>
    <definedName name="DeferredIncomeTaxes">[4]Data!$X$13:$Y$131</definedName>
    <definedName name="DIR">'[1]A-15'!#REF!</definedName>
    <definedName name="DisallowedPAA">[4]Data!$CF$13:$CG$131</definedName>
    <definedName name="DM.CE">#REF!</definedName>
    <definedName name="Docket_Number">'[3]Input Schedule'!$C$7:$C$7</definedName>
    <definedName name="Docket2">'[5]WSC Factor'!$C$102</definedName>
    <definedName name="Docket3">'[5]WSC Factor'!$C$153</definedName>
    <definedName name="end_balance">OFFSET('[10]tb 2007 reformat'!$H$1,1,0,COUNTA('[10]tb 2007 reformat'!$A$1:$A$65536),1)</definedName>
    <definedName name="FC.CE">#REF!</definedName>
    <definedName name="FICA">'[9]wp-t-Assumptions'!$C$10</definedName>
    <definedName name="FICARate">'[9]wp-t-Assumptions'!$C$10</definedName>
    <definedName name="FL.1">#REF!</definedName>
    <definedName name="FL.3">#REF!</definedName>
    <definedName name="FL.5">#REF!</definedName>
    <definedName name="FL.CE">#REF!</definedName>
    <definedName name="FL.CEP">#REF!</definedName>
    <definedName name="Florida_CSR_Allocation">'[3]Input Schedule'!#REF!</definedName>
    <definedName name="FUTA">'[9]wp-t-Assumptions'!$C$18</definedName>
    <definedName name="GA.1">#REF!</definedName>
    <definedName name="GA.3">#REF!</definedName>
    <definedName name="GA.5">#REF!</definedName>
    <definedName name="GA.CE">#REF!</definedName>
    <definedName name="GA.CEP">#REF!</definedName>
    <definedName name="GN.CE">#REF!</definedName>
    <definedName name="GT.CE">#REF!</definedName>
    <definedName name="HealthIns">'[9]wp-t-Assumptions'!$C$22</definedName>
    <definedName name="HR.CE">#REF!</definedName>
    <definedName name="IL.1">#REF!</definedName>
    <definedName name="IL.3">#REF!</definedName>
    <definedName name="IL.5">#REF!</definedName>
    <definedName name="IL.CE">#REF!</definedName>
    <definedName name="IL.CEP">#REF!</definedName>
    <definedName name="IN.3">#REF!</definedName>
    <definedName name="IN.5">#REF!</definedName>
    <definedName name="IN.CE">#REF!</definedName>
    <definedName name="IN.CEP">#REF!</definedName>
    <definedName name="KILL.CE">#REF!</definedName>
    <definedName name="LA.1">#REF!</definedName>
    <definedName name="LA.3">#REF!</definedName>
    <definedName name="LA.5">#REF!</definedName>
    <definedName name="LA.CE">#REF!</definedName>
    <definedName name="LA.CEP">#REF!</definedName>
    <definedName name="LEXINGTON">#REF!</definedName>
    <definedName name="LH.CE">#REF!</definedName>
    <definedName name="LUI.CE">#REF!</definedName>
    <definedName name="LUS.CE">#REF!</definedName>
    <definedName name="LW.CE">#REF!</definedName>
    <definedName name="MASS.CE">#REF!</definedName>
    <definedName name="MCSI.CE">#REF!</definedName>
    <definedName name="MD.1">#REF!</definedName>
    <definedName name="MD.3">#REF!</definedName>
    <definedName name="MD.5">#REF!</definedName>
    <definedName name="MD.CE">#REF!</definedName>
    <definedName name="MD.CEP">#REF!</definedName>
    <definedName name="MED.CE">#REF!</definedName>
    <definedName name="Medicare">'[9]wp-t-Assumptions'!$C$15</definedName>
    <definedName name="MG.CE">#REF!</definedName>
    <definedName name="MID.C.CE">#REF!</definedName>
    <definedName name="MS.1">#REF!</definedName>
    <definedName name="MS.3">#REF!</definedName>
    <definedName name="MS.5">#REF!</definedName>
    <definedName name="MS.CE">#REF!</definedName>
    <definedName name="MS.CEP">#REF!</definedName>
    <definedName name="NC.1">#REF!</definedName>
    <definedName name="NC.3">#REF!</definedName>
    <definedName name="NC.5">#REF!</definedName>
    <definedName name="NC.CE">#REF!</definedName>
    <definedName name="NC.CEP">#REF!</definedName>
    <definedName name="New_Account_balance">'[11]COPY ELECTRONIC TB HERE'!$D$2:$D$329</definedName>
    <definedName name="New_Account_Name">'[11]COPY ELECTRONIC TB HERE'!$B$2:$B$329</definedName>
    <definedName name="New_Account_Number">'[11]COPY ELECTRONIC TB HERE'!$A$2:$A$329</definedName>
    <definedName name="NEW_ALLOCATION_TABLE">'[11]Linked TB'!$B$531:$H$537</definedName>
    <definedName name="NEW_COMPANY_NAME">[8]Input!$B$5</definedName>
    <definedName name="NEW_COMPANY_TITLE">'[11]Input Schedule'!$C$3</definedName>
    <definedName name="NEW_DOCKET_NUMBER">'[11]Input Schedule'!$C$5:$C$5</definedName>
    <definedName name="NEW_SEWER_CUSTOMERS">'[11]Input Schedule'!$C$12</definedName>
    <definedName name="NEW_TB">'[11]COPY ELECTRONIC TB HERE'!$A$1:$G$65536</definedName>
    <definedName name="NEW_TEST_YEAR_END_DATE">'[11]Input Schedule'!$C$7</definedName>
    <definedName name="NEW_WATER_CUSTOMER">'[11]Input Schedule'!$C$11</definedName>
    <definedName name="Note">'[12]General Data'!$C$5</definedName>
    <definedName name="OCC.CE">#REF!</definedName>
    <definedName name="OH.1">#REF!</definedName>
    <definedName name="OH.3">#REF!</definedName>
    <definedName name="OH.5">#REF!</definedName>
    <definedName name="OH.CE">#REF!</definedName>
    <definedName name="OH.CEP">#REF!</definedName>
    <definedName name="OtherBenefits">'[9]wp-t-Assumptions'!$C$25</definedName>
    <definedName name="PAA">[4]Data!$L$13:$M$131</definedName>
    <definedName name="Parump_CSR_Allocation">'[3]Input Schedule'!#REF!</definedName>
    <definedName name="Pension">'[9]wp-t-Assumptions'!$C$23</definedName>
    <definedName name="Plant">[4]Data!$C$13:$D$131</definedName>
    <definedName name="_xlnm.Print_Area" localSheetId="44">'16011-170'!$A$1:$O$30</definedName>
    <definedName name="_xlnm.Print_Area" localSheetId="45">'16011-171'!$A$1:$O$30</definedName>
    <definedName name="_xlnm.Print_Area" localSheetId="46">'16011-172'!$A$1:$O$30</definedName>
    <definedName name="_xlnm.Print_Area" localSheetId="47">'16011-173'!$A$1:$O$30</definedName>
    <definedName name="_xlnm.Print_Area" localSheetId="48">'16012-171'!$A$1:$O$13</definedName>
    <definedName name="_xlnm.Print_Area" localSheetId="49">'16013-171'!$A$1:$O$25</definedName>
    <definedName name="_xlnm.Print_Area" localSheetId="50">'16013-172'!$A$1:$O$48</definedName>
    <definedName name="_xlnm.Print_Area" localSheetId="51">'16015-172'!$A$1:$O$26</definedName>
    <definedName name="_xlnm.Print_Area" localSheetId="52">'16015-173'!$A$1:$O$26</definedName>
    <definedName name="_xlnm.Print_Area" localSheetId="53">'16016-172'!$A$1:$O$48</definedName>
    <definedName name="_xlnm.Print_Area" localSheetId="54">'16017-170'!$A$1:$O$17</definedName>
    <definedName name="_xlnm.Print_Area" localSheetId="55">'16017-172'!$A$1:$O$31</definedName>
    <definedName name="_xlnm.Print_Area" localSheetId="56">'16031-170'!$A$1:$O$26</definedName>
    <definedName name="_xlnm.Print_Area" localSheetId="57">'16031-172'!$A$1:$O$26</definedName>
    <definedName name="_xlnm.Print_Area" localSheetId="58">'16031-173'!$A$1:$O$26</definedName>
    <definedName name="_xlnm.Print_Area" localSheetId="59">'16033-170'!$A$1:$O$15</definedName>
    <definedName name="_xlnm.Print_Area" localSheetId="60">'16037-170'!$A$1:$O$70</definedName>
    <definedName name="_xlnm.Print_Area" localSheetId="61">'16037-171'!$A$1:$O$70</definedName>
    <definedName name="_xlnm.Print_Area" localSheetId="62">'16037-172'!$A$1:$O$70</definedName>
    <definedName name="_xlnm.Print_Area" localSheetId="63">'16037-173'!$A$1:$O$70</definedName>
    <definedName name="_xlnm.Print_Area" localSheetId="64">'16039-171'!$A$1:$O$70</definedName>
    <definedName name="_xlnm.Print_Area" localSheetId="65">'16040-171'!$A$1:$O$40</definedName>
    <definedName name="_xlnm.Print_Area" localSheetId="66">'16040-173'!$A$1:$O$40</definedName>
    <definedName name="_xlnm.Print_Area" localSheetId="67">'16041-172'!$A$1:$O$48</definedName>
    <definedName name="_xlnm.Print_Area" localSheetId="68">'16041-173'!$A$1:$O$39</definedName>
    <definedName name="_xlnm.Print_Area" localSheetId="69">'16043-170'!$A$1:$O$14</definedName>
    <definedName name="_xlnm.Print_Area" localSheetId="70">'16045-173'!$A$1:$O$14</definedName>
    <definedName name="_xlnm.Print_Area" localSheetId="71">'16050-173'!$A$1:$O$10</definedName>
    <definedName name="_xlnm.Print_Area" localSheetId="72">'16056-171'!$A$1:$O$10</definedName>
    <definedName name="_xlnm.Print_Area" localSheetId="73">'16056-173'!$A$1:$O$10</definedName>
    <definedName name="_xlnm.Print_Area" localSheetId="74">'16058-172'!$A$1:$O$10</definedName>
    <definedName name="_xlnm.Print_Area" localSheetId="78">'16060-173'!$A$1:$O$10</definedName>
    <definedName name="_xlnm.Print_Area" localSheetId="87">'16070-172'!$A$1:$O$10</definedName>
    <definedName name="_xlnm.Print_Area" localSheetId="88">'16071-170'!$A$1:$O$10</definedName>
    <definedName name="_xlnm.Print_Area" localSheetId="89">'16071-171'!$A$1:$O$10</definedName>
    <definedName name="_xlnm.Print_Area" localSheetId="90">'16071-173'!$A$1:$O$10</definedName>
    <definedName name="_xlnm.Print_Area" localSheetId="91">'16073-170'!$A$1:$O$10</definedName>
    <definedName name="_xlnm.Print_Area" localSheetId="92">'16075-170'!$A$1:$O$10</definedName>
    <definedName name="_xlnm.Print_Area" localSheetId="93">'16075-171'!$A$1:$O$10</definedName>
    <definedName name="_xlnm.Print_Area" localSheetId="94">'16076-170'!$A$1:$O$10</definedName>
    <definedName name="_xlnm.Print_Area" localSheetId="95">'16076-171'!$A$1:$O$10</definedName>
    <definedName name="_xlnm.Print_Area" localSheetId="96">'16077-171'!$A$1:$O$10</definedName>
    <definedName name="_xlnm.Print_Area" localSheetId="97">'16078-170'!$A$1:$O$10</definedName>
    <definedName name="_xlnm.Print_Area" localSheetId="98">'16079-171'!$A$1:$O$10</definedName>
    <definedName name="_xlnm.Print_Area" localSheetId="99">'16081-170'!$A$1:$O$10</definedName>
    <definedName name="_xlnm.Print_Area" localSheetId="100">'16081-171'!$A$1:$O$10</definedName>
    <definedName name="_xlnm.Print_Area" localSheetId="101">'16081-172'!$A$1:$O$10</definedName>
    <definedName name="_xlnm.Print_Area" localSheetId="102">'16081-173'!$A$1:$O$10</definedName>
    <definedName name="_xlnm.Print_Area" localSheetId="103">'16082-170'!$A$1:$O$10</definedName>
    <definedName name="_xlnm.Print_Area" localSheetId="104">'16082-171'!$A$1:$O$10</definedName>
    <definedName name="_xlnm.Print_Area" localSheetId="105">'16082-172'!$A$1:$O$10</definedName>
    <definedName name="_xlnm.Print_Area" localSheetId="106">'16082-173'!$A$1:$O$10</definedName>
    <definedName name="_xlnm.Print_Area" localSheetId="107">'16083-171'!$A$1:$O$10</definedName>
    <definedName name="_xlnm.Print_Area" localSheetId="108">'16083-172'!$A$1:$O$10</definedName>
    <definedName name="_xlnm.Print_Area" localSheetId="109">'16088-170'!$A$1:$O$70</definedName>
    <definedName name="_xlnm.Print_Area" localSheetId="110">'16089-171'!$A$1:$O$70</definedName>
    <definedName name="_xlnm.Print_Area" localSheetId="111">'16090-172'!$A$1:$O$10</definedName>
    <definedName name="_xlnm.Print_Area" localSheetId="112">'16091-170'!$A$1:$O$10</definedName>
    <definedName name="_xlnm.Print_Area" localSheetId="113">'16091-171'!$A$1:$O$10</definedName>
    <definedName name="_xlnm.Print_Area" localSheetId="114">'16091-172'!$A$1:$O$10</definedName>
    <definedName name="_xlnm.Print_Area" localSheetId="115">'16091-173'!$A$1:$O$10</definedName>
    <definedName name="_xlnm.Print_Area" localSheetId="116">'16092-170'!$A$1:$O$10</definedName>
    <definedName name="_xlnm.Print_Area" localSheetId="117">'16093-170'!$A$1:$O$10</definedName>
    <definedName name="_xlnm.Print_Area" localSheetId="118">'16093-172'!$A$1:$O$10</definedName>
    <definedName name="_xlnm.Print_Area" localSheetId="119">'16093-173'!$A$1:$O$10</definedName>
    <definedName name="_xlnm.Print_Area" localSheetId="120">'16094-170'!$A$1:$O$10</definedName>
    <definedName name="_xlnm.Print_Area" localSheetId="121">'16094-171'!$A$1:$O$10</definedName>
    <definedName name="_xlnm.Print_Area" localSheetId="122">'16094-172'!$A$1:$O$10</definedName>
    <definedName name="_xlnm.Print_Area" localSheetId="123">'16094-173'!$A$1:$O$10</definedName>
    <definedName name="_xlnm.Print_Area" localSheetId="124">'16095-170'!$A$1:$O$10</definedName>
    <definedName name="_xlnm.Print_Area" localSheetId="125">'16095-172'!$A$1:$O$10</definedName>
    <definedName name="_xlnm.Print_Area" localSheetId="126">'16096-170'!$A$1:$O$10</definedName>
    <definedName name="_xlnm.Print_Area" localSheetId="127">'16098-170'!$A$1:$O$70</definedName>
    <definedName name="_xlnm.Print_Area" localSheetId="128">'16204'!$A$1:$O$10</definedName>
    <definedName name="_xlnm.Print_Area" localSheetId="129">'16205'!$A$1:$O$10</definedName>
    <definedName name="_xlnm.Print_Area" localSheetId="130">'16206'!$A$1:$O$10</definedName>
    <definedName name="_xlnm.Print_Area" localSheetId="131">'16208'!$A$1:$O$10</definedName>
    <definedName name="_xlnm.Print_Area" localSheetId="132">'16214'!$A$1:$O$10</definedName>
    <definedName name="_xlnm.Print_Area" localSheetId="133">'16230'!$A$1:$O$10</definedName>
    <definedName name="_xlnm.Print_Area" localSheetId="134">'16234'!$A$1:$O$10</definedName>
    <definedName name="_xlnm.Print_Area" localSheetId="135">'16235'!$A$1:$O$10</definedName>
    <definedName name="_xlnm.Print_Area" localSheetId="136">'16236'!$A$1:$O$10</definedName>
    <definedName name="_xlnm.Print_Area" localSheetId="137">'16238'!$A$1:$O$10</definedName>
    <definedName name="_xlnm.Print_Area" localSheetId="138">'16242'!$A$1:$O$10</definedName>
    <definedName name="_xlnm.Print_Area" localSheetId="139">'16244'!$A$1:$O$10</definedName>
    <definedName name="_xlnm.Print_Area" localSheetId="140">'16246'!$A$1:$O$10</definedName>
    <definedName name="_xlnm.Print_Area" localSheetId="141">'16247'!$A$1:$T$40</definedName>
    <definedName name="_xlnm.Print_Area" localSheetId="142">'16248'!$A$1:$T$51</definedName>
    <definedName name="_xlnm.Print_Area" localSheetId="144">'16254'!$A$1:$T$35</definedName>
    <definedName name="_xlnm.Print_Area" localSheetId="145">'16257'!$A$1:$T$19</definedName>
    <definedName name="_xlnm.Print_Area" localSheetId="147">'16263'!$A$1:$O$10</definedName>
    <definedName name="_xlnm.Print_Area" localSheetId="148">'16264'!$A$1:$O$10</definedName>
    <definedName name="_xlnm.Print_Area" localSheetId="149">'16265'!$A$1:$O$10</definedName>
    <definedName name="_xlnm.Print_Area" localSheetId="150">'16272'!$A$1:$O$10</definedName>
    <definedName name="_xlnm.Print_Area" localSheetId="156">'16285'!$A$1:$O$70</definedName>
    <definedName name="_xlnm.Print_Area" localSheetId="157">'16286'!$A$1:$O$70</definedName>
    <definedName name="_xlnm.Print_Area" localSheetId="1">'Input Schedule'!$A$1:$G$33</definedName>
    <definedName name="_xlnm.Print_Area" localSheetId="37">'plnt category'!$A$1:$D$44</definedName>
    <definedName name="_xlnm.Print_Area" localSheetId="3">'Sch.A-B.S'!$A$1:$M$46</definedName>
    <definedName name="_xlnm.Print_Area" localSheetId="4">'Sch.B-I.S'!$A$1:$N$59,'Sch.B-I.S'!$A$183:$N$213</definedName>
    <definedName name="_xlnm.Print_Area" localSheetId="5">'Sch.C-R.B'!$A$1:$N$38</definedName>
    <definedName name="_xlnm.Print_Area" localSheetId="166">'Sch.D&amp;E-REV'!$A$1:$O$822</definedName>
    <definedName name="_xlnm.Print_Area" localSheetId="11">'Sch.E ORM '!$A$1:$F$27</definedName>
    <definedName name="_xlnm.Print_Area" localSheetId="9">'Schedule D'!$A$1:$T$374</definedName>
    <definedName name="_xlnm.Print_Area" localSheetId="171">'w.p-b2'!$A$1:$L$19</definedName>
    <definedName name="_xlnm.Print_Area" localSheetId="15">'Wp b - salary'!$A$1:$W$91</definedName>
    <definedName name="_xlnm.Print_Area" localSheetId="17">'Wp b2 - Captime'!$A$1:$H$117</definedName>
    <definedName name="_xlnm.Print_Area" localSheetId="18">'wp b3 - CSR'!$A$1:$X$66</definedName>
    <definedName name="_xlnm.Print_Area" localSheetId="19">'Wp b4 - WSC'!$A$1:$AD$14</definedName>
    <definedName name="_xlnm.Print_Area" localSheetId="23">'wp(g)-inc.tx'!$A$1:$E$39</definedName>
    <definedName name="_xlnm.Print_Area" localSheetId="14">'wp.a-uncoll'!$A$1:$H$35</definedName>
    <definedName name="_xlnm.Print_Area" localSheetId="8">'wp.h-cap.struc'!$A$1:$I$55</definedName>
    <definedName name="_xlnm.Print_Area" localSheetId="13">'wp-appendix'!$A$1:$M$35</definedName>
    <definedName name="_xlnm.Print_Area" localSheetId="20">'wp-d-rc.exp'!$A$1:$L$53</definedName>
    <definedName name="_xlnm.Print_Area" localSheetId="21">'wp-e-toi'!$A$1:$D$45</definedName>
    <definedName name="_xlnm.Print_Area" localSheetId="22">'wp-f-depr'!$A$1:$G$48</definedName>
    <definedName name="_xlnm.Print_Area" localSheetId="24">'wp-i-wc'!$A$1:$G$28</definedName>
    <definedName name="_xlnm.Print_Area" localSheetId="169">'wp-j-pf.plant'!$A$1:$N$17</definedName>
    <definedName name="_xlnm.Print_Area" localSheetId="25">'wp-o-restate-acq'!$A$1:$R$102</definedName>
    <definedName name="_xlnm.Print_Area" localSheetId="26">'wp-p2 Allocation of Vehicles'!$A$1:$P$88</definedName>
    <definedName name="_xlnm.Print_Area" localSheetId="28">'wp-p3-alloc of State computers'!$A$1:$J$91</definedName>
    <definedName name="_xlnm.Print_Area" localSheetId="29">'wp-p4-alloc of WSC computers'!$A$1:$K$128</definedName>
    <definedName name="_xlnm.Print_Area" localSheetId="30">'wp-p5 Recon Summary'!$A$1:$S$79</definedName>
    <definedName name="_xlnm.Print_Area" localSheetId="31">'wp-p5a-restatement (audit)'!$A$1:$R$185</definedName>
    <definedName name="_xlnm.Print_Area" localSheetId="6">'wp-p-restate(audit)'!$A$1:$R$219</definedName>
    <definedName name="_xlnm.Print_Area" localSheetId="32">'wp-q City of Clinton'!$A$1:$J$28</definedName>
    <definedName name="_xlnm.Print_Area" localSheetId="33">'wp-q(2) salary allocation'!$A$1:$C$14</definedName>
    <definedName name="_xlnm.Print_Area" localSheetId="34">'wp-q(3) Clinton salary revised'!$A$1:$W$28</definedName>
    <definedName name="_xlnm.Print_Area" localSheetId="35">'wp-q(4) Clinton trans exp'!$A$1:$E$30</definedName>
    <definedName name="_xlnm.Print_Area" localSheetId="10">'xxxRate-Rev Comp'!$A$1:$Q$31</definedName>
    <definedName name="_xlnm.Print_Titles" localSheetId="44">'16011-170'!$1:$8</definedName>
    <definedName name="_xlnm.Print_Titles" localSheetId="45">'16011-171'!$1:$8</definedName>
    <definedName name="_xlnm.Print_Titles" localSheetId="46">'16011-172'!$1:$8</definedName>
    <definedName name="_xlnm.Print_Titles" localSheetId="47">'16011-173'!$1:$8</definedName>
    <definedName name="_xlnm.Print_Titles" localSheetId="48">'16012-171'!$1:$8</definedName>
    <definedName name="_xlnm.Print_Titles" localSheetId="49">'16013-171'!$1:$8</definedName>
    <definedName name="_xlnm.Print_Titles" localSheetId="50">'16013-172'!$1:$8</definedName>
    <definedName name="_xlnm.Print_Titles" localSheetId="51">'16015-172'!$1:$8</definedName>
    <definedName name="_xlnm.Print_Titles" localSheetId="52">'16015-173'!$1:$8</definedName>
    <definedName name="_xlnm.Print_Titles" localSheetId="53">'16016-172'!$1:$8</definedName>
    <definedName name="_xlnm.Print_Titles" localSheetId="54">'16017-170'!$1:$8</definedName>
    <definedName name="_xlnm.Print_Titles" localSheetId="55">'16017-172'!$1:$8</definedName>
    <definedName name="_xlnm.Print_Titles" localSheetId="56">'16031-170'!$1:$8</definedName>
    <definedName name="_xlnm.Print_Titles" localSheetId="57">'16031-172'!$1:$8</definedName>
    <definedName name="_xlnm.Print_Titles" localSheetId="58">'16031-173'!$1:$8</definedName>
    <definedName name="_xlnm.Print_Titles" localSheetId="59">'16033-170'!$1:$8</definedName>
    <definedName name="_xlnm.Print_Titles" localSheetId="60">'16037-170'!$1:$8</definedName>
    <definedName name="_xlnm.Print_Titles" localSheetId="61">'16037-171'!$1:$8</definedName>
    <definedName name="_xlnm.Print_Titles" localSheetId="62">'16037-172'!$1:$8</definedName>
    <definedName name="_xlnm.Print_Titles" localSheetId="63">'16037-173'!$1:$8</definedName>
    <definedName name="_xlnm.Print_Titles" localSheetId="64">'16039-171'!$1:$8</definedName>
    <definedName name="_xlnm.Print_Titles" localSheetId="65">'16040-171'!$1:$8</definedName>
    <definedName name="_xlnm.Print_Titles" localSheetId="66">'16040-173'!$1:$8</definedName>
    <definedName name="_xlnm.Print_Titles" localSheetId="67">'16041-172'!$1:$8</definedName>
    <definedName name="_xlnm.Print_Titles" localSheetId="68">'16041-173'!$1:$8</definedName>
    <definedName name="_xlnm.Print_Titles" localSheetId="69">'16043-170'!$1:$8</definedName>
    <definedName name="_xlnm.Print_Titles" localSheetId="70">'16045-173'!$1:$8</definedName>
    <definedName name="_xlnm.Print_Titles" localSheetId="71">'16050-173'!$1:$8</definedName>
    <definedName name="_xlnm.Print_Titles" localSheetId="72">'16056-171'!$1:$8</definedName>
    <definedName name="_xlnm.Print_Titles" localSheetId="73">'16056-173'!$1:$8</definedName>
    <definedName name="_xlnm.Print_Titles" localSheetId="74">'16058-172'!$1:$8</definedName>
    <definedName name="_xlnm.Print_Titles" localSheetId="78">'16060-173'!$1:$8</definedName>
    <definedName name="_xlnm.Print_Titles" localSheetId="87">'16070-172'!$1:$8</definedName>
    <definedName name="_xlnm.Print_Titles" localSheetId="88">'16071-170'!$1:$8</definedName>
    <definedName name="_xlnm.Print_Titles" localSheetId="89">'16071-171'!$1:$8</definedName>
    <definedName name="_xlnm.Print_Titles" localSheetId="90">'16071-173'!$1:$8</definedName>
    <definedName name="_xlnm.Print_Titles" localSheetId="91">'16073-170'!$1:$8</definedName>
    <definedName name="_xlnm.Print_Titles" localSheetId="92">'16075-170'!$1:$8</definedName>
    <definedName name="_xlnm.Print_Titles" localSheetId="93">'16075-171'!$1:$8</definedName>
    <definedName name="_xlnm.Print_Titles" localSheetId="94">'16076-170'!$1:$8</definedName>
    <definedName name="_xlnm.Print_Titles" localSheetId="95">'16076-171'!$1:$8</definedName>
    <definedName name="_xlnm.Print_Titles" localSheetId="96">'16077-171'!$1:$8</definedName>
    <definedName name="_xlnm.Print_Titles" localSheetId="97">'16078-170'!$1:$8</definedName>
    <definedName name="_xlnm.Print_Titles" localSheetId="98">'16079-171'!$1:$8</definedName>
    <definedName name="_xlnm.Print_Titles" localSheetId="99">'16081-170'!$1:$8</definedName>
    <definedName name="_xlnm.Print_Titles" localSheetId="100">'16081-171'!$1:$8</definedName>
    <definedName name="_xlnm.Print_Titles" localSheetId="101">'16081-172'!$1:$8</definedName>
    <definedName name="_xlnm.Print_Titles" localSheetId="102">'16081-173'!$1:$8</definedName>
    <definedName name="_xlnm.Print_Titles" localSheetId="103">'16082-170'!$1:$8</definedName>
    <definedName name="_xlnm.Print_Titles" localSheetId="104">'16082-171'!$1:$8</definedName>
    <definedName name="_xlnm.Print_Titles" localSheetId="105">'16082-172'!$1:$8</definedName>
    <definedName name="_xlnm.Print_Titles" localSheetId="106">'16082-173'!$1:$8</definedName>
    <definedName name="_xlnm.Print_Titles" localSheetId="107">'16083-171'!$1:$8</definedName>
    <definedName name="_xlnm.Print_Titles" localSheetId="108">'16083-172'!$1:$8</definedName>
    <definedName name="_xlnm.Print_Titles" localSheetId="109">'16088-170'!$1:$8</definedName>
    <definedName name="_xlnm.Print_Titles" localSheetId="110">'16089-171'!$1:$8</definedName>
    <definedName name="_xlnm.Print_Titles" localSheetId="111">'16090-172'!$1:$8</definedName>
    <definedName name="_xlnm.Print_Titles" localSheetId="112">'16091-170'!$1:$8</definedName>
    <definedName name="_xlnm.Print_Titles" localSheetId="113">'16091-171'!$1:$8</definedName>
    <definedName name="_xlnm.Print_Titles" localSheetId="114">'16091-172'!$1:$8</definedName>
    <definedName name="_xlnm.Print_Titles" localSheetId="115">'16091-173'!$1:$8</definedName>
    <definedName name="_xlnm.Print_Titles" localSheetId="116">'16092-170'!$1:$8</definedName>
    <definedName name="_xlnm.Print_Titles" localSheetId="117">'16093-170'!$1:$8</definedName>
    <definedName name="_xlnm.Print_Titles" localSheetId="118">'16093-172'!$1:$8</definedName>
    <definedName name="_xlnm.Print_Titles" localSheetId="119">'16093-173'!$1:$8</definedName>
    <definedName name="_xlnm.Print_Titles" localSheetId="120">'16094-170'!$1:$8</definedName>
    <definedName name="_xlnm.Print_Titles" localSheetId="121">'16094-171'!$1:$8</definedName>
    <definedName name="_xlnm.Print_Titles" localSheetId="122">'16094-172'!$1:$8</definedName>
    <definedName name="_xlnm.Print_Titles" localSheetId="123">'16094-173'!$1:$8</definedName>
    <definedName name="_xlnm.Print_Titles" localSheetId="124">'16095-170'!$1:$8</definedName>
    <definedName name="_xlnm.Print_Titles" localSheetId="125">'16095-172'!$1:$8</definedName>
    <definedName name="_xlnm.Print_Titles" localSheetId="126">'16096-170'!$1:$8</definedName>
    <definedName name="_xlnm.Print_Titles" localSheetId="127">'16098-170'!$1:$8</definedName>
    <definedName name="_xlnm.Print_Titles" localSheetId="128">'16204'!$1:$8</definedName>
    <definedName name="_xlnm.Print_Titles" localSheetId="129">'16205'!$1:$8</definedName>
    <definedName name="_xlnm.Print_Titles" localSheetId="130">'16206'!$1:$8</definedName>
    <definedName name="_xlnm.Print_Titles" localSheetId="131">'16208'!$1:$8</definedName>
    <definedName name="_xlnm.Print_Titles" localSheetId="132">'16214'!$1:$8</definedName>
    <definedName name="_xlnm.Print_Titles" localSheetId="133">'16230'!$1:$8</definedName>
    <definedName name="_xlnm.Print_Titles" localSheetId="134">'16234'!$1:$8</definedName>
    <definedName name="_xlnm.Print_Titles" localSheetId="135">'16235'!$1:$8</definedName>
    <definedName name="_xlnm.Print_Titles" localSheetId="136">'16236'!$1:$8</definedName>
    <definedName name="_xlnm.Print_Titles" localSheetId="137">'16238'!$1:$8</definedName>
    <definedName name="_xlnm.Print_Titles" localSheetId="138">'16242'!$1:$8</definedName>
    <definedName name="_xlnm.Print_Titles" localSheetId="139">'16244'!$1:$8</definedName>
    <definedName name="_xlnm.Print_Titles" localSheetId="140">'16246'!$1:$8</definedName>
    <definedName name="_xlnm.Print_Titles" localSheetId="141">'16247'!$1:$8</definedName>
    <definedName name="_xlnm.Print_Titles" localSheetId="142">'16248'!$1:$8</definedName>
    <definedName name="_xlnm.Print_Titles" localSheetId="144">'16254'!$1:$8</definedName>
    <definedName name="_xlnm.Print_Titles" localSheetId="145">'16257'!$1:$8</definedName>
    <definedName name="_xlnm.Print_Titles" localSheetId="147">'16263'!$1:$8</definedName>
    <definedName name="_xlnm.Print_Titles" localSheetId="148">'16264'!$1:$8</definedName>
    <definedName name="_xlnm.Print_Titles" localSheetId="149">'16265'!$1:$8</definedName>
    <definedName name="_xlnm.Print_Titles" localSheetId="150">'16272'!$1:$8</definedName>
    <definedName name="_xlnm.Print_Titles" localSheetId="156">'16285'!$1:$8</definedName>
    <definedName name="_xlnm.Print_Titles" localSheetId="157">'16286'!$1:$8</definedName>
    <definedName name="_xlnm.Print_Titles" localSheetId="9">'Schedule D'!$1:$10</definedName>
    <definedName name="_xlnm.Print_Titles" localSheetId="15">'Wp b - salary'!$1:$5</definedName>
    <definedName name="_xlnm.Print_Titles" localSheetId="17">'Wp b2 - Captime'!$1:$9</definedName>
    <definedName name="_xlnm.Print_Titles" localSheetId="25">'wp-o-restate-acq'!$1:$7</definedName>
    <definedName name="_xlnm.Print_Titles" localSheetId="26">'wp-p2 Allocation of Vehicles'!$1:$4</definedName>
    <definedName name="_xlnm.Print_Titles" localSheetId="27">'wp-p2a Allocation of Trans Exp'!$20:$21</definedName>
    <definedName name="_xlnm.Print_Titles" localSheetId="28">'wp-p3-alloc of State computers'!$1:$7</definedName>
    <definedName name="_xlnm.Print_Titles" localSheetId="29">'wp-p4-alloc of WSC computers'!$1:$7</definedName>
    <definedName name="_xlnm.Print_Titles" localSheetId="30">'wp-p5 Recon Summary'!$1:$5</definedName>
    <definedName name="_xlnm.Print_Titles" localSheetId="31">'wp-p5a-restatement (audit)'!$1:$6</definedName>
    <definedName name="_xlnm.Print_Titles" localSheetId="6">'wp-p-restate(audit)'!$1:$6</definedName>
    <definedName name="_xlnm.Print_Titles" localSheetId="34">'wp-q(3) Clinton salary revised'!$1:$9</definedName>
    <definedName name="_xlnm.Print_Titles" localSheetId="10">'xxxRate-Rev Comp'!$1:$4</definedName>
    <definedName name="Rate401k">'[9]wp-t-Assumptions'!$C$24</definedName>
    <definedName name="Reduced_acct">OFFSET('[10]tb 2007 reformat'!$A$1,1,0,COUNTA('[10]tb 2007 reformat'!$A$1:$A$65536),1)</definedName>
    <definedName name="Reg_factor">'[3]Input Schedule'!$D$20</definedName>
    <definedName name="RPC.CE">#REF!</definedName>
    <definedName name="RVP_factor">'[3]Input Schedule'!$D$19</definedName>
    <definedName name="SADPRIM">'[1]A-15'!#REF!</definedName>
    <definedName name="SalaryIncrease">'[9]wp-t-Assumptions'!$C$9</definedName>
    <definedName name="SC.1">#REF!</definedName>
    <definedName name="SC.3">#REF!</definedName>
    <definedName name="SC.5">#REF!</definedName>
    <definedName name="SC.CE">#REF!</definedName>
    <definedName name="SC.CEP">#REF!</definedName>
    <definedName name="SCI.CE">#REF!</definedName>
    <definedName name="SCU.CE">#REF!</definedName>
    <definedName name="SE.SE60D.ALLOC.">#REF!</definedName>
    <definedName name="sewer_customers">'[3]Input Schedule'!$C$14</definedName>
    <definedName name="Sewer_distributions_of_costs_to_plant">[8]Input!$B$14</definedName>
    <definedName name="SocSec">'[9]wp-t-Assumptions'!$C$12</definedName>
    <definedName name="SPPRIM">'[1]A-15'!#REF!</definedName>
    <definedName name="SRB">'[1]A-15'!#REF!</definedName>
    <definedName name="State_factor">'[3]Input Schedule'!$D$21</definedName>
    <definedName name="Sub_Names">#REF!</definedName>
    <definedName name="SUI.CE">#REF!</definedName>
    <definedName name="SUMU_U">'[1]A-15'!#REF!</definedName>
    <definedName name="SUTA">'[9]wp-t-Assumptions'!$C$20</definedName>
    <definedName name="SUTALimit">'[9]wp-t-Assumptions'!$C$21</definedName>
    <definedName name="swr_cust_per">'[3]Input Schedule'!$D$14</definedName>
    <definedName name="swr_plt_dep">'[3]Input Schedule'!$D$29</definedName>
    <definedName name="TC.CE">#REF!</definedName>
    <definedName name="Test">'[5]WSC Factor'!$C$4</definedName>
    <definedName name="test_year_end_date">'[3]Input Schedule'!$C$9</definedName>
    <definedName name="TestYr">'[6]General Data'!$C$4</definedName>
    <definedName name="TN.1">#REF!</definedName>
    <definedName name="TN.3">#REF!</definedName>
    <definedName name="TN.5">#REF!</definedName>
    <definedName name="TN.CE">#REF!</definedName>
    <definedName name="TN.CEP">#REF!</definedName>
    <definedName name="TOT.CNC.CE">#REF!</definedName>
    <definedName name="UIF.CE">#REF!</definedName>
    <definedName name="UUC.CE">#REF!</definedName>
    <definedName name="v">'[13]Input Schedule'!$D$39</definedName>
    <definedName name="VA.1">#REF!</definedName>
    <definedName name="VA.3">#REF!</definedName>
    <definedName name="VA.5">#REF!</definedName>
    <definedName name="VA.CE">#REF!</definedName>
    <definedName name="VA.CEP">#REF!</definedName>
    <definedName name="VAL.CE">#REF!</definedName>
    <definedName name="Vehicles_rate">[8]Input!$B$21</definedName>
    <definedName name="WADPRIM">'[1]A-15'!#REF!</definedName>
    <definedName name="water_customer">'[3]Input Schedule'!$C$13</definedName>
    <definedName name="Water_customers">[7]Input!$B$10</definedName>
    <definedName name="Water_distributions_of_costs_to_plant">[8]Input!$B$13</definedName>
    <definedName name="Water_Rates">#REF!</definedName>
    <definedName name="WD.CE">#REF!</definedName>
    <definedName name="WH.CE">#REF!</definedName>
    <definedName name="WPPRIM">'[1]A-15'!#REF!</definedName>
    <definedName name="WRB">'[1]A-15'!#REF!</definedName>
    <definedName name="WSC_factor">'[3]Input Schedule'!$D$18</definedName>
    <definedName name="WSCBSAllocation">[4]Data!$BE$13:$BF$131</definedName>
    <definedName name="wtr_comp_dep">'[3]Input Schedule'!$C$30</definedName>
    <definedName name="wtr_cust_per">'[3]Input Schedule'!$D$13</definedName>
    <definedName name="wtr_plt_dep">'[3]Input Schedule'!$C$29</definedName>
    <definedName name="wtr_vhle_dep">'[3]Input Schedule'!$C$31</definedName>
    <definedName name="WUW.CE">#REF!</definedName>
    <definedName name="WV.CE">#REF!</definedName>
    <definedName name="Year_End_Results_for_1997__1996____1995">#REF!</definedName>
  </definedNames>
  <calcPr calcId="145621"/>
  <pivotCaches>
    <pivotCache cacheId="0" r:id="rId189"/>
  </pivotCaches>
</workbook>
</file>

<file path=xl/calcChain.xml><?xml version="1.0" encoding="utf-8"?>
<calcChain xmlns="http://schemas.openxmlformats.org/spreadsheetml/2006/main">
  <c r="B36" i="56" l="1"/>
  <c r="B37" i="56"/>
  <c r="B38" i="56"/>
  <c r="B39" i="56"/>
  <c r="B40" i="56"/>
  <c r="B41" i="56"/>
  <c r="B42" i="56"/>
  <c r="B43" i="56"/>
  <c r="B44" i="56"/>
  <c r="B45" i="56"/>
  <c r="B35" i="56"/>
  <c r="A2" i="231" l="1"/>
  <c r="B13" i="224"/>
  <c r="J65" i="19" l="1"/>
  <c r="D65" i="19" s="1"/>
  <c r="D59" i="19"/>
  <c r="D61" i="19" s="1"/>
  <c r="D62" i="19" s="1"/>
  <c r="D66" i="19" l="1"/>
  <c r="D67" i="19" s="1"/>
  <c r="H45" i="19" s="1"/>
  <c r="R71" i="232"/>
  <c r="J71" i="232"/>
  <c r="I71" i="232"/>
  <c r="P63" i="232"/>
  <c r="P58" i="232"/>
  <c r="H58" i="232"/>
  <c r="R56" i="232"/>
  <c r="O56" i="232"/>
  <c r="J56" i="232"/>
  <c r="J59" i="232" s="1"/>
  <c r="H53" i="232"/>
  <c r="K56" i="232"/>
  <c r="K59" i="232" s="1"/>
  <c r="H48" i="232"/>
  <c r="R46" i="232"/>
  <c r="O46" i="232"/>
  <c r="J46" i="232"/>
  <c r="K46" i="232"/>
  <c r="K49" i="232" s="1"/>
  <c r="I46" i="232"/>
  <c r="I49" i="232" s="1"/>
  <c r="S46" i="232"/>
  <c r="P41" i="232"/>
  <c r="H41" i="232"/>
  <c r="R39" i="232"/>
  <c r="R61" i="232" s="1"/>
  <c r="O39" i="232"/>
  <c r="O61" i="232" s="1"/>
  <c r="J39" i="232"/>
  <c r="J61" i="232" s="1"/>
  <c r="J64" i="232" s="1"/>
  <c r="P37" i="232"/>
  <c r="H37" i="232"/>
  <c r="H27" i="232"/>
  <c r="H23" i="232"/>
  <c r="H10" i="232"/>
  <c r="L179" i="231"/>
  <c r="N179" i="231" s="1"/>
  <c r="P179" i="231" s="1"/>
  <c r="L178" i="231"/>
  <c r="H180" i="231"/>
  <c r="H175" i="231"/>
  <c r="L174" i="231"/>
  <c r="L173" i="231"/>
  <c r="H170" i="231"/>
  <c r="L169" i="231"/>
  <c r="L168" i="231"/>
  <c r="H165" i="231"/>
  <c r="L164" i="231"/>
  <c r="L163" i="231"/>
  <c r="L159" i="231"/>
  <c r="L158" i="231"/>
  <c r="H158" i="231"/>
  <c r="H160" i="231" s="1"/>
  <c r="H155" i="231"/>
  <c r="L154" i="231"/>
  <c r="L153" i="231"/>
  <c r="L152" i="231"/>
  <c r="L151" i="231"/>
  <c r="L150" i="231"/>
  <c r="L149" i="231"/>
  <c r="L148" i="231"/>
  <c r="L147" i="231"/>
  <c r="L146" i="231"/>
  <c r="H140" i="231"/>
  <c r="F75" i="232" s="1"/>
  <c r="L139" i="231"/>
  <c r="L138" i="231"/>
  <c r="L137" i="231"/>
  <c r="L136" i="231"/>
  <c r="L135" i="231"/>
  <c r="L134" i="231"/>
  <c r="L133" i="231"/>
  <c r="L132" i="231"/>
  <c r="L131" i="231"/>
  <c r="L130" i="231"/>
  <c r="L129" i="231"/>
  <c r="L119" i="231"/>
  <c r="J119" i="231"/>
  <c r="L118" i="231"/>
  <c r="J118" i="231"/>
  <c r="P118" i="231"/>
  <c r="J117" i="231"/>
  <c r="J116" i="231"/>
  <c r="L115" i="231"/>
  <c r="J115" i="231"/>
  <c r="L111" i="231"/>
  <c r="L110" i="231"/>
  <c r="L107" i="231"/>
  <c r="L103" i="231"/>
  <c r="L102" i="231"/>
  <c r="F10" i="232"/>
  <c r="L99" i="231"/>
  <c r="H95" i="231"/>
  <c r="H94" i="231"/>
  <c r="L93" i="231"/>
  <c r="H93" i="231"/>
  <c r="H92" i="231"/>
  <c r="H91" i="231"/>
  <c r="L90" i="231"/>
  <c r="H90" i="231"/>
  <c r="L89" i="231"/>
  <c r="H89" i="231"/>
  <c r="H88" i="231"/>
  <c r="H87" i="231"/>
  <c r="L86" i="231"/>
  <c r="L85" i="231"/>
  <c r="H83" i="231"/>
  <c r="H82" i="231" s="1"/>
  <c r="L82" i="231"/>
  <c r="L81" i="231"/>
  <c r="H79" i="231"/>
  <c r="L78" i="231"/>
  <c r="H78" i="231"/>
  <c r="L76" i="231"/>
  <c r="H76" i="231"/>
  <c r="L75" i="231"/>
  <c r="H75" i="231"/>
  <c r="L74" i="231"/>
  <c r="L73" i="231"/>
  <c r="L69" i="231"/>
  <c r="L62" i="231"/>
  <c r="L61" i="231"/>
  <c r="L60" i="231"/>
  <c r="L59" i="231"/>
  <c r="L58" i="231"/>
  <c r="L57" i="231"/>
  <c r="L56" i="231"/>
  <c r="L55" i="231"/>
  <c r="L54" i="231"/>
  <c r="L53" i="231"/>
  <c r="U52" i="231"/>
  <c r="L52" i="231"/>
  <c r="U51" i="231"/>
  <c r="L51" i="231"/>
  <c r="U50" i="231"/>
  <c r="J93" i="231" s="1"/>
  <c r="L50" i="231"/>
  <c r="U49" i="231"/>
  <c r="J92" i="231" s="1"/>
  <c r="L49" i="231"/>
  <c r="U48" i="231"/>
  <c r="J86" i="231" s="1"/>
  <c r="L48" i="231"/>
  <c r="U47" i="231"/>
  <c r="J84" i="231" s="1"/>
  <c r="L47" i="231"/>
  <c r="U46" i="231"/>
  <c r="J80" i="231" s="1"/>
  <c r="L46" i="231"/>
  <c r="U45" i="231"/>
  <c r="J76" i="231" s="1"/>
  <c r="N76" i="231" s="1"/>
  <c r="L45" i="231"/>
  <c r="U44" i="231"/>
  <c r="J72" i="231" s="1"/>
  <c r="L44" i="231"/>
  <c r="U43" i="231"/>
  <c r="J71" i="231" s="1"/>
  <c r="L43" i="231"/>
  <c r="U42" i="231"/>
  <c r="L42" i="231"/>
  <c r="U41" i="231"/>
  <c r="L41" i="231"/>
  <c r="U40" i="231"/>
  <c r="J67" i="231" s="1"/>
  <c r="L40" i="231"/>
  <c r="U39" i="231"/>
  <c r="L39" i="231"/>
  <c r="U38" i="231"/>
  <c r="L38" i="231"/>
  <c r="U37" i="231"/>
  <c r="J150" i="231" s="1"/>
  <c r="L37" i="231"/>
  <c r="U36" i="231"/>
  <c r="J130" i="231" s="1"/>
  <c r="L36" i="231"/>
  <c r="U35" i="231"/>
  <c r="J149" i="231" s="1"/>
  <c r="N149" i="231" s="1"/>
  <c r="L35" i="231"/>
  <c r="U34" i="231"/>
  <c r="J129" i="231" s="1"/>
  <c r="N129" i="231" s="1"/>
  <c r="L34" i="231"/>
  <c r="U33" i="231"/>
  <c r="L33" i="231"/>
  <c r="U32" i="231"/>
  <c r="L32" i="231"/>
  <c r="U31" i="231"/>
  <c r="J146" i="231" s="1"/>
  <c r="L31" i="231"/>
  <c r="U30" i="231"/>
  <c r="L30" i="231"/>
  <c r="U29" i="231"/>
  <c r="L29" i="231"/>
  <c r="U28" i="231"/>
  <c r="J34" i="231" s="1"/>
  <c r="L28" i="231"/>
  <c r="U27" i="231"/>
  <c r="L27" i="231"/>
  <c r="U26" i="231"/>
  <c r="L26" i="231"/>
  <c r="U25" i="231"/>
  <c r="L25" i="231"/>
  <c r="U24" i="231"/>
  <c r="J11" i="231" s="1"/>
  <c r="L24" i="231"/>
  <c r="U23" i="231"/>
  <c r="L23" i="231"/>
  <c r="U22" i="231"/>
  <c r="L22" i="231"/>
  <c r="U21" i="231"/>
  <c r="L21" i="231"/>
  <c r="U20" i="231"/>
  <c r="L20" i="231"/>
  <c r="U19" i="231"/>
  <c r="L19" i="231"/>
  <c r="U18" i="231"/>
  <c r="L18" i="231"/>
  <c r="U17" i="231"/>
  <c r="L17" i="231"/>
  <c r="L16" i="231"/>
  <c r="L15" i="231"/>
  <c r="L14" i="231"/>
  <c r="J14" i="231"/>
  <c r="L13" i="231"/>
  <c r="L12" i="231"/>
  <c r="L11" i="231"/>
  <c r="N11" i="231" s="1"/>
  <c r="U10" i="231"/>
  <c r="L95" i="231" s="1"/>
  <c r="L10" i="231"/>
  <c r="L9" i="231"/>
  <c r="J9" i="231"/>
  <c r="N93" i="231" l="1"/>
  <c r="R93" i="231" s="1"/>
  <c r="N14" i="231"/>
  <c r="N9" i="231"/>
  <c r="R9" i="231" s="1"/>
  <c r="N119" i="231"/>
  <c r="J12" i="231"/>
  <c r="N12" i="231" s="1"/>
  <c r="J16" i="231"/>
  <c r="N16" i="231" s="1"/>
  <c r="R16" i="231" s="1"/>
  <c r="H142" i="231"/>
  <c r="I39" i="232"/>
  <c r="H12" i="232"/>
  <c r="H16" i="232"/>
  <c r="H20" i="232"/>
  <c r="H24" i="232"/>
  <c r="H25" i="232"/>
  <c r="H11" i="232"/>
  <c r="H13" i="232"/>
  <c r="H17" i="232"/>
  <c r="H21" i="232"/>
  <c r="H31" i="232"/>
  <c r="H35" i="232"/>
  <c r="P48" i="232"/>
  <c r="H54" i="232"/>
  <c r="H69" i="232"/>
  <c r="H75" i="232"/>
  <c r="E75" i="232" s="1"/>
  <c r="H104" i="231"/>
  <c r="F68" i="232"/>
  <c r="H28" i="232"/>
  <c r="H32" i="232"/>
  <c r="H36" i="232"/>
  <c r="I56" i="232"/>
  <c r="I59" i="232" s="1"/>
  <c r="H63" i="232"/>
  <c r="H112" i="231"/>
  <c r="H15" i="232"/>
  <c r="H19" i="232"/>
  <c r="H29" i="232"/>
  <c r="H33" i="232"/>
  <c r="H52" i="232"/>
  <c r="K71" i="232"/>
  <c r="P75" i="232"/>
  <c r="H185" i="231"/>
  <c r="N116" i="231"/>
  <c r="E10" i="232"/>
  <c r="H8" i="232"/>
  <c r="K39" i="232"/>
  <c r="K61" i="232" s="1"/>
  <c r="K64" i="232" s="1"/>
  <c r="H9" i="232"/>
  <c r="H14" i="232"/>
  <c r="H18" i="232"/>
  <c r="H22" i="232"/>
  <c r="H26" i="232"/>
  <c r="H30" i="232"/>
  <c r="H34" i="232"/>
  <c r="H44" i="232"/>
  <c r="H46" i="232" s="1"/>
  <c r="H49" i="232" s="1"/>
  <c r="H51" i="232"/>
  <c r="H56" i="232" s="1"/>
  <c r="H59" i="232" s="1"/>
  <c r="H68" i="232"/>
  <c r="H71" i="232" s="1"/>
  <c r="P11" i="231"/>
  <c r="R11" i="231"/>
  <c r="R12" i="231"/>
  <c r="P12" i="231"/>
  <c r="P16" i="231"/>
  <c r="N34" i="231"/>
  <c r="N46" i="231"/>
  <c r="P9" i="231"/>
  <c r="R14" i="231"/>
  <c r="P14" i="231"/>
  <c r="R76" i="231"/>
  <c r="F8" i="232"/>
  <c r="H86" i="231"/>
  <c r="R119" i="231"/>
  <c r="P119" i="231"/>
  <c r="J10" i="231"/>
  <c r="N10" i="231" s="1"/>
  <c r="J13" i="231"/>
  <c r="N13" i="231" s="1"/>
  <c r="J15" i="231"/>
  <c r="N15" i="231" s="1"/>
  <c r="J17" i="231"/>
  <c r="N17" i="231" s="1"/>
  <c r="J18" i="231"/>
  <c r="N18" i="231" s="1"/>
  <c r="J19" i="231"/>
  <c r="N19" i="231" s="1"/>
  <c r="J20" i="231"/>
  <c r="N20" i="231" s="1"/>
  <c r="J21" i="231"/>
  <c r="N21" i="231" s="1"/>
  <c r="J22" i="231"/>
  <c r="N22" i="231" s="1"/>
  <c r="J23" i="231"/>
  <c r="N23" i="231" s="1"/>
  <c r="J24" i="231"/>
  <c r="N24" i="231" s="1"/>
  <c r="J25" i="231"/>
  <c r="N25" i="231" s="1"/>
  <c r="J26" i="231"/>
  <c r="N26" i="231" s="1"/>
  <c r="J27" i="231"/>
  <c r="N27" i="231" s="1"/>
  <c r="J28" i="231"/>
  <c r="N28" i="231" s="1"/>
  <c r="J29" i="231"/>
  <c r="N29" i="231" s="1"/>
  <c r="J30" i="231"/>
  <c r="N30" i="231" s="1"/>
  <c r="J31" i="231"/>
  <c r="N31" i="231" s="1"/>
  <c r="J32" i="231"/>
  <c r="N32" i="231" s="1"/>
  <c r="J33" i="231"/>
  <c r="N33" i="231" s="1"/>
  <c r="J35" i="231"/>
  <c r="N35" i="231" s="1"/>
  <c r="J36" i="231"/>
  <c r="N36" i="231" s="1"/>
  <c r="J37" i="231"/>
  <c r="N37" i="231" s="1"/>
  <c r="J38" i="231"/>
  <c r="N38" i="231" s="1"/>
  <c r="J39" i="231"/>
  <c r="N39" i="231" s="1"/>
  <c r="J40" i="231"/>
  <c r="N40" i="231" s="1"/>
  <c r="J41" i="231"/>
  <c r="N41" i="231" s="1"/>
  <c r="J42" i="231"/>
  <c r="N42" i="231" s="1"/>
  <c r="J43" i="231"/>
  <c r="N43" i="231" s="1"/>
  <c r="J44" i="231"/>
  <c r="N44" i="231" s="1"/>
  <c r="J45" i="231"/>
  <c r="N45" i="231" s="1"/>
  <c r="J46" i="231"/>
  <c r="J47" i="231"/>
  <c r="N47" i="231" s="1"/>
  <c r="J48" i="231"/>
  <c r="N48" i="231" s="1"/>
  <c r="J49" i="231"/>
  <c r="N49" i="231" s="1"/>
  <c r="J50" i="231"/>
  <c r="N50" i="231" s="1"/>
  <c r="J51" i="231"/>
  <c r="N51" i="231" s="1"/>
  <c r="J52" i="231"/>
  <c r="N52" i="231" s="1"/>
  <c r="J53" i="231"/>
  <c r="N53" i="231" s="1"/>
  <c r="J55" i="231"/>
  <c r="N55" i="231" s="1"/>
  <c r="J57" i="231"/>
  <c r="N57" i="231" s="1"/>
  <c r="J59" i="231"/>
  <c r="N59" i="231" s="1"/>
  <c r="J61" i="231"/>
  <c r="N61" i="231" s="1"/>
  <c r="J63" i="231"/>
  <c r="L64" i="231"/>
  <c r="J65" i="231"/>
  <c r="L66" i="231"/>
  <c r="L68" i="231"/>
  <c r="J69" i="231"/>
  <c r="N69" i="231" s="1"/>
  <c r="L70" i="231"/>
  <c r="L72" i="231"/>
  <c r="N72" i="231" s="1"/>
  <c r="J73" i="231"/>
  <c r="N73" i="231" s="1"/>
  <c r="F51" i="232"/>
  <c r="P76" i="231"/>
  <c r="J77" i="231"/>
  <c r="J78" i="231"/>
  <c r="N78" i="231" s="1"/>
  <c r="J79" i="231"/>
  <c r="N79" i="231" s="1"/>
  <c r="R79" i="231" s="1"/>
  <c r="L84" i="231"/>
  <c r="N84" i="231" s="1"/>
  <c r="J85" i="231"/>
  <c r="N85" i="231" s="1"/>
  <c r="L88" i="231"/>
  <c r="F58" i="232"/>
  <c r="N130" i="231"/>
  <c r="N146" i="231"/>
  <c r="N150" i="231"/>
  <c r="H39" i="232"/>
  <c r="L109" i="231"/>
  <c r="N109" i="231" s="1"/>
  <c r="R109" i="231" s="1"/>
  <c r="L92" i="231"/>
  <c r="N92" i="231" s="1"/>
  <c r="R92" i="231" s="1"/>
  <c r="L117" i="231"/>
  <c r="N117" i="231" s="1"/>
  <c r="L101" i="231"/>
  <c r="J148" i="231"/>
  <c r="N148" i="231" s="1"/>
  <c r="J147" i="231"/>
  <c r="N147" i="231" s="1"/>
  <c r="P129" i="231"/>
  <c r="R129" i="231"/>
  <c r="P149" i="231"/>
  <c r="R149" i="231"/>
  <c r="J132" i="231"/>
  <c r="N132" i="231" s="1"/>
  <c r="J133" i="231"/>
  <c r="N133" i="231" s="1"/>
  <c r="J131" i="231"/>
  <c r="N131" i="231" s="1"/>
  <c r="J134" i="231"/>
  <c r="N134" i="231" s="1"/>
  <c r="J151" i="231"/>
  <c r="N151" i="231" s="1"/>
  <c r="J135" i="231"/>
  <c r="N135" i="231" s="1"/>
  <c r="J152" i="231"/>
  <c r="N152" i="231" s="1"/>
  <c r="J153" i="231"/>
  <c r="N153" i="231" s="1"/>
  <c r="J154" i="231"/>
  <c r="N154" i="231" s="1"/>
  <c r="J136" i="231"/>
  <c r="N136" i="231" s="1"/>
  <c r="J138" i="231"/>
  <c r="N138" i="231" s="1"/>
  <c r="J139" i="231"/>
  <c r="N139" i="231" s="1"/>
  <c r="J137" i="231"/>
  <c r="N137" i="231" s="1"/>
  <c r="J159" i="231"/>
  <c r="N159" i="231" s="1"/>
  <c r="J158" i="231"/>
  <c r="N158" i="231" s="1"/>
  <c r="J89" i="231"/>
  <c r="J88" i="231"/>
  <c r="J91" i="231"/>
  <c r="N91" i="231" s="1"/>
  <c r="R91" i="231" s="1"/>
  <c r="J90" i="231"/>
  <c r="N90" i="231" s="1"/>
  <c r="J163" i="231"/>
  <c r="N163" i="231" s="1"/>
  <c r="J95" i="231"/>
  <c r="N95" i="231" s="1"/>
  <c r="J164" i="231"/>
  <c r="N164" i="231" s="1"/>
  <c r="J169" i="231"/>
  <c r="N169" i="231" s="1"/>
  <c r="J102" i="231"/>
  <c r="J101" i="231"/>
  <c r="J168" i="231"/>
  <c r="N168" i="231" s="1"/>
  <c r="J103" i="231"/>
  <c r="N103" i="231" s="1"/>
  <c r="J100" i="231"/>
  <c r="N100" i="231" s="1"/>
  <c r="J99" i="231"/>
  <c r="N99" i="231" s="1"/>
  <c r="J173" i="231"/>
  <c r="N173" i="231" s="1"/>
  <c r="J111" i="231"/>
  <c r="N111" i="231" s="1"/>
  <c r="J108" i="231"/>
  <c r="N108" i="231" s="1"/>
  <c r="R108" i="231" s="1"/>
  <c r="J107" i="231"/>
  <c r="N107" i="231" s="1"/>
  <c r="J174" i="231"/>
  <c r="N174" i="231" s="1"/>
  <c r="J110" i="231"/>
  <c r="N110" i="231" s="1"/>
  <c r="R110" i="231" s="1"/>
  <c r="J109" i="231"/>
  <c r="F44" i="232"/>
  <c r="F48" i="232"/>
  <c r="R116" i="231"/>
  <c r="P116" i="231"/>
  <c r="I61" i="232"/>
  <c r="I64" i="232" s="1"/>
  <c r="I42" i="232"/>
  <c r="J54" i="231"/>
  <c r="N54" i="231" s="1"/>
  <c r="J56" i="231"/>
  <c r="N56" i="231" s="1"/>
  <c r="J58" i="231"/>
  <c r="N58" i="231" s="1"/>
  <c r="J60" i="231"/>
  <c r="N60" i="231" s="1"/>
  <c r="J62" i="231"/>
  <c r="N62" i="231" s="1"/>
  <c r="L63" i="231"/>
  <c r="N63" i="231" s="1"/>
  <c r="J64" i="231"/>
  <c r="L65" i="231"/>
  <c r="N65" i="231" s="1"/>
  <c r="J66" i="231"/>
  <c r="L67" i="231"/>
  <c r="N67" i="231" s="1"/>
  <c r="J68" i="231"/>
  <c r="J70" i="231"/>
  <c r="L71" i="231"/>
  <c r="N71" i="231" s="1"/>
  <c r="J74" i="231"/>
  <c r="N74" i="231" s="1"/>
  <c r="J75" i="231"/>
  <c r="N75" i="231" s="1"/>
  <c r="R75" i="231" s="1"/>
  <c r="L77" i="231"/>
  <c r="N77" i="231" s="1"/>
  <c r="L80" i="231"/>
  <c r="N80" i="231" s="1"/>
  <c r="J81" i="231"/>
  <c r="N81" i="231" s="1"/>
  <c r="J82" i="231"/>
  <c r="N82" i="231" s="1"/>
  <c r="R82" i="231" s="1"/>
  <c r="J83" i="231"/>
  <c r="N83" i="231" s="1"/>
  <c r="J87" i="231"/>
  <c r="N87" i="231" s="1"/>
  <c r="N89" i="231"/>
  <c r="R89" i="231" s="1"/>
  <c r="P92" i="231"/>
  <c r="P93" i="231"/>
  <c r="J94" i="231"/>
  <c r="N94" i="231" s="1"/>
  <c r="N102" i="231"/>
  <c r="R102" i="231" s="1"/>
  <c r="R118" i="231"/>
  <c r="N178" i="231"/>
  <c r="P178" i="231" s="1"/>
  <c r="P180" i="231" s="1"/>
  <c r="R179" i="231"/>
  <c r="P9" i="232"/>
  <c r="P10" i="232"/>
  <c r="P11" i="232"/>
  <c r="P12" i="232"/>
  <c r="P13" i="232"/>
  <c r="P14" i="232"/>
  <c r="P15" i="232"/>
  <c r="P16" i="232"/>
  <c r="P17" i="232"/>
  <c r="P18" i="232"/>
  <c r="P19" i="232"/>
  <c r="P20" i="232"/>
  <c r="P21" i="232"/>
  <c r="P22" i="232"/>
  <c r="P23" i="232"/>
  <c r="P24" i="232"/>
  <c r="P25" i="232"/>
  <c r="P26" i="232"/>
  <c r="P27" i="232"/>
  <c r="P28" i="232"/>
  <c r="P29" i="232"/>
  <c r="P30" i="232"/>
  <c r="P31" i="232"/>
  <c r="P32" i="232"/>
  <c r="P33" i="232"/>
  <c r="P34" i="232"/>
  <c r="P35" i="232"/>
  <c r="P36" i="232"/>
  <c r="P52" i="232"/>
  <c r="P53" i="232"/>
  <c r="P54" i="232"/>
  <c r="S71" i="232"/>
  <c r="K42" i="232" l="1"/>
  <c r="P75" i="231"/>
  <c r="N66" i="231"/>
  <c r="N64" i="231"/>
  <c r="P82" i="231"/>
  <c r="E68" i="232"/>
  <c r="E71" i="232" s="1"/>
  <c r="P108" i="231"/>
  <c r="F71" i="232"/>
  <c r="P110" i="231"/>
  <c r="P109" i="231"/>
  <c r="N112" i="231"/>
  <c r="R107" i="231"/>
  <c r="P107" i="231"/>
  <c r="R169" i="231"/>
  <c r="P169" i="231"/>
  <c r="R90" i="231"/>
  <c r="P90" i="231"/>
  <c r="R154" i="231"/>
  <c r="P154" i="231"/>
  <c r="R132" i="231"/>
  <c r="P132" i="231"/>
  <c r="R78" i="231"/>
  <c r="P78" i="231"/>
  <c r="P69" i="231"/>
  <c r="R69" i="231"/>
  <c r="P61" i="231"/>
  <c r="R61" i="231"/>
  <c r="P57" i="231"/>
  <c r="R57" i="231"/>
  <c r="P53" i="231"/>
  <c r="R53" i="231"/>
  <c r="P51" i="231"/>
  <c r="R51" i="231"/>
  <c r="P49" i="231"/>
  <c r="R49" i="231"/>
  <c r="P47" i="231"/>
  <c r="R47" i="231"/>
  <c r="P45" i="231"/>
  <c r="R45" i="231"/>
  <c r="P43" i="231"/>
  <c r="R43" i="231"/>
  <c r="P41" i="231"/>
  <c r="R41" i="231"/>
  <c r="P39" i="231"/>
  <c r="R39" i="231"/>
  <c r="P37" i="231"/>
  <c r="R37" i="231"/>
  <c r="P35" i="231"/>
  <c r="R35" i="231"/>
  <c r="P32" i="231"/>
  <c r="R32" i="231"/>
  <c r="P30" i="231"/>
  <c r="R30" i="231"/>
  <c r="P28" i="231"/>
  <c r="R28" i="231"/>
  <c r="P26" i="231"/>
  <c r="R26" i="231"/>
  <c r="P24" i="231"/>
  <c r="R24" i="231"/>
  <c r="P22" i="231"/>
  <c r="R22" i="231"/>
  <c r="P20" i="231"/>
  <c r="R20" i="231"/>
  <c r="P18" i="231"/>
  <c r="R18" i="231"/>
  <c r="P15" i="231"/>
  <c r="R15" i="231"/>
  <c r="P10" i="231"/>
  <c r="R10" i="231"/>
  <c r="N10" i="232"/>
  <c r="R111" i="231"/>
  <c r="P111" i="231"/>
  <c r="R95" i="231"/>
  <c r="P95" i="231"/>
  <c r="R138" i="231"/>
  <c r="P138" i="231"/>
  <c r="R152" i="231"/>
  <c r="P152" i="231"/>
  <c r="R117" i="231"/>
  <c r="P117" i="231"/>
  <c r="R136" i="231"/>
  <c r="P136" i="231"/>
  <c r="N8" i="232"/>
  <c r="P73" i="231"/>
  <c r="R73" i="231"/>
  <c r="P33" i="231"/>
  <c r="R33" i="231"/>
  <c r="P31" i="231"/>
  <c r="R31" i="231"/>
  <c r="P29" i="231"/>
  <c r="R29" i="231"/>
  <c r="P27" i="231"/>
  <c r="R27" i="231"/>
  <c r="P25" i="231"/>
  <c r="R25" i="231"/>
  <c r="P23" i="231"/>
  <c r="R23" i="231"/>
  <c r="P21" i="231"/>
  <c r="R21" i="231"/>
  <c r="P19" i="231"/>
  <c r="R19" i="231"/>
  <c r="P17" i="231"/>
  <c r="R17" i="231"/>
  <c r="H120" i="231"/>
  <c r="Q46" i="232"/>
  <c r="P44" i="232"/>
  <c r="P46" i="232" s="1"/>
  <c r="R94" i="231"/>
  <c r="P94" i="231"/>
  <c r="P83" i="231"/>
  <c r="R83" i="231"/>
  <c r="R81" i="231"/>
  <c r="P81" i="231"/>
  <c r="P77" i="231"/>
  <c r="R77" i="231"/>
  <c r="R74" i="231"/>
  <c r="P74" i="231"/>
  <c r="P67" i="231"/>
  <c r="R67" i="231"/>
  <c r="P65" i="231"/>
  <c r="R65" i="231"/>
  <c r="P63" i="231"/>
  <c r="R63" i="231"/>
  <c r="R60" i="231"/>
  <c r="P60" i="231"/>
  <c r="R56" i="231"/>
  <c r="P56" i="231"/>
  <c r="F46" i="232"/>
  <c r="F49" i="232" s="1"/>
  <c r="E44" i="232"/>
  <c r="R99" i="231"/>
  <c r="P103" i="231"/>
  <c r="R103" i="231"/>
  <c r="N160" i="231"/>
  <c r="R158" i="231"/>
  <c r="P137" i="231"/>
  <c r="R137" i="231"/>
  <c r="P151" i="231"/>
  <c r="R151" i="231"/>
  <c r="P131" i="231"/>
  <c r="R131" i="231"/>
  <c r="P147" i="231"/>
  <c r="R147" i="231"/>
  <c r="H61" i="232"/>
  <c r="H64" i="232" s="1"/>
  <c r="H42" i="232"/>
  <c r="R159" i="231"/>
  <c r="P159" i="231"/>
  <c r="R148" i="231"/>
  <c r="P148" i="231"/>
  <c r="R134" i="231"/>
  <c r="P134" i="231"/>
  <c r="R130" i="231"/>
  <c r="P130" i="231"/>
  <c r="R84" i="231"/>
  <c r="P84" i="231"/>
  <c r="R72" i="231"/>
  <c r="P72" i="231"/>
  <c r="R66" i="231"/>
  <c r="P66" i="231"/>
  <c r="R64" i="231"/>
  <c r="P64" i="231"/>
  <c r="P85" i="231"/>
  <c r="R85" i="231"/>
  <c r="P59" i="231"/>
  <c r="R59" i="231"/>
  <c r="P55" i="231"/>
  <c r="R55" i="231"/>
  <c r="P52" i="231"/>
  <c r="R52" i="231"/>
  <c r="P50" i="231"/>
  <c r="R50" i="231"/>
  <c r="P48" i="231"/>
  <c r="R48" i="231"/>
  <c r="P46" i="231"/>
  <c r="R46" i="231"/>
  <c r="P44" i="231"/>
  <c r="R44" i="231"/>
  <c r="P42" i="231"/>
  <c r="R42" i="231"/>
  <c r="P40" i="231"/>
  <c r="R40" i="231"/>
  <c r="P38" i="231"/>
  <c r="R38" i="231"/>
  <c r="P36" i="231"/>
  <c r="R36" i="231"/>
  <c r="P34" i="231"/>
  <c r="R34" i="231"/>
  <c r="P13" i="231"/>
  <c r="R13" i="231"/>
  <c r="P68" i="232"/>
  <c r="Q71" i="232"/>
  <c r="P51" i="232"/>
  <c r="P56" i="232" s="1"/>
  <c r="Q56" i="232"/>
  <c r="Q39" i="232"/>
  <c r="P8" i="232"/>
  <c r="P39" i="232" s="1"/>
  <c r="N180" i="231"/>
  <c r="R178" i="231"/>
  <c r="R87" i="231"/>
  <c r="P87" i="231"/>
  <c r="P80" i="231"/>
  <c r="R80" i="231"/>
  <c r="P71" i="231"/>
  <c r="R71" i="231"/>
  <c r="R62" i="231"/>
  <c r="P62" i="231"/>
  <c r="R58" i="231"/>
  <c r="P58" i="231"/>
  <c r="R54" i="231"/>
  <c r="P54" i="231"/>
  <c r="P174" i="231"/>
  <c r="R174" i="231"/>
  <c r="R173" i="231"/>
  <c r="N175" i="231"/>
  <c r="P173" i="231"/>
  <c r="P175" i="231" s="1"/>
  <c r="R100" i="231"/>
  <c r="P100" i="231"/>
  <c r="N170" i="231"/>
  <c r="P168" i="231"/>
  <c r="P170" i="231" s="1"/>
  <c r="R168" i="231"/>
  <c r="P164" i="231"/>
  <c r="R164" i="231"/>
  <c r="R163" i="231"/>
  <c r="N165" i="231"/>
  <c r="P163" i="231"/>
  <c r="P165" i="231" s="1"/>
  <c r="P139" i="231"/>
  <c r="R139" i="231"/>
  <c r="P153" i="231"/>
  <c r="R153" i="231"/>
  <c r="P135" i="231"/>
  <c r="R135" i="231"/>
  <c r="P133" i="231"/>
  <c r="R133" i="231"/>
  <c r="R150" i="231"/>
  <c r="P150" i="231"/>
  <c r="N155" i="231"/>
  <c r="R146" i="231"/>
  <c r="N68" i="232"/>
  <c r="P146" i="231"/>
  <c r="F56" i="232"/>
  <c r="F59" i="232" s="1"/>
  <c r="E51" i="232"/>
  <c r="E8" i="232"/>
  <c r="P69" i="232"/>
  <c r="S56" i="232"/>
  <c r="S39" i="232"/>
  <c r="N58" i="232"/>
  <c r="M58" i="232" s="1"/>
  <c r="N140" i="231"/>
  <c r="N142" i="231" s="1"/>
  <c r="N75" i="232" s="1"/>
  <c r="M75" i="232" s="1"/>
  <c r="H34" i="229" s="1"/>
  <c r="N101" i="231"/>
  <c r="N88" i="231"/>
  <c r="H96" i="231"/>
  <c r="H122" i="231" s="1"/>
  <c r="F63" i="232" s="1"/>
  <c r="F41" i="232"/>
  <c r="N86" i="231"/>
  <c r="R86" i="231" s="1"/>
  <c r="N51" i="232"/>
  <c r="N12" i="232"/>
  <c r="M12" i="232" s="1"/>
  <c r="P158" i="231"/>
  <c r="P160" i="231" s="1"/>
  <c r="P99" i="231"/>
  <c r="P102" i="231"/>
  <c r="P140" i="231"/>
  <c r="P142" i="231" s="1"/>
  <c r="N115" i="231"/>
  <c r="P91" i="231"/>
  <c r="P89" i="231"/>
  <c r="N70" i="231"/>
  <c r="N68" i="231"/>
  <c r="F12" i="232"/>
  <c r="E12" i="232" s="1"/>
  <c r="P79" i="231"/>
  <c r="N185" i="231" l="1"/>
  <c r="I34" i="229"/>
  <c r="J34" i="229"/>
  <c r="R68" i="231"/>
  <c r="P68" i="231"/>
  <c r="N120" i="231"/>
  <c r="R115" i="231"/>
  <c r="N41" i="232"/>
  <c r="M41" i="232" s="1"/>
  <c r="N56" i="232"/>
  <c r="M51" i="232"/>
  <c r="M56" i="232" s="1"/>
  <c r="R101" i="231"/>
  <c r="P101" i="231"/>
  <c r="P104" i="231" s="1"/>
  <c r="Q42" i="232"/>
  <c r="Q61" i="232"/>
  <c r="P86" i="231"/>
  <c r="E39" i="232"/>
  <c r="P155" i="231"/>
  <c r="P185" i="231" s="1"/>
  <c r="P71" i="232"/>
  <c r="N104" i="231"/>
  <c r="N48" i="232"/>
  <c r="M48" i="232" s="1"/>
  <c r="P115" i="231"/>
  <c r="P120" i="231" s="1"/>
  <c r="P112" i="231"/>
  <c r="R70" i="231"/>
  <c r="P70" i="231"/>
  <c r="R88" i="231"/>
  <c r="P88" i="231"/>
  <c r="S61" i="232"/>
  <c r="S42" i="232"/>
  <c r="M68" i="232"/>
  <c r="M71" i="232" s="1"/>
  <c r="H30" i="229" s="1"/>
  <c r="N71" i="232"/>
  <c r="P61" i="232"/>
  <c r="P42" i="232"/>
  <c r="M8" i="232"/>
  <c r="M39" i="232" s="1"/>
  <c r="H24" i="229" s="1"/>
  <c r="M24" i="229" s="1"/>
  <c r="N39" i="232"/>
  <c r="F39" i="232"/>
  <c r="N44" i="232"/>
  <c r="N96" i="231"/>
  <c r="E79" i="232" l="1"/>
  <c r="H14" i="229"/>
  <c r="I30" i="229"/>
  <c r="J30" i="229"/>
  <c r="F61" i="232"/>
  <c r="F64" i="232" s="1"/>
  <c r="F42" i="232"/>
  <c r="M79" i="232"/>
  <c r="N122" i="231"/>
  <c r="N63" i="232" s="1"/>
  <c r="M63" i="232" s="1"/>
  <c r="M44" i="232"/>
  <c r="M46" i="232" s="1"/>
  <c r="M61" i="232" s="1"/>
  <c r="N46" i="232"/>
  <c r="N61" i="232" s="1"/>
  <c r="N42" i="232"/>
  <c r="P96" i="231"/>
  <c r="P122" i="231" s="1"/>
  <c r="I14" i="229" l="1"/>
  <c r="J14" i="229"/>
  <c r="M14" i="229"/>
  <c r="A5" i="229" l="1"/>
  <c r="A6" i="229" s="1"/>
  <c r="A7" i="229" s="1"/>
  <c r="A8" i="229" s="1"/>
  <c r="A9" i="229" s="1"/>
  <c r="A10" i="229" s="1"/>
  <c r="A11" i="229" s="1"/>
  <c r="A12" i="229" s="1"/>
  <c r="A13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M30" i="229" l="1"/>
  <c r="K12" i="227" l="1"/>
  <c r="K13" i="227"/>
  <c r="K14" i="227"/>
  <c r="K15" i="227"/>
  <c r="K16" i="227"/>
  <c r="K17" i="227"/>
  <c r="K18" i="227"/>
  <c r="K19" i="227"/>
  <c r="K20" i="227"/>
  <c r="K21" i="227"/>
  <c r="K22" i="227"/>
  <c r="K23" i="227"/>
  <c r="K24" i="227"/>
  <c r="K25" i="227"/>
  <c r="K11" i="227"/>
  <c r="I21" i="227"/>
  <c r="M21" i="227" s="1"/>
  <c r="K42" i="227" s="1"/>
  <c r="C50" i="228"/>
  <c r="C49" i="228"/>
  <c r="B24" i="228"/>
  <c r="B25" i="228"/>
  <c r="B26" i="228"/>
  <c r="B27" i="228"/>
  <c r="B28" i="228"/>
  <c r="B29" i="228"/>
  <c r="B30" i="228"/>
  <c r="B31" i="228"/>
  <c r="B32" i="228"/>
  <c r="B33" i="228"/>
  <c r="B34" i="228"/>
  <c r="B35" i="228"/>
  <c r="B36" i="228"/>
  <c r="B37" i="228"/>
  <c r="E21" i="228"/>
  <c r="A3" i="228"/>
  <c r="C87" i="227"/>
  <c r="C86" i="227"/>
  <c r="E53" i="227"/>
  <c r="A1" i="228"/>
  <c r="K44" i="227"/>
  <c r="K45" i="227"/>
  <c r="G33" i="227"/>
  <c r="G35" i="227"/>
  <c r="G36" i="227"/>
  <c r="G37" i="227"/>
  <c r="G38" i="227"/>
  <c r="G39" i="227"/>
  <c r="G40" i="227"/>
  <c r="G41" i="227"/>
  <c r="G42" i="227"/>
  <c r="G43" i="227"/>
  <c r="G44" i="227"/>
  <c r="G45" i="227"/>
  <c r="G46" i="227"/>
  <c r="O21" i="227" l="1"/>
  <c r="G65" i="227" s="1"/>
  <c r="E13" i="227"/>
  <c r="G34" i="227" s="1"/>
  <c r="O24" i="227"/>
  <c r="G68" i="227" s="1"/>
  <c r="O23" i="227"/>
  <c r="G67" i="227" s="1"/>
  <c r="I25" i="227"/>
  <c r="I22" i="227"/>
  <c r="B42" i="227"/>
  <c r="B43" i="227"/>
  <c r="B66" i="227" s="1"/>
  <c r="B44" i="227"/>
  <c r="B67" i="227" s="1"/>
  <c r="B45" i="227"/>
  <c r="B68" i="227" s="1"/>
  <c r="B46" i="227"/>
  <c r="B69" i="227" s="1"/>
  <c r="C22" i="227"/>
  <c r="C43" i="227" s="1"/>
  <c r="C66" i="227" s="1"/>
  <c r="C23" i="227"/>
  <c r="C44" i="227" s="1"/>
  <c r="C67" i="227" s="1"/>
  <c r="C24" i="227"/>
  <c r="C45" i="227" s="1"/>
  <c r="C68" i="227" s="1"/>
  <c r="C25" i="227"/>
  <c r="C46" i="227" s="1"/>
  <c r="C69" i="227" s="1"/>
  <c r="C21" i="227"/>
  <c r="C42" i="227" s="1"/>
  <c r="M25" i="227" l="1"/>
  <c r="K46" i="227" s="1"/>
  <c r="O25" i="227"/>
  <c r="G69" i="227" s="1"/>
  <c r="M22" i="227"/>
  <c r="K43" i="227" s="1"/>
  <c r="O22" i="227"/>
  <c r="C37" i="228"/>
  <c r="C34" i="228"/>
  <c r="C33" i="228"/>
  <c r="C36" i="228"/>
  <c r="C35" i="228"/>
  <c r="G66" i="227"/>
  <c r="I20" i="227" l="1"/>
  <c r="O20" i="227" s="1"/>
  <c r="I19" i="227"/>
  <c r="O19" i="227" s="1"/>
  <c r="I18" i="227"/>
  <c r="O18" i="227" s="1"/>
  <c r="I17" i="227"/>
  <c r="O17" i="227" s="1"/>
  <c r="I16" i="227"/>
  <c r="O16" i="227" s="1"/>
  <c r="I15" i="227"/>
  <c r="O15" i="227" s="1"/>
  <c r="I14" i="227"/>
  <c r="O14" i="227" s="1"/>
  <c r="I13" i="227"/>
  <c r="I12" i="227"/>
  <c r="O12" i="227" s="1"/>
  <c r="I10" i="227"/>
  <c r="I11" i="227"/>
  <c r="O11" i="227" s="1"/>
  <c r="C11" i="227"/>
  <c r="C12" i="227"/>
  <c r="C13" i="227"/>
  <c r="C14" i="227"/>
  <c r="C15" i="227"/>
  <c r="C16" i="227"/>
  <c r="C17" i="227"/>
  <c r="C18" i="227"/>
  <c r="C19" i="227"/>
  <c r="C20" i="227"/>
  <c r="C10" i="227"/>
  <c r="E29" i="19" l="1"/>
  <c r="A28" i="225"/>
  <c r="A29" i="225" s="1"/>
  <c r="A30" i="225" s="1"/>
  <c r="A31" i="225" s="1"/>
  <c r="A32" i="225" s="1"/>
  <c r="A33" i="225" s="1"/>
  <c r="A34" i="225" s="1"/>
  <c r="A35" i="225" s="1"/>
  <c r="A36" i="225" s="1"/>
  <c r="A37" i="225" s="1"/>
  <c r="A39" i="225" s="1"/>
  <c r="A40" i="225" s="1"/>
  <c r="A42" i="225" s="1"/>
  <c r="A44" i="225" s="1"/>
  <c r="A45" i="225" s="1"/>
  <c r="A49" i="225" s="1"/>
  <c r="A50" i="225" s="1"/>
  <c r="A51" i="225" s="1"/>
  <c r="A52" i="225" s="1"/>
  <c r="A53" i="225" s="1"/>
  <c r="A54" i="225" s="1"/>
  <c r="A55" i="225" s="1"/>
  <c r="A56" i="225" s="1"/>
  <c r="A57" i="225" s="1"/>
  <c r="A58" i="225" s="1"/>
  <c r="A59" i="225" s="1"/>
  <c r="A61" i="225" s="1"/>
  <c r="A62" i="225" s="1"/>
  <c r="A64" i="225" s="1"/>
  <c r="A66" i="225" s="1"/>
  <c r="A67" i="225" s="1"/>
  <c r="A70" i="225" s="1"/>
  <c r="A71" i="225" s="1"/>
  <c r="A75" i="225" s="1"/>
  <c r="B120" i="226"/>
  <c r="C76" i="225"/>
  <c r="C75" i="225"/>
  <c r="I50" i="225"/>
  <c r="I51" i="225"/>
  <c r="I52" i="225"/>
  <c r="I53" i="225"/>
  <c r="I54" i="225"/>
  <c r="I55" i="225"/>
  <c r="I56" i="225"/>
  <c r="I57" i="225"/>
  <c r="I58" i="225"/>
  <c r="I59" i="225"/>
  <c r="I49" i="225"/>
  <c r="G58" i="225"/>
  <c r="G59" i="225"/>
  <c r="G57" i="225"/>
  <c r="I29" i="225"/>
  <c r="I30" i="225"/>
  <c r="I31" i="225"/>
  <c r="I32" i="225"/>
  <c r="I33" i="225"/>
  <c r="I34" i="225"/>
  <c r="I35" i="225"/>
  <c r="I36" i="225"/>
  <c r="I37" i="225"/>
  <c r="I28" i="225"/>
  <c r="G35" i="225"/>
  <c r="E91" i="225"/>
  <c r="E90" i="225"/>
  <c r="E89" i="225"/>
  <c r="E88" i="225"/>
  <c r="E124" i="226"/>
  <c r="E125" i="226"/>
  <c r="E126" i="226"/>
  <c r="E123" i="226"/>
  <c r="C111" i="226"/>
  <c r="C110" i="226"/>
  <c r="C108" i="226"/>
  <c r="J82" i="226"/>
  <c r="J83" i="226"/>
  <c r="J84" i="226"/>
  <c r="J85" i="226"/>
  <c r="J86" i="226"/>
  <c r="J87" i="226"/>
  <c r="J88" i="226"/>
  <c r="J89" i="226"/>
  <c r="J90" i="226"/>
  <c r="J91" i="226"/>
  <c r="J92" i="226"/>
  <c r="J81" i="226"/>
  <c r="H91" i="226"/>
  <c r="H92" i="226"/>
  <c r="H90" i="226"/>
  <c r="J59" i="226"/>
  <c r="J60" i="226"/>
  <c r="J61" i="226"/>
  <c r="J62" i="226"/>
  <c r="J63" i="226"/>
  <c r="J64" i="226"/>
  <c r="J66" i="226"/>
  <c r="J67" i="226"/>
  <c r="J68" i="226"/>
  <c r="J69" i="226"/>
  <c r="J58" i="226"/>
  <c r="H63" i="226"/>
  <c r="H64" i="226"/>
  <c r="H66" i="226"/>
  <c r="H67" i="226"/>
  <c r="H68" i="226"/>
  <c r="H69" i="226"/>
  <c r="H62" i="226"/>
  <c r="J36" i="226"/>
  <c r="J37" i="226"/>
  <c r="J38" i="226"/>
  <c r="J39" i="226"/>
  <c r="J40" i="226"/>
  <c r="J41" i="226"/>
  <c r="J43" i="226"/>
  <c r="J44" i="226"/>
  <c r="J45" i="226"/>
  <c r="J46" i="226"/>
  <c r="J35" i="226"/>
  <c r="H45" i="226"/>
  <c r="H46" i="226"/>
  <c r="H19" i="226"/>
  <c r="J17" i="226"/>
  <c r="J18" i="226"/>
  <c r="J19" i="226"/>
  <c r="J20" i="226"/>
  <c r="J21" i="226"/>
  <c r="J22" i="226"/>
  <c r="J23" i="226"/>
  <c r="J12" i="226"/>
  <c r="J13" i="226"/>
  <c r="J14" i="226"/>
  <c r="J15" i="226"/>
  <c r="J16" i="226"/>
  <c r="J11" i="226"/>
  <c r="H20" i="226"/>
  <c r="C94" i="226" l="1"/>
  <c r="H23" i="226"/>
  <c r="A12" i="226"/>
  <c r="A13" i="226" s="1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5" i="226" s="1"/>
  <c r="A26" i="226" s="1"/>
  <c r="A28" i="226" s="1"/>
  <c r="A30" i="226" s="1"/>
  <c r="A31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A45" i="226" s="1"/>
  <c r="A46" i="226" s="1"/>
  <c r="A48" i="226" s="1"/>
  <c r="A49" i="226" s="1"/>
  <c r="A51" i="226" s="1"/>
  <c r="A53" i="226" s="1"/>
  <c r="A54" i="226" s="1"/>
  <c r="A57" i="226" s="1"/>
  <c r="A58" i="226" s="1"/>
  <c r="A59" i="226" s="1"/>
  <c r="A60" i="226" s="1"/>
  <c r="A61" i="226" s="1"/>
  <c r="A62" i="226" s="1"/>
  <c r="A63" i="226" s="1"/>
  <c r="A64" i="226" s="1"/>
  <c r="A65" i="226" s="1"/>
  <c r="A66" i="226" s="1"/>
  <c r="A67" i="226" s="1"/>
  <c r="A68" i="226" s="1"/>
  <c r="A69" i="226" l="1"/>
  <c r="A71" i="226" s="1"/>
  <c r="A72" i="226" s="1"/>
  <c r="A74" i="226" s="1"/>
  <c r="A76" i="226" s="1"/>
  <c r="A77" i="226" s="1"/>
  <c r="A80" i="226" s="1"/>
  <c r="A81" i="226" s="1"/>
  <c r="A82" i="226" s="1"/>
  <c r="A83" i="226" s="1"/>
  <c r="A84" i="226" s="1"/>
  <c r="A85" i="226" s="1"/>
  <c r="A86" i="226" s="1"/>
  <c r="A87" i="226" s="1"/>
  <c r="A88" i="226" s="1"/>
  <c r="A89" i="226" s="1"/>
  <c r="A90" i="226" s="1"/>
  <c r="A91" i="226" s="1"/>
  <c r="A92" i="226" s="1"/>
  <c r="A94" i="226" s="1"/>
  <c r="A95" i="226" s="1"/>
  <c r="A97" i="226" s="1"/>
  <c r="A99" i="226" s="1"/>
  <c r="A100" i="226" s="1"/>
  <c r="A103" i="226" s="1"/>
  <c r="A104" i="226" s="1"/>
  <c r="A108" i="226" s="1"/>
  <c r="A109" i="226" s="1"/>
  <c r="A110" i="226" s="1"/>
  <c r="A111" i="226" s="1"/>
  <c r="A113" i="226" s="1"/>
  <c r="A114" i="226" s="1"/>
  <c r="A116" i="226" s="1"/>
  <c r="A76" i="225" l="1"/>
  <c r="A78" i="225" s="1"/>
  <c r="A79" i="225" s="1"/>
  <c r="A81" i="225" s="1"/>
  <c r="B23" i="228" l="1"/>
  <c r="B22" i="228"/>
  <c r="A22" i="228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G21" i="228"/>
  <c r="I13" i="228"/>
  <c r="I12" i="228"/>
  <c r="I11" i="228"/>
  <c r="I10" i="228"/>
  <c r="B39" i="227"/>
  <c r="B62" i="227" s="1"/>
  <c r="B36" i="227"/>
  <c r="B59" i="227" s="1"/>
  <c r="B35" i="227"/>
  <c r="B58" i="227" s="1"/>
  <c r="B34" i="227"/>
  <c r="B57" i="227" s="1"/>
  <c r="B33" i="227"/>
  <c r="B56" i="227" s="1"/>
  <c r="G32" i="227"/>
  <c r="B32" i="227"/>
  <c r="B55" i="227" s="1"/>
  <c r="B31" i="227"/>
  <c r="B54" i="227" s="1"/>
  <c r="G64" i="227"/>
  <c r="M20" i="227"/>
  <c r="K41" i="227" s="1"/>
  <c r="C41" i="227"/>
  <c r="G63" i="227"/>
  <c r="M19" i="227"/>
  <c r="K40" i="227" s="1"/>
  <c r="C40" i="227"/>
  <c r="G62" i="227"/>
  <c r="C39" i="227"/>
  <c r="G61" i="227"/>
  <c r="C38" i="227"/>
  <c r="G60" i="227"/>
  <c r="M16" i="227"/>
  <c r="K37" i="227" s="1"/>
  <c r="C37" i="227"/>
  <c r="G59" i="227"/>
  <c r="C36" i="227"/>
  <c r="C35" i="227"/>
  <c r="C34" i="227"/>
  <c r="G56" i="227"/>
  <c r="C33" i="227"/>
  <c r="C32" i="227"/>
  <c r="A11" i="227"/>
  <c r="A12" i="227" s="1"/>
  <c r="A13" i="227" s="1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31" i="227" s="1"/>
  <c r="E27" i="227"/>
  <c r="G21" i="26" s="1"/>
  <c r="C31" i="227"/>
  <c r="A4" i="225"/>
  <c r="A1" i="226"/>
  <c r="A1" i="225" s="1"/>
  <c r="B111" i="226"/>
  <c r="B109" i="226"/>
  <c r="B108" i="226"/>
  <c r="J80" i="226"/>
  <c r="C65" i="226"/>
  <c r="J57" i="226"/>
  <c r="H44" i="226"/>
  <c r="C42" i="226"/>
  <c r="J42" i="226" s="1"/>
  <c r="C34" i="226"/>
  <c r="B28" i="226"/>
  <c r="B95" i="226"/>
  <c r="H21" i="226"/>
  <c r="B76" i="225"/>
  <c r="B75" i="225"/>
  <c r="G61" i="225"/>
  <c r="G39" i="225"/>
  <c r="I27" i="225"/>
  <c r="B21" i="225"/>
  <c r="C40" i="225"/>
  <c r="B62" i="225"/>
  <c r="G18" i="225"/>
  <c r="E17" i="225"/>
  <c r="C109" i="226" l="1"/>
  <c r="J65" i="226"/>
  <c r="H65" i="226"/>
  <c r="A34" i="228"/>
  <c r="A35" i="228" s="1"/>
  <c r="A36" i="228" s="1"/>
  <c r="A37" i="228" s="1"/>
  <c r="A41" i="228" s="1"/>
  <c r="A42" i="228" s="1"/>
  <c r="G31" i="227"/>
  <c r="A32" i="227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M10" i="227"/>
  <c r="K31" i="227" s="1"/>
  <c r="O10" i="227"/>
  <c r="G55" i="227"/>
  <c r="O13" i="227"/>
  <c r="G57" i="227" s="1"/>
  <c r="C71" i="226"/>
  <c r="C48" i="226"/>
  <c r="H94" i="226"/>
  <c r="J25" i="226"/>
  <c r="J94" i="226"/>
  <c r="H48" i="226"/>
  <c r="M11" i="227"/>
  <c r="K32" i="227" s="1"/>
  <c r="G58" i="227"/>
  <c r="M15" i="227"/>
  <c r="K36" i="227" s="1"/>
  <c r="M18" i="227"/>
  <c r="K39" i="227" s="1"/>
  <c r="C56" i="227"/>
  <c r="C57" i="227"/>
  <c r="C59" i="227"/>
  <c r="C60" i="227"/>
  <c r="C61" i="227"/>
  <c r="C54" i="227"/>
  <c r="C55" i="227"/>
  <c r="C58" i="227"/>
  <c r="C62" i="227"/>
  <c r="C63" i="227"/>
  <c r="C64" i="227"/>
  <c r="C65" i="227"/>
  <c r="M12" i="227"/>
  <c r="K33" i="227" s="1"/>
  <c r="M13" i="227"/>
  <c r="K34" i="227" s="1"/>
  <c r="M14" i="227"/>
  <c r="K35" i="227" s="1"/>
  <c r="B37" i="227"/>
  <c r="B60" i="227" s="1"/>
  <c r="B38" i="227"/>
  <c r="B61" i="227" s="1"/>
  <c r="B40" i="227"/>
  <c r="B63" i="227" s="1"/>
  <c r="B41" i="227"/>
  <c r="B64" i="227" s="1"/>
  <c r="B65" i="227"/>
  <c r="E14" i="228"/>
  <c r="I14" i="228" s="1"/>
  <c r="C22" i="228"/>
  <c r="C23" i="228"/>
  <c r="C24" i="228"/>
  <c r="C25" i="228"/>
  <c r="C26" i="228"/>
  <c r="C27" i="228"/>
  <c r="C28" i="228"/>
  <c r="C29" i="228"/>
  <c r="C30" i="228"/>
  <c r="C31" i="228"/>
  <c r="C32" i="228"/>
  <c r="C79" i="225"/>
  <c r="G40" i="225"/>
  <c r="G42" i="225" s="1"/>
  <c r="G44" i="225" s="1"/>
  <c r="C62" i="225"/>
  <c r="G62" i="225" s="1"/>
  <c r="I62" i="225" s="1"/>
  <c r="I40" i="225"/>
  <c r="I18" i="225"/>
  <c r="C18" i="225"/>
  <c r="G19" i="225"/>
  <c r="I19" i="225" s="1"/>
  <c r="H22" i="226"/>
  <c r="H25" i="226" s="1"/>
  <c r="C25" i="226"/>
  <c r="J34" i="226"/>
  <c r="J48" i="226" s="1"/>
  <c r="B49" i="226"/>
  <c r="H71" i="226"/>
  <c r="B40" i="225"/>
  <c r="B79" i="225" s="1"/>
  <c r="A43" i="227" l="1"/>
  <c r="A44" i="227" s="1"/>
  <c r="A45" i="227" s="1"/>
  <c r="A46" i="227" s="1"/>
  <c r="A48" i="227" s="1"/>
  <c r="A50" i="227" s="1"/>
  <c r="A51" i="227" s="1"/>
  <c r="A54" i="227" s="1"/>
  <c r="A55" i="227" s="1"/>
  <c r="A56" i="227" s="1"/>
  <c r="A57" i="227" s="1"/>
  <c r="A58" i="227" s="1"/>
  <c r="A59" i="227" s="1"/>
  <c r="A60" i="227" s="1"/>
  <c r="A61" i="227" s="1"/>
  <c r="A62" i="227" s="1"/>
  <c r="A63" i="227" s="1"/>
  <c r="A64" i="227" s="1"/>
  <c r="A65" i="227" s="1"/>
  <c r="G54" i="227"/>
  <c r="O27" i="227"/>
  <c r="C113" i="226"/>
  <c r="I61" i="225"/>
  <c r="I64" i="225" s="1"/>
  <c r="I66" i="225" s="1"/>
  <c r="I18" i="228"/>
  <c r="J71" i="226"/>
  <c r="M17" i="227"/>
  <c r="K38" i="227" s="1"/>
  <c r="B114" i="226"/>
  <c r="B72" i="226"/>
  <c r="C21" i="225"/>
  <c r="I21" i="225"/>
  <c r="G21" i="225"/>
  <c r="G64" i="225"/>
  <c r="G66" i="225" s="1"/>
  <c r="C61" i="225"/>
  <c r="G34" i="228" l="1"/>
  <c r="G35" i="228"/>
  <c r="G36" i="228"/>
  <c r="G37" i="228"/>
  <c r="G33" i="228"/>
  <c r="M27" i="227"/>
  <c r="G22" i="26" s="1"/>
  <c r="G23" i="26" s="1"/>
  <c r="A66" i="227"/>
  <c r="A67" i="227" s="1"/>
  <c r="A68" i="227" s="1"/>
  <c r="A69" i="227" s="1"/>
  <c r="A71" i="227" s="1"/>
  <c r="A73" i="227" s="1"/>
  <c r="A74" i="227" s="1"/>
  <c r="G32" i="228"/>
  <c r="G31" i="228"/>
  <c r="G30" i="228"/>
  <c r="G29" i="228"/>
  <c r="G28" i="228"/>
  <c r="G27" i="228"/>
  <c r="G26" i="228"/>
  <c r="G25" i="228"/>
  <c r="G24" i="228"/>
  <c r="G23" i="228"/>
  <c r="G22" i="228"/>
  <c r="C64" i="225"/>
  <c r="C66" i="225" s="1"/>
  <c r="G71" i="225"/>
  <c r="G70" i="225"/>
  <c r="D10" i="224" l="1"/>
  <c r="X6" i="221" l="1"/>
  <c r="F195" i="221" l="1"/>
  <c r="D195" i="221"/>
  <c r="B195" i="221"/>
  <c r="F189" i="221"/>
  <c r="D189" i="221"/>
  <c r="B189" i="221"/>
  <c r="F183" i="221"/>
  <c r="D183" i="221"/>
  <c r="B183" i="221"/>
  <c r="F177" i="221"/>
  <c r="D177" i="221"/>
  <c r="B177" i="221"/>
  <c r="F170" i="221"/>
  <c r="D170" i="221"/>
  <c r="B170" i="221"/>
  <c r="B163" i="221"/>
  <c r="D163" i="221"/>
  <c r="F163" i="221"/>
  <c r="J162" i="221"/>
  <c r="L162" i="221" s="1"/>
  <c r="J161" i="221"/>
  <c r="L161" i="221" s="1"/>
  <c r="J160" i="221"/>
  <c r="R160" i="221"/>
  <c r="R169" i="221"/>
  <c r="R168" i="221"/>
  <c r="R167" i="221"/>
  <c r="G16" i="2"/>
  <c r="G15" i="2"/>
  <c r="J163" i="221" l="1"/>
  <c r="L160" i="221"/>
  <c r="L163" i="221" s="1"/>
  <c r="L165" i="221" l="1"/>
  <c r="R216" i="221"/>
  <c r="T216" i="221" s="1"/>
  <c r="T217" i="221" s="1"/>
  <c r="R211" i="221"/>
  <c r="T211" i="221" s="1"/>
  <c r="T212" i="221" s="1"/>
  <c r="R206" i="221"/>
  <c r="R205" i="221"/>
  <c r="R200" i="221"/>
  <c r="R199" i="221"/>
  <c r="R194" i="221"/>
  <c r="R193" i="221"/>
  <c r="R188" i="221"/>
  <c r="R187" i="221"/>
  <c r="R182" i="221"/>
  <c r="R181" i="221"/>
  <c r="R176" i="221"/>
  <c r="R175" i="221"/>
  <c r="R174" i="221"/>
  <c r="R162" i="221"/>
  <c r="R161" i="221"/>
  <c r="R154" i="221"/>
  <c r="R153" i="221"/>
  <c r="R152" i="221"/>
  <c r="R151" i="221"/>
  <c r="R150" i="221"/>
  <c r="R145" i="221"/>
  <c r="R144" i="221"/>
  <c r="R143" i="221"/>
  <c r="R142" i="221"/>
  <c r="R141" i="221"/>
  <c r="R136" i="221"/>
  <c r="R135" i="221"/>
  <c r="R134" i="221"/>
  <c r="R133" i="221"/>
  <c r="R132" i="221"/>
  <c r="R127" i="221"/>
  <c r="R126" i="221"/>
  <c r="R125" i="221"/>
  <c r="R124" i="221"/>
  <c r="R123" i="221"/>
  <c r="R118" i="221"/>
  <c r="R117" i="221"/>
  <c r="R116" i="221"/>
  <c r="R115" i="221"/>
  <c r="R114" i="221"/>
  <c r="R109" i="221"/>
  <c r="R108" i="221"/>
  <c r="R107" i="221"/>
  <c r="R106" i="221"/>
  <c r="R105" i="221"/>
  <c r="R365" i="221"/>
  <c r="T365" i="221" s="1"/>
  <c r="T366" i="221" s="1"/>
  <c r="R361" i="221"/>
  <c r="T361" i="221" s="1"/>
  <c r="T362" i="221" s="1"/>
  <c r="R355" i="221"/>
  <c r="R354" i="221"/>
  <c r="R353" i="221"/>
  <c r="R352" i="221"/>
  <c r="R351" i="221"/>
  <c r="R346" i="221"/>
  <c r="R345" i="221"/>
  <c r="R344" i="221"/>
  <c r="R343" i="221"/>
  <c r="R342" i="221"/>
  <c r="R337" i="221"/>
  <c r="R336" i="221"/>
  <c r="R335" i="221"/>
  <c r="R334" i="221"/>
  <c r="R333" i="221"/>
  <c r="R328" i="221"/>
  <c r="R327" i="221"/>
  <c r="R326" i="221"/>
  <c r="R325" i="221"/>
  <c r="R324" i="221"/>
  <c r="R319" i="221"/>
  <c r="R318" i="221"/>
  <c r="R317" i="221"/>
  <c r="R316" i="221"/>
  <c r="R315" i="221"/>
  <c r="R310" i="221"/>
  <c r="R309" i="221"/>
  <c r="R308" i="221"/>
  <c r="R307" i="221"/>
  <c r="R306" i="221"/>
  <c r="R305" i="221"/>
  <c r="R300" i="221"/>
  <c r="R299" i="221"/>
  <c r="R298" i="221"/>
  <c r="R297" i="221"/>
  <c r="R296" i="221"/>
  <c r="R295" i="221"/>
  <c r="R290" i="221"/>
  <c r="R289" i="221"/>
  <c r="R288" i="221"/>
  <c r="R287" i="221"/>
  <c r="R286" i="221"/>
  <c r="R285" i="221"/>
  <c r="R280" i="221"/>
  <c r="R279" i="221"/>
  <c r="R278" i="221"/>
  <c r="R277" i="221"/>
  <c r="R276" i="221"/>
  <c r="R275" i="221"/>
  <c r="R270" i="221"/>
  <c r="R269" i="221"/>
  <c r="R268" i="221"/>
  <c r="R267" i="221"/>
  <c r="R266" i="221"/>
  <c r="R265" i="221"/>
  <c r="R260" i="221"/>
  <c r="R259" i="221"/>
  <c r="R258" i="221"/>
  <c r="R257" i="221"/>
  <c r="R256" i="221"/>
  <c r="R255" i="221"/>
  <c r="R250" i="221"/>
  <c r="R249" i="221"/>
  <c r="R248" i="221"/>
  <c r="R247" i="221"/>
  <c r="R246" i="221"/>
  <c r="R245" i="221"/>
  <c r="R240" i="221"/>
  <c r="R239" i="221"/>
  <c r="R238" i="221"/>
  <c r="R237" i="221"/>
  <c r="R236" i="221"/>
  <c r="R235" i="221"/>
  <c r="R230" i="221"/>
  <c r="R229" i="221"/>
  <c r="R228" i="221"/>
  <c r="R227" i="221"/>
  <c r="R226" i="221"/>
  <c r="R225" i="221"/>
  <c r="R99" i="221"/>
  <c r="R98" i="221"/>
  <c r="R97" i="221"/>
  <c r="R96" i="221"/>
  <c r="R95" i="221"/>
  <c r="R94" i="221"/>
  <c r="R89" i="221"/>
  <c r="R88" i="221"/>
  <c r="R87" i="221"/>
  <c r="R86" i="221"/>
  <c r="R85" i="221"/>
  <c r="R84" i="221"/>
  <c r="R79" i="221"/>
  <c r="R78" i="221"/>
  <c r="R77" i="221"/>
  <c r="R76" i="221"/>
  <c r="R75" i="221"/>
  <c r="R74" i="221"/>
  <c r="R69" i="221"/>
  <c r="R68" i="221"/>
  <c r="R67" i="221"/>
  <c r="R66" i="221"/>
  <c r="R65" i="221"/>
  <c r="R64" i="221"/>
  <c r="R59" i="221"/>
  <c r="R58" i="221"/>
  <c r="R57" i="221"/>
  <c r="R56" i="221"/>
  <c r="R55" i="221"/>
  <c r="R54" i="221"/>
  <c r="R49" i="221"/>
  <c r="R48" i="221"/>
  <c r="R47" i="221"/>
  <c r="R46" i="221"/>
  <c r="R45" i="221"/>
  <c r="R44" i="221"/>
  <c r="R39" i="221"/>
  <c r="R38" i="221"/>
  <c r="R37" i="221"/>
  <c r="R36" i="221"/>
  <c r="R35" i="221"/>
  <c r="R34" i="221"/>
  <c r="R29" i="221"/>
  <c r="R28" i="221"/>
  <c r="R27" i="221"/>
  <c r="R26" i="221"/>
  <c r="R25" i="221"/>
  <c r="R24" i="221"/>
  <c r="R19" i="221"/>
  <c r="R18" i="221"/>
  <c r="R17" i="221"/>
  <c r="R16" i="221"/>
  <c r="R15" i="221"/>
  <c r="R14" i="221"/>
  <c r="T355" i="221"/>
  <c r="P355" i="221"/>
  <c r="L355" i="221"/>
  <c r="J355" i="221"/>
  <c r="P354" i="221"/>
  <c r="J354" i="221"/>
  <c r="L354" i="221" s="1"/>
  <c r="P353" i="221"/>
  <c r="J353" i="221"/>
  <c r="L353" i="221" s="1"/>
  <c r="P352" i="221"/>
  <c r="J352" i="221"/>
  <c r="L352" i="221" s="1"/>
  <c r="N351" i="221"/>
  <c r="T351" i="221" s="1"/>
  <c r="L351" i="221"/>
  <c r="J351" i="221"/>
  <c r="P346" i="221"/>
  <c r="J346" i="221"/>
  <c r="L346" i="221" s="1"/>
  <c r="P345" i="221"/>
  <c r="J345" i="221"/>
  <c r="L345" i="221" s="1"/>
  <c r="P344" i="221"/>
  <c r="J344" i="221"/>
  <c r="L344" i="221" s="1"/>
  <c r="P343" i="221"/>
  <c r="T343" i="221" s="1"/>
  <c r="J343" i="221"/>
  <c r="L343" i="221" s="1"/>
  <c r="N342" i="221"/>
  <c r="J342" i="221"/>
  <c r="L342" i="221" s="1"/>
  <c r="P337" i="221"/>
  <c r="J337" i="221"/>
  <c r="L337" i="221" s="1"/>
  <c r="P336" i="221"/>
  <c r="J336" i="221"/>
  <c r="L336" i="221" s="1"/>
  <c r="P335" i="221"/>
  <c r="J335" i="221"/>
  <c r="L335" i="221" s="1"/>
  <c r="P334" i="221"/>
  <c r="J334" i="221"/>
  <c r="L334" i="221" s="1"/>
  <c r="N333" i="221"/>
  <c r="J333" i="221"/>
  <c r="L333" i="221" s="1"/>
  <c r="P328" i="221"/>
  <c r="J328" i="221"/>
  <c r="L328" i="221" s="1"/>
  <c r="P327" i="221"/>
  <c r="J327" i="221"/>
  <c r="L327" i="221" s="1"/>
  <c r="P326" i="221"/>
  <c r="T326" i="221" s="1"/>
  <c r="J326" i="221"/>
  <c r="L326" i="221" s="1"/>
  <c r="P325" i="221"/>
  <c r="J325" i="221"/>
  <c r="L325" i="221" s="1"/>
  <c r="N324" i="221"/>
  <c r="J324" i="221"/>
  <c r="L324" i="221" s="1"/>
  <c r="P319" i="221"/>
  <c r="J319" i="221"/>
  <c r="L319" i="221" s="1"/>
  <c r="P318" i="221"/>
  <c r="T318" i="221" s="1"/>
  <c r="J318" i="221"/>
  <c r="L318" i="221" s="1"/>
  <c r="P317" i="221"/>
  <c r="J317" i="221"/>
  <c r="L317" i="221" s="1"/>
  <c r="P316" i="221"/>
  <c r="J316" i="221"/>
  <c r="L316" i="221" s="1"/>
  <c r="N315" i="221"/>
  <c r="J315" i="221"/>
  <c r="L315" i="221" s="1"/>
  <c r="P310" i="221"/>
  <c r="J310" i="221"/>
  <c r="L310" i="221" s="1"/>
  <c r="P309" i="221"/>
  <c r="J309" i="221"/>
  <c r="L309" i="221" s="1"/>
  <c r="P308" i="221"/>
  <c r="L308" i="221"/>
  <c r="J308" i="221"/>
  <c r="P307" i="221"/>
  <c r="J307" i="221"/>
  <c r="L307" i="221" s="1"/>
  <c r="P306" i="221"/>
  <c r="J306" i="221"/>
  <c r="L306" i="221" s="1"/>
  <c r="N305" i="221"/>
  <c r="J305" i="221"/>
  <c r="L305" i="221" s="1"/>
  <c r="P300" i="221"/>
  <c r="J300" i="221"/>
  <c r="L300" i="221" s="1"/>
  <c r="P299" i="221"/>
  <c r="T299" i="221" s="1"/>
  <c r="J299" i="221"/>
  <c r="L299" i="221" s="1"/>
  <c r="P298" i="221"/>
  <c r="L298" i="221"/>
  <c r="J298" i="221"/>
  <c r="P297" i="221"/>
  <c r="J297" i="221"/>
  <c r="L297" i="221" s="1"/>
  <c r="P296" i="221"/>
  <c r="J296" i="221"/>
  <c r="L296" i="221" s="1"/>
  <c r="N295" i="221"/>
  <c r="T295" i="221" s="1"/>
  <c r="J295" i="221"/>
  <c r="L295" i="221" s="1"/>
  <c r="P290" i="221"/>
  <c r="J290" i="221"/>
  <c r="L290" i="221" s="1"/>
  <c r="P289" i="221"/>
  <c r="J289" i="221"/>
  <c r="L289" i="221" s="1"/>
  <c r="P288" i="221"/>
  <c r="J288" i="221"/>
  <c r="L288" i="221" s="1"/>
  <c r="P287" i="221"/>
  <c r="T287" i="221" s="1"/>
  <c r="J287" i="221"/>
  <c r="L287" i="221" s="1"/>
  <c r="P286" i="221"/>
  <c r="J286" i="221"/>
  <c r="L286" i="221" s="1"/>
  <c r="N285" i="221"/>
  <c r="J285" i="221"/>
  <c r="L285" i="221" s="1"/>
  <c r="P280" i="221"/>
  <c r="J280" i="221"/>
  <c r="L280" i="221" s="1"/>
  <c r="P279" i="221"/>
  <c r="T279" i="221" s="1"/>
  <c r="J279" i="221"/>
  <c r="L279" i="221" s="1"/>
  <c r="P278" i="221"/>
  <c r="J278" i="221"/>
  <c r="L278" i="221" s="1"/>
  <c r="P277" i="221"/>
  <c r="J277" i="221"/>
  <c r="L277" i="221" s="1"/>
  <c r="P276" i="221"/>
  <c r="L276" i="221"/>
  <c r="J276" i="221"/>
  <c r="N275" i="221"/>
  <c r="T275" i="221" s="1"/>
  <c r="J275" i="221"/>
  <c r="L275" i="221" s="1"/>
  <c r="P270" i="221"/>
  <c r="J270" i="221"/>
  <c r="L270" i="221" s="1"/>
  <c r="P269" i="221"/>
  <c r="J269" i="221"/>
  <c r="L269" i="221" s="1"/>
  <c r="P268" i="221"/>
  <c r="L268" i="221"/>
  <c r="J268" i="221"/>
  <c r="P267" i="221"/>
  <c r="T267" i="221" s="1"/>
  <c r="J267" i="221"/>
  <c r="L267" i="221" s="1"/>
  <c r="P266" i="221"/>
  <c r="J266" i="221"/>
  <c r="L266" i="221" s="1"/>
  <c r="N265" i="221"/>
  <c r="J265" i="221"/>
  <c r="L265" i="221" s="1"/>
  <c r="P260" i="221"/>
  <c r="J260" i="221"/>
  <c r="L260" i="221" s="1"/>
  <c r="P259" i="221"/>
  <c r="J259" i="221"/>
  <c r="L259" i="221" s="1"/>
  <c r="P258" i="221"/>
  <c r="T258" i="221" s="1"/>
  <c r="J258" i="221"/>
  <c r="L258" i="221" s="1"/>
  <c r="P257" i="221"/>
  <c r="J257" i="221"/>
  <c r="L257" i="221" s="1"/>
  <c r="P256" i="221"/>
  <c r="L256" i="221"/>
  <c r="J256" i="221"/>
  <c r="N255" i="221"/>
  <c r="J255" i="221"/>
  <c r="L255" i="221" s="1"/>
  <c r="P250" i="221"/>
  <c r="J250" i="221"/>
  <c r="L250" i="221" s="1"/>
  <c r="P249" i="221"/>
  <c r="J249" i="221"/>
  <c r="L249" i="221" s="1"/>
  <c r="P248" i="221"/>
  <c r="L248" i="221"/>
  <c r="J248" i="221"/>
  <c r="P247" i="221"/>
  <c r="J247" i="221"/>
  <c r="L247" i="221" s="1"/>
  <c r="P246" i="221"/>
  <c r="J246" i="221"/>
  <c r="L246" i="221" s="1"/>
  <c r="N245" i="221"/>
  <c r="J245" i="221"/>
  <c r="L245" i="221" s="1"/>
  <c r="P240" i="221"/>
  <c r="J240" i="221"/>
  <c r="L240" i="221" s="1"/>
  <c r="P239" i="221"/>
  <c r="J239" i="221"/>
  <c r="L239" i="221" s="1"/>
  <c r="P238" i="221"/>
  <c r="L238" i="221"/>
  <c r="J238" i="221"/>
  <c r="P237" i="221"/>
  <c r="J237" i="221"/>
  <c r="L237" i="221" s="1"/>
  <c r="P236" i="221"/>
  <c r="J236" i="221"/>
  <c r="L236" i="221" s="1"/>
  <c r="N235" i="221"/>
  <c r="J235" i="221"/>
  <c r="L235" i="221" s="1"/>
  <c r="P230" i="221"/>
  <c r="J230" i="221"/>
  <c r="L230" i="221" s="1"/>
  <c r="P229" i="221"/>
  <c r="T229" i="221" s="1"/>
  <c r="J229" i="221"/>
  <c r="L229" i="221" s="1"/>
  <c r="P228" i="221"/>
  <c r="J228" i="221"/>
  <c r="L228" i="221" s="1"/>
  <c r="P227" i="221"/>
  <c r="J227" i="221"/>
  <c r="L227" i="221" s="1"/>
  <c r="P226" i="221"/>
  <c r="L226" i="221"/>
  <c r="J226" i="221"/>
  <c r="N225" i="221"/>
  <c r="T225" i="221" s="1"/>
  <c r="J225" i="221"/>
  <c r="L225" i="221" s="1"/>
  <c r="P206" i="221"/>
  <c r="J206" i="221"/>
  <c r="L206" i="221" s="1"/>
  <c r="N205" i="221"/>
  <c r="T205" i="221" s="1"/>
  <c r="J205" i="221"/>
  <c r="L205" i="221" s="1"/>
  <c r="P200" i="221"/>
  <c r="L200" i="221"/>
  <c r="J200" i="221"/>
  <c r="N199" i="221"/>
  <c r="J199" i="221"/>
  <c r="L199" i="221" s="1"/>
  <c r="P194" i="221"/>
  <c r="P195" i="221" s="1"/>
  <c r="J194" i="221"/>
  <c r="L194" i="221" s="1"/>
  <c r="N193" i="221"/>
  <c r="J193" i="221"/>
  <c r="L193" i="221" s="1"/>
  <c r="L195" i="221" s="1"/>
  <c r="L197" i="221" s="1"/>
  <c r="P188" i="221"/>
  <c r="P189" i="221" s="1"/>
  <c r="J188" i="221"/>
  <c r="L188" i="221" s="1"/>
  <c r="N187" i="221"/>
  <c r="N189" i="221" s="1"/>
  <c r="J187" i="221"/>
  <c r="P182" i="221"/>
  <c r="P183" i="221" s="1"/>
  <c r="J182" i="221"/>
  <c r="L182" i="221" s="1"/>
  <c r="N181" i="221"/>
  <c r="N183" i="221" s="1"/>
  <c r="L181" i="221"/>
  <c r="J181" i="221"/>
  <c r="P176" i="221"/>
  <c r="J176" i="221"/>
  <c r="L176" i="221" s="1"/>
  <c r="P175" i="221"/>
  <c r="J175" i="221"/>
  <c r="L175" i="221" s="1"/>
  <c r="N174" i="221"/>
  <c r="N177" i="221" s="1"/>
  <c r="J174" i="221"/>
  <c r="L174" i="221" s="1"/>
  <c r="P169" i="221"/>
  <c r="T169" i="221" s="1"/>
  <c r="J169" i="221"/>
  <c r="L169" i="221" s="1"/>
  <c r="P168" i="221"/>
  <c r="J168" i="221"/>
  <c r="L168" i="221" s="1"/>
  <c r="N167" i="221"/>
  <c r="N170" i="221" s="1"/>
  <c r="J167" i="221"/>
  <c r="P162" i="221"/>
  <c r="P161" i="221"/>
  <c r="P163" i="221" s="1"/>
  <c r="N160" i="221"/>
  <c r="P154" i="221"/>
  <c r="T154" i="221" s="1"/>
  <c r="J154" i="221"/>
  <c r="L154" i="221" s="1"/>
  <c r="P153" i="221"/>
  <c r="J153" i="221"/>
  <c r="L153" i="221" s="1"/>
  <c r="P152" i="221"/>
  <c r="J152" i="221"/>
  <c r="L152" i="221" s="1"/>
  <c r="P151" i="221"/>
  <c r="L151" i="221"/>
  <c r="J151" i="221"/>
  <c r="N150" i="221"/>
  <c r="N155" i="221" s="1"/>
  <c r="J150" i="221"/>
  <c r="L150" i="221" s="1"/>
  <c r="P145" i="221"/>
  <c r="J145" i="221"/>
  <c r="L145" i="221" s="1"/>
  <c r="P144" i="221"/>
  <c r="J144" i="221"/>
  <c r="L144" i="221" s="1"/>
  <c r="P143" i="221"/>
  <c r="L143" i="221"/>
  <c r="J143" i="221"/>
  <c r="P142" i="221"/>
  <c r="T142" i="221" s="1"/>
  <c r="J142" i="221"/>
  <c r="L142" i="221" s="1"/>
  <c r="N141" i="221"/>
  <c r="J141" i="221"/>
  <c r="L141" i="221" s="1"/>
  <c r="P136" i="221"/>
  <c r="J136" i="221"/>
  <c r="L136" i="221" s="1"/>
  <c r="P135" i="221"/>
  <c r="J135" i="221"/>
  <c r="L135" i="221" s="1"/>
  <c r="P134" i="221"/>
  <c r="T134" i="221" s="1"/>
  <c r="J134" i="221"/>
  <c r="L134" i="221" s="1"/>
  <c r="P133" i="221"/>
  <c r="J133" i="221"/>
  <c r="L133" i="221" s="1"/>
  <c r="N132" i="221"/>
  <c r="L132" i="221"/>
  <c r="J132" i="221"/>
  <c r="P127" i="221"/>
  <c r="J127" i="221"/>
  <c r="L127" i="221" s="1"/>
  <c r="P126" i="221"/>
  <c r="T126" i="221" s="1"/>
  <c r="J126" i="221"/>
  <c r="L126" i="221" s="1"/>
  <c r="P125" i="221"/>
  <c r="L125" i="221"/>
  <c r="J125" i="221"/>
  <c r="P124" i="221"/>
  <c r="J124" i="221"/>
  <c r="L124" i="221" s="1"/>
  <c r="N123" i="221"/>
  <c r="J123" i="221"/>
  <c r="L123" i="221" s="1"/>
  <c r="P118" i="221"/>
  <c r="T118" i="221" s="1"/>
  <c r="J118" i="221"/>
  <c r="L118" i="221" s="1"/>
  <c r="P117" i="221"/>
  <c r="J117" i="221"/>
  <c r="L117" i="221" s="1"/>
  <c r="P116" i="221"/>
  <c r="J116" i="221"/>
  <c r="L116" i="221" s="1"/>
  <c r="P115" i="221"/>
  <c r="J115" i="221"/>
  <c r="L115" i="221" s="1"/>
  <c r="N114" i="221"/>
  <c r="T114" i="221" s="1"/>
  <c r="L114" i="221"/>
  <c r="J114" i="221"/>
  <c r="P109" i="221"/>
  <c r="J109" i="221"/>
  <c r="L109" i="221" s="1"/>
  <c r="P108" i="221"/>
  <c r="J108" i="221"/>
  <c r="L108" i="221" s="1"/>
  <c r="P107" i="221"/>
  <c r="J107" i="221"/>
  <c r="L107" i="221" s="1"/>
  <c r="P106" i="221"/>
  <c r="J106" i="221"/>
  <c r="L106" i="221" s="1"/>
  <c r="N105" i="221"/>
  <c r="J105" i="221"/>
  <c r="L105" i="221" s="1"/>
  <c r="P99" i="221"/>
  <c r="J99" i="221"/>
  <c r="L99" i="221" s="1"/>
  <c r="P98" i="221"/>
  <c r="J98" i="221"/>
  <c r="L98" i="221" s="1"/>
  <c r="P97" i="221"/>
  <c r="L97" i="221"/>
  <c r="J97" i="221"/>
  <c r="P96" i="221"/>
  <c r="T96" i="221" s="1"/>
  <c r="J96" i="221"/>
  <c r="L96" i="221" s="1"/>
  <c r="P95" i="221"/>
  <c r="J95" i="221"/>
  <c r="L95" i="221" s="1"/>
  <c r="N94" i="221"/>
  <c r="J94" i="221"/>
  <c r="L94" i="221" s="1"/>
  <c r="P89" i="221"/>
  <c r="J89" i="221"/>
  <c r="L89" i="221" s="1"/>
  <c r="P88" i="221"/>
  <c r="T88" i="221" s="1"/>
  <c r="J88" i="221"/>
  <c r="L88" i="221" s="1"/>
  <c r="P87" i="221"/>
  <c r="J87" i="221"/>
  <c r="L87" i="221" s="1"/>
  <c r="P86" i="221"/>
  <c r="J86" i="221"/>
  <c r="L86" i="221" s="1"/>
  <c r="P85" i="221"/>
  <c r="L85" i="221"/>
  <c r="J85" i="221"/>
  <c r="N84" i="221"/>
  <c r="T84" i="221" s="1"/>
  <c r="J84" i="221"/>
  <c r="L84" i="221" s="1"/>
  <c r="P79" i="221"/>
  <c r="J79" i="221"/>
  <c r="L79" i="221" s="1"/>
  <c r="P78" i="221"/>
  <c r="J78" i="221"/>
  <c r="L78" i="221" s="1"/>
  <c r="P77" i="221"/>
  <c r="J77" i="221"/>
  <c r="L77" i="221" s="1"/>
  <c r="P76" i="221"/>
  <c r="T76" i="221" s="1"/>
  <c r="J76" i="221"/>
  <c r="L76" i="221" s="1"/>
  <c r="P75" i="221"/>
  <c r="J75" i="221"/>
  <c r="L75" i="221" s="1"/>
  <c r="N74" i="221"/>
  <c r="J74" i="221"/>
  <c r="L74" i="221" s="1"/>
  <c r="P69" i="221"/>
  <c r="J69" i="221"/>
  <c r="L69" i="221" s="1"/>
  <c r="P68" i="221"/>
  <c r="T68" i="221" s="1"/>
  <c r="J68" i="221"/>
  <c r="L68" i="221" s="1"/>
  <c r="P67" i="221"/>
  <c r="J67" i="221"/>
  <c r="L67" i="221" s="1"/>
  <c r="P66" i="221"/>
  <c r="J66" i="221"/>
  <c r="L66" i="221" s="1"/>
  <c r="P65" i="221"/>
  <c r="J65" i="221"/>
  <c r="L65" i="221" s="1"/>
  <c r="N64" i="221"/>
  <c r="T64" i="221" s="1"/>
  <c r="J64" i="221"/>
  <c r="L64" i="221" s="1"/>
  <c r="L70" i="221" s="1"/>
  <c r="P59" i="221"/>
  <c r="L59" i="221"/>
  <c r="J59" i="221"/>
  <c r="P58" i="221"/>
  <c r="J58" i="221"/>
  <c r="L58" i="221" s="1"/>
  <c r="P57" i="221"/>
  <c r="J57" i="221"/>
  <c r="L57" i="221" s="1"/>
  <c r="P56" i="221"/>
  <c r="T56" i="221" s="1"/>
  <c r="J56" i="221"/>
  <c r="L56" i="221" s="1"/>
  <c r="P55" i="221"/>
  <c r="J55" i="221"/>
  <c r="L55" i="221" s="1"/>
  <c r="N54" i="221"/>
  <c r="J54" i="221"/>
  <c r="L54" i="221" s="1"/>
  <c r="P49" i="221"/>
  <c r="J49" i="221"/>
  <c r="L49" i="221" s="1"/>
  <c r="P48" i="221"/>
  <c r="T48" i="221" s="1"/>
  <c r="J48" i="221"/>
  <c r="L48" i="221" s="1"/>
  <c r="P47" i="221"/>
  <c r="L47" i="221"/>
  <c r="J47" i="221"/>
  <c r="P46" i="221"/>
  <c r="J46" i="221"/>
  <c r="L46" i="221" s="1"/>
  <c r="P45" i="221"/>
  <c r="J45" i="221"/>
  <c r="L45" i="221" s="1"/>
  <c r="N44" i="221"/>
  <c r="T44" i="221" s="1"/>
  <c r="J44" i="221"/>
  <c r="L44" i="221" s="1"/>
  <c r="P39" i="221"/>
  <c r="L39" i="221"/>
  <c r="J39" i="221"/>
  <c r="P38" i="221"/>
  <c r="J38" i="221"/>
  <c r="L38" i="221" s="1"/>
  <c r="P37" i="221"/>
  <c r="J37" i="221"/>
  <c r="L37" i="221" s="1"/>
  <c r="P36" i="221"/>
  <c r="T36" i="221" s="1"/>
  <c r="J36" i="221"/>
  <c r="L36" i="221" s="1"/>
  <c r="P35" i="221"/>
  <c r="L35" i="221"/>
  <c r="J35" i="221"/>
  <c r="N34" i="221"/>
  <c r="J34" i="221"/>
  <c r="L34" i="221" s="1"/>
  <c r="P29" i="221"/>
  <c r="J29" i="221"/>
  <c r="L29" i="221" s="1"/>
  <c r="P28" i="221"/>
  <c r="T28" i="221" s="1"/>
  <c r="J28" i="221"/>
  <c r="L28" i="221" s="1"/>
  <c r="P27" i="221"/>
  <c r="J27" i="221"/>
  <c r="L27" i="221" s="1"/>
  <c r="P26" i="221"/>
  <c r="J26" i="221"/>
  <c r="L26" i="221" s="1"/>
  <c r="P25" i="221"/>
  <c r="J25" i="221"/>
  <c r="L25" i="221" s="1"/>
  <c r="N24" i="221"/>
  <c r="J24" i="221"/>
  <c r="L24" i="221" s="1"/>
  <c r="P19" i="221"/>
  <c r="P18" i="221"/>
  <c r="P17" i="221"/>
  <c r="P16" i="221"/>
  <c r="P15" i="221"/>
  <c r="N14" i="221"/>
  <c r="J19" i="221"/>
  <c r="L19" i="221" s="1"/>
  <c r="J18" i="221"/>
  <c r="L18" i="221" s="1"/>
  <c r="J17" i="221"/>
  <c r="L17" i="221" s="1"/>
  <c r="J16" i="221"/>
  <c r="L16" i="221" s="1"/>
  <c r="J15" i="221"/>
  <c r="L15" i="221" s="1"/>
  <c r="J14" i="221"/>
  <c r="L14" i="221" s="1"/>
  <c r="P366" i="221"/>
  <c r="N366" i="221"/>
  <c r="L366" i="221"/>
  <c r="J366" i="221"/>
  <c r="F366" i="221"/>
  <c r="D366" i="221"/>
  <c r="B366" i="221"/>
  <c r="P362" i="221"/>
  <c r="N362" i="221"/>
  <c r="L362" i="221"/>
  <c r="L364" i="221" s="1"/>
  <c r="J362" i="221"/>
  <c r="F362" i="221"/>
  <c r="D362" i="221"/>
  <c r="B362" i="221"/>
  <c r="P217" i="221"/>
  <c r="N217" i="221"/>
  <c r="L217" i="221"/>
  <c r="J217" i="221"/>
  <c r="F217" i="221"/>
  <c r="D217" i="221"/>
  <c r="B217" i="221"/>
  <c r="P212" i="221"/>
  <c r="N212" i="221"/>
  <c r="L212" i="221"/>
  <c r="L214" i="221" s="1"/>
  <c r="J212" i="221"/>
  <c r="F212" i="221"/>
  <c r="D212" i="221"/>
  <c r="B212" i="221"/>
  <c r="P207" i="221"/>
  <c r="N207" i="221"/>
  <c r="J207" i="221"/>
  <c r="F207" i="221"/>
  <c r="D207" i="221"/>
  <c r="B207" i="221"/>
  <c r="P201" i="221"/>
  <c r="N201" i="221"/>
  <c r="J201" i="221"/>
  <c r="F201" i="221"/>
  <c r="D201" i="221"/>
  <c r="B201" i="221"/>
  <c r="P356" i="221"/>
  <c r="N356" i="221"/>
  <c r="J356" i="221"/>
  <c r="F356" i="221"/>
  <c r="D356" i="221"/>
  <c r="B356" i="221"/>
  <c r="P347" i="221"/>
  <c r="N347" i="221"/>
  <c r="J347" i="221"/>
  <c r="F347" i="221"/>
  <c r="D347" i="221"/>
  <c r="B347" i="221"/>
  <c r="P338" i="221"/>
  <c r="N338" i="221"/>
  <c r="J338" i="221"/>
  <c r="F338" i="221"/>
  <c r="D338" i="221"/>
  <c r="B338" i="221"/>
  <c r="P329" i="221"/>
  <c r="N329" i="221"/>
  <c r="F329" i="221"/>
  <c r="D329" i="221"/>
  <c r="B329" i="221"/>
  <c r="P155" i="221"/>
  <c r="F155" i="221"/>
  <c r="D155" i="221"/>
  <c r="B155" i="221"/>
  <c r="P146" i="221"/>
  <c r="N146" i="221"/>
  <c r="J146" i="221"/>
  <c r="F146" i="221"/>
  <c r="D146" i="221"/>
  <c r="B146" i="221"/>
  <c r="N137" i="221"/>
  <c r="F137" i="221"/>
  <c r="D137" i="221"/>
  <c r="B137" i="221"/>
  <c r="P128" i="221"/>
  <c r="N128" i="221"/>
  <c r="J128" i="221"/>
  <c r="F128" i="221"/>
  <c r="D128" i="221"/>
  <c r="B128" i="221"/>
  <c r="P119" i="221"/>
  <c r="N119" i="221"/>
  <c r="J119" i="221"/>
  <c r="F119" i="221"/>
  <c r="D119" i="221"/>
  <c r="B119" i="221"/>
  <c r="N110" i="221"/>
  <c r="J110" i="221"/>
  <c r="F110" i="221"/>
  <c r="D110" i="221"/>
  <c r="B110" i="221"/>
  <c r="P320" i="221"/>
  <c r="N320" i="221"/>
  <c r="J320" i="221"/>
  <c r="F320" i="221"/>
  <c r="D320" i="221"/>
  <c r="B320" i="221"/>
  <c r="P311" i="221"/>
  <c r="N311" i="221"/>
  <c r="J311" i="221"/>
  <c r="F311" i="221"/>
  <c r="D311" i="221"/>
  <c r="B311" i="221"/>
  <c r="P301" i="221"/>
  <c r="N301" i="221"/>
  <c r="J301" i="221"/>
  <c r="F301" i="221"/>
  <c r="D301" i="221"/>
  <c r="B301" i="221"/>
  <c r="P291" i="221"/>
  <c r="N291" i="221"/>
  <c r="C21" i="2" s="1"/>
  <c r="J291" i="221"/>
  <c r="F291" i="221"/>
  <c r="D291" i="221"/>
  <c r="B291" i="221"/>
  <c r="P281" i="221"/>
  <c r="N281" i="221"/>
  <c r="J281" i="221"/>
  <c r="F281" i="221"/>
  <c r="D281" i="221"/>
  <c r="B281" i="221"/>
  <c r="P271" i="221"/>
  <c r="N271" i="221"/>
  <c r="J271" i="221"/>
  <c r="F271" i="221"/>
  <c r="D271" i="221"/>
  <c r="B271" i="221"/>
  <c r="P261" i="221"/>
  <c r="N261" i="221"/>
  <c r="J261" i="221"/>
  <c r="F261" i="221"/>
  <c r="D261" i="221"/>
  <c r="B261" i="221"/>
  <c r="P251" i="221"/>
  <c r="N251" i="221"/>
  <c r="J251" i="221"/>
  <c r="F251" i="221"/>
  <c r="D251" i="221"/>
  <c r="B251" i="221"/>
  <c r="P241" i="221"/>
  <c r="N241" i="221"/>
  <c r="J241" i="221"/>
  <c r="F241" i="221"/>
  <c r="D241" i="221"/>
  <c r="B241" i="221"/>
  <c r="P231" i="221"/>
  <c r="N231" i="221"/>
  <c r="J231" i="221"/>
  <c r="F231" i="221"/>
  <c r="D231" i="221"/>
  <c r="B231" i="221"/>
  <c r="P100" i="221"/>
  <c r="N100" i="221"/>
  <c r="J100" i="221"/>
  <c r="F100" i="221"/>
  <c r="D100" i="221"/>
  <c r="B100" i="221"/>
  <c r="P90" i="221"/>
  <c r="N90" i="221"/>
  <c r="J90" i="221"/>
  <c r="F90" i="221"/>
  <c r="D90" i="221"/>
  <c r="B90" i="221"/>
  <c r="P80" i="221"/>
  <c r="N80" i="221"/>
  <c r="F80" i="221"/>
  <c r="D80" i="221"/>
  <c r="B80" i="221"/>
  <c r="P70" i="221"/>
  <c r="N70" i="221"/>
  <c r="J70" i="221"/>
  <c r="F70" i="221"/>
  <c r="D70" i="221"/>
  <c r="B70" i="221"/>
  <c r="P60" i="221"/>
  <c r="N60" i="221"/>
  <c r="J60" i="221"/>
  <c r="F60" i="221"/>
  <c r="D60" i="221"/>
  <c r="B60" i="221"/>
  <c r="P50" i="221"/>
  <c r="N50" i="221"/>
  <c r="J50" i="221"/>
  <c r="F50" i="221"/>
  <c r="D50" i="221"/>
  <c r="B50" i="221"/>
  <c r="P40" i="221"/>
  <c r="N40" i="221"/>
  <c r="J40" i="221"/>
  <c r="F40" i="221"/>
  <c r="D40" i="221"/>
  <c r="B40" i="221"/>
  <c r="P30" i="221"/>
  <c r="N30" i="221"/>
  <c r="J30" i="221"/>
  <c r="F30" i="221"/>
  <c r="D30" i="221"/>
  <c r="B30" i="221"/>
  <c r="P20" i="221"/>
  <c r="F20" i="221"/>
  <c r="B20" i="221"/>
  <c r="D20" i="221"/>
  <c r="N20" i="221"/>
  <c r="J20" i="221"/>
  <c r="E33" i="19"/>
  <c r="E37" i="19"/>
  <c r="E36" i="19"/>
  <c r="E32" i="19"/>
  <c r="E35" i="19"/>
  <c r="E34" i="19"/>
  <c r="E31" i="19"/>
  <c r="E30" i="19"/>
  <c r="L209" i="49"/>
  <c r="L208" i="49"/>
  <c r="L204" i="49"/>
  <c r="L203" i="49"/>
  <c r="L219" i="221" l="1"/>
  <c r="C13" i="2"/>
  <c r="L20" i="221"/>
  <c r="L22" i="221" s="1"/>
  <c r="J170" i="221"/>
  <c r="F221" i="221"/>
  <c r="P370" i="221"/>
  <c r="D221" i="221"/>
  <c r="B370" i="221"/>
  <c r="L368" i="221"/>
  <c r="L80" i="221"/>
  <c r="L82" i="221" s="1"/>
  <c r="P110" i="221"/>
  <c r="L128" i="221"/>
  <c r="L130" i="221" s="1"/>
  <c r="L146" i="221"/>
  <c r="L148" i="221" s="1"/>
  <c r="L155" i="221"/>
  <c r="L157" i="221" s="1"/>
  <c r="N163" i="221"/>
  <c r="C11" i="2" s="1"/>
  <c r="T160" i="221"/>
  <c r="L167" i="221"/>
  <c r="L170" i="221" s="1"/>
  <c r="J177" i="221"/>
  <c r="P177" i="221"/>
  <c r="L201" i="221"/>
  <c r="L207" i="221"/>
  <c r="L209" i="221" s="1"/>
  <c r="L329" i="221"/>
  <c r="L331" i="221" s="1"/>
  <c r="L356" i="221"/>
  <c r="L358" i="221" s="1"/>
  <c r="T150" i="221"/>
  <c r="T181" i="221"/>
  <c r="T15" i="221"/>
  <c r="F370" i="221"/>
  <c r="B221" i="221"/>
  <c r="B373" i="221" s="1"/>
  <c r="D370" i="221"/>
  <c r="N370" i="221"/>
  <c r="L119" i="221"/>
  <c r="L121" i="221" s="1"/>
  <c r="P170" i="221"/>
  <c r="T168" i="221"/>
  <c r="L177" i="221"/>
  <c r="L179" i="221" s="1"/>
  <c r="N195" i="221"/>
  <c r="N221" i="221" s="1"/>
  <c r="N373" i="221" s="1"/>
  <c r="T193" i="221"/>
  <c r="L241" i="221"/>
  <c r="L243" i="221" s="1"/>
  <c r="L291" i="221"/>
  <c r="L293" i="221" s="1"/>
  <c r="T167" i="221"/>
  <c r="T17" i="221"/>
  <c r="T19" i="221"/>
  <c r="T25" i="221"/>
  <c r="T27" i="221"/>
  <c r="T29" i="221"/>
  <c r="T35" i="221"/>
  <c r="T37" i="221"/>
  <c r="T39" i="221"/>
  <c r="T45" i="221"/>
  <c r="T47" i="221"/>
  <c r="T49" i="221"/>
  <c r="T55" i="221"/>
  <c r="T57" i="221"/>
  <c r="T59" i="221"/>
  <c r="T75" i="221"/>
  <c r="T77" i="221"/>
  <c r="T79" i="221"/>
  <c r="T85" i="221"/>
  <c r="T87" i="221"/>
  <c r="T89" i="221"/>
  <c r="T95" i="221"/>
  <c r="T97" i="221"/>
  <c r="T99" i="221"/>
  <c r="T226" i="221"/>
  <c r="T228" i="221"/>
  <c r="T230" i="221"/>
  <c r="T236" i="221"/>
  <c r="T238" i="221"/>
  <c r="T240" i="221"/>
  <c r="T246" i="221"/>
  <c r="T248" i="221"/>
  <c r="T250" i="221"/>
  <c r="T256" i="221"/>
  <c r="T260" i="221"/>
  <c r="T266" i="221"/>
  <c r="T268" i="221"/>
  <c r="T270" i="221"/>
  <c r="T276" i="221"/>
  <c r="T278" i="221"/>
  <c r="T280" i="221"/>
  <c r="T286" i="221"/>
  <c r="T288" i="221"/>
  <c r="T290" i="221"/>
  <c r="T296" i="221"/>
  <c r="T298" i="221"/>
  <c r="T300" i="221"/>
  <c r="T308" i="221"/>
  <c r="T310" i="221"/>
  <c r="T316" i="221"/>
  <c r="T324" i="221"/>
  <c r="T328" i="221"/>
  <c r="T334" i="221"/>
  <c r="T336" i="221"/>
  <c r="T342" i="221"/>
  <c r="T344" i="221"/>
  <c r="T346" i="221"/>
  <c r="T352" i="221"/>
  <c r="T354" i="221"/>
  <c r="T364" i="221"/>
  <c r="U364" i="221" s="1"/>
  <c r="T105" i="221"/>
  <c r="T115" i="221"/>
  <c r="T117" i="221"/>
  <c r="T123" i="221"/>
  <c r="T125" i="221"/>
  <c r="T127" i="221"/>
  <c r="T128" i="221" s="1"/>
  <c r="T130" i="221" s="1"/>
  <c r="U130" i="221" s="1"/>
  <c r="V130" i="221" s="1"/>
  <c r="T141" i="221"/>
  <c r="T143" i="221"/>
  <c r="T145" i="221"/>
  <c r="T151" i="221"/>
  <c r="T153" i="221"/>
  <c r="T161" i="221"/>
  <c r="T175" i="221"/>
  <c r="T187" i="221"/>
  <c r="T189" i="221" s="1"/>
  <c r="T191" i="221" s="1"/>
  <c r="T199" i="221"/>
  <c r="T214" i="221"/>
  <c r="U214" i="221" s="1"/>
  <c r="L338" i="221"/>
  <c r="L347" i="221"/>
  <c r="L349" i="221" s="1"/>
  <c r="T14" i="221"/>
  <c r="T16" i="221"/>
  <c r="T18" i="221"/>
  <c r="T24" i="221"/>
  <c r="T30" i="221" s="1"/>
  <c r="T32" i="221" s="1"/>
  <c r="T26" i="221"/>
  <c r="T34" i="221"/>
  <c r="T38" i="221"/>
  <c r="T46" i="221"/>
  <c r="T54" i="221"/>
  <c r="T58" i="221"/>
  <c r="T74" i="221"/>
  <c r="T80" i="221" s="1"/>
  <c r="T82" i="221" s="1"/>
  <c r="U82" i="221" s="1"/>
  <c r="V82" i="221" s="1"/>
  <c r="T78" i="221"/>
  <c r="T86" i="221"/>
  <c r="T94" i="221"/>
  <c r="T98" i="221"/>
  <c r="T227" i="221"/>
  <c r="T235" i="221"/>
  <c r="T237" i="221"/>
  <c r="T239" i="221"/>
  <c r="T245" i="221"/>
  <c r="T247" i="221"/>
  <c r="T249" i="221"/>
  <c r="T255" i="221"/>
  <c r="T257" i="221"/>
  <c r="T259" i="221"/>
  <c r="T265" i="221"/>
  <c r="T269" i="221"/>
  <c r="T271" i="221" s="1"/>
  <c r="T273" i="221" s="1"/>
  <c r="T277" i="221"/>
  <c r="T285" i="221"/>
  <c r="T289" i="221"/>
  <c r="T297" i="221"/>
  <c r="T305" i="221"/>
  <c r="T309" i="221"/>
  <c r="T315" i="221"/>
  <c r="T317" i="221"/>
  <c r="T319" i="221"/>
  <c r="T325" i="221"/>
  <c r="T327" i="221"/>
  <c r="T333" i="221"/>
  <c r="T335" i="221"/>
  <c r="T337" i="221"/>
  <c r="T345" i="221"/>
  <c r="T353" i="221"/>
  <c r="T116" i="221"/>
  <c r="T124" i="221"/>
  <c r="T132" i="221"/>
  <c r="T144" i="221"/>
  <c r="T152" i="221"/>
  <c r="T162" i="221"/>
  <c r="T174" i="221"/>
  <c r="T176" i="221"/>
  <c r="T182" i="221"/>
  <c r="T183" i="221" s="1"/>
  <c r="T185" i="221" s="1"/>
  <c r="T188" i="221"/>
  <c r="T194" i="221"/>
  <c r="T200" i="221"/>
  <c r="T206" i="221"/>
  <c r="T207" i="221" s="1"/>
  <c r="T209" i="221" s="1"/>
  <c r="U209" i="221" s="1"/>
  <c r="T307" i="221"/>
  <c r="L311" i="221"/>
  <c r="T306" i="221"/>
  <c r="J137" i="221"/>
  <c r="P137" i="221"/>
  <c r="P221" i="221" s="1"/>
  <c r="P373" i="221" s="1"/>
  <c r="L137" i="221"/>
  <c r="T136" i="221"/>
  <c r="T133" i="221"/>
  <c r="T135" i="221"/>
  <c r="T106" i="221"/>
  <c r="T108" i="221"/>
  <c r="T107" i="221"/>
  <c r="T109" i="221"/>
  <c r="T66" i="221"/>
  <c r="L72" i="221"/>
  <c r="T65" i="221"/>
  <c r="T67" i="221"/>
  <c r="T69" i="221"/>
  <c r="T60" i="221"/>
  <c r="T62" i="221" s="1"/>
  <c r="T100" i="221"/>
  <c r="T102" i="221" s="1"/>
  <c r="T329" i="221"/>
  <c r="T331" i="221" s="1"/>
  <c r="U331" i="221" s="1"/>
  <c r="T163" i="221"/>
  <c r="T165" i="221" s="1"/>
  <c r="U165" i="221" s="1"/>
  <c r="V165" i="221" s="1"/>
  <c r="T170" i="221"/>
  <c r="T172" i="221" s="1"/>
  <c r="T177" i="221"/>
  <c r="T179" i="221" s="1"/>
  <c r="J195" i="221"/>
  <c r="T195" i="221"/>
  <c r="T197" i="221" s="1"/>
  <c r="U197" i="221" s="1"/>
  <c r="V197" i="221" s="1"/>
  <c r="L187" i="221"/>
  <c r="L189" i="221" s="1"/>
  <c r="L191" i="221" s="1"/>
  <c r="J189" i="221"/>
  <c r="J183" i="221"/>
  <c r="L183" i="221"/>
  <c r="T50" i="221"/>
  <c r="T52" i="221" s="1"/>
  <c r="T90" i="221"/>
  <c r="T92" i="221" s="1"/>
  <c r="T291" i="221"/>
  <c r="T347" i="221"/>
  <c r="T349" i="221" s="1"/>
  <c r="U349" i="221" s="1"/>
  <c r="T119" i="221"/>
  <c r="T121" i="221" s="1"/>
  <c r="U121" i="221" s="1"/>
  <c r="V121" i="221" s="1"/>
  <c r="T146" i="221"/>
  <c r="T148" i="221" s="1"/>
  <c r="U148" i="221" s="1"/>
  <c r="V148" i="221" s="1"/>
  <c r="T155" i="221"/>
  <c r="T157" i="221" s="1"/>
  <c r="U157" i="221" s="1"/>
  <c r="V157" i="221" s="1"/>
  <c r="T201" i="221"/>
  <c r="T20" i="221"/>
  <c r="T22" i="221" s="1"/>
  <c r="T40" i="221"/>
  <c r="T42" i="221" s="1"/>
  <c r="T281" i="221"/>
  <c r="T283" i="221" s="1"/>
  <c r="T368" i="221"/>
  <c r="U368" i="221" s="1"/>
  <c r="T219" i="221"/>
  <c r="U219" i="221" s="1"/>
  <c r="T301" i="221"/>
  <c r="T303" i="221" s="1"/>
  <c r="T356" i="221"/>
  <c r="T358" i="221" s="1"/>
  <c r="U358" i="221" s="1"/>
  <c r="T231" i="221"/>
  <c r="T233" i="221" s="1"/>
  <c r="T241" i="221"/>
  <c r="T243" i="221" s="1"/>
  <c r="U243" i="221" s="1"/>
  <c r="T251" i="221"/>
  <c r="T253" i="221" s="1"/>
  <c r="T261" i="221"/>
  <c r="T263" i="221" s="1"/>
  <c r="U263" i="221" s="1"/>
  <c r="T338" i="221"/>
  <c r="T340" i="221" s="1"/>
  <c r="J329" i="221"/>
  <c r="J370" i="221" s="1"/>
  <c r="L301" i="221"/>
  <c r="L303" i="221" s="1"/>
  <c r="L281" i="221"/>
  <c r="L283" i="221" s="1"/>
  <c r="L271" i="221"/>
  <c r="L273" i="221" s="1"/>
  <c r="L261" i="221"/>
  <c r="L263" i="221" s="1"/>
  <c r="L251" i="221"/>
  <c r="L253" i="221" s="1"/>
  <c r="L231" i="221"/>
  <c r="J155" i="221"/>
  <c r="L110" i="221"/>
  <c r="L100" i="221"/>
  <c r="L102" i="221" s="1"/>
  <c r="L90" i="221"/>
  <c r="L92" i="221" s="1"/>
  <c r="J80" i="221"/>
  <c r="L60" i="221"/>
  <c r="L62" i="221" s="1"/>
  <c r="L50" i="221"/>
  <c r="L52" i="221" s="1"/>
  <c r="L40" i="221"/>
  <c r="L42" i="221" s="1"/>
  <c r="L30" i="221"/>
  <c r="L32" i="221" s="1"/>
  <c r="H210" i="49"/>
  <c r="H205" i="49"/>
  <c r="U283" i="221" l="1"/>
  <c r="U191" i="221"/>
  <c r="V191" i="221" s="1"/>
  <c r="U22" i="221"/>
  <c r="V22" i="221" s="1"/>
  <c r="U32" i="221"/>
  <c r="V32" i="221" s="1"/>
  <c r="L233" i="221"/>
  <c r="E20" i="2"/>
  <c r="U253" i="221"/>
  <c r="U233" i="221"/>
  <c r="U303" i="221"/>
  <c r="V303" i="221" s="1"/>
  <c r="U42" i="221"/>
  <c r="V42" i="221" s="1"/>
  <c r="U92" i="221"/>
  <c r="V92" i="221" s="1"/>
  <c r="U179" i="221"/>
  <c r="V179" i="221" s="1"/>
  <c r="U102" i="221"/>
  <c r="V102" i="221" s="1"/>
  <c r="U62" i="221"/>
  <c r="V62" i="221" s="1"/>
  <c r="E8" i="2"/>
  <c r="L172" i="221"/>
  <c r="U172" i="221" s="1"/>
  <c r="V172" i="221" s="1"/>
  <c r="E11" i="2"/>
  <c r="E7" i="2"/>
  <c r="U273" i="221"/>
  <c r="U52" i="221"/>
  <c r="V52" i="221" s="1"/>
  <c r="L340" i="221"/>
  <c r="U340" i="221" s="1"/>
  <c r="E23" i="2"/>
  <c r="L203" i="221"/>
  <c r="E13" i="2"/>
  <c r="D373" i="221"/>
  <c r="F373" i="221"/>
  <c r="T311" i="221"/>
  <c r="T313" i="221" s="1"/>
  <c r="T110" i="221"/>
  <c r="T112" i="221" s="1"/>
  <c r="L313" i="221"/>
  <c r="L320" i="221" s="1"/>
  <c r="E21" i="2"/>
  <c r="J221" i="221"/>
  <c r="J373" i="221" s="1"/>
  <c r="T137" i="221"/>
  <c r="T139" i="221" s="1"/>
  <c r="L139" i="221"/>
  <c r="E10" i="2"/>
  <c r="L112" i="221"/>
  <c r="E9" i="2"/>
  <c r="T70" i="221"/>
  <c r="T72" i="221" s="1"/>
  <c r="U72" i="221" s="1"/>
  <c r="V72" i="221" s="1"/>
  <c r="L322" i="221"/>
  <c r="E22" i="2"/>
  <c r="L370" i="221"/>
  <c r="I11" i="2"/>
  <c r="T203" i="221"/>
  <c r="U203" i="221" s="1"/>
  <c r="V203" i="221" s="1"/>
  <c r="I13" i="2"/>
  <c r="T293" i="221"/>
  <c r="U293" i="221" s="1"/>
  <c r="V293" i="221" s="1"/>
  <c r="I21" i="2"/>
  <c r="E12" i="2"/>
  <c r="L221" i="221"/>
  <c r="L373" i="221" s="1"/>
  <c r="L185" i="221"/>
  <c r="U185" i="221" s="1"/>
  <c r="V185" i="221" s="1"/>
  <c r="T320" i="221"/>
  <c r="L135" i="49"/>
  <c r="L134" i="49"/>
  <c r="L131" i="49"/>
  <c r="L127" i="49"/>
  <c r="L126" i="49"/>
  <c r="L123" i="49"/>
  <c r="U313" i="221" l="1"/>
  <c r="V313" i="221" s="1"/>
  <c r="U112" i="221"/>
  <c r="V112" i="221" s="1"/>
  <c r="T221" i="221"/>
  <c r="U139" i="221"/>
  <c r="V139" i="221" s="1"/>
  <c r="J67" i="9"/>
  <c r="T322" i="221"/>
  <c r="U322" i="221" s="1"/>
  <c r="T370" i="221"/>
  <c r="H136" i="49"/>
  <c r="H128" i="49"/>
  <c r="T373" i="221" l="1"/>
  <c r="U55" i="49"/>
  <c r="U54" i="49"/>
  <c r="U53" i="49"/>
  <c r="U52" i="49"/>
  <c r="U51" i="49"/>
  <c r="U50" i="49"/>
  <c r="U49" i="49"/>
  <c r="U48" i="49"/>
  <c r="U47" i="49"/>
  <c r="U46" i="49"/>
  <c r="U45" i="49"/>
  <c r="U44" i="49"/>
  <c r="J72" i="49" s="1"/>
  <c r="U43" i="49"/>
  <c r="U42" i="49"/>
  <c r="U41" i="49"/>
  <c r="U40" i="49"/>
  <c r="U39" i="49"/>
  <c r="U38" i="49"/>
  <c r="U37" i="49"/>
  <c r="J170" i="49" s="1"/>
  <c r="U36" i="49"/>
  <c r="J150" i="49" s="1"/>
  <c r="U35" i="49"/>
  <c r="J169" i="49" s="1"/>
  <c r="U34" i="49"/>
  <c r="J149" i="49" s="1"/>
  <c r="U33" i="49"/>
  <c r="U32" i="49"/>
  <c r="U31" i="49"/>
  <c r="J166" i="49" s="1"/>
  <c r="U30" i="49"/>
  <c r="U29" i="49"/>
  <c r="U28" i="49"/>
  <c r="U27" i="49"/>
  <c r="U26" i="49"/>
  <c r="U25" i="49"/>
  <c r="U24" i="49"/>
  <c r="U23" i="49"/>
  <c r="U22" i="49"/>
  <c r="U21" i="49"/>
  <c r="U20" i="49"/>
  <c r="U19" i="49"/>
  <c r="U18" i="49"/>
  <c r="U17" i="49"/>
  <c r="J11" i="49" l="1"/>
  <c r="J9" i="49"/>
  <c r="J10" i="49"/>
  <c r="J33" i="49"/>
  <c r="J31" i="49"/>
  <c r="J29" i="49"/>
  <c r="J27" i="49"/>
  <c r="J25" i="49"/>
  <c r="J23" i="49"/>
  <c r="J21" i="49"/>
  <c r="J19" i="49"/>
  <c r="J17" i="49"/>
  <c r="J15" i="49"/>
  <c r="J13" i="49"/>
  <c r="J34" i="49"/>
  <c r="J32" i="49"/>
  <c r="J30" i="49"/>
  <c r="J28" i="49"/>
  <c r="J26" i="49"/>
  <c r="J24" i="49"/>
  <c r="J22" i="49"/>
  <c r="J20" i="49"/>
  <c r="J18" i="49"/>
  <c r="J16" i="49"/>
  <c r="J14" i="49"/>
  <c r="J12" i="49"/>
  <c r="J153" i="49"/>
  <c r="J151" i="49"/>
  <c r="J152" i="49"/>
  <c r="J66" i="49"/>
  <c r="J64" i="49"/>
  <c r="J62" i="49"/>
  <c r="J60" i="49"/>
  <c r="J58" i="49"/>
  <c r="J56" i="49"/>
  <c r="J54" i="49"/>
  <c r="J52" i="49"/>
  <c r="J67" i="49"/>
  <c r="J65" i="49"/>
  <c r="J63" i="49"/>
  <c r="J61" i="49"/>
  <c r="J59" i="49"/>
  <c r="J57" i="49"/>
  <c r="J55" i="49"/>
  <c r="J53" i="49"/>
  <c r="J51" i="49"/>
  <c r="J49" i="49"/>
  <c r="J47" i="49"/>
  <c r="J45" i="49"/>
  <c r="J43" i="49"/>
  <c r="J41" i="49"/>
  <c r="J39" i="49"/>
  <c r="J37" i="49"/>
  <c r="J35" i="49"/>
  <c r="J155" i="49"/>
  <c r="J171" i="49"/>
  <c r="J50" i="49"/>
  <c r="J48" i="49"/>
  <c r="J46" i="49"/>
  <c r="J44" i="49"/>
  <c r="J42" i="49"/>
  <c r="J40" i="49"/>
  <c r="J38" i="49"/>
  <c r="J36" i="49"/>
  <c r="J154" i="49"/>
  <c r="J68" i="49"/>
  <c r="J156" i="49"/>
  <c r="J174" i="49"/>
  <c r="J80" i="49"/>
  <c r="J78" i="49"/>
  <c r="J81" i="49"/>
  <c r="J79" i="49"/>
  <c r="J178" i="49"/>
  <c r="J179" i="49"/>
  <c r="J88" i="49"/>
  <c r="J86" i="49"/>
  <c r="J89" i="49"/>
  <c r="J87" i="49"/>
  <c r="J94" i="49"/>
  <c r="J95" i="49"/>
  <c r="J93" i="49"/>
  <c r="J183" i="49"/>
  <c r="J184" i="49"/>
  <c r="J111" i="49"/>
  <c r="J109" i="49"/>
  <c r="J107" i="49"/>
  <c r="J193" i="49"/>
  <c r="J110" i="49"/>
  <c r="J108" i="49"/>
  <c r="J194" i="49"/>
  <c r="J204" i="49"/>
  <c r="N204" i="49" s="1"/>
  <c r="J203" i="49"/>
  <c r="N203" i="49" s="1"/>
  <c r="J127" i="49"/>
  <c r="J125" i="49"/>
  <c r="J123" i="49"/>
  <c r="J126" i="49"/>
  <c r="N126" i="49" s="1"/>
  <c r="J124" i="49"/>
  <c r="J167" i="49"/>
  <c r="J168" i="49"/>
  <c r="J173" i="49"/>
  <c r="J172" i="49"/>
  <c r="J70" i="49"/>
  <c r="J71" i="49"/>
  <c r="J69" i="49"/>
  <c r="J159" i="49"/>
  <c r="J157" i="49"/>
  <c r="J158" i="49"/>
  <c r="J76" i="49"/>
  <c r="J74" i="49"/>
  <c r="J77" i="49"/>
  <c r="J75" i="49"/>
  <c r="J73" i="49"/>
  <c r="J84" i="49"/>
  <c r="J82" i="49"/>
  <c r="J85" i="49"/>
  <c r="J83" i="49"/>
  <c r="J92" i="49"/>
  <c r="J90" i="49"/>
  <c r="J91" i="49"/>
  <c r="J102" i="49"/>
  <c r="J100" i="49"/>
  <c r="J188" i="49"/>
  <c r="J103" i="49"/>
  <c r="J101" i="49"/>
  <c r="J99" i="49"/>
  <c r="J189" i="49"/>
  <c r="J118" i="49"/>
  <c r="J116" i="49"/>
  <c r="J199" i="49"/>
  <c r="J119" i="49"/>
  <c r="J117" i="49"/>
  <c r="J115" i="49"/>
  <c r="J198" i="49"/>
  <c r="J209" i="49"/>
  <c r="N209" i="49" s="1"/>
  <c r="J208" i="49"/>
  <c r="N208" i="49" s="1"/>
  <c r="J134" i="49"/>
  <c r="J132" i="49"/>
  <c r="N132" i="49" s="1"/>
  <c r="J135" i="49"/>
  <c r="J133" i="49"/>
  <c r="J131" i="49"/>
  <c r="N131" i="49" s="1"/>
  <c r="N123" i="49"/>
  <c r="N127" i="49"/>
  <c r="N135" i="49"/>
  <c r="N134" i="49"/>
  <c r="N124" i="49"/>
  <c r="R126" i="49" l="1"/>
  <c r="P126" i="49"/>
  <c r="P208" i="49"/>
  <c r="R208" i="49"/>
  <c r="N210" i="49"/>
  <c r="R204" i="49"/>
  <c r="P204" i="49"/>
  <c r="R209" i="49"/>
  <c r="P209" i="49"/>
  <c r="P203" i="49"/>
  <c r="P205" i="49" s="1"/>
  <c r="R203" i="49"/>
  <c r="N205" i="49"/>
  <c r="R132" i="49"/>
  <c r="P132" i="49"/>
  <c r="P135" i="49"/>
  <c r="R135" i="49"/>
  <c r="P124" i="49"/>
  <c r="R124" i="49"/>
  <c r="P134" i="49"/>
  <c r="R134" i="49"/>
  <c r="P127" i="49"/>
  <c r="R127" i="49"/>
  <c r="R123" i="49"/>
  <c r="P123" i="49"/>
  <c r="P131" i="49"/>
  <c r="R131" i="49"/>
  <c r="Z43" i="215"/>
  <c r="Z35" i="215"/>
  <c r="Z12" i="215"/>
  <c r="Z24" i="215"/>
  <c r="P210" i="49" l="1"/>
  <c r="Z50" i="215" l="1"/>
  <c r="Z49" i="215"/>
  <c r="Z48" i="215"/>
  <c r="Z46" i="215"/>
  <c r="Z45" i="215"/>
  <c r="Z42" i="215"/>
  <c r="Z41" i="215"/>
  <c r="Z40" i="215"/>
  <c r="Z39" i="215"/>
  <c r="Z34" i="215"/>
  <c r="Z32" i="215"/>
  <c r="Z30" i="215"/>
  <c r="Z29" i="215"/>
  <c r="Z28" i="215"/>
  <c r="Z26" i="215"/>
  <c r="Z25" i="215"/>
  <c r="Z23" i="215"/>
  <c r="Z22" i="215"/>
  <c r="Z21" i="215"/>
  <c r="Z20" i="215"/>
  <c r="Z18" i="215"/>
  <c r="Z17" i="215"/>
  <c r="Z16" i="215"/>
  <c r="Z14" i="215"/>
  <c r="Z13" i="215"/>
  <c r="Z11" i="215"/>
  <c r="C16" i="39" l="1"/>
  <c r="C15" i="39"/>
  <c r="AG4" i="53"/>
  <c r="AG3" i="53" s="1"/>
  <c r="E32" i="227" l="1"/>
  <c r="E36" i="227"/>
  <c r="E40" i="227"/>
  <c r="E33" i="227"/>
  <c r="E37" i="227"/>
  <c r="E41" i="227"/>
  <c r="E34" i="227"/>
  <c r="E38" i="227"/>
  <c r="E31" i="227"/>
  <c r="E35" i="227"/>
  <c r="E39" i="227"/>
  <c r="A2" i="54"/>
  <c r="A2" i="53"/>
  <c r="A2" i="52"/>
  <c r="A2" i="50"/>
  <c r="A2" i="49"/>
  <c r="A2" i="48"/>
  <c r="A2" i="22"/>
  <c r="A2" i="11"/>
  <c r="A2" i="26"/>
  <c r="A2" i="10"/>
  <c r="A2" i="19"/>
  <c r="A2" i="214"/>
  <c r="A2" i="215"/>
  <c r="A2" i="216"/>
  <c r="A2" i="57"/>
  <c r="A2" i="56"/>
  <c r="A2" i="29"/>
  <c r="A2" i="213"/>
  <c r="A2" i="221"/>
  <c r="A2" i="12"/>
  <c r="A2" i="9"/>
  <c r="I39" i="227" l="1"/>
  <c r="E62" i="227"/>
  <c r="I62" i="227" s="1"/>
  <c r="M39" i="227"/>
  <c r="E30" i="228"/>
  <c r="I30" i="228" s="1"/>
  <c r="E22" i="228"/>
  <c r="I22" i="228" s="1"/>
  <c r="M31" i="227"/>
  <c r="E54" i="227"/>
  <c r="I54" i="227" s="1"/>
  <c r="I31" i="227"/>
  <c r="I34" i="227"/>
  <c r="E57" i="227"/>
  <c r="I57" i="227" s="1"/>
  <c r="M34" i="227"/>
  <c r="E25" i="228"/>
  <c r="I25" i="228" s="1"/>
  <c r="I37" i="227"/>
  <c r="M37" i="227"/>
  <c r="E60" i="227"/>
  <c r="I60" i="227" s="1"/>
  <c r="E28" i="228"/>
  <c r="I28" i="228" s="1"/>
  <c r="I40" i="227"/>
  <c r="M40" i="227"/>
  <c r="E63" i="227"/>
  <c r="I63" i="227" s="1"/>
  <c r="E31" i="228"/>
  <c r="I31" i="228" s="1"/>
  <c r="E55" i="227"/>
  <c r="I55" i="227" s="1"/>
  <c r="M32" i="227"/>
  <c r="E23" i="228"/>
  <c r="I23" i="228" s="1"/>
  <c r="I32" i="227"/>
  <c r="I35" i="227"/>
  <c r="E58" i="227"/>
  <c r="I58" i="227" s="1"/>
  <c r="M35" i="227"/>
  <c r="E26" i="228"/>
  <c r="I26" i="228" s="1"/>
  <c r="I38" i="227"/>
  <c r="E61" i="227"/>
  <c r="I61" i="227" s="1"/>
  <c r="E29" i="228"/>
  <c r="I29" i="228" s="1"/>
  <c r="M38" i="227"/>
  <c r="I41" i="227"/>
  <c r="M41" i="227"/>
  <c r="E64" i="227"/>
  <c r="I64" i="227" s="1"/>
  <c r="E32" i="228"/>
  <c r="I32" i="228" s="1"/>
  <c r="I33" i="227"/>
  <c r="M33" i="227"/>
  <c r="E56" i="227"/>
  <c r="I56" i="227" s="1"/>
  <c r="E24" i="228"/>
  <c r="I24" i="228" s="1"/>
  <c r="I36" i="227"/>
  <c r="M36" i="227"/>
  <c r="E59" i="227"/>
  <c r="I59" i="227" s="1"/>
  <c r="E27" i="228"/>
  <c r="I27" i="228" s="1"/>
  <c r="C501" i="212"/>
  <c r="C467" i="212"/>
  <c r="C441" i="212"/>
  <c r="C389" i="212"/>
  <c r="C381" i="212"/>
  <c r="C428" i="212"/>
  <c r="C171" i="212"/>
  <c r="A3" i="213" l="1"/>
  <c r="G20" i="21"/>
  <c r="AD50" i="215" l="1"/>
  <c r="AH50" i="215" s="1"/>
  <c r="F50" i="215" s="1"/>
  <c r="L50" i="215" s="1"/>
  <c r="AD49" i="215"/>
  <c r="AH49" i="215" s="1"/>
  <c r="F49" i="215" s="1"/>
  <c r="L49" i="215" s="1"/>
  <c r="AD48" i="215"/>
  <c r="AH48" i="215" s="1"/>
  <c r="F48" i="215" s="1"/>
  <c r="L48" i="215" s="1"/>
  <c r="AD47" i="215"/>
  <c r="AH47" i="215" s="1"/>
  <c r="F47" i="215" s="1"/>
  <c r="L47" i="215" s="1"/>
  <c r="AD46" i="215"/>
  <c r="AH46" i="215" s="1"/>
  <c r="F46" i="215" s="1"/>
  <c r="L46" i="215" s="1"/>
  <c r="AD45" i="215"/>
  <c r="AH45" i="215" s="1"/>
  <c r="F45" i="215" s="1"/>
  <c r="L45" i="215" s="1"/>
  <c r="AD44" i="215"/>
  <c r="AH44" i="215" s="1"/>
  <c r="F44" i="215" s="1"/>
  <c r="L44" i="215" s="1"/>
  <c r="AD42" i="215"/>
  <c r="AH42" i="215" s="1"/>
  <c r="F42" i="215" s="1"/>
  <c r="L42" i="215" s="1"/>
  <c r="AD41" i="215"/>
  <c r="AH41" i="215" s="1"/>
  <c r="F41" i="215" s="1"/>
  <c r="L41" i="215" s="1"/>
  <c r="AD40" i="215"/>
  <c r="AH40" i="215" s="1"/>
  <c r="F40" i="215" s="1"/>
  <c r="L40" i="215" s="1"/>
  <c r="AD39" i="215"/>
  <c r="AH39" i="215" s="1"/>
  <c r="F39" i="215" s="1"/>
  <c r="L39" i="215" s="1"/>
  <c r="AD38" i="215"/>
  <c r="AH38" i="215" s="1"/>
  <c r="F38" i="215" s="1"/>
  <c r="L38" i="215" s="1"/>
  <c r="AD37" i="215"/>
  <c r="AH37" i="215" s="1"/>
  <c r="F37" i="215" s="1"/>
  <c r="L37" i="215" s="1"/>
  <c r="AD36" i="215"/>
  <c r="AH36" i="215" s="1"/>
  <c r="F36" i="215" s="1"/>
  <c r="L36" i="215" s="1"/>
  <c r="AD24" i="215"/>
  <c r="AH24" i="215" s="1"/>
  <c r="F24" i="215" s="1"/>
  <c r="L24" i="215" s="1"/>
  <c r="AD34" i="215"/>
  <c r="AH34" i="215" s="1"/>
  <c r="F34" i="215" s="1"/>
  <c r="L34" i="215" s="1"/>
  <c r="AD33" i="215"/>
  <c r="AH33" i="215" s="1"/>
  <c r="F33" i="215" s="1"/>
  <c r="L33" i="215" s="1"/>
  <c r="AD32" i="215"/>
  <c r="AH32" i="215" s="1"/>
  <c r="F32" i="215" s="1"/>
  <c r="L32" i="215" s="1"/>
  <c r="AD31" i="215"/>
  <c r="AH31" i="215" s="1"/>
  <c r="F31" i="215" s="1"/>
  <c r="L31" i="215" s="1"/>
  <c r="AD30" i="215"/>
  <c r="AH30" i="215" s="1"/>
  <c r="F30" i="215" s="1"/>
  <c r="L30" i="215" s="1"/>
  <c r="AD29" i="215"/>
  <c r="AH29" i="215" s="1"/>
  <c r="F29" i="215" s="1"/>
  <c r="L29" i="215" s="1"/>
  <c r="AD28" i="215"/>
  <c r="AH28" i="215" s="1"/>
  <c r="F28" i="215" s="1"/>
  <c r="L28" i="215" s="1"/>
  <c r="AD35" i="215"/>
  <c r="AH35" i="215" s="1"/>
  <c r="F35" i="215" s="1"/>
  <c r="L35" i="215" s="1"/>
  <c r="Z27" i="215"/>
  <c r="AD27" i="215" s="1"/>
  <c r="AH27" i="215" s="1"/>
  <c r="F27" i="215" s="1"/>
  <c r="L27" i="215" s="1"/>
  <c r="AD26" i="215"/>
  <c r="AH26" i="215" s="1"/>
  <c r="F26" i="215" s="1"/>
  <c r="L26" i="215" s="1"/>
  <c r="AD25" i="215"/>
  <c r="AH25" i="215" s="1"/>
  <c r="F25" i="215" s="1"/>
  <c r="L25" i="215" s="1"/>
  <c r="AD23" i="215"/>
  <c r="AH23" i="215" s="1"/>
  <c r="F23" i="215" s="1"/>
  <c r="L23" i="215" s="1"/>
  <c r="AD22" i="215"/>
  <c r="AH22" i="215" s="1"/>
  <c r="F22" i="215" s="1"/>
  <c r="L22" i="215" s="1"/>
  <c r="AD21" i="215"/>
  <c r="AH21" i="215" s="1"/>
  <c r="F21" i="215" s="1"/>
  <c r="L21" i="215" s="1"/>
  <c r="AD20" i="215"/>
  <c r="AH20" i="215" s="1"/>
  <c r="F20" i="215" s="1"/>
  <c r="L20" i="215" s="1"/>
  <c r="AD43" i="215"/>
  <c r="AH43" i="215" s="1"/>
  <c r="F43" i="215" s="1"/>
  <c r="L43" i="215" s="1"/>
  <c r="AD19" i="215"/>
  <c r="AH19" i="215" s="1"/>
  <c r="F19" i="215" s="1"/>
  <c r="L19" i="215" s="1"/>
  <c r="AD18" i="215"/>
  <c r="AH18" i="215" s="1"/>
  <c r="F18" i="215" s="1"/>
  <c r="L18" i="215" s="1"/>
  <c r="AD17" i="215"/>
  <c r="AH17" i="215" s="1"/>
  <c r="F17" i="215" s="1"/>
  <c r="L17" i="215" s="1"/>
  <c r="AD16" i="215"/>
  <c r="AH16" i="215" s="1"/>
  <c r="F16" i="215" s="1"/>
  <c r="L16" i="215" s="1"/>
  <c r="AD15" i="215"/>
  <c r="AH15" i="215" s="1"/>
  <c r="F15" i="215" s="1"/>
  <c r="L15" i="215" s="1"/>
  <c r="AD14" i="215"/>
  <c r="AH14" i="215" s="1"/>
  <c r="F14" i="215" s="1"/>
  <c r="L14" i="215" s="1"/>
  <c r="AD13" i="215"/>
  <c r="AH13" i="215" s="1"/>
  <c r="F13" i="215" s="1"/>
  <c r="L13" i="215" s="1"/>
  <c r="AD12" i="215"/>
  <c r="AH12" i="215" s="1"/>
  <c r="F12" i="215" s="1"/>
  <c r="L12" i="215" s="1"/>
  <c r="AD11" i="215"/>
  <c r="AH11" i="215" s="1"/>
  <c r="F11" i="215" l="1"/>
  <c r="L11" i="215" s="1"/>
  <c r="H15" i="215"/>
  <c r="T15" i="215"/>
  <c r="R15" i="215"/>
  <c r="H43" i="215"/>
  <c r="T43" i="215"/>
  <c r="R43" i="215"/>
  <c r="H16" i="215"/>
  <c r="T16" i="215"/>
  <c r="R16" i="215"/>
  <c r="H19" i="215"/>
  <c r="T19" i="215"/>
  <c r="R19" i="215"/>
  <c r="H23" i="215"/>
  <c r="T23" i="215"/>
  <c r="R23" i="215"/>
  <c r="H27" i="215"/>
  <c r="T27" i="215"/>
  <c r="R27" i="215"/>
  <c r="H30" i="215"/>
  <c r="T30" i="215"/>
  <c r="R30" i="215"/>
  <c r="H33" i="215"/>
  <c r="T33" i="215"/>
  <c r="R33" i="215"/>
  <c r="H38" i="215"/>
  <c r="T38" i="215"/>
  <c r="R38" i="215"/>
  <c r="H41" i="215"/>
  <c r="T41" i="215"/>
  <c r="R41" i="215"/>
  <c r="H47" i="215"/>
  <c r="T47" i="215"/>
  <c r="R47" i="215"/>
  <c r="H50" i="215"/>
  <c r="T50" i="215"/>
  <c r="R50" i="215"/>
  <c r="H13" i="215"/>
  <c r="T13" i="215"/>
  <c r="R13" i="215"/>
  <c r="H18" i="215"/>
  <c r="T18" i="215"/>
  <c r="R18" i="215"/>
  <c r="H20" i="215"/>
  <c r="T20" i="215"/>
  <c r="R20" i="215"/>
  <c r="H26" i="215"/>
  <c r="T26" i="215"/>
  <c r="R26" i="215"/>
  <c r="H28" i="215"/>
  <c r="T28" i="215"/>
  <c r="R28" i="215"/>
  <c r="H32" i="215"/>
  <c r="T32" i="215"/>
  <c r="R32" i="215"/>
  <c r="H24" i="215"/>
  <c r="T24" i="215"/>
  <c r="R24" i="215"/>
  <c r="H40" i="215"/>
  <c r="T40" i="215"/>
  <c r="R40" i="215"/>
  <c r="H44" i="215"/>
  <c r="T44" i="215"/>
  <c r="R44" i="215"/>
  <c r="H49" i="215"/>
  <c r="T49" i="215"/>
  <c r="R49" i="215"/>
  <c r="H12" i="215"/>
  <c r="T12" i="215"/>
  <c r="R12" i="215"/>
  <c r="H22" i="215"/>
  <c r="T22" i="215"/>
  <c r="R22" i="215"/>
  <c r="H35" i="215"/>
  <c r="T35" i="215"/>
  <c r="R35" i="215"/>
  <c r="H34" i="215"/>
  <c r="T34" i="215"/>
  <c r="R34" i="215"/>
  <c r="H37" i="215"/>
  <c r="T37" i="215"/>
  <c r="R37" i="215"/>
  <c r="H42" i="215"/>
  <c r="T42" i="215"/>
  <c r="R42" i="215"/>
  <c r="H46" i="215"/>
  <c r="T46" i="215"/>
  <c r="R46" i="215"/>
  <c r="H14" i="215"/>
  <c r="T14" i="215"/>
  <c r="R14" i="215"/>
  <c r="H17" i="215"/>
  <c r="T17" i="215"/>
  <c r="R17" i="215"/>
  <c r="H21" i="215"/>
  <c r="R21" i="215"/>
  <c r="T21" i="215"/>
  <c r="H25" i="215"/>
  <c r="T25" i="215"/>
  <c r="R25" i="215"/>
  <c r="H29" i="215"/>
  <c r="R29" i="215"/>
  <c r="T29" i="215"/>
  <c r="H31" i="215"/>
  <c r="R31" i="215"/>
  <c r="T31" i="215"/>
  <c r="H36" i="215"/>
  <c r="R36" i="215"/>
  <c r="T36" i="215"/>
  <c r="H39" i="215"/>
  <c r="T39" i="215"/>
  <c r="R39" i="215"/>
  <c r="H45" i="215"/>
  <c r="R45" i="215"/>
  <c r="T45" i="215"/>
  <c r="H48" i="215"/>
  <c r="T48" i="215"/>
  <c r="R48" i="215"/>
  <c r="G9" i="56"/>
  <c r="N48" i="215" l="1"/>
  <c r="N49" i="215"/>
  <c r="N24" i="215"/>
  <c r="N28" i="215"/>
  <c r="N18" i="215"/>
  <c r="N39" i="215"/>
  <c r="N26" i="215"/>
  <c r="N17" i="215"/>
  <c r="N45" i="215"/>
  <c r="N29" i="215"/>
  <c r="N25" i="215"/>
  <c r="N21" i="215"/>
  <c r="N46" i="215"/>
  <c r="N42" i="215"/>
  <c r="N37" i="215"/>
  <c r="N44" i="215"/>
  <c r="N36" i="215"/>
  <c r="N31" i="215"/>
  <c r="N20" i="215"/>
  <c r="N14" i="215"/>
  <c r="N34" i="215"/>
  <c r="N35" i="215"/>
  <c r="N22" i="215"/>
  <c r="N12" i="215"/>
  <c r="N40" i="215"/>
  <c r="N32" i="215"/>
  <c r="N13" i="215"/>
  <c r="N50" i="215"/>
  <c r="N47" i="215"/>
  <c r="N41" i="215"/>
  <c r="N38" i="215"/>
  <c r="N33" i="215"/>
  <c r="N30" i="215"/>
  <c r="N27" i="215"/>
  <c r="N23" i="215"/>
  <c r="N19" i="215"/>
  <c r="N16" i="215"/>
  <c r="N43" i="215"/>
  <c r="N15" i="215"/>
  <c r="D63" i="216" l="1"/>
  <c r="D30" i="216"/>
  <c r="A4" i="9"/>
  <c r="F4" i="30"/>
  <c r="C17" i="39"/>
  <c r="C7" i="39"/>
  <c r="B633" i="212" l="1"/>
  <c r="E633" i="212"/>
  <c r="C633" i="212" s="1"/>
  <c r="B562" i="212"/>
  <c r="E562" i="212"/>
  <c r="C562" i="212" s="1"/>
  <c r="F562" i="212" s="1"/>
  <c r="G562" i="212" s="1"/>
  <c r="B479" i="212"/>
  <c r="E479" i="212"/>
  <c r="C472" i="212"/>
  <c r="D472" i="212"/>
  <c r="B469" i="212"/>
  <c r="E469" i="212"/>
  <c r="B420" i="212"/>
  <c r="E420" i="212"/>
  <c r="B302" i="212"/>
  <c r="E302" i="212"/>
  <c r="B295" i="212"/>
  <c r="E295" i="212"/>
  <c r="E289" i="212"/>
  <c r="C289" i="212" s="1"/>
  <c r="B289" i="212"/>
  <c r="E233" i="212"/>
  <c r="B233" i="212"/>
  <c r="D208" i="212"/>
  <c r="E199" i="212"/>
  <c r="E200" i="212"/>
  <c r="E201" i="212"/>
  <c r="E202" i="212"/>
  <c r="E203" i="212"/>
  <c r="B199" i="212"/>
  <c r="B200" i="212"/>
  <c r="B201" i="212"/>
  <c r="B202" i="212"/>
  <c r="B203" i="212"/>
  <c r="B204" i="212"/>
  <c r="E124" i="212"/>
  <c r="C124" i="212" s="1"/>
  <c r="F124" i="212" s="1"/>
  <c r="B124" i="212"/>
  <c r="F94" i="212"/>
  <c r="E94" i="212"/>
  <c r="D94" i="212" s="1"/>
  <c r="E95" i="212"/>
  <c r="D95" i="212" s="1"/>
  <c r="F95" i="212"/>
  <c r="B94" i="212"/>
  <c r="B95" i="212"/>
  <c r="E83" i="212"/>
  <c r="C83" i="212" s="1"/>
  <c r="F83" i="212" s="1"/>
  <c r="E84" i="212"/>
  <c r="C84" i="212" s="1"/>
  <c r="F84" i="212" s="1"/>
  <c r="E85" i="212"/>
  <c r="C85" i="212" s="1"/>
  <c r="F85" i="212" s="1"/>
  <c r="E86" i="212"/>
  <c r="C86" i="212" s="1"/>
  <c r="F86" i="212" s="1"/>
  <c r="E87" i="212"/>
  <c r="C87" i="212" s="1"/>
  <c r="F87" i="212" s="1"/>
  <c r="E88" i="212"/>
  <c r="C88" i="212" s="1"/>
  <c r="F88" i="212" s="1"/>
  <c r="E89" i="212"/>
  <c r="C89" i="212" s="1"/>
  <c r="F89" i="212" s="1"/>
  <c r="E90" i="212"/>
  <c r="C90" i="212" s="1"/>
  <c r="F90" i="212" s="1"/>
  <c r="E91" i="212"/>
  <c r="C91" i="212" s="1"/>
  <c r="F91" i="212" s="1"/>
  <c r="E82" i="212"/>
  <c r="C82" i="212" s="1"/>
  <c r="F82" i="212" s="1"/>
  <c r="E92" i="212"/>
  <c r="C92" i="212" s="1"/>
  <c r="B82" i="212"/>
  <c r="B83" i="212"/>
  <c r="B84" i="212"/>
  <c r="B85" i="212"/>
  <c r="B86" i="212"/>
  <c r="B87" i="212"/>
  <c r="B88" i="212"/>
  <c r="B89" i="212"/>
  <c r="B90" i="212"/>
  <c r="B91" i="212"/>
  <c r="E35" i="212"/>
  <c r="C35" i="212" s="1"/>
  <c r="F35" i="212" s="1"/>
  <c r="B35" i="212"/>
  <c r="E19" i="212"/>
  <c r="C19" i="212" s="1"/>
  <c r="F19" i="212" s="1"/>
  <c r="G19" i="212" s="1"/>
  <c r="B19" i="212"/>
  <c r="E447" i="211"/>
  <c r="E448" i="211"/>
  <c r="E449" i="211"/>
  <c r="E389" i="211"/>
  <c r="E321" i="211"/>
  <c r="E322" i="211"/>
  <c r="E318" i="211"/>
  <c r="E280" i="211"/>
  <c r="E224" i="211"/>
  <c r="E217" i="211"/>
  <c r="E215" i="211"/>
  <c r="E176" i="211"/>
  <c r="E13" i="211"/>
  <c r="E14" i="211"/>
  <c r="E15" i="211"/>
  <c r="E16" i="211"/>
  <c r="E17" i="211"/>
  <c r="E18" i="211"/>
  <c r="E19" i="211"/>
  <c r="E20" i="211"/>
  <c r="E21" i="211"/>
  <c r="E22" i="211"/>
  <c r="E23" i="211"/>
  <c r="E24" i="211"/>
  <c r="E25" i="211"/>
  <c r="E26" i="211"/>
  <c r="E27" i="211"/>
  <c r="E28" i="211"/>
  <c r="E29" i="211"/>
  <c r="E30" i="211"/>
  <c r="E31" i="211"/>
  <c r="E32" i="211"/>
  <c r="E33" i="211"/>
  <c r="E34" i="211"/>
  <c r="E35" i="211"/>
  <c r="E36" i="211"/>
  <c r="E37" i="211"/>
  <c r="E38" i="211"/>
  <c r="E39" i="211"/>
  <c r="E40" i="211"/>
  <c r="E41" i="211"/>
  <c r="E42" i="211"/>
  <c r="E43" i="211"/>
  <c r="E44" i="211"/>
  <c r="E45" i="211"/>
  <c r="E46" i="211"/>
  <c r="E47" i="211"/>
  <c r="E48" i="211"/>
  <c r="E49" i="211"/>
  <c r="E50" i="211"/>
  <c r="E51" i="211"/>
  <c r="E52" i="211"/>
  <c r="E53" i="211"/>
  <c r="E54" i="211"/>
  <c r="E55" i="211"/>
  <c r="E56" i="211"/>
  <c r="E57" i="211"/>
  <c r="E58" i="211"/>
  <c r="E59" i="211"/>
  <c r="E60" i="211"/>
  <c r="E61" i="211"/>
  <c r="E62" i="211"/>
  <c r="E63" i="211"/>
  <c r="E64" i="211"/>
  <c r="E65" i="211"/>
  <c r="E66" i="211"/>
  <c r="E67" i="211"/>
  <c r="E68" i="211"/>
  <c r="E69" i="211"/>
  <c r="E70" i="211"/>
  <c r="E71" i="211"/>
  <c r="E72" i="211"/>
  <c r="E73" i="211"/>
  <c r="E74" i="211"/>
  <c r="E75" i="211"/>
  <c r="E76" i="211"/>
  <c r="E77" i="211"/>
  <c r="E78" i="211"/>
  <c r="E79" i="211"/>
  <c r="E80" i="211"/>
  <c r="E81" i="211"/>
  <c r="E82" i="211"/>
  <c r="E83" i="211"/>
  <c r="E84" i="211"/>
  <c r="E85" i="211"/>
  <c r="E86" i="211"/>
  <c r="E87" i="211"/>
  <c r="E88" i="211"/>
  <c r="E89" i="211"/>
  <c r="E90" i="211"/>
  <c r="E91" i="211"/>
  <c r="E92" i="211"/>
  <c r="E93" i="211"/>
  <c r="E94" i="211"/>
  <c r="E95" i="211"/>
  <c r="E96" i="211"/>
  <c r="E97" i="211"/>
  <c r="E98" i="211"/>
  <c r="E99" i="211"/>
  <c r="E100" i="211"/>
  <c r="E101" i="211"/>
  <c r="E102" i="211"/>
  <c r="E103" i="211"/>
  <c r="E104" i="211"/>
  <c r="E105" i="211"/>
  <c r="E106" i="211"/>
  <c r="E107" i="211"/>
  <c r="E108" i="211"/>
  <c r="E109" i="211"/>
  <c r="E110" i="211"/>
  <c r="E111" i="211"/>
  <c r="E112" i="211"/>
  <c r="E113" i="211"/>
  <c r="E114" i="211"/>
  <c r="E115" i="211"/>
  <c r="E116" i="211"/>
  <c r="E117" i="211"/>
  <c r="E118" i="211"/>
  <c r="E119" i="211"/>
  <c r="E120" i="211"/>
  <c r="E121" i="211"/>
  <c r="E122" i="211"/>
  <c r="E123" i="211"/>
  <c r="E124" i="211"/>
  <c r="E125" i="211"/>
  <c r="E126" i="211"/>
  <c r="E127" i="211"/>
  <c r="E128" i="211"/>
  <c r="E129" i="211"/>
  <c r="E130" i="211"/>
  <c r="E131" i="211"/>
  <c r="E132" i="211"/>
  <c r="E133" i="211"/>
  <c r="E134" i="211"/>
  <c r="E135" i="211"/>
  <c r="E136" i="211"/>
  <c r="E137" i="211"/>
  <c r="E138" i="211"/>
  <c r="E139" i="211"/>
  <c r="E140" i="211"/>
  <c r="E141" i="211"/>
  <c r="E142" i="211"/>
  <c r="E143" i="211"/>
  <c r="E144" i="211"/>
  <c r="E145" i="211"/>
  <c r="E146" i="211"/>
  <c r="E147" i="211"/>
  <c r="E148" i="211"/>
  <c r="E149" i="211"/>
  <c r="E150" i="211"/>
  <c r="E151" i="211"/>
  <c r="E152" i="211"/>
  <c r="E153" i="211"/>
  <c r="E154" i="211"/>
  <c r="E155" i="211"/>
  <c r="E156" i="211"/>
  <c r="E157" i="211"/>
  <c r="E158" i="211"/>
  <c r="E159" i="211"/>
  <c r="E160" i="211"/>
  <c r="E161" i="211"/>
  <c r="E162" i="211"/>
  <c r="E163" i="211"/>
  <c r="E164" i="211"/>
  <c r="E165" i="211"/>
  <c r="E166" i="211"/>
  <c r="E167" i="211"/>
  <c r="E168" i="211"/>
  <c r="E169" i="211"/>
  <c r="E170" i="211"/>
  <c r="E171" i="211"/>
  <c r="E172" i="211"/>
  <c r="E173" i="211"/>
  <c r="E174" i="211"/>
  <c r="E175" i="211"/>
  <c r="E177" i="211"/>
  <c r="E178" i="211"/>
  <c r="E179" i="211"/>
  <c r="E180" i="211"/>
  <c r="E181" i="211"/>
  <c r="E182" i="211"/>
  <c r="E183" i="211"/>
  <c r="E184" i="211"/>
  <c r="E185" i="211"/>
  <c r="E186" i="211"/>
  <c r="E187" i="211"/>
  <c r="E188" i="211"/>
  <c r="E189" i="211"/>
  <c r="E190" i="211"/>
  <c r="E191" i="211"/>
  <c r="E192" i="211"/>
  <c r="E193" i="211"/>
  <c r="E194" i="211"/>
  <c r="E195" i="211"/>
  <c r="E196" i="211"/>
  <c r="E197" i="211"/>
  <c r="E198" i="211"/>
  <c r="E199" i="211"/>
  <c r="E200" i="211"/>
  <c r="E201" i="211"/>
  <c r="E202" i="211"/>
  <c r="E203" i="211"/>
  <c r="E204" i="211"/>
  <c r="E205" i="211"/>
  <c r="E206" i="211"/>
  <c r="E207" i="211"/>
  <c r="E208" i="211"/>
  <c r="E209" i="211"/>
  <c r="E210" i="211"/>
  <c r="E211" i="211"/>
  <c r="E212" i="211"/>
  <c r="E213" i="211"/>
  <c r="E214" i="211"/>
  <c r="E216" i="211"/>
  <c r="E218" i="211"/>
  <c r="E219" i="211"/>
  <c r="E220" i="211"/>
  <c r="E221" i="211"/>
  <c r="E222" i="211"/>
  <c r="E223" i="211"/>
  <c r="E225" i="211"/>
  <c r="E226" i="211"/>
  <c r="E227" i="211"/>
  <c r="E228" i="211"/>
  <c r="E229" i="211"/>
  <c r="E230" i="211"/>
  <c r="E231" i="211"/>
  <c r="E232" i="211"/>
  <c r="E233" i="211"/>
  <c r="E234" i="211"/>
  <c r="E235" i="211"/>
  <c r="E236" i="211"/>
  <c r="E237" i="211"/>
  <c r="E238" i="211"/>
  <c r="E239" i="211"/>
  <c r="E240" i="211"/>
  <c r="E241" i="211"/>
  <c r="E242" i="211"/>
  <c r="E243" i="211"/>
  <c r="E244" i="211"/>
  <c r="E245" i="211"/>
  <c r="E246" i="211"/>
  <c r="E247" i="211"/>
  <c r="E248" i="211"/>
  <c r="E249" i="211"/>
  <c r="E250" i="211"/>
  <c r="E251" i="211"/>
  <c r="E252" i="211"/>
  <c r="E253" i="211"/>
  <c r="E254" i="211"/>
  <c r="E255" i="211"/>
  <c r="E256" i="211"/>
  <c r="E257" i="211"/>
  <c r="E258" i="211"/>
  <c r="E259" i="211"/>
  <c r="E260" i="211"/>
  <c r="E261" i="211"/>
  <c r="E262" i="211"/>
  <c r="E263" i="211"/>
  <c r="E264" i="211"/>
  <c r="E265" i="211"/>
  <c r="E266" i="211"/>
  <c r="E267" i="211"/>
  <c r="E268" i="211"/>
  <c r="E269" i="211"/>
  <c r="E270" i="211"/>
  <c r="E271" i="211"/>
  <c r="E272" i="211"/>
  <c r="E273" i="211"/>
  <c r="E274" i="211"/>
  <c r="E275" i="211"/>
  <c r="E276" i="211"/>
  <c r="E277" i="211"/>
  <c r="E278" i="211"/>
  <c r="E279" i="211"/>
  <c r="E281" i="211"/>
  <c r="E282" i="211"/>
  <c r="E283" i="211"/>
  <c r="E284" i="211"/>
  <c r="E285" i="211"/>
  <c r="E286" i="211"/>
  <c r="E287" i="211"/>
  <c r="E288" i="211"/>
  <c r="E289" i="211"/>
  <c r="E290" i="211"/>
  <c r="E291" i="211"/>
  <c r="E292" i="211"/>
  <c r="E293" i="211"/>
  <c r="E294" i="211"/>
  <c r="E295" i="211"/>
  <c r="E296" i="211"/>
  <c r="E297" i="211"/>
  <c r="E298" i="211"/>
  <c r="E299" i="211"/>
  <c r="E300" i="211"/>
  <c r="E301" i="211"/>
  <c r="E302" i="211"/>
  <c r="E303" i="211"/>
  <c r="E304" i="211"/>
  <c r="E305" i="211"/>
  <c r="E306" i="211"/>
  <c r="E307" i="211"/>
  <c r="E308" i="211"/>
  <c r="E309" i="211"/>
  <c r="E310" i="211"/>
  <c r="E311" i="211"/>
  <c r="E312" i="211"/>
  <c r="E313" i="211"/>
  <c r="E314" i="211"/>
  <c r="E315" i="211"/>
  <c r="E316" i="211"/>
  <c r="E317" i="211"/>
  <c r="E319" i="211"/>
  <c r="E320" i="211"/>
  <c r="E323" i="211"/>
  <c r="E324" i="211"/>
  <c r="E325" i="211"/>
  <c r="E326" i="211"/>
  <c r="E327" i="211"/>
  <c r="E328" i="211"/>
  <c r="E329" i="211"/>
  <c r="E330" i="211"/>
  <c r="E331" i="211"/>
  <c r="E332" i="211"/>
  <c r="E333" i="211"/>
  <c r="E334" i="211"/>
  <c r="E335" i="211"/>
  <c r="E336" i="211"/>
  <c r="E337" i="211"/>
  <c r="E338" i="211"/>
  <c r="E339" i="211"/>
  <c r="E340" i="211"/>
  <c r="E341" i="211"/>
  <c r="E342" i="211"/>
  <c r="E343" i="211"/>
  <c r="E344" i="211"/>
  <c r="E345" i="211"/>
  <c r="E346" i="211"/>
  <c r="E347" i="211"/>
  <c r="E348" i="211"/>
  <c r="E349" i="211"/>
  <c r="E350" i="211"/>
  <c r="E351" i="211"/>
  <c r="E352" i="211"/>
  <c r="E353" i="211"/>
  <c r="E354" i="211"/>
  <c r="E355" i="211"/>
  <c r="E356" i="211"/>
  <c r="E357" i="211"/>
  <c r="E358" i="211"/>
  <c r="E359" i="211"/>
  <c r="E360" i="211"/>
  <c r="E361" i="211"/>
  <c r="E362" i="211"/>
  <c r="E363" i="211"/>
  <c r="E364" i="211"/>
  <c r="E365" i="211"/>
  <c r="E366" i="211"/>
  <c r="E367" i="211"/>
  <c r="E368" i="211"/>
  <c r="E369" i="211"/>
  <c r="E370" i="211"/>
  <c r="E371" i="211"/>
  <c r="E372" i="211"/>
  <c r="E373" i="211"/>
  <c r="E374" i="211"/>
  <c r="E375" i="211"/>
  <c r="E376" i="211"/>
  <c r="E377" i="211"/>
  <c r="E378" i="211"/>
  <c r="E379" i="211"/>
  <c r="E380" i="211"/>
  <c r="E381" i="211"/>
  <c r="E382" i="211"/>
  <c r="E383" i="211"/>
  <c r="E384" i="211"/>
  <c r="E385" i="211"/>
  <c r="E386" i="211"/>
  <c r="E387" i="211"/>
  <c r="E388" i="211"/>
  <c r="E390" i="211"/>
  <c r="E391" i="211"/>
  <c r="E392" i="211"/>
  <c r="E393" i="211"/>
  <c r="E394" i="211"/>
  <c r="E395" i="211"/>
  <c r="E396" i="211"/>
  <c r="E397" i="211"/>
  <c r="E398" i="211"/>
  <c r="E399" i="211"/>
  <c r="E400" i="211"/>
  <c r="E401" i="211"/>
  <c r="E402" i="211"/>
  <c r="E403" i="211"/>
  <c r="E404" i="211"/>
  <c r="E405" i="211"/>
  <c r="E406" i="211"/>
  <c r="E407" i="211"/>
  <c r="E408" i="211"/>
  <c r="E409" i="211"/>
  <c r="E410" i="211"/>
  <c r="E411" i="211"/>
  <c r="E412" i="211"/>
  <c r="E413" i="211"/>
  <c r="E414" i="211"/>
  <c r="E415" i="211"/>
  <c r="E416" i="211"/>
  <c r="E417" i="211"/>
  <c r="E418" i="211"/>
  <c r="E419" i="211"/>
  <c r="E420" i="211"/>
  <c r="E421" i="211"/>
  <c r="E422" i="211"/>
  <c r="E423" i="211"/>
  <c r="E424" i="211"/>
  <c r="E425" i="211"/>
  <c r="E426" i="211"/>
  <c r="E427" i="211"/>
  <c r="E428" i="211"/>
  <c r="E429" i="211"/>
  <c r="E430" i="211"/>
  <c r="E431" i="211"/>
  <c r="E432" i="211"/>
  <c r="E433" i="211"/>
  <c r="E434" i="211"/>
  <c r="E435" i="211"/>
  <c r="E436" i="211"/>
  <c r="E437" i="211"/>
  <c r="E438" i="211"/>
  <c r="E439" i="211"/>
  <c r="E440" i="211"/>
  <c r="E441" i="211"/>
  <c r="E442" i="211"/>
  <c r="E443" i="211"/>
  <c r="E444" i="211"/>
  <c r="E445" i="211"/>
  <c r="E446" i="211"/>
  <c r="E3" i="211"/>
  <c r="E4" i="211"/>
  <c r="E5" i="211"/>
  <c r="E6" i="211"/>
  <c r="E7" i="211"/>
  <c r="E8" i="211"/>
  <c r="E9" i="211"/>
  <c r="E10" i="211"/>
  <c r="E11" i="211"/>
  <c r="E12" i="211"/>
  <c r="E2" i="211"/>
  <c r="D453" i="211"/>
  <c r="E5" i="212"/>
  <c r="D5" i="212"/>
  <c r="C5" i="212"/>
  <c r="A2" i="212"/>
  <c r="A1" i="212"/>
  <c r="C233" i="212" l="1"/>
  <c r="G95" i="212"/>
  <c r="G94" i="212"/>
  <c r="G124" i="212"/>
  <c r="G89" i="212"/>
  <c r="G83" i="212"/>
  <c r="G91" i="212"/>
  <c r="G87" i="212"/>
  <c r="G85" i="212"/>
  <c r="G90" i="212"/>
  <c r="G88" i="212"/>
  <c r="G86" i="212"/>
  <c r="G84" i="212"/>
  <c r="G82" i="212"/>
  <c r="G35" i="212"/>
  <c r="F233" i="212" l="1"/>
  <c r="G233" i="212" l="1"/>
  <c r="A4" i="11"/>
  <c r="A1" i="11"/>
  <c r="F55" i="9" l="1"/>
  <c r="B1" i="30" l="1"/>
  <c r="A33" i="21"/>
  <c r="A36" i="21"/>
  <c r="A4" i="12" l="1"/>
  <c r="D17" i="222"/>
  <c r="A1" i="213"/>
  <c r="D21" i="222"/>
  <c r="D23" i="222" s="1"/>
  <c r="A4" i="54" l="1"/>
  <c r="A4" i="53"/>
  <c r="A4" i="52"/>
  <c r="A4" i="50"/>
  <c r="A4" i="26"/>
  <c r="A1" i="26"/>
  <c r="A4" i="49"/>
  <c r="A4" i="22"/>
  <c r="A4" i="10"/>
  <c r="A4" i="215"/>
  <c r="A1" i="215"/>
  <c r="A1" i="214" s="1"/>
  <c r="A4" i="19"/>
  <c r="A1" i="57"/>
  <c r="A1" i="9"/>
  <c r="A4" i="57"/>
  <c r="A4" i="56"/>
  <c r="A4" i="29"/>
  <c r="A4" i="216" s="1"/>
  <c r="A1" i="12" l="1"/>
  <c r="A1" i="229"/>
  <c r="C20" i="2" l="1"/>
  <c r="C12" i="2"/>
  <c r="C9" i="2"/>
  <c r="C8" i="2"/>
  <c r="C23" i="2"/>
  <c r="C22" i="2"/>
  <c r="C10" i="2"/>
  <c r="G20" i="2" l="1"/>
  <c r="G12" i="2"/>
  <c r="G23" i="2"/>
  <c r="G8" i="2"/>
  <c r="W19" i="221"/>
  <c r="C7" i="2"/>
  <c r="K13" i="2"/>
  <c r="K15" i="2"/>
  <c r="M15" i="2" s="1"/>
  <c r="K16" i="2"/>
  <c r="M16" i="2" s="1"/>
  <c r="G21" i="2" l="1"/>
  <c r="G22" i="2"/>
  <c r="G7" i="2"/>
  <c r="Q7" i="2" s="1"/>
  <c r="W20" i="221"/>
  <c r="W23" i="221" s="1"/>
  <c r="G9" i="2"/>
  <c r="G10" i="2"/>
  <c r="G13" i="2"/>
  <c r="M13" i="2" s="1"/>
  <c r="O13" i="2" s="1"/>
  <c r="G11" i="2"/>
  <c r="K21" i="2"/>
  <c r="I10" i="2"/>
  <c r="K10" i="2" s="1"/>
  <c r="I9" i="2"/>
  <c r="K9" i="2" s="1"/>
  <c r="I23" i="2"/>
  <c r="K23" i="2" s="1"/>
  <c r="M23" i="2" s="1"/>
  <c r="O23" i="2" s="1"/>
  <c r="K11" i="2"/>
  <c r="I20" i="2"/>
  <c r="K20" i="2" s="1"/>
  <c r="M20" i="2" s="1"/>
  <c r="O20" i="2" s="1"/>
  <c r="I8" i="2"/>
  <c r="K8" i="2" s="1"/>
  <c r="M8" i="2" s="1"/>
  <c r="O8" i="2" s="1"/>
  <c r="I22" i="2"/>
  <c r="K22" i="2" s="1"/>
  <c r="W369" i="221"/>
  <c r="M10" i="2" l="1"/>
  <c r="O10" i="2" s="1"/>
  <c r="M11" i="2"/>
  <c r="O11" i="2" s="1"/>
  <c r="M9" i="2"/>
  <c r="O9" i="2" s="1"/>
  <c r="M22" i="2"/>
  <c r="O22" i="2" s="1"/>
  <c r="M21" i="2"/>
  <c r="O21" i="2" s="1"/>
  <c r="Y369" i="221"/>
  <c r="W372" i="221"/>
  <c r="I12" i="2" l="1"/>
  <c r="K12" i="2" s="1"/>
  <c r="M12" i="2" s="1"/>
  <c r="O12" i="2" s="1"/>
  <c r="W21" i="221" l="1"/>
  <c r="W22" i="221" s="1"/>
  <c r="X23" i="221" s="1"/>
  <c r="I7" i="2"/>
  <c r="K7" i="2" s="1"/>
  <c r="M7" i="2" s="1"/>
  <c r="X376" i="221"/>
  <c r="O7" i="2" l="1"/>
  <c r="W219" i="221"/>
  <c r="W221" i="221" l="1"/>
  <c r="Y219" i="221"/>
  <c r="W376" i="221"/>
  <c r="Y376" i="221" l="1"/>
  <c r="W379" i="221"/>
  <c r="K475" i="27" l="1"/>
  <c r="K476" i="27"/>
  <c r="O476" i="27" s="1"/>
  <c r="K477" i="27"/>
  <c r="O477" i="27" s="1"/>
  <c r="K473" i="27"/>
  <c r="O473" i="27" s="1"/>
  <c r="K474" i="27"/>
  <c r="O474" i="27" s="1"/>
  <c r="K478" i="27"/>
  <c r="O478" i="27" s="1"/>
  <c r="M479" i="27"/>
  <c r="K422" i="27"/>
  <c r="O422" i="27" s="1"/>
  <c r="K413" i="27"/>
  <c r="O413" i="27" s="1"/>
  <c r="K411" i="27"/>
  <c r="K402" i="27"/>
  <c r="O402" i="27" s="1"/>
  <c r="K380" i="27"/>
  <c r="O380" i="27" s="1"/>
  <c r="M381" i="27"/>
  <c r="K379" i="27"/>
  <c r="O379" i="27" s="1"/>
  <c r="K365" i="27"/>
  <c r="O365" i="27" s="1"/>
  <c r="K539" i="27"/>
  <c r="K537" i="27"/>
  <c r="O537" i="27" s="1"/>
  <c r="K535" i="27"/>
  <c r="O535" i="27" s="1"/>
  <c r="G530" i="27"/>
  <c r="E530" i="27"/>
  <c r="K529" i="27"/>
  <c r="K530" i="27" s="1"/>
  <c r="M519" i="27"/>
  <c r="K518" i="27"/>
  <c r="O518" i="27" s="1"/>
  <c r="K517" i="27"/>
  <c r="O517" i="27" s="1"/>
  <c r="M506" i="27"/>
  <c r="K505" i="27"/>
  <c r="O505" i="27" s="1"/>
  <c r="M493" i="27"/>
  <c r="K492" i="27"/>
  <c r="O492" i="27" s="1"/>
  <c r="K491" i="27"/>
  <c r="O491" i="27" s="1"/>
  <c r="K468" i="27"/>
  <c r="O468" i="27" s="1"/>
  <c r="K466" i="27"/>
  <c r="O466" i="27" s="1"/>
  <c r="K464" i="27"/>
  <c r="O464" i="27" s="1"/>
  <c r="K462" i="27"/>
  <c r="O462" i="27" s="1"/>
  <c r="K460" i="27"/>
  <c r="O460" i="27" s="1"/>
  <c r="K458" i="27"/>
  <c r="O458" i="27" s="1"/>
  <c r="K456" i="27"/>
  <c r="O456" i="27" s="1"/>
  <c r="K454" i="27"/>
  <c r="O454" i="27" s="1"/>
  <c r="K452" i="27"/>
  <c r="O452" i="27" s="1"/>
  <c r="K450" i="27"/>
  <c r="O450" i="27" s="1"/>
  <c r="K448" i="27"/>
  <c r="O448" i="27" s="1"/>
  <c r="K446" i="27"/>
  <c r="O446" i="27" s="1"/>
  <c r="K444" i="27"/>
  <c r="O444" i="27" s="1"/>
  <c r="K442" i="27"/>
  <c r="O442" i="27" s="1"/>
  <c r="K440" i="27"/>
  <c r="O440" i="27" s="1"/>
  <c r="G440" i="27"/>
  <c r="K438" i="27"/>
  <c r="O438" i="27" s="1"/>
  <c r="K436" i="27"/>
  <c r="O436" i="27" s="1"/>
  <c r="K434" i="27"/>
  <c r="O434" i="27" s="1"/>
  <c r="K432" i="27"/>
  <c r="O432" i="27" s="1"/>
  <c r="G432" i="27"/>
  <c r="K430" i="27"/>
  <c r="O430" i="27" s="1"/>
  <c r="G430" i="27"/>
  <c r="M423" i="27"/>
  <c r="M414" i="27"/>
  <c r="K412" i="27"/>
  <c r="O412" i="27" s="1"/>
  <c r="K403" i="27"/>
  <c r="O403" i="27" s="1"/>
  <c r="I404" i="27"/>
  <c r="M393" i="27"/>
  <c r="K392" i="27"/>
  <c r="O392" i="27" s="1"/>
  <c r="K391" i="27"/>
  <c r="O391" i="27" s="1"/>
  <c r="G393" i="27"/>
  <c r="M367" i="27"/>
  <c r="K366" i="27"/>
  <c r="O366" i="27" s="1"/>
  <c r="K364" i="27"/>
  <c r="O364" i="27" s="1"/>
  <c r="M352" i="27"/>
  <c r="A18" i="27"/>
  <c r="A17" i="27"/>
  <c r="M543" i="27" l="1"/>
  <c r="G367" i="27"/>
  <c r="G414" i="27"/>
  <c r="E352" i="27"/>
  <c r="I423" i="27"/>
  <c r="G479" i="27"/>
  <c r="E479" i="27"/>
  <c r="G404" i="27"/>
  <c r="Q413" i="27"/>
  <c r="E423" i="27"/>
  <c r="I479" i="27"/>
  <c r="K479" i="27"/>
  <c r="O475" i="27"/>
  <c r="O479" i="27" s="1"/>
  <c r="E367" i="27"/>
  <c r="I367" i="27"/>
  <c r="E381" i="27"/>
  <c r="G381" i="27"/>
  <c r="E404" i="27"/>
  <c r="G493" i="27"/>
  <c r="I506" i="27"/>
  <c r="I381" i="27"/>
  <c r="X380" i="27"/>
  <c r="K378" i="27"/>
  <c r="Q380" i="27"/>
  <c r="E393" i="27"/>
  <c r="I393" i="27"/>
  <c r="G423" i="27"/>
  <c r="G468" i="27"/>
  <c r="G470" i="27" s="1"/>
  <c r="I470" i="27" s="1"/>
  <c r="K470" i="27" s="1"/>
  <c r="E493" i="27"/>
  <c r="I493" i="27"/>
  <c r="X497" i="27"/>
  <c r="E519" i="27"/>
  <c r="I519" i="27"/>
  <c r="G506" i="27"/>
  <c r="G519" i="27"/>
  <c r="K516" i="27"/>
  <c r="K519" i="27" s="1"/>
  <c r="X485" i="27"/>
  <c r="E506" i="27"/>
  <c r="K414" i="27"/>
  <c r="O411" i="27"/>
  <c r="O414" i="27" s="1"/>
  <c r="K363" i="27"/>
  <c r="X392" i="27"/>
  <c r="K401" i="27"/>
  <c r="E414" i="27"/>
  <c r="I414" i="27"/>
  <c r="Q422" i="27"/>
  <c r="K490" i="27"/>
  <c r="K504" i="27"/>
  <c r="K390" i="27"/>
  <c r="Q392" i="27"/>
  <c r="K421" i="27"/>
  <c r="M529" i="27"/>
  <c r="M530" i="27" s="1"/>
  <c r="O539" i="27"/>
  <c r="X511" i="27" l="1"/>
  <c r="E543" i="27"/>
  <c r="Q491" i="27"/>
  <c r="K381" i="27"/>
  <c r="O378" i="27"/>
  <c r="O381" i="27" s="1"/>
  <c r="O516" i="27"/>
  <c r="O519" i="27" s="1"/>
  <c r="Q517" i="27"/>
  <c r="K423" i="27"/>
  <c r="O421" i="27"/>
  <c r="O423" i="27" s="1"/>
  <c r="K393" i="27"/>
  <c r="O390" i="27"/>
  <c r="O393" i="27" s="1"/>
  <c r="K404" i="27"/>
  <c r="O401" i="27"/>
  <c r="O404" i="27" s="1"/>
  <c r="O363" i="27"/>
  <c r="O367" i="27" s="1"/>
  <c r="K367" i="27"/>
  <c r="O504" i="27"/>
  <c r="O506" i="27" s="1"/>
  <c r="K506" i="27"/>
  <c r="O490" i="27"/>
  <c r="O493" i="27" s="1"/>
  <c r="K493" i="27"/>
  <c r="O529" i="27"/>
  <c r="O530" i="27" s="1"/>
  <c r="G352" i="27"/>
  <c r="G543" i="27" s="1"/>
  <c r="Q350" i="27" l="1"/>
  <c r="X350" i="27"/>
  <c r="K350" i="27" l="1"/>
  <c r="O350" i="27" s="1"/>
  <c r="K349" i="27"/>
  <c r="O349" i="27" s="1"/>
  <c r="K351" i="27"/>
  <c r="O351" i="27" s="1"/>
  <c r="K348" i="27" l="1"/>
  <c r="O348" i="27" s="1"/>
  <c r="I352" i="27" l="1"/>
  <c r="I543" i="27" s="1"/>
  <c r="K347" i="27"/>
  <c r="K352" i="27" s="1"/>
  <c r="K543" i="27" s="1"/>
  <c r="O543" i="27" s="1"/>
  <c r="O544" i="27" s="1"/>
  <c r="O347" i="27" l="1"/>
  <c r="O352" i="27" s="1"/>
  <c r="I16" i="27" l="1"/>
  <c r="I45" i="27" l="1"/>
  <c r="I72" i="27"/>
  <c r="I96" i="27"/>
  <c r="I120" i="27"/>
  <c r="I141" i="27"/>
  <c r="I158" i="27"/>
  <c r="I264" i="27" l="1"/>
  <c r="I276" i="27"/>
  <c r="I222" i="27"/>
  <c r="I252" i="27"/>
  <c r="I287" i="27"/>
  <c r="I299" i="27"/>
  <c r="I238" i="27"/>
  <c r="I311" i="27" l="1"/>
  <c r="A1" i="45" l="1"/>
  <c r="E15" i="40"/>
  <c r="C15" i="40"/>
  <c r="A1" i="40"/>
  <c r="G13" i="13"/>
  <c r="E13" i="13"/>
  <c r="C13" i="13"/>
  <c r="A1" i="13"/>
  <c r="I28" i="42"/>
  <c r="G28" i="42"/>
  <c r="E28" i="42"/>
  <c r="G2" i="42" s="1"/>
  <c r="A1" i="42"/>
  <c r="G125" i="61"/>
  <c r="G120" i="61"/>
  <c r="G114" i="61"/>
  <c r="I114" i="61" s="1"/>
  <c r="G106" i="61"/>
  <c r="I107" i="61" s="1"/>
  <c r="G102" i="61"/>
  <c r="G100" i="61"/>
  <c r="G95" i="61"/>
  <c r="I95" i="61" s="1"/>
  <c r="G94" i="61"/>
  <c r="I94" i="61" s="1"/>
  <c r="G93" i="61"/>
  <c r="I93" i="61" s="1"/>
  <c r="G92" i="61"/>
  <c r="I92" i="61" s="1"/>
  <c r="G91" i="61"/>
  <c r="I91" i="61" s="1"/>
  <c r="G90" i="61"/>
  <c r="I90" i="61" s="1"/>
  <c r="G89" i="61"/>
  <c r="I89" i="61" s="1"/>
  <c r="G82" i="61"/>
  <c r="G81" i="61"/>
  <c r="G80" i="61"/>
  <c r="G79" i="61"/>
  <c r="G78" i="61"/>
  <c r="G77" i="61"/>
  <c r="G76" i="61"/>
  <c r="G75" i="61"/>
  <c r="G74" i="61"/>
  <c r="G73" i="61"/>
  <c r="G69" i="61"/>
  <c r="G68" i="61"/>
  <c r="G67" i="61"/>
  <c r="G66" i="61"/>
  <c r="G65" i="61"/>
  <c r="G64" i="61"/>
  <c r="G63" i="61"/>
  <c r="G62" i="61"/>
  <c r="G61" i="61"/>
  <c r="G60" i="61"/>
  <c r="G59" i="61"/>
  <c r="G58" i="61"/>
  <c r="G57" i="61"/>
  <c r="G54" i="61"/>
  <c r="G53" i="61"/>
  <c r="G52" i="61"/>
  <c r="G51" i="61"/>
  <c r="G50" i="61"/>
  <c r="G49" i="61"/>
  <c r="I49" i="61" s="1"/>
  <c r="G48" i="61"/>
  <c r="G47" i="61"/>
  <c r="G46" i="61"/>
  <c r="G45" i="61"/>
  <c r="G44" i="61"/>
  <c r="G41" i="61"/>
  <c r="G40" i="61"/>
  <c r="G39" i="61"/>
  <c r="I39" i="61" s="1"/>
  <c r="G37" i="61"/>
  <c r="G35" i="61"/>
  <c r="G33" i="61"/>
  <c r="G29" i="61"/>
  <c r="G28" i="61"/>
  <c r="G27" i="61"/>
  <c r="G26" i="61"/>
  <c r="G25" i="61"/>
  <c r="G24" i="61"/>
  <c r="G23" i="61"/>
  <c r="G20" i="61"/>
  <c r="G19" i="61"/>
  <c r="G13" i="61"/>
  <c r="G12" i="61"/>
  <c r="G11" i="61"/>
  <c r="G10" i="61"/>
  <c r="G9" i="61"/>
  <c r="G8" i="61"/>
  <c r="A17" i="208"/>
  <c r="G17" i="208" s="1"/>
  <c r="A16" i="208"/>
  <c r="G16" i="208" s="1"/>
  <c r="A15" i="208"/>
  <c r="G15" i="208" s="1"/>
  <c r="A14" i="208"/>
  <c r="G14" i="208" s="1"/>
  <c r="A13" i="208"/>
  <c r="G13" i="208" s="1"/>
  <c r="A12" i="208"/>
  <c r="G12" i="208" s="1"/>
  <c r="A11" i="208"/>
  <c r="E10" i="208"/>
  <c r="A10" i="208"/>
  <c r="G10" i="208" s="1"/>
  <c r="I10" i="208" s="1"/>
  <c r="A23" i="207"/>
  <c r="G23" i="207" s="1"/>
  <c r="A22" i="207"/>
  <c r="G22" i="207" s="1"/>
  <c r="A21" i="207"/>
  <c r="G21" i="207" s="1"/>
  <c r="A20" i="207"/>
  <c r="G20" i="207" s="1"/>
  <c r="A19" i="207"/>
  <c r="G19" i="207" s="1"/>
  <c r="A18" i="207"/>
  <c r="G18" i="207" s="1"/>
  <c r="A17" i="207"/>
  <c r="G17" i="207" s="1"/>
  <c r="A16" i="207"/>
  <c r="G16" i="207" s="1"/>
  <c r="A15" i="207"/>
  <c r="G15" i="207" s="1"/>
  <c r="A14" i="207"/>
  <c r="G14" i="207" s="1"/>
  <c r="A13" i="207"/>
  <c r="G13" i="207" s="1"/>
  <c r="A12" i="207"/>
  <c r="G12" i="207" s="1"/>
  <c r="A11" i="207"/>
  <c r="G11" i="207" s="1"/>
  <c r="E10" i="207"/>
  <c r="A10" i="207"/>
  <c r="G10" i="207" s="1"/>
  <c r="I10" i="207" s="1"/>
  <c r="A17" i="206"/>
  <c r="A16" i="206"/>
  <c r="G16" i="206" s="1"/>
  <c r="A15" i="206"/>
  <c r="G15" i="206" s="1"/>
  <c r="A14" i="206"/>
  <c r="G14" i="206" s="1"/>
  <c r="A13" i="206"/>
  <c r="G13" i="206" s="1"/>
  <c r="A12" i="206"/>
  <c r="G12" i="206" s="1"/>
  <c r="G11" i="206"/>
  <c r="A11" i="206"/>
  <c r="E10" i="206"/>
  <c r="A10" i="206"/>
  <c r="G10" i="206" s="1"/>
  <c r="I10" i="206" s="1"/>
  <c r="A14" i="205"/>
  <c r="A13" i="205"/>
  <c r="A12" i="205"/>
  <c r="A11" i="205"/>
  <c r="G11" i="205" s="1"/>
  <c r="E10" i="205"/>
  <c r="A10" i="205"/>
  <c r="G10" i="205" s="1"/>
  <c r="I10" i="205" s="1"/>
  <c r="A15" i="204"/>
  <c r="G15" i="204" s="1"/>
  <c r="A14" i="204"/>
  <c r="A13" i="204"/>
  <c r="G13" i="204" s="1"/>
  <c r="A12" i="204"/>
  <c r="A11" i="204"/>
  <c r="G11" i="204" s="1"/>
  <c r="E10" i="204"/>
  <c r="E11" i="204" s="1"/>
  <c r="E12" i="204" s="1"/>
  <c r="E13" i="204" s="1"/>
  <c r="E14" i="204" s="1"/>
  <c r="E15" i="204" s="1"/>
  <c r="A10" i="204"/>
  <c r="T7" i="204"/>
  <c r="R7" i="204"/>
  <c r="T6" i="204"/>
  <c r="R6" i="204"/>
  <c r="T5" i="204"/>
  <c r="R5" i="204"/>
  <c r="T4" i="204"/>
  <c r="R4" i="204"/>
  <c r="T3" i="204"/>
  <c r="R3" i="204"/>
  <c r="T2" i="204"/>
  <c r="R2" i="204"/>
  <c r="A14" i="203"/>
  <c r="A13" i="203"/>
  <c r="G13" i="203" s="1"/>
  <c r="A12" i="203"/>
  <c r="G12" i="203" s="1"/>
  <c r="A11" i="203"/>
  <c r="G11" i="203" s="1"/>
  <c r="E10" i="203"/>
  <c r="E11" i="203" s="1"/>
  <c r="A10" i="203"/>
  <c r="E10" i="202"/>
  <c r="A10" i="202"/>
  <c r="A12" i="201"/>
  <c r="G12" i="201" s="1"/>
  <c r="A11" i="201"/>
  <c r="E10" i="201"/>
  <c r="E11" i="201" s="1"/>
  <c r="A10" i="201"/>
  <c r="E10" i="200"/>
  <c r="K10" i="200" s="1"/>
  <c r="E10" i="199"/>
  <c r="K10" i="199" s="1"/>
  <c r="E10" i="198"/>
  <c r="A10" i="198"/>
  <c r="G10" i="198" s="1"/>
  <c r="I10" i="198" s="1"/>
  <c r="A33" i="197"/>
  <c r="A32" i="197"/>
  <c r="A31" i="197"/>
  <c r="A30" i="197"/>
  <c r="A29" i="197"/>
  <c r="A28" i="197"/>
  <c r="A27" i="197"/>
  <c r="A26" i="197"/>
  <c r="A25" i="197"/>
  <c r="A24" i="197"/>
  <c r="A23" i="197"/>
  <c r="A22" i="197"/>
  <c r="A21" i="197"/>
  <c r="A20" i="197"/>
  <c r="A19" i="197"/>
  <c r="A18" i="197"/>
  <c r="G18" i="197" s="1"/>
  <c r="A17" i="197"/>
  <c r="G17" i="197" s="1"/>
  <c r="A16" i="197"/>
  <c r="G16" i="197" s="1"/>
  <c r="A15" i="197"/>
  <c r="A14" i="197"/>
  <c r="G14" i="197" s="1"/>
  <c r="A13" i="197"/>
  <c r="A12" i="197"/>
  <c r="G12" i="197" s="1"/>
  <c r="A11" i="197"/>
  <c r="E10" i="197"/>
  <c r="E11" i="197" s="1"/>
  <c r="E12" i="197" s="1"/>
  <c r="E13" i="197" s="1"/>
  <c r="E14" i="197" s="1"/>
  <c r="E15" i="197" s="1"/>
  <c r="A10" i="197"/>
  <c r="T7" i="197"/>
  <c r="R7" i="197"/>
  <c r="T6" i="197"/>
  <c r="R6" i="197"/>
  <c r="T5" i="197"/>
  <c r="R5" i="197"/>
  <c r="T4" i="197"/>
  <c r="R4" i="197"/>
  <c r="T3" i="197"/>
  <c r="R3" i="197"/>
  <c r="T2" i="197"/>
  <c r="R2" i="197"/>
  <c r="A14" i="196"/>
  <c r="G14" i="196" s="1"/>
  <c r="A13" i="196"/>
  <c r="G13" i="196" s="1"/>
  <c r="A12" i="196"/>
  <c r="G12" i="196" s="1"/>
  <c r="A11" i="196"/>
  <c r="G11" i="196" s="1"/>
  <c r="E10" i="196"/>
  <c r="E11" i="196" s="1"/>
  <c r="A10" i="196"/>
  <c r="G18" i="195"/>
  <c r="A18" i="195"/>
  <c r="A17" i="195"/>
  <c r="G17" i="195" s="1"/>
  <c r="G16" i="195"/>
  <c r="A16" i="195"/>
  <c r="A15" i="195"/>
  <c r="G15" i="195" s="1"/>
  <c r="G14" i="195"/>
  <c r="A14" i="195"/>
  <c r="A13" i="195"/>
  <c r="G13" i="195" s="1"/>
  <c r="G12" i="195"/>
  <c r="A12" i="195"/>
  <c r="A11" i="195"/>
  <c r="G11" i="195" s="1"/>
  <c r="E10" i="195"/>
  <c r="A10" i="195"/>
  <c r="G10" i="195" s="1"/>
  <c r="I10" i="195" s="1"/>
  <c r="A11" i="194"/>
  <c r="E10" i="194"/>
  <c r="E11" i="194" s="1"/>
  <c r="K10" i="194" s="1"/>
  <c r="A10" i="194"/>
  <c r="G10" i="194" s="1"/>
  <c r="A11" i="193"/>
  <c r="G11" i="193" s="1"/>
  <c r="E10" i="193"/>
  <c r="E11" i="193" s="1"/>
  <c r="K10" i="193" s="1"/>
  <c r="A10" i="193"/>
  <c r="G10" i="193" s="1"/>
  <c r="E11" i="205" l="1"/>
  <c r="E12" i="205" s="1"/>
  <c r="K12" i="61"/>
  <c r="I10" i="194"/>
  <c r="I11" i="195"/>
  <c r="I10" i="193"/>
  <c r="E12" i="196"/>
  <c r="E13" i="196" s="1"/>
  <c r="E14" i="196" s="1"/>
  <c r="G11" i="194"/>
  <c r="I11" i="194" s="1"/>
  <c r="O10" i="194" s="1"/>
  <c r="M10" i="194" s="1"/>
  <c r="E11" i="195"/>
  <c r="E12" i="195" s="1"/>
  <c r="E13" i="195" s="1"/>
  <c r="E14" i="195" s="1"/>
  <c r="E15" i="195" s="1"/>
  <c r="E16" i="195" s="1"/>
  <c r="E17" i="195" s="1"/>
  <c r="E18" i="195" s="1"/>
  <c r="G10" i="197"/>
  <c r="G11" i="197"/>
  <c r="G13" i="197"/>
  <c r="G15" i="197"/>
  <c r="E16" i="197"/>
  <c r="E17" i="197"/>
  <c r="E18" i="197" s="1"/>
  <c r="E12" i="203"/>
  <c r="E13" i="203" s="1"/>
  <c r="K15" i="204"/>
  <c r="K13" i="204"/>
  <c r="K11" i="204"/>
  <c r="K14" i="204"/>
  <c r="K12" i="204"/>
  <c r="K10" i="204"/>
  <c r="I11" i="205"/>
  <c r="I11" i="206"/>
  <c r="G10" i="196"/>
  <c r="G19" i="197"/>
  <c r="G20" i="197"/>
  <c r="G21" i="197"/>
  <c r="G22" i="197"/>
  <c r="G23" i="197"/>
  <c r="G24" i="197"/>
  <c r="G25" i="197"/>
  <c r="G26" i="197"/>
  <c r="G27" i="197"/>
  <c r="G28" i="197"/>
  <c r="G29" i="197"/>
  <c r="G30" i="197"/>
  <c r="G31" i="197"/>
  <c r="G32" i="197"/>
  <c r="G33" i="197"/>
  <c r="G10" i="202"/>
  <c r="I10" i="202" s="1"/>
  <c r="G14" i="203"/>
  <c r="E14" i="203" s="1"/>
  <c r="G12" i="204"/>
  <c r="G14" i="204"/>
  <c r="G12" i="205"/>
  <c r="G13" i="205"/>
  <c r="E13" i="205" s="1"/>
  <c r="G14" i="205"/>
  <c r="E11" i="206"/>
  <c r="E12" i="206" s="1"/>
  <c r="E13" i="206" s="1"/>
  <c r="E14" i="206" s="1"/>
  <c r="E15" i="206" s="1"/>
  <c r="E16" i="206" s="1"/>
  <c r="G17" i="206"/>
  <c r="E11" i="207"/>
  <c r="E12" i="207" s="1"/>
  <c r="E13" i="207" s="1"/>
  <c r="E14" i="207" s="1"/>
  <c r="E15" i="207" s="1"/>
  <c r="E16" i="207" s="1"/>
  <c r="E17" i="207" s="1"/>
  <c r="E18" i="207" s="1"/>
  <c r="E19" i="207" s="1"/>
  <c r="E20" i="207" s="1"/>
  <c r="E21" i="207" s="1"/>
  <c r="E22" i="207" s="1"/>
  <c r="E23" i="207" s="1"/>
  <c r="G10" i="201"/>
  <c r="G11" i="201"/>
  <c r="E12" i="201"/>
  <c r="G10" i="203"/>
  <c r="G10" i="204"/>
  <c r="G11" i="208"/>
  <c r="E11" i="208" s="1"/>
  <c r="E12" i="208" s="1"/>
  <c r="E13" i="208" s="1"/>
  <c r="E14" i="208" s="1"/>
  <c r="E15" i="208" s="1"/>
  <c r="E16" i="208" s="1"/>
  <c r="E17" i="208" s="1"/>
  <c r="I41" i="61"/>
  <c r="T15" i="204"/>
  <c r="T32" i="197"/>
  <c r="T10" i="204"/>
  <c r="T11" i="204"/>
  <c r="T12" i="204"/>
  <c r="T13" i="204"/>
  <c r="T14" i="204"/>
  <c r="T12" i="197"/>
  <c r="T13" i="197"/>
  <c r="T14" i="197"/>
  <c r="T15" i="197"/>
  <c r="T19" i="197"/>
  <c r="T10" i="197"/>
  <c r="T17" i="197"/>
  <c r="T21" i="197"/>
  <c r="T23" i="197"/>
  <c r="T25" i="197"/>
  <c r="T27" i="197"/>
  <c r="T29" i="197"/>
  <c r="T31" i="197"/>
  <c r="T33" i="197"/>
  <c r="T11" i="197"/>
  <c r="T16" i="197"/>
  <c r="T18" i="197"/>
  <c r="T20" i="197"/>
  <c r="T22" i="197"/>
  <c r="T24" i="197"/>
  <c r="T26" i="197"/>
  <c r="T28" i="197"/>
  <c r="T30" i="197"/>
  <c r="K23" i="207" l="1"/>
  <c r="K22" i="207"/>
  <c r="K21" i="207"/>
  <c r="K20" i="207"/>
  <c r="K19" i="207"/>
  <c r="K18" i="207"/>
  <c r="K17" i="207"/>
  <c r="K16" i="207"/>
  <c r="K15" i="207"/>
  <c r="K14" i="207"/>
  <c r="K13" i="207"/>
  <c r="K12" i="207"/>
  <c r="K11" i="207"/>
  <c r="K10" i="207"/>
  <c r="K17" i="208"/>
  <c r="K16" i="208"/>
  <c r="K15" i="208"/>
  <c r="K14" i="208"/>
  <c r="K13" i="208"/>
  <c r="K12" i="208"/>
  <c r="K11" i="208"/>
  <c r="K10" i="208"/>
  <c r="K10" i="195"/>
  <c r="K18" i="195"/>
  <c r="K17" i="195"/>
  <c r="K16" i="195"/>
  <c r="K15" i="195"/>
  <c r="K14" i="195"/>
  <c r="K13" i="195"/>
  <c r="K12" i="195"/>
  <c r="K11" i="195"/>
  <c r="M11" i="195" s="1"/>
  <c r="K14" i="196"/>
  <c r="K13" i="196"/>
  <c r="K12" i="196"/>
  <c r="K11" i="196"/>
  <c r="K10" i="196"/>
  <c r="E14" i="205"/>
  <c r="K12" i="201"/>
  <c r="K10" i="201"/>
  <c r="E17" i="206"/>
  <c r="K11" i="203"/>
  <c r="K14" i="203"/>
  <c r="K13" i="203"/>
  <c r="K12" i="203"/>
  <c r="K10" i="203"/>
  <c r="E19" i="197"/>
  <c r="E20" i="197" s="1"/>
  <c r="E21" i="197" s="1"/>
  <c r="E22" i="197" s="1"/>
  <c r="E23" i="197" s="1"/>
  <c r="E24" i="197" s="1"/>
  <c r="E25" i="197" s="1"/>
  <c r="E26" i="197" s="1"/>
  <c r="E27" i="197" s="1"/>
  <c r="E28" i="197" s="1"/>
  <c r="E29" i="197" s="1"/>
  <c r="E30" i="197" s="1"/>
  <c r="E31" i="197" s="1"/>
  <c r="E32" i="197" s="1"/>
  <c r="E33" i="197" s="1"/>
  <c r="I12" i="206"/>
  <c r="I12" i="205"/>
  <c r="I10" i="204"/>
  <c r="I11" i="193"/>
  <c r="O10" i="193"/>
  <c r="M10" i="193" s="1"/>
  <c r="I12" i="195"/>
  <c r="T17" i="204"/>
  <c r="T35" i="197"/>
  <c r="T37" i="197" s="1"/>
  <c r="K33" i="197" l="1"/>
  <c r="K32" i="197"/>
  <c r="K31" i="197"/>
  <c r="K30" i="197"/>
  <c r="K29" i="197"/>
  <c r="K28" i="197"/>
  <c r="K27" i="197"/>
  <c r="K26" i="197"/>
  <c r="K25" i="197"/>
  <c r="K24" i="197"/>
  <c r="K23" i="197"/>
  <c r="K22" i="197"/>
  <c r="K21" i="197"/>
  <c r="K20" i="197"/>
  <c r="K19" i="197"/>
  <c r="K18" i="197"/>
  <c r="K14" i="197"/>
  <c r="K11" i="197"/>
  <c r="K10" i="197"/>
  <c r="K17" i="197"/>
  <c r="K16" i="197"/>
  <c r="K15" i="197"/>
  <c r="K13" i="197"/>
  <c r="K12" i="197"/>
  <c r="I13" i="195"/>
  <c r="I10" i="203"/>
  <c r="M10" i="203" s="1"/>
  <c r="I10" i="201"/>
  <c r="M10" i="201" s="1"/>
  <c r="I10" i="196"/>
  <c r="M10" i="196"/>
  <c r="M12" i="195"/>
  <c r="I11" i="204"/>
  <c r="M10" i="204"/>
  <c r="I13" i="205"/>
  <c r="I13" i="206"/>
  <c r="K16" i="206"/>
  <c r="K15" i="206"/>
  <c r="K14" i="206"/>
  <c r="K13" i="206"/>
  <c r="M13" i="206" s="1"/>
  <c r="K12" i="206"/>
  <c r="M12" i="206" s="1"/>
  <c r="K10" i="206"/>
  <c r="K17" i="206"/>
  <c r="K11" i="206"/>
  <c r="M11" i="206" s="1"/>
  <c r="K11" i="205"/>
  <c r="M11" i="205" s="1"/>
  <c r="K14" i="205"/>
  <c r="K13" i="205"/>
  <c r="M13" i="205" s="1"/>
  <c r="K12" i="205"/>
  <c r="M12" i="205" s="1"/>
  <c r="K10" i="205"/>
  <c r="M13" i="195"/>
  <c r="I11" i="208"/>
  <c r="M11" i="208"/>
  <c r="I11" i="207"/>
  <c r="M11" i="207" s="1"/>
  <c r="A25" i="190"/>
  <c r="G25" i="190" s="1"/>
  <c r="A24" i="190"/>
  <c r="A23" i="190"/>
  <c r="A22" i="190"/>
  <c r="A21" i="190"/>
  <c r="A20" i="190"/>
  <c r="A19" i="190"/>
  <c r="A18" i="190"/>
  <c r="A17" i="190"/>
  <c r="A16" i="190"/>
  <c r="A15" i="190"/>
  <c r="A14" i="190"/>
  <c r="A13" i="190"/>
  <c r="A12" i="190"/>
  <c r="A11" i="190"/>
  <c r="E10" i="190"/>
  <c r="A10" i="190"/>
  <c r="G10" i="190" s="1"/>
  <c r="I10" i="190" s="1"/>
  <c r="A23" i="189"/>
  <c r="A22" i="189"/>
  <c r="A21" i="189"/>
  <c r="A20" i="189"/>
  <c r="A19" i="189"/>
  <c r="A18" i="189"/>
  <c r="A17" i="189"/>
  <c r="A16" i="189"/>
  <c r="A15" i="189"/>
  <c r="A14" i="189"/>
  <c r="A13" i="189"/>
  <c r="A12" i="189"/>
  <c r="A11" i="189"/>
  <c r="G11" i="189" s="1"/>
  <c r="E10" i="189"/>
  <c r="A10" i="189"/>
  <c r="G10" i="189" s="1"/>
  <c r="I10" i="189" s="1"/>
  <c r="A13" i="188"/>
  <c r="G13" i="188" s="1"/>
  <c r="A12" i="188"/>
  <c r="A11" i="188"/>
  <c r="E10" i="188"/>
  <c r="A10" i="188"/>
  <c r="G10" i="188" s="1"/>
  <c r="I10" i="188" s="1"/>
  <c r="A19" i="187"/>
  <c r="A18" i="187"/>
  <c r="G18" i="187" s="1"/>
  <c r="A17" i="187"/>
  <c r="G17" i="187" s="1"/>
  <c r="A16" i="187"/>
  <c r="G16" i="187" s="1"/>
  <c r="A15" i="187"/>
  <c r="G15" i="187" s="1"/>
  <c r="A14" i="187"/>
  <c r="G14" i="187" s="1"/>
  <c r="A13" i="187"/>
  <c r="G13" i="187" s="1"/>
  <c r="A12" i="187"/>
  <c r="G12" i="187" s="1"/>
  <c r="A11" i="187"/>
  <c r="G11" i="187" s="1"/>
  <c r="E10" i="187"/>
  <c r="A10" i="187"/>
  <c r="G10" i="187" s="1"/>
  <c r="I10" i="187" s="1"/>
  <c r="A15" i="186"/>
  <c r="G15" i="186" s="1"/>
  <c r="A14" i="186"/>
  <c r="A13" i="186"/>
  <c r="G13" i="186" s="1"/>
  <c r="A12" i="186"/>
  <c r="G12" i="186" s="1"/>
  <c r="A11" i="186"/>
  <c r="G11" i="186" s="1"/>
  <c r="E10" i="186"/>
  <c r="E11" i="186" s="1"/>
  <c r="E12" i="186" s="1"/>
  <c r="E13" i="186" s="1"/>
  <c r="E14" i="186" s="1"/>
  <c r="E15" i="186" s="1"/>
  <c r="A10" i="186"/>
  <c r="G10" i="186" s="1"/>
  <c r="I10" i="186" s="1"/>
  <c r="R6" i="186"/>
  <c r="R6" i="187" s="1"/>
  <c r="R5" i="186"/>
  <c r="R4" i="186"/>
  <c r="R3" i="186"/>
  <c r="R2" i="186"/>
  <c r="A28" i="185"/>
  <c r="G28" i="185" s="1"/>
  <c r="A27" i="185"/>
  <c r="A26" i="185"/>
  <c r="G26" i="185" s="1"/>
  <c r="A25" i="185"/>
  <c r="A24" i="185"/>
  <c r="G24" i="185" s="1"/>
  <c r="A23" i="185"/>
  <c r="A22" i="185"/>
  <c r="G22" i="185" s="1"/>
  <c r="A21" i="185"/>
  <c r="A20" i="185"/>
  <c r="A19" i="185"/>
  <c r="A18" i="185"/>
  <c r="G18" i="185" s="1"/>
  <c r="A17" i="185"/>
  <c r="A16" i="185"/>
  <c r="G16" i="185" s="1"/>
  <c r="A15" i="185"/>
  <c r="A14" i="185"/>
  <c r="G14" i="185" s="1"/>
  <c r="A13" i="185"/>
  <c r="A12" i="185"/>
  <c r="G12" i="185" s="1"/>
  <c r="A11" i="185"/>
  <c r="G11" i="185" s="1"/>
  <c r="E10" i="185"/>
  <c r="E11" i="185" s="1"/>
  <c r="E12" i="185" s="1"/>
  <c r="E13" i="185" s="1"/>
  <c r="E14" i="185" s="1"/>
  <c r="E15" i="185" s="1"/>
  <c r="E16" i="185" s="1"/>
  <c r="E17" i="185" s="1"/>
  <c r="E18" i="185" s="1"/>
  <c r="E19" i="185" s="1"/>
  <c r="E20" i="185" s="1"/>
  <c r="E21" i="185" s="1"/>
  <c r="E22" i="185" s="1"/>
  <c r="E23" i="185" s="1"/>
  <c r="E24" i="185" s="1"/>
  <c r="E25" i="185" s="1"/>
  <c r="E26" i="185" s="1"/>
  <c r="E27" i="185" s="1"/>
  <c r="E28" i="185" s="1"/>
  <c r="A10" i="185"/>
  <c r="T6" i="185"/>
  <c r="R6" i="185"/>
  <c r="T5" i="185"/>
  <c r="R5" i="185"/>
  <c r="T4" i="185"/>
  <c r="R4" i="185"/>
  <c r="T3" i="185"/>
  <c r="R3" i="185"/>
  <c r="T2" i="185"/>
  <c r="R2" i="185"/>
  <c r="A24" i="184"/>
  <c r="T24" i="184" s="1"/>
  <c r="A23" i="184"/>
  <c r="T23" i="184" s="1"/>
  <c r="A22" i="184"/>
  <c r="T22" i="184" s="1"/>
  <c r="A21" i="184"/>
  <c r="T21" i="184" s="1"/>
  <c r="A20" i="184"/>
  <c r="T20" i="184" s="1"/>
  <c r="A19" i="184"/>
  <c r="T19" i="184" s="1"/>
  <c r="A18" i="184"/>
  <c r="T18" i="184" s="1"/>
  <c r="A17" i="184"/>
  <c r="T17" i="184" s="1"/>
  <c r="A16" i="184"/>
  <c r="T16" i="184" s="1"/>
  <c r="A15" i="184"/>
  <c r="T15" i="184" s="1"/>
  <c r="A14" i="184"/>
  <c r="T14" i="184" s="1"/>
  <c r="A13" i="184"/>
  <c r="T13" i="184" s="1"/>
  <c r="A12" i="184"/>
  <c r="T12" i="184" s="1"/>
  <c r="A11" i="184"/>
  <c r="T11" i="184" s="1"/>
  <c r="E10" i="184"/>
  <c r="E11" i="184" s="1"/>
  <c r="E12" i="184" s="1"/>
  <c r="E13" i="184" s="1"/>
  <c r="E14" i="184" s="1"/>
  <c r="E15" i="184" s="1"/>
  <c r="E16" i="184" s="1"/>
  <c r="E17" i="184" s="1"/>
  <c r="E18" i="184" s="1"/>
  <c r="E19" i="184" s="1"/>
  <c r="E20" i="184" s="1"/>
  <c r="E21" i="184" s="1"/>
  <c r="E22" i="184" s="1"/>
  <c r="E23" i="184" s="1"/>
  <c r="E24" i="184" s="1"/>
  <c r="A10" i="184"/>
  <c r="G10" i="184" s="1"/>
  <c r="G44" i="183"/>
  <c r="A44" i="183"/>
  <c r="A43" i="183"/>
  <c r="G43" i="183" s="1"/>
  <c r="G42" i="183"/>
  <c r="A42" i="183"/>
  <c r="A41" i="183"/>
  <c r="G41" i="183" s="1"/>
  <c r="G40" i="183"/>
  <c r="A40" i="183"/>
  <c r="A39" i="183"/>
  <c r="G39" i="183" s="1"/>
  <c r="G38" i="183"/>
  <c r="A38" i="183"/>
  <c r="A37" i="183"/>
  <c r="G37" i="183" s="1"/>
  <c r="G36" i="183"/>
  <c r="A36" i="183"/>
  <c r="A35" i="183"/>
  <c r="G35" i="183" s="1"/>
  <c r="G34" i="183"/>
  <c r="A34" i="183"/>
  <c r="A33" i="183"/>
  <c r="G33" i="183" s="1"/>
  <c r="G32" i="183"/>
  <c r="A32" i="183"/>
  <c r="A31" i="183"/>
  <c r="G31" i="183" s="1"/>
  <c r="G30" i="183"/>
  <c r="A30" i="183"/>
  <c r="A29" i="183"/>
  <c r="G29" i="183" s="1"/>
  <c r="G28" i="183"/>
  <c r="A28" i="183"/>
  <c r="A27" i="183"/>
  <c r="G27" i="183" s="1"/>
  <c r="G26" i="183"/>
  <c r="A26" i="183"/>
  <c r="A25" i="183"/>
  <c r="G25" i="183" s="1"/>
  <c r="G24" i="183"/>
  <c r="A24" i="183"/>
  <c r="A23" i="183"/>
  <c r="G23" i="183" s="1"/>
  <c r="G22" i="183"/>
  <c r="A22" i="183"/>
  <c r="A21" i="183"/>
  <c r="G21" i="183" s="1"/>
  <c r="G20" i="183"/>
  <c r="A20" i="183"/>
  <c r="A19" i="183"/>
  <c r="G19" i="183" s="1"/>
  <c r="G18" i="183"/>
  <c r="A18" i="183"/>
  <c r="A17" i="183"/>
  <c r="A16" i="183"/>
  <c r="A15" i="183"/>
  <c r="A14" i="183"/>
  <c r="A13" i="183"/>
  <c r="A12" i="183"/>
  <c r="A11" i="183"/>
  <c r="E10" i="183"/>
  <c r="A10" i="183"/>
  <c r="G10" i="183" s="1"/>
  <c r="I10" i="183" s="1"/>
  <c r="E11" i="187" l="1"/>
  <c r="E11" i="189"/>
  <c r="T10" i="184"/>
  <c r="E12" i="187"/>
  <c r="K11" i="184"/>
  <c r="K24" i="184"/>
  <c r="K23" i="184"/>
  <c r="K22" i="184"/>
  <c r="K21" i="184"/>
  <c r="K20" i="184"/>
  <c r="K19" i="184"/>
  <c r="K18" i="184"/>
  <c r="K17" i="184"/>
  <c r="K16" i="184"/>
  <c r="K15" i="184"/>
  <c r="K14" i="184"/>
  <c r="K13" i="184"/>
  <c r="K12" i="184"/>
  <c r="K28" i="185"/>
  <c r="K26" i="185"/>
  <c r="K24" i="185"/>
  <c r="K22" i="185"/>
  <c r="K20" i="185"/>
  <c r="K27" i="185"/>
  <c r="K25" i="185"/>
  <c r="K23" i="185"/>
  <c r="K21" i="185"/>
  <c r="K18" i="185"/>
  <c r="K16" i="185"/>
  <c r="K14" i="185"/>
  <c r="K12" i="185"/>
  <c r="K11" i="185"/>
  <c r="K19" i="185"/>
  <c r="K17" i="185"/>
  <c r="K15" i="185"/>
  <c r="K13" i="185"/>
  <c r="G11" i="183"/>
  <c r="E11" i="183" s="1"/>
  <c r="G12" i="183"/>
  <c r="G13" i="183"/>
  <c r="G14" i="183"/>
  <c r="G15" i="183"/>
  <c r="G16" i="183"/>
  <c r="G17" i="183"/>
  <c r="G12" i="184"/>
  <c r="G13" i="184"/>
  <c r="G14" i="184"/>
  <c r="G15" i="184"/>
  <c r="G16" i="184"/>
  <c r="G17" i="184"/>
  <c r="G18" i="184"/>
  <c r="G19" i="184"/>
  <c r="G20" i="184"/>
  <c r="G21" i="184"/>
  <c r="G22" i="184"/>
  <c r="G23" i="184"/>
  <c r="G24" i="184"/>
  <c r="T26" i="184"/>
  <c r="G10" i="185"/>
  <c r="G13" i="185"/>
  <c r="G15" i="185"/>
  <c r="G17" i="185"/>
  <c r="G19" i="185"/>
  <c r="G21" i="185"/>
  <c r="K15" i="186"/>
  <c r="K13" i="186"/>
  <c r="K12" i="186"/>
  <c r="K10" i="186"/>
  <c r="K14" i="186"/>
  <c r="I11" i="187"/>
  <c r="E13" i="187"/>
  <c r="I11" i="189"/>
  <c r="G11" i="184"/>
  <c r="G20" i="185"/>
  <c r="E14" i="187"/>
  <c r="E15" i="187" s="1"/>
  <c r="E16" i="187" s="1"/>
  <c r="E17" i="187" s="1"/>
  <c r="E18" i="187" s="1"/>
  <c r="G23" i="185"/>
  <c r="G25" i="185"/>
  <c r="G27" i="185"/>
  <c r="G14" i="186"/>
  <c r="G19" i="187"/>
  <c r="G11" i="188"/>
  <c r="E11" i="188" s="1"/>
  <c r="G12" i="188"/>
  <c r="G12" i="189"/>
  <c r="E12" i="189" s="1"/>
  <c r="G13" i="189"/>
  <c r="E13" i="189" s="1"/>
  <c r="G14" i="189"/>
  <c r="G15" i="189"/>
  <c r="G16" i="189"/>
  <c r="G17" i="189"/>
  <c r="G18" i="189"/>
  <c r="G19" i="189"/>
  <c r="G20" i="189"/>
  <c r="G21" i="189"/>
  <c r="G22" i="189"/>
  <c r="G23" i="189"/>
  <c r="G11" i="190"/>
  <c r="E11" i="190" s="1"/>
  <c r="G12" i="190"/>
  <c r="E12" i="190" s="1"/>
  <c r="G13" i="190"/>
  <c r="G14" i="190"/>
  <c r="G15" i="190"/>
  <c r="G16" i="190"/>
  <c r="G17" i="190"/>
  <c r="G18" i="190"/>
  <c r="G19" i="190"/>
  <c r="G20" i="190"/>
  <c r="G21" i="190"/>
  <c r="G22" i="190"/>
  <c r="G23" i="190"/>
  <c r="G24" i="190"/>
  <c r="I12" i="208"/>
  <c r="I14" i="205"/>
  <c r="O13" i="205" s="1"/>
  <c r="I11" i="196"/>
  <c r="I11" i="201"/>
  <c r="I12" i="201" s="1"/>
  <c r="O10" i="201" s="1"/>
  <c r="I12" i="207"/>
  <c r="M14" i="205"/>
  <c r="I14" i="206"/>
  <c r="M14" i="206" s="1"/>
  <c r="I12" i="204"/>
  <c r="M11" i="204"/>
  <c r="I11" i="203"/>
  <c r="I14" i="195"/>
  <c r="I10" i="197"/>
  <c r="I11" i="197" s="1"/>
  <c r="T28" i="185"/>
  <c r="T11" i="185"/>
  <c r="T12" i="185"/>
  <c r="T13" i="185"/>
  <c r="T14" i="185"/>
  <c r="T15" i="185"/>
  <c r="T16" i="185"/>
  <c r="R6" i="203"/>
  <c r="R6" i="196"/>
  <c r="R6" i="189"/>
  <c r="T10" i="185"/>
  <c r="T17" i="185"/>
  <c r="T18" i="185"/>
  <c r="T19" i="185"/>
  <c r="T20" i="185"/>
  <c r="T21" i="185"/>
  <c r="T22" i="185"/>
  <c r="T23" i="185"/>
  <c r="T24" i="185"/>
  <c r="T25" i="185"/>
  <c r="T26" i="185"/>
  <c r="T27" i="185"/>
  <c r="A33" i="182"/>
  <c r="I12" i="197" l="1"/>
  <c r="M11" i="197"/>
  <c r="G33" i="182"/>
  <c r="M10" i="197"/>
  <c r="I13" i="204"/>
  <c r="M12" i="204"/>
  <c r="O12" i="201"/>
  <c r="M12" i="201"/>
  <c r="I12" i="196"/>
  <c r="M11" i="196"/>
  <c r="O14" i="205"/>
  <c r="O10" i="205"/>
  <c r="M10" i="205" s="1"/>
  <c r="O11" i="205"/>
  <c r="O12" i="205"/>
  <c r="E13" i="190"/>
  <c r="E14" i="189"/>
  <c r="E12" i="188"/>
  <c r="E13" i="188" s="1"/>
  <c r="E19" i="187"/>
  <c r="I11" i="190"/>
  <c r="I11" i="188"/>
  <c r="I12" i="187"/>
  <c r="E12" i="183"/>
  <c r="I15" i="195"/>
  <c r="M14" i="195"/>
  <c r="I12" i="203"/>
  <c r="I15" i="206"/>
  <c r="I13" i="207"/>
  <c r="M12" i="207"/>
  <c r="I13" i="208"/>
  <c r="M12" i="208"/>
  <c r="E14" i="190"/>
  <c r="E15" i="190" s="1"/>
  <c r="E16" i="190" s="1"/>
  <c r="E17" i="190" s="1"/>
  <c r="E18" i="190" s="1"/>
  <c r="E19" i="190" s="1"/>
  <c r="E20" i="190" s="1"/>
  <c r="E21" i="190" s="1"/>
  <c r="E22" i="190" s="1"/>
  <c r="E23" i="190" s="1"/>
  <c r="E24" i="190" s="1"/>
  <c r="E25" i="190" s="1"/>
  <c r="E15" i="189"/>
  <c r="E16" i="189" s="1"/>
  <c r="E17" i="189" s="1"/>
  <c r="E18" i="189" s="1"/>
  <c r="E19" i="189" s="1"/>
  <c r="E20" i="189" s="1"/>
  <c r="E21" i="189" s="1"/>
  <c r="E22" i="189" s="1"/>
  <c r="E23" i="189" s="1"/>
  <c r="I12" i="189"/>
  <c r="E13" i="183"/>
  <c r="E14" i="183" s="1"/>
  <c r="E15" i="183" s="1"/>
  <c r="E16" i="183" s="1"/>
  <c r="E17" i="183" s="1"/>
  <c r="E18" i="183" s="1"/>
  <c r="E19" i="183" s="1"/>
  <c r="E20" i="183" s="1"/>
  <c r="E21" i="183" s="1"/>
  <c r="E22" i="183" s="1"/>
  <c r="E23" i="183" s="1"/>
  <c r="E24" i="183" s="1"/>
  <c r="E25" i="183" s="1"/>
  <c r="E26" i="183" s="1"/>
  <c r="E27" i="183" s="1"/>
  <c r="E28" i="183" s="1"/>
  <c r="E29" i="183" s="1"/>
  <c r="E30" i="183" s="1"/>
  <c r="E31" i="183" s="1"/>
  <c r="E32" i="183" s="1"/>
  <c r="E33" i="183" s="1"/>
  <c r="E34" i="183" s="1"/>
  <c r="E35" i="183" s="1"/>
  <c r="E36" i="183" s="1"/>
  <c r="E37" i="183" s="1"/>
  <c r="E38" i="183" s="1"/>
  <c r="E39" i="183" s="1"/>
  <c r="E40" i="183" s="1"/>
  <c r="E41" i="183" s="1"/>
  <c r="E42" i="183" s="1"/>
  <c r="E43" i="183" s="1"/>
  <c r="E44" i="183" s="1"/>
  <c r="I11" i="183"/>
  <c r="T31" i="185"/>
  <c r="T33" i="185" s="1"/>
  <c r="T34" i="185" s="1"/>
  <c r="A32" i="182"/>
  <c r="A31" i="182"/>
  <c r="G31" i="182" s="1"/>
  <c r="A30" i="182"/>
  <c r="G30" i="182" s="1"/>
  <c r="A29" i="182"/>
  <c r="G29" i="182" s="1"/>
  <c r="A28" i="182"/>
  <c r="G28" i="182" s="1"/>
  <c r="A27" i="182"/>
  <c r="G27" i="182" s="1"/>
  <c r="A26" i="182"/>
  <c r="G26" i="182" s="1"/>
  <c r="A25" i="182"/>
  <c r="G25" i="182" s="1"/>
  <c r="A24" i="182"/>
  <c r="G24" i="182" s="1"/>
  <c r="A23" i="182"/>
  <c r="G23" i="182" s="1"/>
  <c r="A22" i="182"/>
  <c r="G22" i="182" s="1"/>
  <c r="A21" i="182"/>
  <c r="G21" i="182" s="1"/>
  <c r="A20" i="182"/>
  <c r="G20" i="182" s="1"/>
  <c r="A19" i="182"/>
  <c r="G19" i="182" s="1"/>
  <c r="A18" i="182"/>
  <c r="G18" i="182" s="1"/>
  <c r="A17" i="182"/>
  <c r="G17" i="182" s="1"/>
  <c r="A16" i="182"/>
  <c r="G16" i="182" s="1"/>
  <c r="A15" i="182"/>
  <c r="G15" i="182" s="1"/>
  <c r="A14" i="182"/>
  <c r="G14" i="182" s="1"/>
  <c r="A13" i="182"/>
  <c r="A12" i="182"/>
  <c r="G12" i="182" s="1"/>
  <c r="A11" i="182"/>
  <c r="E10" i="182"/>
  <c r="E11" i="182" s="1"/>
  <c r="E12" i="182" s="1"/>
  <c r="E13" i="182" s="1"/>
  <c r="E14" i="182" s="1"/>
  <c r="E15" i="182" s="1"/>
  <c r="E16" i="182" s="1"/>
  <c r="E17" i="182" s="1"/>
  <c r="E18" i="182" s="1"/>
  <c r="E19" i="182" s="1"/>
  <c r="E20" i="182" s="1"/>
  <c r="E21" i="182" s="1"/>
  <c r="E22" i="182" s="1"/>
  <c r="E23" i="182" s="1"/>
  <c r="E24" i="182" s="1"/>
  <c r="E25" i="182" s="1"/>
  <c r="E26" i="182" s="1"/>
  <c r="E27" i="182" s="1"/>
  <c r="E28" i="182" s="1"/>
  <c r="E29" i="182" s="1"/>
  <c r="E30" i="182" s="1"/>
  <c r="E31" i="182" s="1"/>
  <c r="E32" i="182" s="1"/>
  <c r="E33" i="182" s="1"/>
  <c r="A10" i="182"/>
  <c r="T7" i="182"/>
  <c r="R7" i="182"/>
  <c r="T6" i="182"/>
  <c r="R6" i="182"/>
  <c r="T5" i="182"/>
  <c r="R5" i="182"/>
  <c r="T4" i="182"/>
  <c r="R4" i="182"/>
  <c r="T3" i="182"/>
  <c r="R3" i="182"/>
  <c r="T2" i="182"/>
  <c r="T10" i="182" s="1"/>
  <c r="R2" i="182"/>
  <c r="A20" i="181"/>
  <c r="G20" i="181" s="1"/>
  <c r="A19" i="181"/>
  <c r="G19" i="181" s="1"/>
  <c r="A18" i="181"/>
  <c r="G18" i="181" s="1"/>
  <c r="A17" i="181"/>
  <c r="G17" i="181" s="1"/>
  <c r="A16" i="181"/>
  <c r="G16" i="181" s="1"/>
  <c r="A15" i="181"/>
  <c r="G15" i="181" s="1"/>
  <c r="A14" i="181"/>
  <c r="G14" i="181" s="1"/>
  <c r="A13" i="181"/>
  <c r="G13" i="181" s="1"/>
  <c r="A12" i="181"/>
  <c r="G12" i="181" s="1"/>
  <c r="A11" i="181"/>
  <c r="G11" i="181" s="1"/>
  <c r="E10" i="181"/>
  <c r="E11" i="181" s="1"/>
  <c r="A10" i="181"/>
  <c r="A15" i="180"/>
  <c r="G15" i="180" s="1"/>
  <c r="T14" i="180"/>
  <c r="A14" i="180"/>
  <c r="G14" i="180" s="1"/>
  <c r="A13" i="180"/>
  <c r="G13" i="180" s="1"/>
  <c r="T12" i="180"/>
  <c r="A12" i="180"/>
  <c r="G12" i="180" s="1"/>
  <c r="A11" i="180"/>
  <c r="G11" i="180" s="1"/>
  <c r="E10" i="180"/>
  <c r="E11" i="180" s="1"/>
  <c r="E12" i="180" s="1"/>
  <c r="E13" i="180" s="1"/>
  <c r="E14" i="180" s="1"/>
  <c r="E15" i="180" s="1"/>
  <c r="A10" i="180"/>
  <c r="T10" i="180" s="1"/>
  <c r="A25" i="179"/>
  <c r="G25" i="179" s="1"/>
  <c r="A24" i="179"/>
  <c r="G24" i="179" s="1"/>
  <c r="A23" i="179"/>
  <c r="G23" i="179" s="1"/>
  <c r="A22" i="179"/>
  <c r="G22" i="179" s="1"/>
  <c r="A21" i="179"/>
  <c r="G21" i="179" s="1"/>
  <c r="A20" i="179"/>
  <c r="G20" i="179" s="1"/>
  <c r="A19" i="179"/>
  <c r="G19" i="179" s="1"/>
  <c r="A18" i="179"/>
  <c r="G18" i="179" s="1"/>
  <c r="A17" i="179"/>
  <c r="G17" i="179" s="1"/>
  <c r="A16" i="179"/>
  <c r="G16" i="179" s="1"/>
  <c r="A15" i="179"/>
  <c r="G15" i="179" s="1"/>
  <c r="A14" i="179"/>
  <c r="G14" i="179" s="1"/>
  <c r="A13" i="179"/>
  <c r="G13" i="179" s="1"/>
  <c r="A12" i="179"/>
  <c r="G12" i="179" s="1"/>
  <c r="A11" i="179"/>
  <c r="G11" i="179" s="1"/>
  <c r="E10" i="179"/>
  <c r="E11" i="179" s="1"/>
  <c r="A10" i="179"/>
  <c r="A24" i="178"/>
  <c r="G24" i="178" s="1"/>
  <c r="T11" i="180" l="1"/>
  <c r="T13" i="180"/>
  <c r="T15" i="180"/>
  <c r="K15" i="180"/>
  <c r="K14" i="180"/>
  <c r="K13" i="180"/>
  <c r="K12" i="180"/>
  <c r="K11" i="180"/>
  <c r="K10" i="183"/>
  <c r="K44" i="183"/>
  <c r="K43" i="183"/>
  <c r="K42" i="183"/>
  <c r="K41" i="183"/>
  <c r="K40" i="183"/>
  <c r="K39" i="183"/>
  <c r="K38" i="183"/>
  <c r="K37" i="183"/>
  <c r="K36" i="183"/>
  <c r="K35" i="183"/>
  <c r="K34" i="183"/>
  <c r="K33" i="183"/>
  <c r="K32" i="183"/>
  <c r="K31" i="183"/>
  <c r="K30" i="183"/>
  <c r="K29" i="183"/>
  <c r="K28" i="183"/>
  <c r="K27" i="183"/>
  <c r="K26" i="183"/>
  <c r="K25" i="183"/>
  <c r="K24" i="183"/>
  <c r="K23" i="183"/>
  <c r="K22" i="183"/>
  <c r="K21" i="183"/>
  <c r="K20" i="183"/>
  <c r="K19" i="183"/>
  <c r="K18" i="183"/>
  <c r="K17" i="183"/>
  <c r="K16" i="183"/>
  <c r="K15" i="183"/>
  <c r="K14" i="183"/>
  <c r="K13" i="183"/>
  <c r="K12" i="183"/>
  <c r="K11" i="183"/>
  <c r="M11" i="183" s="1"/>
  <c r="K11" i="189"/>
  <c r="K23" i="189"/>
  <c r="K22" i="189"/>
  <c r="K21" i="189"/>
  <c r="K20" i="189"/>
  <c r="K19" i="189"/>
  <c r="K18" i="189"/>
  <c r="K17" i="189"/>
  <c r="K16" i="189"/>
  <c r="K15" i="189"/>
  <c r="K14" i="189"/>
  <c r="K13" i="189"/>
  <c r="K12" i="189"/>
  <c r="M12" i="189" s="1"/>
  <c r="K10" i="189"/>
  <c r="E12" i="179"/>
  <c r="E13" i="179" s="1"/>
  <c r="E14" i="179" s="1"/>
  <c r="E15" i="179" s="1"/>
  <c r="E16" i="179" s="1"/>
  <c r="E17" i="179" s="1"/>
  <c r="E18" i="179" s="1"/>
  <c r="E19" i="179" s="1"/>
  <c r="E20" i="179" s="1"/>
  <c r="E21" i="179" s="1"/>
  <c r="E22" i="179" s="1"/>
  <c r="E23" i="179" s="1"/>
  <c r="E24" i="179" s="1"/>
  <c r="E25" i="179" s="1"/>
  <c r="E12" i="181"/>
  <c r="E13" i="181" s="1"/>
  <c r="E14" i="181" s="1"/>
  <c r="E15" i="181" s="1"/>
  <c r="E16" i="181" s="1"/>
  <c r="E17" i="181" s="1"/>
  <c r="E18" i="181" s="1"/>
  <c r="E19" i="181" s="1"/>
  <c r="E20" i="181" s="1"/>
  <c r="K32" i="182"/>
  <c r="K33" i="182"/>
  <c r="K30" i="182"/>
  <c r="K28" i="182"/>
  <c r="K26" i="182"/>
  <c r="K24" i="182"/>
  <c r="K22" i="182"/>
  <c r="K20" i="182"/>
  <c r="K18" i="182"/>
  <c r="K16" i="182"/>
  <c r="K14" i="182"/>
  <c r="K12" i="182"/>
  <c r="K10" i="182"/>
  <c r="K31" i="182"/>
  <c r="K29" i="182"/>
  <c r="K27" i="182"/>
  <c r="K25" i="182"/>
  <c r="K23" i="182"/>
  <c r="K21" i="182"/>
  <c r="K19" i="182"/>
  <c r="K17" i="182"/>
  <c r="K15" i="182"/>
  <c r="K13" i="182"/>
  <c r="K11" i="182"/>
  <c r="K25" i="190"/>
  <c r="K10" i="190"/>
  <c r="K24" i="190"/>
  <c r="K23" i="190"/>
  <c r="K22" i="190"/>
  <c r="K21" i="190"/>
  <c r="K20" i="190"/>
  <c r="K19" i="190"/>
  <c r="K18" i="190"/>
  <c r="K17" i="190"/>
  <c r="K16" i="190"/>
  <c r="K15" i="190"/>
  <c r="K14" i="190"/>
  <c r="K13" i="190"/>
  <c r="K12" i="190"/>
  <c r="K11" i="190"/>
  <c r="M11" i="190" s="1"/>
  <c r="G10" i="180"/>
  <c r="I10" i="180" s="1"/>
  <c r="I11" i="180" s="1"/>
  <c r="I12" i="180" s="1"/>
  <c r="I13" i="180" s="1"/>
  <c r="I14" i="180" s="1"/>
  <c r="I15" i="180" s="1"/>
  <c r="O15" i="180" s="1"/>
  <c r="M15" i="180" s="1"/>
  <c r="O14" i="180"/>
  <c r="M14" i="180" s="1"/>
  <c r="G10" i="182"/>
  <c r="G11" i="182"/>
  <c r="G13" i="182"/>
  <c r="I12" i="183"/>
  <c r="I13" i="203"/>
  <c r="I13" i="187"/>
  <c r="I12" i="188"/>
  <c r="I13" i="188" s="1"/>
  <c r="O11" i="188" s="1"/>
  <c r="K18" i="187"/>
  <c r="K17" i="187"/>
  <c r="K16" i="187"/>
  <c r="K15" i="187"/>
  <c r="K14" i="187"/>
  <c r="K13" i="187"/>
  <c r="M13" i="187" s="1"/>
  <c r="K12" i="187"/>
  <c r="M12" i="187" s="1"/>
  <c r="K11" i="187"/>
  <c r="M11" i="187" s="1"/>
  <c r="K19" i="187"/>
  <c r="K10" i="187"/>
  <c r="I13" i="196"/>
  <c r="M12" i="196"/>
  <c r="I14" i="204"/>
  <c r="M13" i="204"/>
  <c r="G10" i="179"/>
  <c r="G10" i="181"/>
  <c r="G32" i="182"/>
  <c r="I13" i="189"/>
  <c r="I14" i="208"/>
  <c r="M13" i="208"/>
  <c r="I14" i="207"/>
  <c r="M13" i="207"/>
  <c r="I16" i="206"/>
  <c r="M15" i="206"/>
  <c r="I16" i="195"/>
  <c r="M15" i="195"/>
  <c r="I12" i="190"/>
  <c r="K13" i="188"/>
  <c r="M13" i="188" s="1"/>
  <c r="K10" i="188"/>
  <c r="K12" i="188"/>
  <c r="M12" i="188" s="1"/>
  <c r="K11" i="188"/>
  <c r="M11" i="188" s="1"/>
  <c r="I13" i="197"/>
  <c r="T15" i="182"/>
  <c r="T24" i="182"/>
  <c r="T11" i="182"/>
  <c r="T12" i="182"/>
  <c r="T13" i="182"/>
  <c r="T14" i="182"/>
  <c r="T16" i="182"/>
  <c r="T17" i="182"/>
  <c r="T18" i="182"/>
  <c r="T19" i="182"/>
  <c r="T20" i="182"/>
  <c r="T21" i="182"/>
  <c r="T22" i="182"/>
  <c r="T23" i="182"/>
  <c r="T25" i="182"/>
  <c r="T33" i="182"/>
  <c r="T32" i="182"/>
  <c r="T26" i="182"/>
  <c r="T27" i="182"/>
  <c r="T28" i="182"/>
  <c r="T29" i="182"/>
  <c r="T30" i="182"/>
  <c r="T31" i="182"/>
  <c r="A23" i="178"/>
  <c r="G23" i="178" s="1"/>
  <c r="A22" i="178"/>
  <c r="A21" i="178"/>
  <c r="A20" i="178"/>
  <c r="A19" i="178"/>
  <c r="A18" i="178"/>
  <c r="A17" i="178"/>
  <c r="A16" i="178"/>
  <c r="A15" i="178"/>
  <c r="A14" i="178"/>
  <c r="A13" i="178"/>
  <c r="A12" i="178"/>
  <c r="A11" i="178"/>
  <c r="E10" i="178"/>
  <c r="E11" i="178" s="1"/>
  <c r="A10" i="178"/>
  <c r="E10" i="177"/>
  <c r="A10" i="177"/>
  <c r="G10" i="177" s="1"/>
  <c r="I10" i="177" s="1"/>
  <c r="A51" i="176"/>
  <c r="G51" i="176" s="1"/>
  <c r="G50" i="176"/>
  <c r="A50" i="176"/>
  <c r="A49" i="176"/>
  <c r="G49" i="176" s="1"/>
  <c r="G48" i="176"/>
  <c r="A48" i="176"/>
  <c r="A47" i="176"/>
  <c r="G47" i="176" s="1"/>
  <c r="G46" i="176"/>
  <c r="A46" i="176"/>
  <c r="A45" i="176"/>
  <c r="G45" i="176" s="1"/>
  <c r="G44" i="176"/>
  <c r="A44" i="176"/>
  <c r="A43" i="176"/>
  <c r="G43" i="176" s="1"/>
  <c r="G42" i="176"/>
  <c r="A42" i="176"/>
  <c r="A41" i="176"/>
  <c r="G41" i="176" s="1"/>
  <c r="G40" i="176"/>
  <c r="A40" i="176"/>
  <c r="A39" i="176"/>
  <c r="A38" i="176"/>
  <c r="A37" i="176"/>
  <c r="A36" i="176"/>
  <c r="A35" i="176"/>
  <c r="A34" i="176"/>
  <c r="A33" i="176"/>
  <c r="A32" i="176"/>
  <c r="A31" i="176"/>
  <c r="A30" i="176"/>
  <c r="O12" i="180" l="1"/>
  <c r="M12" i="180" s="1"/>
  <c r="K20" i="181"/>
  <c r="K19" i="181"/>
  <c r="K18" i="181"/>
  <c r="K17" i="181"/>
  <c r="K16" i="181"/>
  <c r="K15" i="181"/>
  <c r="K14" i="181"/>
  <c r="K13" i="181"/>
  <c r="K12" i="181"/>
  <c r="K11" i="181"/>
  <c r="K10" i="181"/>
  <c r="K25" i="179"/>
  <c r="K24" i="179"/>
  <c r="K23" i="179"/>
  <c r="K22" i="179"/>
  <c r="K21" i="179"/>
  <c r="K20" i="179"/>
  <c r="K19" i="179"/>
  <c r="K18" i="179"/>
  <c r="K17" i="179"/>
  <c r="K16" i="179"/>
  <c r="K15" i="179"/>
  <c r="K14" i="179"/>
  <c r="K13" i="179"/>
  <c r="K12" i="179"/>
  <c r="K11" i="179"/>
  <c r="K10" i="179"/>
  <c r="G30" i="176"/>
  <c r="G31" i="176"/>
  <c r="G32" i="176"/>
  <c r="G33" i="176"/>
  <c r="G34" i="176"/>
  <c r="G35" i="176"/>
  <c r="G36" i="176"/>
  <c r="G37" i="176"/>
  <c r="G38" i="176"/>
  <c r="G39" i="176"/>
  <c r="G10" i="178"/>
  <c r="G11" i="178"/>
  <c r="G12" i="178"/>
  <c r="E12" i="178" s="1"/>
  <c r="G13" i="178"/>
  <c r="E13" i="178" s="1"/>
  <c r="G14" i="178"/>
  <c r="G15" i="178"/>
  <c r="G16" i="178"/>
  <c r="G17" i="178"/>
  <c r="G18" i="178"/>
  <c r="G19" i="178"/>
  <c r="G20" i="178"/>
  <c r="G21" i="178"/>
  <c r="G22" i="178"/>
  <c r="I14" i="197"/>
  <c r="M13" i="197"/>
  <c r="I13" i="190"/>
  <c r="I15" i="207"/>
  <c r="M14" i="207"/>
  <c r="I15" i="208"/>
  <c r="M14" i="208"/>
  <c r="I14" i="189"/>
  <c r="I15" i="204"/>
  <c r="O14" i="204" s="1"/>
  <c r="M14" i="204"/>
  <c r="O13" i="196"/>
  <c r="I14" i="196"/>
  <c r="M13" i="196"/>
  <c r="I14" i="187"/>
  <c r="O13" i="180"/>
  <c r="M13" i="180" s="1"/>
  <c r="O11" i="180"/>
  <c r="M11" i="180" s="1"/>
  <c r="M13" i="190"/>
  <c r="M13" i="189"/>
  <c r="I17" i="195"/>
  <c r="M16" i="195"/>
  <c r="I17" i="206"/>
  <c r="M16" i="206"/>
  <c r="M14" i="187"/>
  <c r="O13" i="188"/>
  <c r="O10" i="188"/>
  <c r="M10" i="188" s="1"/>
  <c r="I14" i="203"/>
  <c r="O13" i="203"/>
  <c r="M13" i="203"/>
  <c r="I13" i="183"/>
  <c r="M13" i="183" s="1"/>
  <c r="M12" i="190"/>
  <c r="I10" i="182"/>
  <c r="O10" i="180"/>
  <c r="M14" i="189"/>
  <c r="M12" i="183"/>
  <c r="M10" i="182"/>
  <c r="T35" i="182"/>
  <c r="T37" i="182" s="1"/>
  <c r="A29" i="176"/>
  <c r="G29" i="176" s="1"/>
  <c r="A28" i="176"/>
  <c r="A27" i="176"/>
  <c r="A26" i="176"/>
  <c r="G26" i="176" l="1"/>
  <c r="G27" i="176"/>
  <c r="G28" i="176"/>
  <c r="O14" i="203"/>
  <c r="M14" i="203"/>
  <c r="O10" i="203"/>
  <c r="O11" i="203"/>
  <c r="M11" i="203" s="1"/>
  <c r="O12" i="203"/>
  <c r="M12" i="203" s="1"/>
  <c r="O17" i="206"/>
  <c r="O10" i="206"/>
  <c r="M10" i="206" s="1"/>
  <c r="O11" i="206"/>
  <c r="O12" i="206"/>
  <c r="M17" i="206"/>
  <c r="O13" i="206"/>
  <c r="O14" i="206"/>
  <c r="O15" i="206"/>
  <c r="O14" i="196"/>
  <c r="M14" i="196"/>
  <c r="O10" i="196"/>
  <c r="O11" i="196"/>
  <c r="O12" i="196"/>
  <c r="O15" i="204"/>
  <c r="M15" i="204"/>
  <c r="O10" i="204"/>
  <c r="O11" i="204"/>
  <c r="O12" i="204"/>
  <c r="O13" i="204"/>
  <c r="I15" i="189"/>
  <c r="I14" i="190"/>
  <c r="E14" i="178"/>
  <c r="I11" i="182"/>
  <c r="I14" i="183"/>
  <c r="I18" i="195"/>
  <c r="O17" i="195" s="1"/>
  <c r="M17" i="195"/>
  <c r="I15" i="187"/>
  <c r="I16" i="208"/>
  <c r="M15" i="208"/>
  <c r="I16" i="207"/>
  <c r="M15" i="207"/>
  <c r="I15" i="197"/>
  <c r="M14" i="197"/>
  <c r="E15" i="178"/>
  <c r="E16" i="178" s="1"/>
  <c r="E17" i="178" s="1"/>
  <c r="E18" i="178" s="1"/>
  <c r="E19" i="178" s="1"/>
  <c r="E20" i="178" s="1"/>
  <c r="E21" i="178" s="1"/>
  <c r="E22" i="178" s="1"/>
  <c r="E23" i="178" s="1"/>
  <c r="E24" i="178" s="1"/>
  <c r="I10" i="179"/>
  <c r="M10" i="179"/>
  <c r="I10" i="181"/>
  <c r="M10" i="181" s="1"/>
  <c r="A25" i="176"/>
  <c r="G25" i="176" s="1"/>
  <c r="G24" i="176"/>
  <c r="A24" i="176"/>
  <c r="A23" i="176"/>
  <c r="G23" i="176" s="1"/>
  <c r="G22" i="176"/>
  <c r="A22" i="176"/>
  <c r="A21" i="176"/>
  <c r="G21" i="176" s="1"/>
  <c r="G20" i="176"/>
  <c r="A20" i="176"/>
  <c r="A19" i="176"/>
  <c r="G19" i="176" s="1"/>
  <c r="A18" i="176"/>
  <c r="G18" i="176" s="1"/>
  <c r="A17" i="176"/>
  <c r="G17" i="176" s="1"/>
  <c r="A16" i="176"/>
  <c r="G16" i="176" s="1"/>
  <c r="A15" i="176"/>
  <c r="G15" i="176" s="1"/>
  <c r="A14" i="176"/>
  <c r="G14" i="176" s="1"/>
  <c r="A13" i="176"/>
  <c r="G13" i="176" s="1"/>
  <c r="A12" i="176"/>
  <c r="A11" i="176"/>
  <c r="G11" i="176" s="1"/>
  <c r="E10" i="176"/>
  <c r="E11" i="176" s="1"/>
  <c r="E12" i="176" s="1"/>
  <c r="E13" i="176" s="1"/>
  <c r="A10" i="176"/>
  <c r="T7" i="176"/>
  <c r="T7" i="177" s="1"/>
  <c r="T6" i="176"/>
  <c r="T5" i="176"/>
  <c r="T4" i="176"/>
  <c r="T3" i="176"/>
  <c r="T2" i="176"/>
  <c r="A20" i="175"/>
  <c r="G20" i="175" s="1"/>
  <c r="A19" i="175"/>
  <c r="G19" i="175" s="1"/>
  <c r="A18" i="175"/>
  <c r="G18" i="175" s="1"/>
  <c r="A17" i="175"/>
  <c r="G17" i="175" s="1"/>
  <c r="A16" i="175"/>
  <c r="G16" i="175" s="1"/>
  <c r="A15" i="175"/>
  <c r="G15" i="175" s="1"/>
  <c r="A14" i="175"/>
  <c r="G14" i="175" s="1"/>
  <c r="A13" i="175"/>
  <c r="G13" i="175" s="1"/>
  <c r="A12" i="175"/>
  <c r="G12" i="175" s="1"/>
  <c r="A11" i="175"/>
  <c r="G11" i="175" s="1"/>
  <c r="E10" i="175"/>
  <c r="E11" i="175" s="1"/>
  <c r="E12" i="175" s="1"/>
  <c r="E13" i="175" s="1"/>
  <c r="E14" i="175" s="1"/>
  <c r="E15" i="175" s="1"/>
  <c r="E16" i="175" s="1"/>
  <c r="E17" i="175" s="1"/>
  <c r="E18" i="175" s="1"/>
  <c r="E19" i="175" s="1"/>
  <c r="E20" i="175" s="1"/>
  <c r="A10" i="175"/>
  <c r="T10" i="175" s="1"/>
  <c r="A16" i="174"/>
  <c r="G16" i="174" s="1"/>
  <c r="A15" i="174"/>
  <c r="G15" i="174" s="1"/>
  <c r="A14" i="174"/>
  <c r="G14" i="174" s="1"/>
  <c r="A13" i="174"/>
  <c r="G13" i="174" s="1"/>
  <c r="A12" i="174"/>
  <c r="G12" i="174" s="1"/>
  <c r="A11" i="174"/>
  <c r="G11" i="174" s="1"/>
  <c r="E10" i="174"/>
  <c r="A10" i="174"/>
  <c r="G10" i="174" s="1"/>
  <c r="I10" i="174" s="1"/>
  <c r="R7" i="174"/>
  <c r="R6" i="174"/>
  <c r="R5" i="174"/>
  <c r="R4" i="174"/>
  <c r="R3" i="174"/>
  <c r="R2" i="174"/>
  <c r="A34" i="173"/>
  <c r="A33" i="173"/>
  <c r="A32" i="173"/>
  <c r="A31" i="173"/>
  <c r="A30" i="173"/>
  <c r="A29" i="173"/>
  <c r="A28" i="173"/>
  <c r="A27" i="173"/>
  <c r="A26" i="173"/>
  <c r="A25" i="173"/>
  <c r="A24" i="173"/>
  <c r="A23" i="173"/>
  <c r="A22" i="173"/>
  <c r="A21" i="173"/>
  <c r="A20" i="173"/>
  <c r="A19" i="173"/>
  <c r="A18" i="173"/>
  <c r="A17" i="173"/>
  <c r="A16" i="173"/>
  <c r="A15" i="173"/>
  <c r="A14" i="173"/>
  <c r="A13" i="173"/>
  <c r="A12" i="173"/>
  <c r="A11" i="173"/>
  <c r="E10" i="173"/>
  <c r="E11" i="173" s="1"/>
  <c r="A10" i="173"/>
  <c r="A25" i="172"/>
  <c r="G25" i="172" s="1"/>
  <c r="A24" i="172"/>
  <c r="G24" i="172" s="1"/>
  <c r="A23" i="172"/>
  <c r="G23" i="172" s="1"/>
  <c r="A22" i="172"/>
  <c r="G22" i="172" s="1"/>
  <c r="A21" i="172"/>
  <c r="G21" i="172" s="1"/>
  <c r="A20" i="172"/>
  <c r="G20" i="172" s="1"/>
  <c r="A19" i="172"/>
  <c r="G19" i="172" s="1"/>
  <c r="A18" i="172"/>
  <c r="G18" i="172" s="1"/>
  <c r="A17" i="172"/>
  <c r="G17" i="172" s="1"/>
  <c r="A16" i="172"/>
  <c r="G16" i="172" s="1"/>
  <c r="A15" i="172"/>
  <c r="G15" i="172" s="1"/>
  <c r="A14" i="172"/>
  <c r="G14" i="172" s="1"/>
  <c r="A13" i="172"/>
  <c r="G13" i="172" s="1"/>
  <c r="A12" i="172"/>
  <c r="G12" i="172" s="1"/>
  <c r="E12" i="172" s="1"/>
  <c r="A11" i="172"/>
  <c r="G11" i="172" s="1"/>
  <c r="E11" i="172" s="1"/>
  <c r="E10" i="172"/>
  <c r="A10" i="172"/>
  <c r="G10" i="172" s="1"/>
  <c r="I10" i="172" s="1"/>
  <c r="A12" i="171"/>
  <c r="A11" i="171"/>
  <c r="G11" i="171" s="1"/>
  <c r="E11" i="171" s="1"/>
  <c r="E10" i="171"/>
  <c r="A10" i="171"/>
  <c r="G10" i="171" s="1"/>
  <c r="I10" i="171" s="1"/>
  <c r="A27" i="170"/>
  <c r="A26" i="170"/>
  <c r="G26" i="170" s="1"/>
  <c r="A25" i="170"/>
  <c r="G25" i="170" s="1"/>
  <c r="A24" i="170"/>
  <c r="G24" i="170" s="1"/>
  <c r="A23" i="170"/>
  <c r="G23" i="170" s="1"/>
  <c r="A22" i="170"/>
  <c r="G22" i="170" s="1"/>
  <c r="A21" i="170"/>
  <c r="G21" i="170" s="1"/>
  <c r="A20" i="170"/>
  <c r="G20" i="170" s="1"/>
  <c r="A19" i="170"/>
  <c r="G19" i="170" s="1"/>
  <c r="A18" i="170"/>
  <c r="G18" i="170" s="1"/>
  <c r="A17" i="170"/>
  <c r="G17" i="170" s="1"/>
  <c r="A16" i="170"/>
  <c r="G16" i="170" s="1"/>
  <c r="A15" i="170"/>
  <c r="G15" i="170" s="1"/>
  <c r="A14" i="170"/>
  <c r="G14" i="170" s="1"/>
  <c r="A13" i="170"/>
  <c r="G13" i="170" s="1"/>
  <c r="A12" i="170"/>
  <c r="G12" i="170" s="1"/>
  <c r="G11" i="170"/>
  <c r="A11" i="170"/>
  <c r="E10" i="170"/>
  <c r="A10" i="170"/>
  <c r="G10" i="170" s="1"/>
  <c r="I10" i="170" s="1"/>
  <c r="R7" i="170"/>
  <c r="R6" i="170"/>
  <c r="R5" i="170"/>
  <c r="R4" i="170"/>
  <c r="R3" i="170"/>
  <c r="R2" i="170"/>
  <c r="A15" i="169"/>
  <c r="A14" i="169"/>
  <c r="A13" i="169"/>
  <c r="A12" i="169"/>
  <c r="A11" i="169"/>
  <c r="G11" i="169" s="1"/>
  <c r="E10" i="169"/>
  <c r="A10" i="169"/>
  <c r="G10" i="169" s="1"/>
  <c r="I10" i="169" s="1"/>
  <c r="E10" i="168"/>
  <c r="K10" i="168" s="1"/>
  <c r="A20" i="167"/>
  <c r="G20" i="167" s="1"/>
  <c r="A19" i="167"/>
  <c r="G19" i="167" s="1"/>
  <c r="A18" i="167"/>
  <c r="G18" i="167" s="1"/>
  <c r="A17" i="167"/>
  <c r="G17" i="167" s="1"/>
  <c r="A16" i="167"/>
  <c r="G16" i="167" s="1"/>
  <c r="A15" i="167"/>
  <c r="G15" i="167" s="1"/>
  <c r="A14" i="167"/>
  <c r="G14" i="167" s="1"/>
  <c r="A13" i="167"/>
  <c r="G13" i="167" s="1"/>
  <c r="A12" i="167"/>
  <c r="G12" i="167" s="1"/>
  <c r="G11" i="167"/>
  <c r="A11" i="167"/>
  <c r="E10" i="167"/>
  <c r="A10" i="167"/>
  <c r="G10" i="167" s="1"/>
  <c r="I10" i="167" s="1"/>
  <c r="A41" i="166"/>
  <c r="I11" i="169" l="1"/>
  <c r="I11" i="171"/>
  <c r="I11" i="172"/>
  <c r="E13" i="172"/>
  <c r="K24" i="178"/>
  <c r="K23" i="178"/>
  <c r="K10" i="178"/>
  <c r="K22" i="178"/>
  <c r="K21" i="178"/>
  <c r="K20" i="178"/>
  <c r="K19" i="178"/>
  <c r="K18" i="178"/>
  <c r="K17" i="178"/>
  <c r="K16" i="178"/>
  <c r="K15" i="178"/>
  <c r="K14" i="178"/>
  <c r="K13" i="178"/>
  <c r="K12" i="178"/>
  <c r="K11" i="178"/>
  <c r="E14" i="172"/>
  <c r="E15" i="172" s="1"/>
  <c r="E16" i="172" s="1"/>
  <c r="E17" i="172" s="1"/>
  <c r="E18" i="172" s="1"/>
  <c r="E19" i="172" s="1"/>
  <c r="E20" i="172" s="1"/>
  <c r="E21" i="172" s="1"/>
  <c r="E22" i="172" s="1"/>
  <c r="E23" i="172" s="1"/>
  <c r="E24" i="172" s="1"/>
  <c r="E25" i="172" s="1"/>
  <c r="I11" i="174"/>
  <c r="K20" i="175"/>
  <c r="K19" i="175"/>
  <c r="K18" i="175"/>
  <c r="K17" i="175"/>
  <c r="K16" i="175"/>
  <c r="K15" i="175"/>
  <c r="K14" i="175"/>
  <c r="K13" i="175"/>
  <c r="K12" i="175"/>
  <c r="K11" i="175"/>
  <c r="E14" i="176"/>
  <c r="E15" i="176" s="1"/>
  <c r="E16" i="176" s="1"/>
  <c r="E17" i="176" s="1"/>
  <c r="E18" i="176" s="1"/>
  <c r="E19" i="176" s="1"/>
  <c r="E20" i="176" s="1"/>
  <c r="E21" i="176" s="1"/>
  <c r="E22" i="176" s="1"/>
  <c r="E23" i="176" s="1"/>
  <c r="E24" i="176" s="1"/>
  <c r="E25" i="176" s="1"/>
  <c r="E26" i="176" s="1"/>
  <c r="E27" i="176" s="1"/>
  <c r="E28" i="176" s="1"/>
  <c r="E29" i="176" s="1"/>
  <c r="E30" i="176" s="1"/>
  <c r="E31" i="176" s="1"/>
  <c r="E32" i="176" s="1"/>
  <c r="E33" i="176" s="1"/>
  <c r="E34" i="176" s="1"/>
  <c r="E35" i="176" s="1"/>
  <c r="E36" i="176" s="1"/>
  <c r="E37" i="176" s="1"/>
  <c r="E38" i="176" s="1"/>
  <c r="E39" i="176" s="1"/>
  <c r="E40" i="176" s="1"/>
  <c r="E41" i="176" s="1"/>
  <c r="E42" i="176" s="1"/>
  <c r="E43" i="176" s="1"/>
  <c r="E44" i="176" s="1"/>
  <c r="E45" i="176" s="1"/>
  <c r="E46" i="176" s="1"/>
  <c r="E47" i="176" s="1"/>
  <c r="E48" i="176" s="1"/>
  <c r="E49" i="176" s="1"/>
  <c r="E50" i="176" s="1"/>
  <c r="E51" i="176" s="1"/>
  <c r="G41" i="166"/>
  <c r="E11" i="167"/>
  <c r="E12" i="167" s="1"/>
  <c r="E13" i="167" s="1"/>
  <c r="E14" i="167" s="1"/>
  <c r="E15" i="167" s="1"/>
  <c r="E16" i="167" s="1"/>
  <c r="E17" i="167" s="1"/>
  <c r="E18" i="167" s="1"/>
  <c r="E19" i="167" s="1"/>
  <c r="E20" i="167" s="1"/>
  <c r="G12" i="169"/>
  <c r="G13" i="169"/>
  <c r="G14" i="169"/>
  <c r="G15" i="169"/>
  <c r="E11" i="170"/>
  <c r="E12" i="170" s="1"/>
  <c r="E13" i="170" s="1"/>
  <c r="E14" i="170" s="1"/>
  <c r="E15" i="170" s="1"/>
  <c r="E16" i="170" s="1"/>
  <c r="E17" i="170" s="1"/>
  <c r="E18" i="170" s="1"/>
  <c r="E19" i="170" s="1"/>
  <c r="E20" i="170" s="1"/>
  <c r="E21" i="170" s="1"/>
  <c r="E22" i="170" s="1"/>
  <c r="E23" i="170" s="1"/>
  <c r="E24" i="170" s="1"/>
  <c r="E25" i="170" s="1"/>
  <c r="E26" i="170" s="1"/>
  <c r="G27" i="170"/>
  <c r="G12" i="171"/>
  <c r="E12" i="171" s="1"/>
  <c r="G10" i="173"/>
  <c r="G11" i="173"/>
  <c r="G12" i="173"/>
  <c r="E12" i="173" s="1"/>
  <c r="G13" i="173"/>
  <c r="G14" i="173"/>
  <c r="G15" i="173"/>
  <c r="G16" i="173"/>
  <c r="G17" i="173"/>
  <c r="G18" i="173"/>
  <c r="G19" i="173"/>
  <c r="G20" i="173"/>
  <c r="G21" i="173"/>
  <c r="G22" i="173"/>
  <c r="G23" i="173"/>
  <c r="G24" i="173"/>
  <c r="G25" i="173"/>
  <c r="G26" i="173"/>
  <c r="G27" i="173"/>
  <c r="G28" i="173"/>
  <c r="G29" i="173"/>
  <c r="G30" i="173"/>
  <c r="G31" i="173"/>
  <c r="G32" i="173"/>
  <c r="G33" i="173"/>
  <c r="G34" i="173"/>
  <c r="E11" i="174"/>
  <c r="E12" i="174" s="1"/>
  <c r="E13" i="174" s="1"/>
  <c r="E14" i="174" s="1"/>
  <c r="E15" i="174" s="1"/>
  <c r="E16" i="174" s="1"/>
  <c r="G10" i="175"/>
  <c r="I10" i="175" s="1"/>
  <c r="I11" i="175" s="1"/>
  <c r="I12" i="175" s="1"/>
  <c r="I13" i="175" s="1"/>
  <c r="I14" i="175" s="1"/>
  <c r="I15" i="175" s="1"/>
  <c r="I16" i="175" s="1"/>
  <c r="I17" i="175" s="1"/>
  <c r="I18" i="175" s="1"/>
  <c r="I19" i="175" s="1"/>
  <c r="I20" i="175" s="1"/>
  <c r="T11" i="175"/>
  <c r="T12" i="175"/>
  <c r="T13" i="175"/>
  <c r="T14" i="175"/>
  <c r="O14" i="175" s="1"/>
  <c r="M14" i="175" s="1"/>
  <c r="T15" i="175"/>
  <c r="T16" i="175"/>
  <c r="T17" i="175"/>
  <c r="T18" i="175"/>
  <c r="O18" i="175" s="1"/>
  <c r="M18" i="175" s="1"/>
  <c r="T19" i="175"/>
  <c r="T20" i="175"/>
  <c r="G12" i="176"/>
  <c r="I11" i="179"/>
  <c r="I16" i="197"/>
  <c r="M15" i="197"/>
  <c r="I17" i="207"/>
  <c r="M16" i="207"/>
  <c r="I17" i="208"/>
  <c r="O16" i="208" s="1"/>
  <c r="M16" i="208"/>
  <c r="E11" i="169"/>
  <c r="E12" i="169" s="1"/>
  <c r="G10" i="176"/>
  <c r="I11" i="181"/>
  <c r="I16" i="187"/>
  <c r="M15" i="187"/>
  <c r="O18" i="195"/>
  <c r="O10" i="195"/>
  <c r="M10" i="195" s="1"/>
  <c r="O11" i="195"/>
  <c r="M18" i="195"/>
  <c r="O12" i="195"/>
  <c r="O13" i="195"/>
  <c r="O14" i="195"/>
  <c r="O15" i="195"/>
  <c r="O16" i="195"/>
  <c r="I15" i="183"/>
  <c r="M14" i="183"/>
  <c r="I12" i="182"/>
  <c r="M11" i="182"/>
  <c r="I15" i="190"/>
  <c r="M14" i="190"/>
  <c r="I16" i="189"/>
  <c r="M15" i="189"/>
  <c r="T24" i="176"/>
  <c r="T50" i="176"/>
  <c r="T49" i="176"/>
  <c r="T47" i="176"/>
  <c r="T45" i="176"/>
  <c r="T41" i="176"/>
  <c r="T37" i="176"/>
  <c r="T33" i="176"/>
  <c r="T29" i="176"/>
  <c r="T51" i="176"/>
  <c r="T48" i="176"/>
  <c r="T46" i="176"/>
  <c r="T44" i="176"/>
  <c r="T42" i="176"/>
  <c r="T40" i="176"/>
  <c r="T38" i="176"/>
  <c r="T36" i="176"/>
  <c r="T34" i="176"/>
  <c r="T32" i="176"/>
  <c r="T30" i="176"/>
  <c r="T43" i="176"/>
  <c r="T39" i="176"/>
  <c r="T35" i="176"/>
  <c r="T31" i="176"/>
  <c r="T28" i="176"/>
  <c r="T26" i="176"/>
  <c r="T27" i="176"/>
  <c r="T25" i="176"/>
  <c r="T10" i="176"/>
  <c r="T11" i="176"/>
  <c r="T12" i="176"/>
  <c r="T13" i="176"/>
  <c r="T15" i="176"/>
  <c r="T17" i="176"/>
  <c r="T19" i="176"/>
  <c r="T21" i="176"/>
  <c r="T23" i="176"/>
  <c r="T6" i="177"/>
  <c r="T5" i="177" s="1"/>
  <c r="T4" i="177" s="1"/>
  <c r="T3" i="177" s="1"/>
  <c r="T2" i="177" s="1"/>
  <c r="T7" i="179"/>
  <c r="T14" i="176"/>
  <c r="T16" i="176"/>
  <c r="T18" i="176"/>
  <c r="T20" i="176"/>
  <c r="T22" i="176"/>
  <c r="A40" i="166"/>
  <c r="G40" i="166" s="1"/>
  <c r="G39" i="166"/>
  <c r="A39" i="166"/>
  <c r="A38" i="166"/>
  <c r="G38" i="166" s="1"/>
  <c r="G37" i="166"/>
  <c r="A37" i="166"/>
  <c r="A36" i="166"/>
  <c r="G36" i="166" s="1"/>
  <c r="A35" i="166"/>
  <c r="G35" i="166" s="1"/>
  <c r="A34" i="166"/>
  <c r="G34" i="166" s="1"/>
  <c r="A33" i="166"/>
  <c r="G33" i="166" s="1"/>
  <c r="A32" i="166"/>
  <c r="G32" i="166" s="1"/>
  <c r="A31" i="166"/>
  <c r="G31" i="166" s="1"/>
  <c r="A30" i="166"/>
  <c r="G30" i="166" s="1"/>
  <c r="A29" i="166"/>
  <c r="G29" i="166" s="1"/>
  <c r="A28" i="166"/>
  <c r="G28" i="166" s="1"/>
  <c r="A27" i="166"/>
  <c r="G27" i="166" s="1"/>
  <c r="A26" i="166"/>
  <c r="G26" i="166" s="1"/>
  <c r="A25" i="166"/>
  <c r="G25" i="166" s="1"/>
  <c r="A24" i="166"/>
  <c r="G24" i="166" s="1"/>
  <c r="A23" i="166"/>
  <c r="G23" i="166" s="1"/>
  <c r="A22" i="166"/>
  <c r="G22" i="166" s="1"/>
  <c r="A21" i="166"/>
  <c r="G21" i="166" s="1"/>
  <c r="A20" i="166"/>
  <c r="G20" i="166" s="1"/>
  <c r="A19" i="166"/>
  <c r="G19" i="166" s="1"/>
  <c r="A18" i="166"/>
  <c r="G18" i="166" s="1"/>
  <c r="A17" i="166"/>
  <c r="G17" i="166" s="1"/>
  <c r="A16" i="166"/>
  <c r="G16" i="166" s="1"/>
  <c r="A15" i="166"/>
  <c r="G15" i="166" s="1"/>
  <c r="A14" i="166"/>
  <c r="G14" i="166" s="1"/>
  <c r="A13" i="166"/>
  <c r="G13" i="166" s="1"/>
  <c r="A12" i="166"/>
  <c r="G12" i="166" s="1"/>
  <c r="A11" i="166"/>
  <c r="G11" i="166" s="1"/>
  <c r="E11" i="166" s="1"/>
  <c r="E10" i="166"/>
  <c r="A10" i="166"/>
  <c r="G10" i="166" s="1"/>
  <c r="I10" i="166" s="1"/>
  <c r="A22" i="165"/>
  <c r="G22" i="165" s="1"/>
  <c r="A21" i="165"/>
  <c r="A20" i="165"/>
  <c r="A19" i="165"/>
  <c r="A18" i="165"/>
  <c r="A17" i="165"/>
  <c r="A16" i="165"/>
  <c r="A15" i="165"/>
  <c r="A14" i="165"/>
  <c r="A13" i="165"/>
  <c r="A12" i="165"/>
  <c r="A11" i="165"/>
  <c r="E10" i="165"/>
  <c r="A10" i="165"/>
  <c r="G10" i="165" s="1"/>
  <c r="I10" i="165" s="1"/>
  <c r="O17" i="175" l="1"/>
  <c r="M17" i="175" s="1"/>
  <c r="O20" i="175"/>
  <c r="M20" i="175" s="1"/>
  <c r="O16" i="175"/>
  <c r="M16" i="175" s="1"/>
  <c r="O12" i="175"/>
  <c r="M12" i="175" s="1"/>
  <c r="O19" i="175"/>
  <c r="M19" i="175" s="1"/>
  <c r="O15" i="175"/>
  <c r="M15" i="175" s="1"/>
  <c r="E13" i="173"/>
  <c r="K20" i="167"/>
  <c r="K19" i="167"/>
  <c r="K18" i="167"/>
  <c r="K17" i="167"/>
  <c r="K16" i="167"/>
  <c r="K15" i="167"/>
  <c r="K14" i="167"/>
  <c r="K13" i="167"/>
  <c r="K12" i="167"/>
  <c r="K11" i="167"/>
  <c r="K10" i="167"/>
  <c r="K51" i="176"/>
  <c r="K50" i="176"/>
  <c r="K49" i="176"/>
  <c r="K48" i="176"/>
  <c r="K47" i="176"/>
  <c r="K46" i="176"/>
  <c r="K45" i="176"/>
  <c r="K44" i="176"/>
  <c r="K43" i="176"/>
  <c r="K42" i="176"/>
  <c r="K41" i="176"/>
  <c r="K40" i="176"/>
  <c r="K39" i="176"/>
  <c r="K38" i="176"/>
  <c r="K37" i="176"/>
  <c r="K36" i="176"/>
  <c r="K35" i="176"/>
  <c r="K34" i="176"/>
  <c r="K33" i="176"/>
  <c r="K32" i="176"/>
  <c r="K31" i="176"/>
  <c r="K30" i="176"/>
  <c r="K29" i="176"/>
  <c r="K28" i="176"/>
  <c r="K27" i="176"/>
  <c r="K26" i="176"/>
  <c r="K25" i="176"/>
  <c r="K24" i="176"/>
  <c r="K23" i="176"/>
  <c r="K22" i="176"/>
  <c r="K21" i="176"/>
  <c r="K20" i="176"/>
  <c r="K19" i="176"/>
  <c r="K18" i="176"/>
  <c r="K17" i="176"/>
  <c r="K16" i="176"/>
  <c r="K15" i="176"/>
  <c r="K14" i="176"/>
  <c r="K13" i="176"/>
  <c r="K11" i="176"/>
  <c r="K12" i="176"/>
  <c r="K10" i="176"/>
  <c r="K25" i="172"/>
  <c r="K24" i="172"/>
  <c r="K23" i="172"/>
  <c r="K22" i="172"/>
  <c r="K21" i="172"/>
  <c r="K20" i="172"/>
  <c r="K19" i="172"/>
  <c r="K18" i="172"/>
  <c r="K17" i="172"/>
  <c r="K16" i="172"/>
  <c r="K15" i="172"/>
  <c r="K14" i="172"/>
  <c r="K13" i="172"/>
  <c r="K12" i="172"/>
  <c r="K10" i="172"/>
  <c r="K11" i="172"/>
  <c r="I11" i="166"/>
  <c r="E12" i="166"/>
  <c r="E13" i="166" s="1"/>
  <c r="E14" i="166" s="1"/>
  <c r="E15" i="166" s="1"/>
  <c r="E16" i="166" s="1"/>
  <c r="E17" i="166" s="1"/>
  <c r="E18" i="166" s="1"/>
  <c r="E19" i="166" s="1"/>
  <c r="E20" i="166" s="1"/>
  <c r="E21" i="166" s="1"/>
  <c r="E22" i="166" s="1"/>
  <c r="E23" i="166" s="1"/>
  <c r="E24" i="166" s="1"/>
  <c r="E25" i="166" s="1"/>
  <c r="E26" i="166" s="1"/>
  <c r="E27" i="166" s="1"/>
  <c r="E28" i="166" s="1"/>
  <c r="E29" i="166" s="1"/>
  <c r="E30" i="166" s="1"/>
  <c r="E31" i="166" s="1"/>
  <c r="E32" i="166" s="1"/>
  <c r="E33" i="166" s="1"/>
  <c r="E34" i="166" s="1"/>
  <c r="E35" i="166" s="1"/>
  <c r="E36" i="166" s="1"/>
  <c r="E37" i="166" s="1"/>
  <c r="E38" i="166" s="1"/>
  <c r="E39" i="166" s="1"/>
  <c r="E40" i="166" s="1"/>
  <c r="E41" i="166" s="1"/>
  <c r="K16" i="174"/>
  <c r="K15" i="174"/>
  <c r="K14" i="174"/>
  <c r="K13" i="174"/>
  <c r="K12" i="174"/>
  <c r="K10" i="174"/>
  <c r="K11" i="174"/>
  <c r="G11" i="165"/>
  <c r="E11" i="165" s="1"/>
  <c r="G12" i="165"/>
  <c r="G13" i="165"/>
  <c r="G14" i="165"/>
  <c r="G15" i="165"/>
  <c r="G16" i="165"/>
  <c r="G17" i="165"/>
  <c r="G18" i="165"/>
  <c r="G19" i="165"/>
  <c r="G20" i="165"/>
  <c r="G21" i="165"/>
  <c r="I17" i="189"/>
  <c r="M16" i="189"/>
  <c r="I13" i="182"/>
  <c r="M12" i="182"/>
  <c r="I17" i="187"/>
  <c r="M16" i="187"/>
  <c r="K10" i="171"/>
  <c r="K12" i="171"/>
  <c r="K11" i="171"/>
  <c r="E13" i="169"/>
  <c r="I12" i="174"/>
  <c r="I10" i="178"/>
  <c r="I12" i="172"/>
  <c r="I12" i="171"/>
  <c r="I12" i="169"/>
  <c r="I16" i="190"/>
  <c r="M15" i="190"/>
  <c r="I16" i="183"/>
  <c r="M15" i="183"/>
  <c r="I12" i="181"/>
  <c r="M11" i="181"/>
  <c r="O17" i="208"/>
  <c r="O10" i="208"/>
  <c r="M10" i="208" s="1"/>
  <c r="M17" i="208"/>
  <c r="O11" i="208"/>
  <c r="O12" i="208"/>
  <c r="O13" i="208"/>
  <c r="O14" i="208"/>
  <c r="O15" i="208"/>
  <c r="I18" i="207"/>
  <c r="M17" i="207"/>
  <c r="I17" i="197"/>
  <c r="M16" i="197"/>
  <c r="I12" i="179"/>
  <c r="M11" i="179"/>
  <c r="O13" i="175"/>
  <c r="M13" i="175" s="1"/>
  <c r="O11" i="175"/>
  <c r="M11" i="175" s="1"/>
  <c r="E14" i="173"/>
  <c r="E15" i="173" s="1"/>
  <c r="E16" i="173" s="1"/>
  <c r="E17" i="173" s="1"/>
  <c r="E18" i="173" s="1"/>
  <c r="E19" i="173" s="1"/>
  <c r="E20" i="173" s="1"/>
  <c r="E21" i="173" s="1"/>
  <c r="E22" i="173" s="1"/>
  <c r="E23" i="173" s="1"/>
  <c r="E24" i="173" s="1"/>
  <c r="E25" i="173" s="1"/>
  <c r="E26" i="173" s="1"/>
  <c r="E27" i="173" s="1"/>
  <c r="E28" i="173" s="1"/>
  <c r="E29" i="173" s="1"/>
  <c r="E30" i="173" s="1"/>
  <c r="E31" i="173" s="1"/>
  <c r="E32" i="173" s="1"/>
  <c r="E33" i="173" s="1"/>
  <c r="E34" i="173" s="1"/>
  <c r="E27" i="170"/>
  <c r="E14" i="169"/>
  <c r="E15" i="169" s="1"/>
  <c r="O10" i="175"/>
  <c r="T10" i="177"/>
  <c r="O10" i="177" s="1"/>
  <c r="T6" i="179"/>
  <c r="T5" i="179" s="1"/>
  <c r="T4" i="179" s="1"/>
  <c r="T3" i="179" s="1"/>
  <c r="T2" i="179" s="1"/>
  <c r="T7" i="181"/>
  <c r="T54" i="176"/>
  <c r="T56" i="176" s="1"/>
  <c r="T57" i="176" s="1"/>
  <c r="A52" i="164"/>
  <c r="G52" i="164" s="1"/>
  <c r="A51" i="164"/>
  <c r="G51" i="164" s="1"/>
  <c r="A50" i="164"/>
  <c r="G50" i="164" s="1"/>
  <c r="E12" i="165" l="1"/>
  <c r="K10" i="173"/>
  <c r="K34" i="173"/>
  <c r="K33" i="173"/>
  <c r="K32" i="173"/>
  <c r="K31" i="173"/>
  <c r="K30" i="173"/>
  <c r="K29" i="173"/>
  <c r="K28" i="173"/>
  <c r="K27" i="173"/>
  <c r="K26" i="173"/>
  <c r="K25" i="173"/>
  <c r="K24" i="173"/>
  <c r="K23" i="173"/>
  <c r="K22" i="173"/>
  <c r="K21" i="173"/>
  <c r="K20" i="173"/>
  <c r="K19" i="173"/>
  <c r="K18" i="173"/>
  <c r="K17" i="173"/>
  <c r="K16" i="173"/>
  <c r="K15" i="173"/>
  <c r="K14" i="173"/>
  <c r="K13" i="173"/>
  <c r="K12" i="173"/>
  <c r="K11" i="173"/>
  <c r="K11" i="169"/>
  <c r="M11" i="169" s="1"/>
  <c r="K15" i="169"/>
  <c r="K14" i="169"/>
  <c r="K13" i="169"/>
  <c r="K12" i="169"/>
  <c r="M12" i="169" s="1"/>
  <c r="K10" i="169"/>
  <c r="K41" i="166"/>
  <c r="K40" i="166"/>
  <c r="K39" i="166"/>
  <c r="K38" i="166"/>
  <c r="K37" i="166"/>
  <c r="K36" i="166"/>
  <c r="K35" i="166"/>
  <c r="K34" i="166"/>
  <c r="K33" i="166"/>
  <c r="K32" i="166"/>
  <c r="K31" i="166"/>
  <c r="K30" i="166"/>
  <c r="K29" i="166"/>
  <c r="K28" i="166"/>
  <c r="K27" i="166"/>
  <c r="K26" i="166"/>
  <c r="K25" i="166"/>
  <c r="K24" i="166"/>
  <c r="K23" i="166"/>
  <c r="K22" i="166"/>
  <c r="K21" i="166"/>
  <c r="K20" i="166"/>
  <c r="K19" i="166"/>
  <c r="K18" i="166"/>
  <c r="K17" i="166"/>
  <c r="K16" i="166"/>
  <c r="K15" i="166"/>
  <c r="K14" i="166"/>
  <c r="K13" i="166"/>
  <c r="K12" i="166"/>
  <c r="K11" i="166"/>
  <c r="M11" i="166" s="1"/>
  <c r="K10" i="166"/>
  <c r="I13" i="179"/>
  <c r="M12" i="179"/>
  <c r="I18" i="197"/>
  <c r="M17" i="197"/>
  <c r="I19" i="207"/>
  <c r="M18" i="207"/>
  <c r="I17" i="190"/>
  <c r="M16" i="190"/>
  <c r="I13" i="169"/>
  <c r="I13" i="172"/>
  <c r="I11" i="178"/>
  <c r="I18" i="187"/>
  <c r="M17" i="187"/>
  <c r="I14" i="182"/>
  <c r="M13" i="182"/>
  <c r="M12" i="174"/>
  <c r="M13" i="172"/>
  <c r="I11" i="167"/>
  <c r="M11" i="167"/>
  <c r="K26" i="170"/>
  <c r="K25" i="170"/>
  <c r="K24" i="170"/>
  <c r="K23" i="170"/>
  <c r="K22" i="170"/>
  <c r="K21" i="170"/>
  <c r="K20" i="170"/>
  <c r="K19" i="170"/>
  <c r="K18" i="170"/>
  <c r="K17" i="170"/>
  <c r="K16" i="170"/>
  <c r="K15" i="170"/>
  <c r="K14" i="170"/>
  <c r="K13" i="170"/>
  <c r="K12" i="170"/>
  <c r="K11" i="170"/>
  <c r="K10" i="170"/>
  <c r="K27" i="170"/>
  <c r="I13" i="181"/>
  <c r="M12" i="181"/>
  <c r="I17" i="183"/>
  <c r="M16" i="183"/>
  <c r="O12" i="171"/>
  <c r="O10" i="171"/>
  <c r="M10" i="171" s="1"/>
  <c r="M10" i="178"/>
  <c r="I13" i="174"/>
  <c r="M13" i="174" s="1"/>
  <c r="M12" i="171"/>
  <c r="I18" i="189"/>
  <c r="M17" i="189"/>
  <c r="E13" i="165"/>
  <c r="E14" i="165" s="1"/>
  <c r="E15" i="165" s="1"/>
  <c r="E16" i="165" s="1"/>
  <c r="E17" i="165" s="1"/>
  <c r="E18" i="165" s="1"/>
  <c r="E19" i="165" s="1"/>
  <c r="E20" i="165" s="1"/>
  <c r="E21" i="165" s="1"/>
  <c r="E22" i="165" s="1"/>
  <c r="I12" i="166"/>
  <c r="M12" i="172"/>
  <c r="I10" i="176"/>
  <c r="M10" i="176" s="1"/>
  <c r="I11" i="165"/>
  <c r="T6" i="181"/>
  <c r="T5" i="181" s="1"/>
  <c r="T4" i="181" s="1"/>
  <c r="T3" i="181" s="1"/>
  <c r="T7" i="188"/>
  <c r="T2" i="181"/>
  <c r="T25" i="179"/>
  <c r="T23" i="179"/>
  <c r="T21" i="179"/>
  <c r="T19" i="179"/>
  <c r="T17" i="179"/>
  <c r="T15" i="179"/>
  <c r="T13" i="179"/>
  <c r="T11" i="179"/>
  <c r="T10" i="179"/>
  <c r="T22" i="179"/>
  <c r="T20" i="179"/>
  <c r="T16" i="179"/>
  <c r="T12" i="179"/>
  <c r="T24" i="179"/>
  <c r="T18" i="179"/>
  <c r="T14" i="179"/>
  <c r="A49" i="164"/>
  <c r="G49" i="164" s="1"/>
  <c r="A48" i="164"/>
  <c r="A47" i="164"/>
  <c r="A46" i="164"/>
  <c r="A45" i="164"/>
  <c r="A44" i="164"/>
  <c r="K22" i="165" l="1"/>
  <c r="K10" i="165"/>
  <c r="K21" i="165"/>
  <c r="K20" i="165"/>
  <c r="K19" i="165"/>
  <c r="K18" i="165"/>
  <c r="K17" i="165"/>
  <c r="K16" i="165"/>
  <c r="K15" i="165"/>
  <c r="K14" i="165"/>
  <c r="K13" i="165"/>
  <c r="K12" i="165"/>
  <c r="K11" i="165"/>
  <c r="M11" i="165" s="1"/>
  <c r="G44" i="164"/>
  <c r="G45" i="164"/>
  <c r="G46" i="164"/>
  <c r="G47" i="164"/>
  <c r="G48" i="164"/>
  <c r="I11" i="176"/>
  <c r="I13" i="166"/>
  <c r="I18" i="183"/>
  <c r="M17" i="183"/>
  <c r="I14" i="181"/>
  <c r="M13" i="181"/>
  <c r="I11" i="170"/>
  <c r="M11" i="170"/>
  <c r="I12" i="167"/>
  <c r="I15" i="182"/>
  <c r="M14" i="182"/>
  <c r="I19" i="187"/>
  <c r="M18" i="187"/>
  <c r="I14" i="172"/>
  <c r="I18" i="190"/>
  <c r="M17" i="190"/>
  <c r="I20" i="207"/>
  <c r="M19" i="207"/>
  <c r="I19" i="197"/>
  <c r="M18" i="197"/>
  <c r="I14" i="179"/>
  <c r="M13" i="179"/>
  <c r="M12" i="166"/>
  <c r="M13" i="169"/>
  <c r="I10" i="173"/>
  <c r="M10" i="173" s="1"/>
  <c r="I12" i="165"/>
  <c r="I19" i="189"/>
  <c r="M18" i="189"/>
  <c r="I14" i="174"/>
  <c r="I12" i="178"/>
  <c r="M11" i="178"/>
  <c r="I14" i="169"/>
  <c r="M13" i="166"/>
  <c r="M14" i="169"/>
  <c r="T6" i="188"/>
  <c r="T5" i="188" s="1"/>
  <c r="T4" i="188" s="1"/>
  <c r="T3" i="188" s="1"/>
  <c r="T7" i="190"/>
  <c r="T2" i="188"/>
  <c r="T20" i="181"/>
  <c r="T18" i="181"/>
  <c r="T16" i="181"/>
  <c r="T14" i="181"/>
  <c r="T12" i="181"/>
  <c r="T19" i="181"/>
  <c r="T15" i="181"/>
  <c r="T11" i="181"/>
  <c r="T10" i="181"/>
  <c r="T17" i="181"/>
  <c r="T13" i="181"/>
  <c r="T27" i="179"/>
  <c r="T29" i="179" s="1"/>
  <c r="T30" i="179" s="1"/>
  <c r="A43" i="164"/>
  <c r="A42" i="164"/>
  <c r="G42" i="164" s="1"/>
  <c r="A41" i="164"/>
  <c r="G41" i="164" s="1"/>
  <c r="A40" i="164"/>
  <c r="G40" i="164" s="1"/>
  <c r="A39" i="164"/>
  <c r="G39" i="164" s="1"/>
  <c r="A38" i="164"/>
  <c r="G38" i="164" s="1"/>
  <c r="I15" i="169" l="1"/>
  <c r="O14" i="169"/>
  <c r="I15" i="174"/>
  <c r="M14" i="174"/>
  <c r="I20" i="189"/>
  <c r="M19" i="189"/>
  <c r="I13" i="165"/>
  <c r="I15" i="179"/>
  <c r="M14" i="179"/>
  <c r="I20" i="197"/>
  <c r="M19" i="197"/>
  <c r="I21" i="207"/>
  <c r="M20" i="207"/>
  <c r="I19" i="190"/>
  <c r="M18" i="190"/>
  <c r="O19" i="187"/>
  <c r="O10" i="187"/>
  <c r="M10" i="187" s="1"/>
  <c r="O11" i="187"/>
  <c r="O12" i="187"/>
  <c r="O13" i="187"/>
  <c r="M19" i="187"/>
  <c r="O14" i="187"/>
  <c r="O15" i="187"/>
  <c r="O16" i="187"/>
  <c r="O17" i="187"/>
  <c r="I13" i="167"/>
  <c r="M12" i="167"/>
  <c r="I12" i="170"/>
  <c r="I14" i="166"/>
  <c r="M12" i="165"/>
  <c r="G43" i="164"/>
  <c r="I13" i="178"/>
  <c r="M12" i="178"/>
  <c r="I11" i="173"/>
  <c r="I15" i="172"/>
  <c r="M14" i="172"/>
  <c r="I16" i="182"/>
  <c r="M15" i="182"/>
  <c r="I15" i="181"/>
  <c r="M14" i="181"/>
  <c r="I19" i="183"/>
  <c r="M18" i="183"/>
  <c r="I12" i="176"/>
  <c r="M11" i="176"/>
  <c r="M13" i="165"/>
  <c r="T2" i="190"/>
  <c r="T13" i="188"/>
  <c r="T10" i="188"/>
  <c r="T12" i="188"/>
  <c r="O12" i="188" s="1"/>
  <c r="T11" i="188"/>
  <c r="T6" i="190"/>
  <c r="T7" i="202"/>
  <c r="T7" i="195"/>
  <c r="T7" i="194"/>
  <c r="T7" i="193"/>
  <c r="T7" i="201"/>
  <c r="T22" i="181"/>
  <c r="T24" i="181" s="1"/>
  <c r="T25" i="181" s="1"/>
  <c r="A37" i="164"/>
  <c r="A36" i="164"/>
  <c r="A35" i="164"/>
  <c r="A34" i="164"/>
  <c r="A33" i="164"/>
  <c r="A32" i="164"/>
  <c r="A31" i="164"/>
  <c r="A30" i="164"/>
  <c r="A29" i="164"/>
  <c r="A28" i="164"/>
  <c r="A27" i="164"/>
  <c r="A26" i="164"/>
  <c r="A25" i="164"/>
  <c r="A24" i="164"/>
  <c r="A23" i="164"/>
  <c r="A22" i="164"/>
  <c r="A21" i="164"/>
  <c r="A20" i="164"/>
  <c r="A19" i="164"/>
  <c r="A18" i="164"/>
  <c r="A17" i="164"/>
  <c r="A16" i="164"/>
  <c r="A15" i="164"/>
  <c r="A14" i="164"/>
  <c r="A13" i="164"/>
  <c r="A12" i="164"/>
  <c r="A11" i="164"/>
  <c r="G11" i="164" s="1"/>
  <c r="E10" i="164"/>
  <c r="E11" i="164" s="1"/>
  <c r="A10" i="164"/>
  <c r="G35" i="163"/>
  <c r="A35" i="163"/>
  <c r="G34" i="163"/>
  <c r="A34" i="163"/>
  <c r="G33" i="163"/>
  <c r="A33" i="163"/>
  <c r="A32" i="163"/>
  <c r="G32" i="163" s="1"/>
  <c r="A31" i="163"/>
  <c r="G31" i="163" s="1"/>
  <c r="A30" i="163"/>
  <c r="G30" i="163" s="1"/>
  <c r="A29" i="163"/>
  <c r="G29" i="163" s="1"/>
  <c r="A28" i="163"/>
  <c r="G28" i="163" s="1"/>
  <c r="A27" i="163"/>
  <c r="G27" i="163" s="1"/>
  <c r="A26" i="163"/>
  <c r="G26" i="163" s="1"/>
  <c r="A25" i="163"/>
  <c r="G25" i="163" s="1"/>
  <c r="A24" i="163"/>
  <c r="G24" i="163" s="1"/>
  <c r="A23" i="163"/>
  <c r="G23" i="163" s="1"/>
  <c r="A22" i="163"/>
  <c r="G22" i="163" s="1"/>
  <c r="A21" i="163"/>
  <c r="G21" i="163" s="1"/>
  <c r="A20" i="163"/>
  <c r="G20" i="163" s="1"/>
  <c r="A19" i="163"/>
  <c r="G19" i="163" s="1"/>
  <c r="A18" i="163"/>
  <c r="G18" i="163" s="1"/>
  <c r="A17" i="163"/>
  <c r="G17" i="163" s="1"/>
  <c r="A16" i="163"/>
  <c r="G16" i="163" s="1"/>
  <c r="A15" i="163"/>
  <c r="G15" i="163" s="1"/>
  <c r="A14" i="163"/>
  <c r="G14" i="163" s="1"/>
  <c r="A13" i="163"/>
  <c r="G13" i="163" s="1"/>
  <c r="A12" i="163"/>
  <c r="G12" i="163" s="1"/>
  <c r="A11" i="163"/>
  <c r="G11" i="163" s="1"/>
  <c r="E10" i="163"/>
  <c r="A10" i="163"/>
  <c r="G10" i="163" s="1"/>
  <c r="I10" i="163" s="1"/>
  <c r="A21" i="162"/>
  <c r="G21" i="162" s="1"/>
  <c r="A20" i="162"/>
  <c r="G20" i="162" s="1"/>
  <c r="A19" i="162"/>
  <c r="G19" i="162" s="1"/>
  <c r="A18" i="162"/>
  <c r="G18" i="162" s="1"/>
  <c r="A17" i="162"/>
  <c r="G17" i="162" s="1"/>
  <c r="A16" i="162"/>
  <c r="G16" i="162" s="1"/>
  <c r="A15" i="162"/>
  <c r="G15" i="162" s="1"/>
  <c r="A14" i="162"/>
  <c r="G14" i="162" s="1"/>
  <c r="A13" i="162"/>
  <c r="G13" i="162" s="1"/>
  <c r="A12" i="162"/>
  <c r="G12" i="162" s="1"/>
  <c r="G11" i="162"/>
  <c r="A11" i="162"/>
  <c r="E10" i="162"/>
  <c r="A10" i="162"/>
  <c r="G10" i="162" s="1"/>
  <c r="I10" i="162" s="1"/>
  <c r="E11" i="163" l="1"/>
  <c r="I11" i="162"/>
  <c r="I11" i="163"/>
  <c r="E12" i="163"/>
  <c r="E13" i="163" s="1"/>
  <c r="E14" i="163" s="1"/>
  <c r="E15" i="163" s="1"/>
  <c r="E16" i="163" s="1"/>
  <c r="E17" i="163" s="1"/>
  <c r="E18" i="163" s="1"/>
  <c r="E19" i="163" s="1"/>
  <c r="E20" i="163" s="1"/>
  <c r="E21" i="163" s="1"/>
  <c r="E22" i="163" s="1"/>
  <c r="E23" i="163" s="1"/>
  <c r="E24" i="163" s="1"/>
  <c r="E25" i="163" s="1"/>
  <c r="E26" i="163" s="1"/>
  <c r="E27" i="163" s="1"/>
  <c r="E28" i="163" s="1"/>
  <c r="E29" i="163" s="1"/>
  <c r="E30" i="163" s="1"/>
  <c r="E31" i="163" s="1"/>
  <c r="E32" i="163" s="1"/>
  <c r="E33" i="163" s="1"/>
  <c r="E34" i="163" s="1"/>
  <c r="E35" i="163" s="1"/>
  <c r="E11" i="162"/>
  <c r="E12" i="162" s="1"/>
  <c r="E13" i="162" s="1"/>
  <c r="E14" i="162" s="1"/>
  <c r="E15" i="162" s="1"/>
  <c r="E16" i="162" s="1"/>
  <c r="E17" i="162" s="1"/>
  <c r="E18" i="162" s="1"/>
  <c r="E19" i="162" s="1"/>
  <c r="E20" i="162" s="1"/>
  <c r="E21" i="162" s="1"/>
  <c r="G10" i="164"/>
  <c r="G12" i="164"/>
  <c r="E12" i="164" s="1"/>
  <c r="G13" i="164"/>
  <c r="E13" i="164" s="1"/>
  <c r="G14" i="164"/>
  <c r="G15" i="164"/>
  <c r="G16" i="164"/>
  <c r="G17" i="164"/>
  <c r="G18" i="164"/>
  <c r="G19" i="164"/>
  <c r="G20" i="164"/>
  <c r="G21" i="164"/>
  <c r="G22" i="164"/>
  <c r="G23" i="164"/>
  <c r="G24" i="164"/>
  <c r="G25" i="164"/>
  <c r="G26" i="164"/>
  <c r="G27" i="164"/>
  <c r="G28" i="164"/>
  <c r="G29" i="164"/>
  <c r="G30" i="164"/>
  <c r="G31" i="164"/>
  <c r="G32" i="164"/>
  <c r="G33" i="164"/>
  <c r="G34" i="164"/>
  <c r="G35" i="164"/>
  <c r="G36" i="164"/>
  <c r="G37" i="164"/>
  <c r="I20" i="183"/>
  <c r="M19" i="183"/>
  <c r="I16" i="181"/>
  <c r="M15" i="181"/>
  <c r="I17" i="182"/>
  <c r="M16" i="182"/>
  <c r="I16" i="172"/>
  <c r="M15" i="172"/>
  <c r="I14" i="178"/>
  <c r="M13" i="178"/>
  <c r="I15" i="166"/>
  <c r="M14" i="166"/>
  <c r="I13" i="170"/>
  <c r="M12" i="170"/>
  <c r="I14" i="165"/>
  <c r="O15" i="169"/>
  <c r="O10" i="169"/>
  <c r="M10" i="169" s="1"/>
  <c r="O11" i="169"/>
  <c r="O12" i="169"/>
  <c r="O13" i="169"/>
  <c r="M15" i="169"/>
  <c r="I13" i="176"/>
  <c r="M12" i="176"/>
  <c r="I12" i="173"/>
  <c r="M11" i="173"/>
  <c r="I14" i="167"/>
  <c r="M13" i="167"/>
  <c r="I20" i="190"/>
  <c r="M19" i="190"/>
  <c r="I22" i="207"/>
  <c r="M21" i="207"/>
  <c r="I21" i="197"/>
  <c r="M20" i="197"/>
  <c r="I16" i="179"/>
  <c r="M15" i="179"/>
  <c r="I21" i="189"/>
  <c r="M20" i="189"/>
  <c r="I16" i="174"/>
  <c r="M15" i="174"/>
  <c r="T5" i="190"/>
  <c r="T6" i="201"/>
  <c r="T6" i="195"/>
  <c r="T6" i="194"/>
  <c r="T6" i="193"/>
  <c r="T6" i="202"/>
  <c r="T7" i="208"/>
  <c r="T7" i="207"/>
  <c r="T7" i="206"/>
  <c r="T7" i="205"/>
  <c r="T2" i="201"/>
  <c r="T2" i="195"/>
  <c r="T2" i="194"/>
  <c r="T2" i="193"/>
  <c r="T2" i="202"/>
  <c r="T11" i="190"/>
  <c r="T10" i="190"/>
  <c r="T15" i="188"/>
  <c r="A47" i="161"/>
  <c r="A46" i="161"/>
  <c r="A45" i="161"/>
  <c r="A44" i="161"/>
  <c r="A43" i="161"/>
  <c r="A42" i="161"/>
  <c r="A41" i="161"/>
  <c r="A40" i="161"/>
  <c r="A39" i="161"/>
  <c r="A38" i="161"/>
  <c r="A37" i="161"/>
  <c r="A36" i="161"/>
  <c r="A35" i="161"/>
  <c r="A34" i="161"/>
  <c r="A33" i="161"/>
  <c r="A32" i="161"/>
  <c r="A31" i="161"/>
  <c r="A30" i="161"/>
  <c r="A29" i="161"/>
  <c r="A28" i="161"/>
  <c r="A27" i="161"/>
  <c r="T6" i="205" l="1"/>
  <c r="K21" i="162"/>
  <c r="K20" i="162"/>
  <c r="K19" i="162"/>
  <c r="K18" i="162"/>
  <c r="K17" i="162"/>
  <c r="K16" i="162"/>
  <c r="K15" i="162"/>
  <c r="K14" i="162"/>
  <c r="K13" i="162"/>
  <c r="K12" i="162"/>
  <c r="K10" i="162"/>
  <c r="K11" i="162"/>
  <c r="K35" i="163"/>
  <c r="K34" i="163"/>
  <c r="K33" i="163"/>
  <c r="K32" i="163"/>
  <c r="K31" i="163"/>
  <c r="K30" i="163"/>
  <c r="K29" i="163"/>
  <c r="K28" i="163"/>
  <c r="K27" i="163"/>
  <c r="K26" i="163"/>
  <c r="K25" i="163"/>
  <c r="K24" i="163"/>
  <c r="K23" i="163"/>
  <c r="K22" i="163"/>
  <c r="K21" i="163"/>
  <c r="K20" i="163"/>
  <c r="K19" i="163"/>
  <c r="K18" i="163"/>
  <c r="K17" i="163"/>
  <c r="K16" i="163"/>
  <c r="K15" i="163"/>
  <c r="K14" i="163"/>
  <c r="K13" i="163"/>
  <c r="K12" i="163"/>
  <c r="K11" i="163"/>
  <c r="M11" i="163" s="1"/>
  <c r="K10" i="163"/>
  <c r="G27" i="161"/>
  <c r="G28" i="161"/>
  <c r="G29" i="161"/>
  <c r="G30" i="161"/>
  <c r="G31" i="161"/>
  <c r="G32" i="161"/>
  <c r="G33" i="161"/>
  <c r="G34" i="161"/>
  <c r="G35" i="161"/>
  <c r="G36" i="161"/>
  <c r="G37" i="161"/>
  <c r="G38" i="161"/>
  <c r="G39" i="161"/>
  <c r="G40" i="161"/>
  <c r="G41" i="161"/>
  <c r="G42" i="161"/>
  <c r="G43" i="161"/>
  <c r="G44" i="161"/>
  <c r="G45" i="161"/>
  <c r="G46" i="161"/>
  <c r="G47" i="161"/>
  <c r="O16" i="174"/>
  <c r="O10" i="174"/>
  <c r="M10" i="174" s="1"/>
  <c r="O11" i="174"/>
  <c r="M11" i="174" s="1"/>
  <c r="M16" i="174"/>
  <c r="O12" i="174"/>
  <c r="O13" i="174"/>
  <c r="O14" i="174"/>
  <c r="I22" i="189"/>
  <c r="M21" i="189"/>
  <c r="I17" i="179"/>
  <c r="M16" i="179"/>
  <c r="I22" i="197"/>
  <c r="M21" i="197"/>
  <c r="I23" i="207"/>
  <c r="M22" i="207"/>
  <c r="I21" i="190"/>
  <c r="M20" i="190"/>
  <c r="I15" i="167"/>
  <c r="M14" i="167"/>
  <c r="I14" i="176"/>
  <c r="M13" i="176"/>
  <c r="I16" i="166"/>
  <c r="M15" i="166"/>
  <c r="I15" i="178"/>
  <c r="M14" i="178"/>
  <c r="I17" i="172"/>
  <c r="M16" i="172"/>
  <c r="I18" i="182"/>
  <c r="M17" i="182"/>
  <c r="I17" i="181"/>
  <c r="M16" i="181"/>
  <c r="I21" i="183"/>
  <c r="M20" i="183"/>
  <c r="E14" i="164"/>
  <c r="O15" i="174"/>
  <c r="I13" i="173"/>
  <c r="M12" i="173"/>
  <c r="I15" i="165"/>
  <c r="M14" i="165"/>
  <c r="I14" i="170"/>
  <c r="M13" i="170"/>
  <c r="E15" i="164"/>
  <c r="E16" i="164" s="1"/>
  <c r="E17" i="164" s="1"/>
  <c r="E18" i="164" s="1"/>
  <c r="E19" i="164" s="1"/>
  <c r="E20" i="164" s="1"/>
  <c r="E21" i="164" s="1"/>
  <c r="E22" i="164" s="1"/>
  <c r="E23" i="164" s="1"/>
  <c r="E24" i="164" s="1"/>
  <c r="E25" i="164" s="1"/>
  <c r="E26" i="164" s="1"/>
  <c r="E27" i="164" s="1"/>
  <c r="E28" i="164" s="1"/>
  <c r="E29" i="164" s="1"/>
  <c r="E30" i="164" s="1"/>
  <c r="E31" i="164" s="1"/>
  <c r="E32" i="164" s="1"/>
  <c r="E33" i="164" s="1"/>
  <c r="E34" i="164" s="1"/>
  <c r="E35" i="164" s="1"/>
  <c r="E36" i="164" s="1"/>
  <c r="E37" i="164" s="1"/>
  <c r="E38" i="164" s="1"/>
  <c r="E39" i="164" s="1"/>
  <c r="E40" i="164" s="1"/>
  <c r="E41" i="164" s="1"/>
  <c r="E42" i="164" s="1"/>
  <c r="E43" i="164" s="1"/>
  <c r="E44" i="164" s="1"/>
  <c r="E45" i="164" s="1"/>
  <c r="E46" i="164" s="1"/>
  <c r="E47" i="164" s="1"/>
  <c r="E48" i="164" s="1"/>
  <c r="E49" i="164" s="1"/>
  <c r="E50" i="164" s="1"/>
  <c r="E51" i="164" s="1"/>
  <c r="E52" i="164" s="1"/>
  <c r="I12" i="163"/>
  <c r="I12" i="162"/>
  <c r="T11" i="193"/>
  <c r="O11" i="193" s="1"/>
  <c r="T10" i="193"/>
  <c r="T10" i="195"/>
  <c r="T11" i="195"/>
  <c r="T2" i="207"/>
  <c r="T2" i="206"/>
  <c r="T11" i="194"/>
  <c r="O11" i="194" s="1"/>
  <c r="T2" i="208"/>
  <c r="T2" i="205"/>
  <c r="T10" i="194"/>
  <c r="T11" i="201"/>
  <c r="O11" i="201" s="1"/>
  <c r="T10" i="201"/>
  <c r="T4" i="190"/>
  <c r="T5" i="202"/>
  <c r="T5" i="201"/>
  <c r="T5" i="195"/>
  <c r="T5" i="194"/>
  <c r="T5" i="193"/>
  <c r="T6" i="207"/>
  <c r="T6" i="206"/>
  <c r="T6" i="208"/>
  <c r="A26" i="161"/>
  <c r="A25" i="161"/>
  <c r="G25" i="161" s="1"/>
  <c r="A24" i="161"/>
  <c r="G24" i="161" s="1"/>
  <c r="A23" i="161"/>
  <c r="G23" i="161" s="1"/>
  <c r="A22" i="161"/>
  <c r="G22" i="161" s="1"/>
  <c r="A21" i="161"/>
  <c r="G21" i="161" s="1"/>
  <c r="A20" i="161"/>
  <c r="G20" i="161" s="1"/>
  <c r="A19" i="161"/>
  <c r="G19" i="161" s="1"/>
  <c r="A18" i="161"/>
  <c r="G18" i="161" s="1"/>
  <c r="A17" i="161"/>
  <c r="G17" i="161" s="1"/>
  <c r="A16" i="161"/>
  <c r="G16" i="161" s="1"/>
  <c r="A15" i="161"/>
  <c r="G15" i="161" s="1"/>
  <c r="A14" i="161"/>
  <c r="G14" i="161" s="1"/>
  <c r="A13" i="161"/>
  <c r="G13" i="161" s="1"/>
  <c r="A12" i="161"/>
  <c r="G12" i="161" s="1"/>
  <c r="A11" i="161"/>
  <c r="G11" i="161" s="1"/>
  <c r="E10" i="161"/>
  <c r="A10" i="161"/>
  <c r="G10" i="161" s="1"/>
  <c r="I10" i="161" s="1"/>
  <c r="A11" i="160"/>
  <c r="E10" i="160"/>
  <c r="A10" i="160"/>
  <c r="G10" i="160" s="1"/>
  <c r="I10" i="160" s="1"/>
  <c r="A20" i="159"/>
  <c r="A19" i="159"/>
  <c r="G19" i="159" s="1"/>
  <c r="A18" i="159"/>
  <c r="G18" i="159" s="1"/>
  <c r="A17" i="159"/>
  <c r="G17" i="159" s="1"/>
  <c r="A16" i="159"/>
  <c r="G16" i="159" s="1"/>
  <c r="A15" i="159"/>
  <c r="G15" i="159" s="1"/>
  <c r="A14" i="159"/>
  <c r="G14" i="159" s="1"/>
  <c r="A13" i="159"/>
  <c r="G13" i="159" s="1"/>
  <c r="A12" i="159"/>
  <c r="G12" i="159" s="1"/>
  <c r="A11" i="159"/>
  <c r="E10" i="159"/>
  <c r="E11" i="159" s="1"/>
  <c r="E12" i="159" s="1"/>
  <c r="A10" i="159"/>
  <c r="G10" i="159" s="1"/>
  <c r="I10" i="159" s="1"/>
  <c r="A29" i="158"/>
  <c r="A28" i="158"/>
  <c r="A27" i="158"/>
  <c r="A26" i="158"/>
  <c r="A25" i="158"/>
  <c r="A24" i="158"/>
  <c r="A23" i="158"/>
  <c r="A22" i="158"/>
  <c r="A21" i="158"/>
  <c r="A20" i="158"/>
  <c r="A19" i="158"/>
  <c r="A18" i="158"/>
  <c r="A17" i="158"/>
  <c r="A16" i="158"/>
  <c r="A15" i="158"/>
  <c r="A14" i="158"/>
  <c r="A13" i="158"/>
  <c r="A12" i="158"/>
  <c r="A11" i="158"/>
  <c r="E10" i="158"/>
  <c r="E11" i="158" s="1"/>
  <c r="A10" i="158"/>
  <c r="A26" i="157"/>
  <c r="G26" i="157" s="1"/>
  <c r="A25" i="157"/>
  <c r="G25" i="157" s="1"/>
  <c r="A24" i="157"/>
  <c r="G24" i="157" s="1"/>
  <c r="A23" i="157"/>
  <c r="G23" i="157" s="1"/>
  <c r="A22" i="157"/>
  <c r="G22" i="157" s="1"/>
  <c r="A21" i="157"/>
  <c r="G21" i="157" s="1"/>
  <c r="A20" i="157"/>
  <c r="G20" i="157" s="1"/>
  <c r="A19" i="157"/>
  <c r="G19" i="157" s="1"/>
  <c r="A18" i="157"/>
  <c r="G18" i="157" s="1"/>
  <c r="A17" i="157"/>
  <c r="G17" i="157" s="1"/>
  <c r="A16" i="157"/>
  <c r="G16" i="157" s="1"/>
  <c r="A15" i="157"/>
  <c r="G15" i="157" s="1"/>
  <c r="A14" i="157"/>
  <c r="A13" i="157"/>
  <c r="G13" i="157" s="1"/>
  <c r="A12" i="157"/>
  <c r="A11" i="157"/>
  <c r="G11" i="157" s="1"/>
  <c r="E10" i="157"/>
  <c r="E11" i="157" s="1"/>
  <c r="E12" i="157" s="1"/>
  <c r="E13" i="157" s="1"/>
  <c r="E14" i="157" s="1"/>
  <c r="E15" i="157" s="1"/>
  <c r="A10" i="157"/>
  <c r="G10" i="157" s="1"/>
  <c r="A17" i="156"/>
  <c r="G17" i="156" s="1"/>
  <c r="A16" i="156"/>
  <c r="A15" i="156"/>
  <c r="G15" i="156" s="1"/>
  <c r="A14" i="156"/>
  <c r="A13" i="156"/>
  <c r="G13" i="156" s="1"/>
  <c r="A12" i="156"/>
  <c r="G12" i="156" s="1"/>
  <c r="A11" i="156"/>
  <c r="G11" i="156" s="1"/>
  <c r="E10" i="156"/>
  <c r="E11" i="156" s="1"/>
  <c r="E12" i="156" s="1"/>
  <c r="E13" i="156" s="1"/>
  <c r="E14" i="156" s="1"/>
  <c r="E15" i="156" s="1"/>
  <c r="E16" i="156" s="1"/>
  <c r="E17" i="156" s="1"/>
  <c r="A10" i="156"/>
  <c r="G10" i="156" s="1"/>
  <c r="I10" i="156" s="1"/>
  <c r="A16" i="155"/>
  <c r="A15" i="155"/>
  <c r="G15" i="155" s="1"/>
  <c r="A14" i="155"/>
  <c r="A13" i="155"/>
  <c r="G13" i="155" s="1"/>
  <c r="A12" i="155"/>
  <c r="A11" i="155"/>
  <c r="G11" i="155" s="1"/>
  <c r="E10" i="155"/>
  <c r="E11" i="155" s="1"/>
  <c r="E12" i="155" s="1"/>
  <c r="E13" i="155" s="1"/>
  <c r="E14" i="155" s="1"/>
  <c r="E15" i="155" s="1"/>
  <c r="E16" i="155" s="1"/>
  <c r="A10" i="155"/>
  <c r="G10" i="155" s="1"/>
  <c r="A25" i="154"/>
  <c r="A24" i="154"/>
  <c r="A23" i="154"/>
  <c r="A22" i="154"/>
  <c r="G22" i="154" s="1"/>
  <c r="A21" i="154"/>
  <c r="A20" i="154"/>
  <c r="G20" i="154" s="1"/>
  <c r="A19" i="154"/>
  <c r="A18" i="154"/>
  <c r="G18" i="154" s="1"/>
  <c r="A17" i="154"/>
  <c r="A16" i="154"/>
  <c r="G16" i="154" s="1"/>
  <c r="A15" i="154"/>
  <c r="A14" i="154"/>
  <c r="G14" i="154" s="1"/>
  <c r="A13" i="154"/>
  <c r="A12" i="154"/>
  <c r="G12" i="154" s="1"/>
  <c r="A11" i="154"/>
  <c r="G11" i="154" s="1"/>
  <c r="E10" i="154"/>
  <c r="E11" i="154" s="1"/>
  <c r="E12" i="154" s="1"/>
  <c r="E13" i="154" s="1"/>
  <c r="E14" i="154" s="1"/>
  <c r="E15" i="154" s="1"/>
  <c r="E16" i="154" s="1"/>
  <c r="E17" i="154" s="1"/>
  <c r="E18" i="154" s="1"/>
  <c r="E19" i="154" s="1"/>
  <c r="E20" i="154" s="1"/>
  <c r="E21" i="154" s="1"/>
  <c r="E22" i="154" s="1"/>
  <c r="E23" i="154" s="1"/>
  <c r="A10" i="154"/>
  <c r="G10" i="154" s="1"/>
  <c r="I10" i="154" s="1"/>
  <c r="A21" i="153"/>
  <c r="A20" i="153"/>
  <c r="G20" i="153" s="1"/>
  <c r="A19" i="153"/>
  <c r="A18" i="153"/>
  <c r="G18" i="153" s="1"/>
  <c r="A17" i="153"/>
  <c r="A16" i="153"/>
  <c r="G16" i="153" s="1"/>
  <c r="A15" i="153"/>
  <c r="A14" i="153"/>
  <c r="G14" i="153" s="1"/>
  <c r="A13" i="153"/>
  <c r="G13" i="153" s="1"/>
  <c r="A12" i="153"/>
  <c r="G12" i="153" s="1"/>
  <c r="A11" i="153"/>
  <c r="E10" i="153"/>
  <c r="E11" i="153" s="1"/>
  <c r="E12" i="153" s="1"/>
  <c r="E13" i="153" s="1"/>
  <c r="E14" i="153" s="1"/>
  <c r="E15" i="153" s="1"/>
  <c r="E16" i="153" s="1"/>
  <c r="E17" i="153" s="1"/>
  <c r="E18" i="153" s="1"/>
  <c r="E19" i="153" s="1"/>
  <c r="E20" i="153" s="1"/>
  <c r="E21" i="153" s="1"/>
  <c r="A10" i="153"/>
  <c r="G10" i="153" s="1"/>
  <c r="A11" i="152"/>
  <c r="G11" i="152" s="1"/>
  <c r="E10" i="152"/>
  <c r="E11" i="152" s="1"/>
  <c r="K11" i="152" s="1"/>
  <c r="A10" i="152"/>
  <c r="G10" i="152" s="1"/>
  <c r="E10" i="151"/>
  <c r="E10" i="150"/>
  <c r="A42" i="149"/>
  <c r="G42" i="149" s="1"/>
  <c r="A41" i="149"/>
  <c r="G41" i="149" s="1"/>
  <c r="A40" i="149"/>
  <c r="G40" i="149" s="1"/>
  <c r="A39" i="149"/>
  <c r="G39" i="149" s="1"/>
  <c r="A38" i="149"/>
  <c r="G38" i="149" s="1"/>
  <c r="A37" i="149"/>
  <c r="G37" i="149" s="1"/>
  <c r="A36" i="149"/>
  <c r="G36" i="149" s="1"/>
  <c r="A35" i="149"/>
  <c r="G35" i="149" s="1"/>
  <c r="A34" i="149"/>
  <c r="G34" i="149" s="1"/>
  <c r="A33" i="149"/>
  <c r="G33" i="149" s="1"/>
  <c r="A32" i="149"/>
  <c r="G32" i="149" s="1"/>
  <c r="A31" i="149"/>
  <c r="G31" i="149" s="1"/>
  <c r="A30" i="149"/>
  <c r="G30" i="149" s="1"/>
  <c r="A29" i="149"/>
  <c r="A28" i="149"/>
  <c r="G28" i="149" s="1"/>
  <c r="A27" i="149"/>
  <c r="A26" i="149"/>
  <c r="G26" i="149" s="1"/>
  <c r="A25" i="149"/>
  <c r="A24" i="149"/>
  <c r="G24" i="149" s="1"/>
  <c r="A23" i="149"/>
  <c r="A22" i="149"/>
  <c r="G22" i="149" s="1"/>
  <c r="A21" i="149"/>
  <c r="A20" i="149"/>
  <c r="G20" i="149" s="1"/>
  <c r="A19" i="149"/>
  <c r="A18" i="149"/>
  <c r="G18" i="149" s="1"/>
  <c r="A17" i="149"/>
  <c r="A16" i="149"/>
  <c r="G16" i="149" s="1"/>
  <c r="A15" i="149"/>
  <c r="A14" i="149"/>
  <c r="G14" i="149" s="1"/>
  <c r="A13" i="149"/>
  <c r="A12" i="149"/>
  <c r="G12" i="149" s="1"/>
  <c r="A11" i="149"/>
  <c r="G11" i="149" s="1"/>
  <c r="E10" i="149"/>
  <c r="E11" i="149" s="1"/>
  <c r="E12" i="149" s="1"/>
  <c r="E13" i="149" s="1"/>
  <c r="E14" i="149" s="1"/>
  <c r="E15" i="149" s="1"/>
  <c r="E16" i="149" s="1"/>
  <c r="E17" i="149" s="1"/>
  <c r="E18" i="149" s="1"/>
  <c r="E19" i="149" s="1"/>
  <c r="E20" i="149" s="1"/>
  <c r="E21" i="149" s="1"/>
  <c r="E22" i="149" s="1"/>
  <c r="E23" i="149" s="1"/>
  <c r="E24" i="149" s="1"/>
  <c r="E25" i="149" s="1"/>
  <c r="E26" i="149" s="1"/>
  <c r="E27" i="149" s="1"/>
  <c r="E28" i="149" s="1"/>
  <c r="E29" i="149" s="1"/>
  <c r="E30" i="149" s="1"/>
  <c r="E31" i="149" s="1"/>
  <c r="E32" i="149" s="1"/>
  <c r="E33" i="149" s="1"/>
  <c r="E34" i="149" s="1"/>
  <c r="E35" i="149" s="1"/>
  <c r="E36" i="149" s="1"/>
  <c r="E37" i="149" s="1"/>
  <c r="E38" i="149" s="1"/>
  <c r="E39" i="149" s="1"/>
  <c r="E40" i="149" s="1"/>
  <c r="E41" i="149" s="1"/>
  <c r="E42" i="149" s="1"/>
  <c r="A10" i="149"/>
  <c r="G10" i="149" s="1"/>
  <c r="A16" i="148"/>
  <c r="A15" i="148"/>
  <c r="A14" i="148"/>
  <c r="G14" i="148" s="1"/>
  <c r="A13" i="148"/>
  <c r="A12" i="148"/>
  <c r="G12" i="148" s="1"/>
  <c r="A11" i="148"/>
  <c r="G11" i="148" s="1"/>
  <c r="E10" i="148"/>
  <c r="E11" i="148" s="1"/>
  <c r="E12" i="148" s="1"/>
  <c r="E13" i="148" s="1"/>
  <c r="E14" i="148" s="1"/>
  <c r="E15" i="148" s="1"/>
  <c r="E16" i="148" s="1"/>
  <c r="A10" i="148"/>
  <c r="G10" i="148" s="1"/>
  <c r="A12" i="147"/>
  <c r="A11" i="147"/>
  <c r="E10" i="147"/>
  <c r="E11" i="147" s="1"/>
  <c r="E12" i="147" s="1"/>
  <c r="A10" i="147"/>
  <c r="G10" i="147" s="1"/>
  <c r="A12" i="146"/>
  <c r="A11" i="146"/>
  <c r="G11" i="146" s="1"/>
  <c r="E10" i="146"/>
  <c r="E11" i="146" s="1"/>
  <c r="E12" i="146" s="1"/>
  <c r="A10" i="146"/>
  <c r="G10" i="146" s="1"/>
  <c r="A21" i="145"/>
  <c r="A20" i="145"/>
  <c r="G20" i="145" s="1"/>
  <c r="A19" i="145"/>
  <c r="G19" i="145" s="1"/>
  <c r="A18" i="145"/>
  <c r="G18" i="145" s="1"/>
  <c r="A17" i="145"/>
  <c r="G17" i="145" s="1"/>
  <c r="A16" i="145"/>
  <c r="G16" i="145" s="1"/>
  <c r="A15" i="145"/>
  <c r="G15" i="145" s="1"/>
  <c r="A14" i="145"/>
  <c r="G14" i="145" s="1"/>
  <c r="A13" i="145"/>
  <c r="G13" i="145" s="1"/>
  <c r="A12" i="145"/>
  <c r="G12" i="145" s="1"/>
  <c r="A11" i="145"/>
  <c r="G11" i="145" s="1"/>
  <c r="E10" i="145"/>
  <c r="E11" i="145" s="1"/>
  <c r="A10" i="145"/>
  <c r="G10" i="145" s="1"/>
  <c r="E11" i="161" l="1"/>
  <c r="E12" i="161" s="1"/>
  <c r="E13" i="161" s="1"/>
  <c r="E14" i="161" s="1"/>
  <c r="E15" i="161" s="1"/>
  <c r="E16" i="161" s="1"/>
  <c r="E17" i="161" s="1"/>
  <c r="E18" i="161" s="1"/>
  <c r="E19" i="161" s="1"/>
  <c r="E20" i="161" s="1"/>
  <c r="E21" i="161" s="1"/>
  <c r="E22" i="161" s="1"/>
  <c r="E23" i="161" s="1"/>
  <c r="E24" i="161" s="1"/>
  <c r="E25" i="161" s="1"/>
  <c r="K12" i="146"/>
  <c r="K11" i="146"/>
  <c r="K12" i="147"/>
  <c r="K10" i="147"/>
  <c r="I10" i="147" s="1"/>
  <c r="E12" i="145"/>
  <c r="K20" i="153"/>
  <c r="K18" i="153"/>
  <c r="K16" i="153"/>
  <c r="K21" i="153"/>
  <c r="K19" i="153"/>
  <c r="K17" i="153"/>
  <c r="K15" i="153"/>
  <c r="K13" i="153"/>
  <c r="K14" i="153"/>
  <c r="K12" i="153"/>
  <c r="K10" i="153"/>
  <c r="I10" i="153" s="1"/>
  <c r="E13" i="145"/>
  <c r="E14" i="145" s="1"/>
  <c r="E15" i="145" s="1"/>
  <c r="E16" i="145" s="1"/>
  <c r="E17" i="145" s="1"/>
  <c r="E18" i="145" s="1"/>
  <c r="E19" i="145" s="1"/>
  <c r="E20" i="145" s="1"/>
  <c r="K14" i="148"/>
  <c r="K12" i="148"/>
  <c r="K11" i="148"/>
  <c r="K16" i="148"/>
  <c r="K15" i="148"/>
  <c r="K13" i="148"/>
  <c r="K40" i="149"/>
  <c r="K38" i="149"/>
  <c r="K36" i="149"/>
  <c r="K34" i="149"/>
  <c r="K32" i="149"/>
  <c r="K30" i="149"/>
  <c r="K28" i="149"/>
  <c r="K26" i="149"/>
  <c r="K24" i="149"/>
  <c r="K22" i="149"/>
  <c r="K20" i="149"/>
  <c r="K18" i="149"/>
  <c r="K16" i="149"/>
  <c r="K14" i="149"/>
  <c r="K12" i="149"/>
  <c r="K42" i="149"/>
  <c r="K41" i="149"/>
  <c r="K39" i="149"/>
  <c r="K37" i="149"/>
  <c r="K35" i="149"/>
  <c r="K33" i="149"/>
  <c r="K31" i="149"/>
  <c r="K29" i="149"/>
  <c r="K27" i="149"/>
  <c r="K25" i="149"/>
  <c r="K23" i="149"/>
  <c r="K21" i="149"/>
  <c r="K19" i="149"/>
  <c r="K17" i="149"/>
  <c r="K15" i="149"/>
  <c r="K13" i="149"/>
  <c r="K10" i="149"/>
  <c r="I10" i="149" s="1"/>
  <c r="G21" i="145"/>
  <c r="G12" i="146"/>
  <c r="G11" i="147"/>
  <c r="G12" i="147"/>
  <c r="G13" i="148"/>
  <c r="G15" i="148"/>
  <c r="G16" i="148"/>
  <c r="G13" i="149"/>
  <c r="G15" i="149"/>
  <c r="G17" i="149"/>
  <c r="G19" i="149"/>
  <c r="G21" i="149"/>
  <c r="G23" i="149"/>
  <c r="G25" i="149"/>
  <c r="G27" i="149"/>
  <c r="G29" i="149"/>
  <c r="G11" i="153"/>
  <c r="E16" i="157"/>
  <c r="E17" i="157" s="1"/>
  <c r="E18" i="157" s="1"/>
  <c r="E19" i="157" s="1"/>
  <c r="E20" i="157" s="1"/>
  <c r="E21" i="157" s="1"/>
  <c r="E22" i="157" s="1"/>
  <c r="E23" i="157" s="1"/>
  <c r="E24" i="157" s="1"/>
  <c r="E25" i="157" s="1"/>
  <c r="E26" i="157" s="1"/>
  <c r="E13" i="159"/>
  <c r="I11" i="161"/>
  <c r="I11" i="154"/>
  <c r="K15" i="155"/>
  <c r="K13" i="155"/>
  <c r="K16" i="155"/>
  <c r="K14" i="155"/>
  <c r="K12" i="155"/>
  <c r="K11" i="155"/>
  <c r="K17" i="156"/>
  <c r="K15" i="156"/>
  <c r="K13" i="156"/>
  <c r="K12" i="156"/>
  <c r="K11" i="156"/>
  <c r="I11" i="156" s="1"/>
  <c r="K16" i="156"/>
  <c r="K14" i="156"/>
  <c r="E14" i="159"/>
  <c r="E15" i="159" s="1"/>
  <c r="E16" i="159" s="1"/>
  <c r="E17" i="159" s="1"/>
  <c r="E18" i="159" s="1"/>
  <c r="E19" i="159" s="1"/>
  <c r="K52" i="164"/>
  <c r="K51" i="164"/>
  <c r="K50" i="164"/>
  <c r="K49" i="164"/>
  <c r="K48" i="164"/>
  <c r="K47" i="164"/>
  <c r="K46" i="164"/>
  <c r="K45" i="164"/>
  <c r="K44" i="164"/>
  <c r="K43" i="164"/>
  <c r="K42" i="164"/>
  <c r="K41" i="164"/>
  <c r="K40" i="164"/>
  <c r="K39" i="164"/>
  <c r="K38" i="164"/>
  <c r="K10" i="164"/>
  <c r="K37" i="164"/>
  <c r="K36" i="164"/>
  <c r="K35" i="164"/>
  <c r="K34" i="164"/>
  <c r="K33" i="164"/>
  <c r="K32" i="164"/>
  <c r="K31" i="164"/>
  <c r="K30" i="164"/>
  <c r="K29" i="164"/>
  <c r="K28" i="164"/>
  <c r="K27" i="164"/>
  <c r="K26" i="164"/>
  <c r="K25" i="164"/>
  <c r="K24" i="164"/>
  <c r="K23" i="164"/>
  <c r="K22" i="164"/>
  <c r="K21" i="164"/>
  <c r="K20" i="164"/>
  <c r="K19" i="164"/>
  <c r="K18" i="164"/>
  <c r="K17" i="164"/>
  <c r="K16" i="164"/>
  <c r="K15" i="164"/>
  <c r="K14" i="164"/>
  <c r="K13" i="164"/>
  <c r="K12" i="164"/>
  <c r="K11" i="164"/>
  <c r="G15" i="153"/>
  <c r="G17" i="153"/>
  <c r="G19" i="153"/>
  <c r="G21" i="153"/>
  <c r="G13" i="154"/>
  <c r="G15" i="154"/>
  <c r="G17" i="154"/>
  <c r="G19" i="154"/>
  <c r="G21" i="154"/>
  <c r="G23" i="154"/>
  <c r="G24" i="154"/>
  <c r="E24" i="154" s="1"/>
  <c r="G25" i="154"/>
  <c r="E25" i="154" s="1"/>
  <c r="G12" i="155"/>
  <c r="G14" i="155"/>
  <c r="G16" i="155"/>
  <c r="G14" i="156"/>
  <c r="G16" i="156"/>
  <c r="G12" i="157"/>
  <c r="G14" i="157"/>
  <c r="G10" i="158"/>
  <c r="G11" i="158"/>
  <c r="G12" i="158"/>
  <c r="E12" i="158" s="1"/>
  <c r="G13" i="158"/>
  <c r="G14" i="158"/>
  <c r="G15" i="158"/>
  <c r="G16" i="158"/>
  <c r="G17" i="158"/>
  <c r="G18" i="158"/>
  <c r="G19" i="158"/>
  <c r="G20" i="158"/>
  <c r="G21" i="158"/>
  <c r="G22" i="158"/>
  <c r="G23" i="158"/>
  <c r="G24" i="158"/>
  <c r="G25" i="158"/>
  <c r="G26" i="158"/>
  <c r="G27" i="158"/>
  <c r="G28" i="158"/>
  <c r="G29" i="158"/>
  <c r="G20" i="159"/>
  <c r="G11" i="160"/>
  <c r="E11" i="160" s="1"/>
  <c r="I13" i="162"/>
  <c r="I13" i="163"/>
  <c r="I14" i="173"/>
  <c r="M13" i="173"/>
  <c r="I22" i="183"/>
  <c r="M21" i="183"/>
  <c r="I18" i="181"/>
  <c r="M17" i="181"/>
  <c r="I19" i="182"/>
  <c r="M18" i="182"/>
  <c r="I18" i="172"/>
  <c r="M17" i="172"/>
  <c r="I16" i="178"/>
  <c r="M15" i="178"/>
  <c r="I17" i="166"/>
  <c r="M16" i="166"/>
  <c r="I16" i="167"/>
  <c r="M15" i="167"/>
  <c r="I22" i="190"/>
  <c r="M21" i="190"/>
  <c r="O23" i="207"/>
  <c r="O10" i="207"/>
  <c r="M10" i="207" s="1"/>
  <c r="M23" i="207"/>
  <c r="O11" i="207"/>
  <c r="O12" i="207"/>
  <c r="O13" i="207"/>
  <c r="O14" i="207"/>
  <c r="O15" i="207"/>
  <c r="O16" i="207"/>
  <c r="O17" i="207"/>
  <c r="O18" i="207"/>
  <c r="O19" i="207"/>
  <c r="O20" i="207"/>
  <c r="O21" i="207"/>
  <c r="I23" i="197"/>
  <c r="M22" i="197"/>
  <c r="I18" i="179"/>
  <c r="M17" i="179"/>
  <c r="I23" i="189"/>
  <c r="O22" i="189" s="1"/>
  <c r="M22" i="189"/>
  <c r="M13" i="163"/>
  <c r="M13" i="162"/>
  <c r="G11" i="159"/>
  <c r="G26" i="161"/>
  <c r="I15" i="170"/>
  <c r="M14" i="170"/>
  <c r="I16" i="165"/>
  <c r="M15" i="165"/>
  <c r="I15" i="176"/>
  <c r="M14" i="176"/>
  <c r="O22" i="207"/>
  <c r="M12" i="163"/>
  <c r="M12" i="162"/>
  <c r="T13" i="194"/>
  <c r="T15" i="194" s="1"/>
  <c r="T16" i="194" s="1"/>
  <c r="T10" i="205"/>
  <c r="T11" i="205"/>
  <c r="T11" i="207"/>
  <c r="T10" i="207"/>
  <c r="T13" i="193"/>
  <c r="T15" i="193" s="1"/>
  <c r="T5" i="208"/>
  <c r="T5" i="205"/>
  <c r="T5" i="207"/>
  <c r="T5" i="206"/>
  <c r="T3" i="190"/>
  <c r="T4" i="201"/>
  <c r="T4" i="195"/>
  <c r="T4" i="194"/>
  <c r="T4" i="193"/>
  <c r="T4" i="202"/>
  <c r="T11" i="208"/>
  <c r="T10" i="208"/>
  <c r="T10" i="206"/>
  <c r="T11" i="206"/>
  <c r="A30" i="144"/>
  <c r="A29" i="144"/>
  <c r="G29" i="144" s="1"/>
  <c r="G28" i="144"/>
  <c r="A28" i="144"/>
  <c r="A27" i="144"/>
  <c r="G27" i="144" s="1"/>
  <c r="G26" i="144"/>
  <c r="A26" i="144"/>
  <c r="A25" i="144"/>
  <c r="G25" i="144" s="1"/>
  <c r="G24" i="144"/>
  <c r="A24" i="144"/>
  <c r="A23" i="144"/>
  <c r="G23" i="144" s="1"/>
  <c r="G22" i="144"/>
  <c r="A22" i="144"/>
  <c r="A21" i="144"/>
  <c r="G21" i="144" s="1"/>
  <c r="G20" i="144"/>
  <c r="A20" i="144"/>
  <c r="A19" i="144"/>
  <c r="A18" i="144"/>
  <c r="A17" i="144"/>
  <c r="A16" i="144"/>
  <c r="A15" i="144"/>
  <c r="A14" i="144"/>
  <c r="A13" i="144"/>
  <c r="A12" i="144"/>
  <c r="A11" i="144"/>
  <c r="E10" i="144"/>
  <c r="E11" i="144" s="1"/>
  <c r="A10" i="144"/>
  <c r="G10" i="144" s="1"/>
  <c r="A20" i="143"/>
  <c r="A19" i="143"/>
  <c r="A18" i="143"/>
  <c r="A17" i="143"/>
  <c r="A16" i="143"/>
  <c r="A15" i="143"/>
  <c r="A14" i="143"/>
  <c r="G14" i="143" s="1"/>
  <c r="A13" i="143"/>
  <c r="A12" i="143"/>
  <c r="G12" i="143" s="1"/>
  <c r="A11" i="143"/>
  <c r="E10" i="143"/>
  <c r="E11" i="143" s="1"/>
  <c r="E12" i="143" s="1"/>
  <c r="E13" i="143" s="1"/>
  <c r="E14" i="143" s="1"/>
  <c r="E15" i="143" s="1"/>
  <c r="A10" i="143"/>
  <c r="G10" i="143" s="1"/>
  <c r="A15" i="142"/>
  <c r="A14" i="142"/>
  <c r="G14" i="142" s="1"/>
  <c r="A13" i="142"/>
  <c r="A12" i="142"/>
  <c r="G12" i="142" s="1"/>
  <c r="A11" i="142"/>
  <c r="G11" i="142" s="1"/>
  <c r="E10" i="142"/>
  <c r="E11" i="142" s="1"/>
  <c r="E12" i="142" s="1"/>
  <c r="E13" i="142" s="1"/>
  <c r="E14" i="142" s="1"/>
  <c r="E15" i="142" s="1"/>
  <c r="A10" i="142"/>
  <c r="G10" i="142" s="1"/>
  <c r="I10" i="142" s="1"/>
  <c r="A28" i="141"/>
  <c r="A27" i="141"/>
  <c r="G27" i="141" s="1"/>
  <c r="G26" i="141"/>
  <c r="A26" i="141"/>
  <c r="A25" i="141"/>
  <c r="G25" i="141" s="1"/>
  <c r="G24" i="141"/>
  <c r="A24" i="141"/>
  <c r="A23" i="141"/>
  <c r="G23" i="141" s="1"/>
  <c r="A22" i="141"/>
  <c r="G22" i="141" s="1"/>
  <c r="A21" i="141"/>
  <c r="G21" i="141" s="1"/>
  <c r="A20" i="141"/>
  <c r="G20" i="141" s="1"/>
  <c r="A19" i="141"/>
  <c r="G19" i="141" s="1"/>
  <c r="A18" i="141"/>
  <c r="G18" i="141" s="1"/>
  <c r="A17" i="141"/>
  <c r="G17" i="141" s="1"/>
  <c r="A16" i="141"/>
  <c r="G16" i="141" s="1"/>
  <c r="A15" i="141"/>
  <c r="G15" i="141" s="1"/>
  <c r="A14" i="141"/>
  <c r="G14" i="141" s="1"/>
  <c r="A13" i="141"/>
  <c r="G13" i="141" s="1"/>
  <c r="A12" i="141"/>
  <c r="A11" i="141"/>
  <c r="G11" i="141" s="1"/>
  <c r="E10" i="141"/>
  <c r="E11" i="141" s="1"/>
  <c r="E12" i="141" s="1"/>
  <c r="E13" i="141" s="1"/>
  <c r="A10" i="141"/>
  <c r="G10" i="141" s="1"/>
  <c r="I10" i="141" s="1"/>
  <c r="A34" i="140"/>
  <c r="A33" i="140"/>
  <c r="A32" i="140"/>
  <c r="A31" i="140"/>
  <c r="A30" i="140"/>
  <c r="A29" i="140"/>
  <c r="A28" i="140"/>
  <c r="A27" i="140"/>
  <c r="A26" i="140"/>
  <c r="A25" i="140"/>
  <c r="A24" i="140"/>
  <c r="A23" i="140"/>
  <c r="A22" i="140"/>
  <c r="A21" i="140"/>
  <c r="A20" i="140"/>
  <c r="A19" i="140"/>
  <c r="A18" i="140"/>
  <c r="A17" i="140"/>
  <c r="A16" i="140"/>
  <c r="A15" i="140"/>
  <c r="G15" i="140" s="1"/>
  <c r="A14" i="140"/>
  <c r="G14" i="140" s="1"/>
  <c r="A13" i="140"/>
  <c r="G13" i="140" s="1"/>
  <c r="A12" i="140"/>
  <c r="G12" i="140" s="1"/>
  <c r="E11" i="140"/>
  <c r="E12" i="140" s="1"/>
  <c r="E13" i="140" s="1"/>
  <c r="E14" i="140" s="1"/>
  <c r="E15" i="140" s="1"/>
  <c r="A11" i="140"/>
  <c r="G11" i="140" s="1"/>
  <c r="E10" i="140"/>
  <c r="A10" i="140"/>
  <c r="G10" i="140" s="1"/>
  <c r="R7" i="140"/>
  <c r="R6" i="140"/>
  <c r="R5" i="140"/>
  <c r="R4" i="140"/>
  <c r="R3" i="140"/>
  <c r="R2" i="140"/>
  <c r="A21" i="139"/>
  <c r="A20" i="139"/>
  <c r="A19" i="139"/>
  <c r="A18" i="139"/>
  <c r="A17" i="139"/>
  <c r="A16" i="139"/>
  <c r="A15" i="139"/>
  <c r="A14" i="139"/>
  <c r="A13" i="139"/>
  <c r="A12" i="139"/>
  <c r="A11" i="139"/>
  <c r="E10" i="139"/>
  <c r="A10" i="139"/>
  <c r="G10" i="139" s="1"/>
  <c r="I10" i="139" s="1"/>
  <c r="R3" i="139"/>
  <c r="R2" i="139"/>
  <c r="A21" i="138"/>
  <c r="A20" i="138"/>
  <c r="A19" i="138"/>
  <c r="A18" i="138"/>
  <c r="A17" i="138"/>
  <c r="A16" i="138"/>
  <c r="A15" i="138"/>
  <c r="A14" i="138"/>
  <c r="A13" i="138"/>
  <c r="A12" i="138"/>
  <c r="A11" i="138"/>
  <c r="G11" i="138" s="1"/>
  <c r="E11" i="138" s="1"/>
  <c r="E10" i="138"/>
  <c r="A10" i="138"/>
  <c r="G10" i="138" s="1"/>
  <c r="I10" i="138" s="1"/>
  <c r="R3" i="138"/>
  <c r="R2" i="138"/>
  <c r="A21" i="137"/>
  <c r="G21" i="137" s="1"/>
  <c r="A20" i="137"/>
  <c r="A19" i="137"/>
  <c r="A18" i="137"/>
  <c r="A17" i="137"/>
  <c r="A16" i="137"/>
  <c r="A15" i="137"/>
  <c r="A14" i="137"/>
  <c r="A13" i="137"/>
  <c r="A12" i="137"/>
  <c r="A11" i="137"/>
  <c r="G11" i="137" s="1"/>
  <c r="E10" i="137"/>
  <c r="A10" i="137"/>
  <c r="G10" i="137" s="1"/>
  <c r="I10" i="137" s="1"/>
  <c r="R4" i="137"/>
  <c r="R3" i="137"/>
  <c r="R2" i="137"/>
  <c r="A19" i="136"/>
  <c r="A18" i="136"/>
  <c r="A17" i="136"/>
  <c r="A16" i="136"/>
  <c r="A15" i="136"/>
  <c r="A14" i="136"/>
  <c r="A13" i="136"/>
  <c r="A12" i="136"/>
  <c r="A11" i="136"/>
  <c r="G11" i="136" s="1"/>
  <c r="E11" i="136" s="1"/>
  <c r="E10" i="136"/>
  <c r="A10" i="136"/>
  <c r="G10" i="136" s="1"/>
  <c r="I10" i="136" s="1"/>
  <c r="A25" i="135"/>
  <c r="G25" i="135" s="1"/>
  <c r="A24" i="135"/>
  <c r="G24" i="135" s="1"/>
  <c r="A23" i="135"/>
  <c r="G23" i="135" s="1"/>
  <c r="A22" i="135"/>
  <c r="G22" i="135" s="1"/>
  <c r="A21" i="135"/>
  <c r="G21" i="135" s="1"/>
  <c r="A20" i="135"/>
  <c r="G20" i="135" s="1"/>
  <c r="A19" i="135"/>
  <c r="G19" i="135" s="1"/>
  <c r="A18" i="135"/>
  <c r="G18" i="135" s="1"/>
  <c r="A17" i="135"/>
  <c r="G17" i="135" s="1"/>
  <c r="A16" i="135"/>
  <c r="G16" i="135" s="1"/>
  <c r="A15" i="135"/>
  <c r="G15" i="135" s="1"/>
  <c r="A14" i="135"/>
  <c r="G14" i="135" s="1"/>
  <c r="A13" i="135"/>
  <c r="G13" i="135" s="1"/>
  <c r="A12" i="135"/>
  <c r="G12" i="135" s="1"/>
  <c r="A11" i="135"/>
  <c r="G11" i="135" s="1"/>
  <c r="E10" i="135"/>
  <c r="E11" i="135" s="1"/>
  <c r="A10" i="135"/>
  <c r="R6" i="135"/>
  <c r="R6" i="148" s="1"/>
  <c r="R5" i="135"/>
  <c r="R5" i="148" s="1"/>
  <c r="R5" i="149" s="1"/>
  <c r="R4" i="135"/>
  <c r="R4" i="136" s="1"/>
  <c r="R3" i="135"/>
  <c r="R3" i="148" s="1"/>
  <c r="R2" i="135"/>
  <c r="R2" i="148" s="1"/>
  <c r="A21" i="134"/>
  <c r="G21" i="134" s="1"/>
  <c r="A20" i="134"/>
  <c r="G20" i="134" s="1"/>
  <c r="A19" i="134"/>
  <c r="G19" i="134" s="1"/>
  <c r="A18" i="134"/>
  <c r="G18" i="134" s="1"/>
  <c r="A17" i="134"/>
  <c r="G17" i="134" s="1"/>
  <c r="A16" i="134"/>
  <c r="G16" i="134" s="1"/>
  <c r="A15" i="134"/>
  <c r="G15" i="134" s="1"/>
  <c r="A14" i="134"/>
  <c r="G14" i="134" s="1"/>
  <c r="A13" i="134"/>
  <c r="G13" i="134" s="1"/>
  <c r="A12" i="134"/>
  <c r="G12" i="134" s="1"/>
  <c r="A11" i="134"/>
  <c r="G11" i="134" s="1"/>
  <c r="E10" i="134"/>
  <c r="E11" i="134" s="1"/>
  <c r="A10" i="134"/>
  <c r="A20" i="133"/>
  <c r="A19" i="133"/>
  <c r="G19" i="133" s="1"/>
  <c r="A18" i="133"/>
  <c r="G18" i="133" s="1"/>
  <c r="A17" i="133"/>
  <c r="G17" i="133" s="1"/>
  <c r="A16" i="133"/>
  <c r="G16" i="133" s="1"/>
  <c r="A15" i="133"/>
  <c r="G15" i="133" s="1"/>
  <c r="A14" i="133"/>
  <c r="G14" i="133" s="1"/>
  <c r="A13" i="133"/>
  <c r="G13" i="133" s="1"/>
  <c r="A12" i="133"/>
  <c r="G12" i="133" s="1"/>
  <c r="A11" i="133"/>
  <c r="G11" i="133" s="1"/>
  <c r="E10" i="133"/>
  <c r="E11" i="133" s="1"/>
  <c r="A10" i="133"/>
  <c r="A14" i="132"/>
  <c r="A13" i="132"/>
  <c r="A12" i="132"/>
  <c r="A11" i="132"/>
  <c r="E10" i="132"/>
  <c r="A10" i="132"/>
  <c r="G10" i="132" s="1"/>
  <c r="I10" i="132" s="1"/>
  <c r="A15" i="131"/>
  <c r="A14" i="131"/>
  <c r="A13" i="131"/>
  <c r="A12" i="131"/>
  <c r="A11" i="131"/>
  <c r="E10" i="131"/>
  <c r="E11" i="131" s="1"/>
  <c r="A10" i="131"/>
  <c r="A21" i="130"/>
  <c r="G21" i="130" s="1"/>
  <c r="G20" i="130"/>
  <c r="A20" i="130"/>
  <c r="A19" i="130"/>
  <c r="A18" i="130"/>
  <c r="A17" i="130"/>
  <c r="A16" i="130"/>
  <c r="A15" i="130"/>
  <c r="A14" i="130"/>
  <c r="A13" i="130"/>
  <c r="A12" i="130"/>
  <c r="A11" i="130"/>
  <c r="E10" i="130"/>
  <c r="E11" i="130" s="1"/>
  <c r="A10" i="130"/>
  <c r="A23" i="129"/>
  <c r="G23" i="129" s="1"/>
  <c r="A22" i="129"/>
  <c r="G22" i="129" s="1"/>
  <c r="A21" i="129"/>
  <c r="G21" i="129" s="1"/>
  <c r="A20" i="129"/>
  <c r="G20" i="129" s="1"/>
  <c r="A19" i="129"/>
  <c r="G19" i="129" s="1"/>
  <c r="A18" i="129"/>
  <c r="G18" i="129" s="1"/>
  <c r="A17" i="129"/>
  <c r="G17" i="129" s="1"/>
  <c r="A16" i="129"/>
  <c r="G16" i="129" s="1"/>
  <c r="A15" i="129"/>
  <c r="G15" i="129" s="1"/>
  <c r="A14" i="129"/>
  <c r="G14" i="129" s="1"/>
  <c r="A13" i="129"/>
  <c r="G13" i="129" s="1"/>
  <c r="A12" i="129"/>
  <c r="G12" i="129" s="1"/>
  <c r="A11" i="129"/>
  <c r="G11" i="129" s="1"/>
  <c r="E10" i="129"/>
  <c r="E11" i="129" s="1"/>
  <c r="A10" i="129"/>
  <c r="E10" i="128"/>
  <c r="E10" i="119"/>
  <c r="E10" i="118"/>
  <c r="K10" i="118" s="1"/>
  <c r="A10" i="118"/>
  <c r="E10" i="117"/>
  <c r="K10" i="117" s="1"/>
  <c r="A10" i="117"/>
  <c r="E10" i="116"/>
  <c r="K10" i="116" s="1"/>
  <c r="A10" i="116"/>
  <c r="E10" i="115"/>
  <c r="E10" i="114"/>
  <c r="E10" i="113"/>
  <c r="E10" i="111"/>
  <c r="A16" i="110"/>
  <c r="G16" i="110" s="1"/>
  <c r="A15" i="110"/>
  <c r="G15" i="110" s="1"/>
  <c r="A14" i="110"/>
  <c r="G14" i="110" s="1"/>
  <c r="A13" i="110"/>
  <c r="G13" i="110" s="1"/>
  <c r="A12" i="110"/>
  <c r="A11" i="110"/>
  <c r="E10" i="110"/>
  <c r="E11" i="110" s="1"/>
  <c r="A10" i="110"/>
  <c r="R6" i="110"/>
  <c r="R5" i="110"/>
  <c r="R4" i="110"/>
  <c r="R3" i="110"/>
  <c r="R2" i="110"/>
  <c r="A18" i="109"/>
  <c r="A17" i="109"/>
  <c r="G17" i="109" s="1"/>
  <c r="A16" i="109"/>
  <c r="G16" i="109" s="1"/>
  <c r="A15" i="109"/>
  <c r="G15" i="109" s="1"/>
  <c r="A14" i="109"/>
  <c r="G14" i="109" s="1"/>
  <c r="A13" i="109"/>
  <c r="A12" i="109"/>
  <c r="G12" i="109" s="1"/>
  <c r="A11" i="109"/>
  <c r="G11" i="109" s="1"/>
  <c r="E10" i="109"/>
  <c r="E11" i="109" s="1"/>
  <c r="E12" i="109" s="1"/>
  <c r="E13" i="109" s="1"/>
  <c r="E14" i="109" s="1"/>
  <c r="A10" i="109"/>
  <c r="G10" i="109" s="1"/>
  <c r="I10" i="109" s="1"/>
  <c r="R7" i="109"/>
  <c r="R6" i="109"/>
  <c r="R5" i="109"/>
  <c r="R4" i="109"/>
  <c r="R3" i="109"/>
  <c r="R2" i="109"/>
  <c r="R2" i="132" s="1"/>
  <c r="E10" i="108"/>
  <c r="K10" i="108" s="1"/>
  <c r="A10" i="108"/>
  <c r="A16" i="107"/>
  <c r="A15" i="107"/>
  <c r="G15" i="107" s="1"/>
  <c r="I15" i="107" s="1"/>
  <c r="A14" i="107"/>
  <c r="G14" i="107" s="1"/>
  <c r="A13" i="107"/>
  <c r="G13" i="107" s="1"/>
  <c r="I13" i="107" s="1"/>
  <c r="A12" i="107"/>
  <c r="G12" i="107" s="1"/>
  <c r="A11" i="107"/>
  <c r="G11" i="107" s="1"/>
  <c r="I11" i="107" s="1"/>
  <c r="E10" i="107"/>
  <c r="E11" i="107" s="1"/>
  <c r="E12" i="107" s="1"/>
  <c r="E13" i="107" s="1"/>
  <c r="E14" i="107" s="1"/>
  <c r="E15" i="107" s="1"/>
  <c r="E16" i="107" s="1"/>
  <c r="A10" i="107"/>
  <c r="G10" i="107" s="1"/>
  <c r="E10" i="105"/>
  <c r="P11" i="104"/>
  <c r="E10" i="104"/>
  <c r="E10" i="103"/>
  <c r="E10" i="101"/>
  <c r="E10" i="100"/>
  <c r="K10" i="100" s="1"/>
  <c r="A10" i="100"/>
  <c r="E10" i="99"/>
  <c r="E10" i="98"/>
  <c r="K10" i="98" s="1"/>
  <c r="A10" i="98"/>
  <c r="G10" i="98" s="1"/>
  <c r="G17" i="97"/>
  <c r="A17" i="97"/>
  <c r="A16" i="97"/>
  <c r="G16" i="97" s="1"/>
  <c r="A15" i="97"/>
  <c r="A14" i="97"/>
  <c r="G13" i="97"/>
  <c r="A12" i="97"/>
  <c r="A11" i="97"/>
  <c r="G11" i="97" s="1"/>
  <c r="E10" i="97"/>
  <c r="E11" i="97" s="1"/>
  <c r="E12" i="97" s="1"/>
  <c r="E13" i="97" s="1"/>
  <c r="E14" i="97" s="1"/>
  <c r="A10" i="97"/>
  <c r="G10" i="97" s="1"/>
  <c r="R7" i="97"/>
  <c r="R6" i="97"/>
  <c r="R5" i="97"/>
  <c r="R4" i="97"/>
  <c r="R3" i="97"/>
  <c r="R2" i="97"/>
  <c r="A42" i="96"/>
  <c r="G42" i="96" s="1"/>
  <c r="E11" i="137" l="1"/>
  <c r="I10" i="98"/>
  <c r="K16" i="107"/>
  <c r="K13" i="107"/>
  <c r="K12" i="107"/>
  <c r="I12" i="107" s="1"/>
  <c r="K15" i="107"/>
  <c r="K14" i="107"/>
  <c r="I14" i="107" s="1"/>
  <c r="K11" i="107"/>
  <c r="I11" i="138"/>
  <c r="E15" i="109"/>
  <c r="E16" i="109" s="1"/>
  <c r="E17" i="109" s="1"/>
  <c r="E12" i="129"/>
  <c r="E13" i="129" s="1"/>
  <c r="E14" i="129" s="1"/>
  <c r="E15" i="129" s="1"/>
  <c r="E16" i="129" s="1"/>
  <c r="E17" i="129" s="1"/>
  <c r="E18" i="129" s="1"/>
  <c r="E19" i="129" s="1"/>
  <c r="E20" i="129" s="1"/>
  <c r="E21" i="129" s="1"/>
  <c r="E22" i="129" s="1"/>
  <c r="E23" i="129" s="1"/>
  <c r="E12" i="133"/>
  <c r="E13" i="133" s="1"/>
  <c r="E14" i="133" s="1"/>
  <c r="E15" i="133" s="1"/>
  <c r="E16" i="133" s="1"/>
  <c r="E17" i="133" s="1"/>
  <c r="E18" i="133" s="1"/>
  <c r="E19" i="133" s="1"/>
  <c r="E12" i="134"/>
  <c r="E13" i="134" s="1"/>
  <c r="E14" i="134" s="1"/>
  <c r="E15" i="134" s="1"/>
  <c r="E16" i="134" s="1"/>
  <c r="E17" i="134" s="1"/>
  <c r="E18" i="134" s="1"/>
  <c r="E19" i="134" s="1"/>
  <c r="E20" i="134" s="1"/>
  <c r="E21" i="134" s="1"/>
  <c r="E12" i="135"/>
  <c r="E13" i="135" s="1"/>
  <c r="E14" i="135" s="1"/>
  <c r="E15" i="135" s="1"/>
  <c r="E16" i="135" s="1"/>
  <c r="E17" i="135" s="1"/>
  <c r="E18" i="135" s="1"/>
  <c r="E19" i="135" s="1"/>
  <c r="E20" i="135" s="1"/>
  <c r="E21" i="135" s="1"/>
  <c r="E22" i="135" s="1"/>
  <c r="E23" i="135" s="1"/>
  <c r="E24" i="135" s="1"/>
  <c r="E25" i="135" s="1"/>
  <c r="I11" i="136"/>
  <c r="I11" i="137"/>
  <c r="G12" i="97"/>
  <c r="G14" i="97"/>
  <c r="G15" i="97"/>
  <c r="G10" i="100"/>
  <c r="I10" i="100" s="1"/>
  <c r="M10" i="100" s="1"/>
  <c r="G16" i="107"/>
  <c r="G13" i="109"/>
  <c r="G18" i="109"/>
  <c r="G10" i="110"/>
  <c r="G11" i="110"/>
  <c r="G12" i="110"/>
  <c r="E12" i="110" s="1"/>
  <c r="E13" i="110" s="1"/>
  <c r="E14" i="110" s="1"/>
  <c r="E15" i="110" s="1"/>
  <c r="E16" i="110" s="1"/>
  <c r="G10" i="116"/>
  <c r="I10" i="116" s="1"/>
  <c r="M10" i="116" s="1"/>
  <c r="G10" i="118"/>
  <c r="I10" i="118" s="1"/>
  <c r="M10" i="118" s="1"/>
  <c r="G10" i="130"/>
  <c r="G11" i="130"/>
  <c r="G12" i="130"/>
  <c r="E12" i="130" s="1"/>
  <c r="G13" i="130"/>
  <c r="G14" i="130"/>
  <c r="G15" i="130"/>
  <c r="G16" i="130"/>
  <c r="G17" i="130"/>
  <c r="G18" i="130"/>
  <c r="G19" i="130"/>
  <c r="G10" i="131"/>
  <c r="G11" i="131"/>
  <c r="G12" i="131"/>
  <c r="E12" i="131" s="1"/>
  <c r="G13" i="131"/>
  <c r="G14" i="131"/>
  <c r="G15" i="131"/>
  <c r="G11" i="132"/>
  <c r="E11" i="132" s="1"/>
  <c r="G12" i="132"/>
  <c r="G13" i="132"/>
  <c r="G14" i="132"/>
  <c r="G20" i="133"/>
  <c r="G12" i="136"/>
  <c r="E12" i="136" s="1"/>
  <c r="G13" i="136"/>
  <c r="E13" i="136" s="1"/>
  <c r="G14" i="136"/>
  <c r="G15" i="136"/>
  <c r="G16" i="136"/>
  <c r="G17" i="136"/>
  <c r="G18" i="136"/>
  <c r="G19" i="136"/>
  <c r="G12" i="137"/>
  <c r="E12" i="137" s="1"/>
  <c r="G13" i="137"/>
  <c r="E13" i="137" s="1"/>
  <c r="G14" i="137"/>
  <c r="G15" i="137"/>
  <c r="G16" i="137"/>
  <c r="G17" i="137"/>
  <c r="G18" i="137"/>
  <c r="G19" i="137"/>
  <c r="G20" i="137"/>
  <c r="G12" i="138"/>
  <c r="E12" i="138" s="1"/>
  <c r="G13" i="138"/>
  <c r="G14" i="138"/>
  <c r="G15" i="138"/>
  <c r="G16" i="138"/>
  <c r="G17" i="138"/>
  <c r="G18" i="138"/>
  <c r="G19" i="138"/>
  <c r="G20" i="138"/>
  <c r="G21" i="138"/>
  <c r="G11" i="139"/>
  <c r="E11" i="139" s="1"/>
  <c r="G12" i="139"/>
  <c r="E12" i="139" s="1"/>
  <c r="G13" i="139"/>
  <c r="G14" i="139"/>
  <c r="G15" i="139"/>
  <c r="G16" i="139"/>
  <c r="G17" i="139"/>
  <c r="G18" i="139"/>
  <c r="G19" i="139"/>
  <c r="G20" i="139"/>
  <c r="G21" i="139"/>
  <c r="G16" i="140"/>
  <c r="E16" i="140" s="1"/>
  <c r="G17" i="140"/>
  <c r="G18" i="140"/>
  <c r="G19" i="140"/>
  <c r="G20" i="140"/>
  <c r="G21" i="140"/>
  <c r="G22" i="140"/>
  <c r="G23" i="140"/>
  <c r="G24" i="140"/>
  <c r="G25" i="140"/>
  <c r="G26" i="140"/>
  <c r="G27" i="140"/>
  <c r="E14" i="141"/>
  <c r="K14" i="142"/>
  <c r="K10" i="142"/>
  <c r="K15" i="142"/>
  <c r="K13" i="142"/>
  <c r="K12" i="142"/>
  <c r="G10" i="108"/>
  <c r="I10" i="108" s="1"/>
  <c r="M10" i="108" s="1"/>
  <c r="G10" i="117"/>
  <c r="I10" i="117" s="1"/>
  <c r="M10" i="117" s="1"/>
  <c r="G10" i="129"/>
  <c r="G10" i="133"/>
  <c r="G10" i="134"/>
  <c r="G10" i="135"/>
  <c r="G28" i="140"/>
  <c r="I11" i="141"/>
  <c r="E15" i="141"/>
  <c r="E16" i="141" s="1"/>
  <c r="E17" i="141" s="1"/>
  <c r="E18" i="141" s="1"/>
  <c r="E19" i="141" s="1"/>
  <c r="E20" i="141" s="1"/>
  <c r="E21" i="141" s="1"/>
  <c r="E22" i="141" s="1"/>
  <c r="E23" i="141" s="1"/>
  <c r="E24" i="141" s="1"/>
  <c r="E25" i="141" s="1"/>
  <c r="E26" i="141" s="1"/>
  <c r="E27" i="141" s="1"/>
  <c r="K26" i="157"/>
  <c r="K25" i="157"/>
  <c r="K24" i="157"/>
  <c r="K23" i="157"/>
  <c r="K22" i="157"/>
  <c r="K21" i="157"/>
  <c r="K20" i="157"/>
  <c r="K19" i="157"/>
  <c r="K18" i="157"/>
  <c r="K17" i="157"/>
  <c r="K16" i="157"/>
  <c r="K15" i="157"/>
  <c r="K13" i="157"/>
  <c r="K11" i="157"/>
  <c r="K10" i="157"/>
  <c r="I10" i="157" s="1"/>
  <c r="K14" i="157"/>
  <c r="K12" i="157"/>
  <c r="G29" i="140"/>
  <c r="G30" i="140"/>
  <c r="G31" i="140"/>
  <c r="G32" i="140"/>
  <c r="G33" i="140"/>
  <c r="G34" i="140"/>
  <c r="G28" i="141"/>
  <c r="G13" i="142"/>
  <c r="G15" i="142"/>
  <c r="G11" i="143"/>
  <c r="G13" i="143"/>
  <c r="G15" i="143"/>
  <c r="G16" i="143"/>
  <c r="E16" i="143" s="1"/>
  <c r="G17" i="143"/>
  <c r="G18" i="143"/>
  <c r="G19" i="143"/>
  <c r="G20" i="143"/>
  <c r="G11" i="144"/>
  <c r="G12" i="144"/>
  <c r="E12" i="144" s="1"/>
  <c r="G13" i="144"/>
  <c r="E13" i="144" s="1"/>
  <c r="G14" i="144"/>
  <c r="G15" i="144"/>
  <c r="G16" i="144"/>
  <c r="G17" i="144"/>
  <c r="G18" i="144"/>
  <c r="G19" i="144"/>
  <c r="I16" i="176"/>
  <c r="M15" i="176"/>
  <c r="I17" i="165"/>
  <c r="M16" i="165"/>
  <c r="I16" i="170"/>
  <c r="M15" i="170"/>
  <c r="E26" i="161"/>
  <c r="E27" i="161" s="1"/>
  <c r="E28" i="161" s="1"/>
  <c r="E29" i="161" s="1"/>
  <c r="E30" i="161" s="1"/>
  <c r="E31" i="161" s="1"/>
  <c r="E32" i="161" s="1"/>
  <c r="E33" i="161" s="1"/>
  <c r="E34" i="161" s="1"/>
  <c r="E35" i="161" s="1"/>
  <c r="E36" i="161" s="1"/>
  <c r="E37" i="161" s="1"/>
  <c r="E38" i="161" s="1"/>
  <c r="E39" i="161" s="1"/>
  <c r="E40" i="161" s="1"/>
  <c r="E41" i="161" s="1"/>
  <c r="E42" i="161" s="1"/>
  <c r="E43" i="161" s="1"/>
  <c r="E44" i="161" s="1"/>
  <c r="E45" i="161" s="1"/>
  <c r="E46" i="161" s="1"/>
  <c r="E47" i="161" s="1"/>
  <c r="I23" i="190"/>
  <c r="M22" i="190"/>
  <c r="I17" i="167"/>
  <c r="M16" i="167"/>
  <c r="I15" i="173"/>
  <c r="M14" i="173"/>
  <c r="E20" i="159"/>
  <c r="E13" i="158"/>
  <c r="I10" i="164"/>
  <c r="M10" i="164"/>
  <c r="I11" i="160"/>
  <c r="O10" i="160" s="1"/>
  <c r="I12" i="161"/>
  <c r="E21" i="145"/>
  <c r="I11" i="149"/>
  <c r="G12" i="141"/>
  <c r="G30" i="144"/>
  <c r="O23" i="189"/>
  <c r="O10" i="189"/>
  <c r="M10" i="189" s="1"/>
  <c r="O11" i="189"/>
  <c r="M11" i="189" s="1"/>
  <c r="O12" i="189"/>
  <c r="O13" i="189"/>
  <c r="M23" i="189"/>
  <c r="O14" i="189"/>
  <c r="O15" i="189"/>
  <c r="O16" i="189"/>
  <c r="O17" i="189"/>
  <c r="O18" i="189"/>
  <c r="O19" i="189"/>
  <c r="O20" i="189"/>
  <c r="O21" i="189"/>
  <c r="I19" i="179"/>
  <c r="M18" i="179"/>
  <c r="I24" i="197"/>
  <c r="M23" i="197"/>
  <c r="I18" i="166"/>
  <c r="M17" i="166"/>
  <c r="I17" i="178"/>
  <c r="M16" i="178"/>
  <c r="I19" i="172"/>
  <c r="M18" i="172"/>
  <c r="I20" i="182"/>
  <c r="M19" i="182"/>
  <c r="I19" i="181"/>
  <c r="M18" i="181"/>
  <c r="I23" i="183"/>
  <c r="M22" i="183"/>
  <c r="I14" i="163"/>
  <c r="I14" i="162"/>
  <c r="K10" i="160"/>
  <c r="K11" i="160"/>
  <c r="M11" i="160" s="1"/>
  <c r="E14" i="158"/>
  <c r="E15" i="158" s="1"/>
  <c r="E16" i="158" s="1"/>
  <c r="E17" i="158" s="1"/>
  <c r="E18" i="158" s="1"/>
  <c r="E19" i="158" s="1"/>
  <c r="E20" i="158" s="1"/>
  <c r="E21" i="158" s="1"/>
  <c r="E22" i="158" s="1"/>
  <c r="E23" i="158" s="1"/>
  <c r="E24" i="158" s="1"/>
  <c r="E25" i="158" s="1"/>
  <c r="E26" i="158" s="1"/>
  <c r="E27" i="158" s="1"/>
  <c r="E28" i="158" s="1"/>
  <c r="E29" i="158" s="1"/>
  <c r="K22" i="154"/>
  <c r="K20" i="154"/>
  <c r="K18" i="154"/>
  <c r="K16" i="154"/>
  <c r="K14" i="154"/>
  <c r="K11" i="154"/>
  <c r="K10" i="154"/>
  <c r="K25" i="154"/>
  <c r="K24" i="154"/>
  <c r="K23" i="154"/>
  <c r="K21" i="154"/>
  <c r="K19" i="154"/>
  <c r="K17" i="154"/>
  <c r="K15" i="154"/>
  <c r="K13" i="154"/>
  <c r="K12" i="154"/>
  <c r="I12" i="154" s="1"/>
  <c r="I12" i="156"/>
  <c r="I11" i="153"/>
  <c r="I11" i="147"/>
  <c r="R2" i="149"/>
  <c r="R2" i="161"/>
  <c r="R6" i="161"/>
  <c r="R6" i="149"/>
  <c r="T3" i="202"/>
  <c r="T3" i="195"/>
  <c r="T3" i="194"/>
  <c r="T3" i="193"/>
  <c r="T3" i="201"/>
  <c r="T12" i="201" s="1"/>
  <c r="T14" i="201" s="1"/>
  <c r="T19" i="190"/>
  <c r="T22" i="190"/>
  <c r="T24" i="190"/>
  <c r="T21" i="190"/>
  <c r="T17" i="190"/>
  <c r="T13" i="190"/>
  <c r="T25" i="190"/>
  <c r="T20" i="190"/>
  <c r="T16" i="190"/>
  <c r="T12" i="190"/>
  <c r="T23" i="190"/>
  <c r="T15" i="190"/>
  <c r="T18" i="190"/>
  <c r="T14" i="190"/>
  <c r="R3" i="161"/>
  <c r="R3" i="149"/>
  <c r="T4" i="207"/>
  <c r="T4" i="206"/>
  <c r="T4" i="208"/>
  <c r="T4" i="205"/>
  <c r="A41" i="96"/>
  <c r="A40" i="96"/>
  <c r="G40" i="96" s="1"/>
  <c r="A39" i="96"/>
  <c r="G39" i="96" s="1"/>
  <c r="A38" i="96"/>
  <c r="G38" i="96" s="1"/>
  <c r="A37" i="96"/>
  <c r="G37" i="96" s="1"/>
  <c r="A36" i="96"/>
  <c r="G36" i="96" s="1"/>
  <c r="A35" i="96"/>
  <c r="G35" i="96" s="1"/>
  <c r="A34" i="96"/>
  <c r="G34" i="96" s="1"/>
  <c r="A33" i="96"/>
  <c r="G33" i="96" s="1"/>
  <c r="A32" i="96"/>
  <c r="G32" i="96" s="1"/>
  <c r="A31" i="96"/>
  <c r="G31" i="96" s="1"/>
  <c r="A30" i="96"/>
  <c r="G30" i="96" s="1"/>
  <c r="A29" i="96"/>
  <c r="G29" i="96" s="1"/>
  <c r="A28" i="96"/>
  <c r="G28" i="96" s="1"/>
  <c r="A27" i="96"/>
  <c r="G27" i="96" s="1"/>
  <c r="A26" i="96"/>
  <c r="G26" i="96" s="1"/>
  <c r="A25" i="96"/>
  <c r="G25" i="96" s="1"/>
  <c r="A24" i="96"/>
  <c r="G24" i="96" s="1"/>
  <c r="A23" i="96"/>
  <c r="G23" i="96" s="1"/>
  <c r="A22" i="96"/>
  <c r="G22" i="96" s="1"/>
  <c r="A21" i="96"/>
  <c r="G21" i="96" s="1"/>
  <c r="A20" i="96"/>
  <c r="G20" i="96" s="1"/>
  <c r="A19" i="96"/>
  <c r="G19" i="96" s="1"/>
  <c r="A18" i="96"/>
  <c r="G18" i="96" s="1"/>
  <c r="A17" i="96"/>
  <c r="G17" i="96" s="1"/>
  <c r="A16" i="96"/>
  <c r="G16" i="96" s="1"/>
  <c r="A15" i="96"/>
  <c r="G15" i="96" s="1"/>
  <c r="A14" i="96"/>
  <c r="G14" i="96" s="1"/>
  <c r="A13" i="96"/>
  <c r="G13" i="96" s="1"/>
  <c r="A12" i="96"/>
  <c r="G12" i="96" s="1"/>
  <c r="A11" i="96"/>
  <c r="G11" i="96" s="1"/>
  <c r="E10" i="96"/>
  <c r="E11" i="96" s="1"/>
  <c r="E12" i="96" s="1"/>
  <c r="E13" i="96" s="1"/>
  <c r="E14" i="96" s="1"/>
  <c r="E15" i="96" s="1"/>
  <c r="E16" i="96" s="1"/>
  <c r="E17" i="96" s="1"/>
  <c r="E18" i="96" s="1"/>
  <c r="E19" i="96" s="1"/>
  <c r="E20" i="96" s="1"/>
  <c r="E21" i="96" s="1"/>
  <c r="E22" i="96" s="1"/>
  <c r="E23" i="96" s="1"/>
  <c r="E24" i="96" s="1"/>
  <c r="E25" i="96" s="1"/>
  <c r="E26" i="96" s="1"/>
  <c r="E27" i="96" s="1"/>
  <c r="E28" i="96" s="1"/>
  <c r="E29" i="96" s="1"/>
  <c r="E30" i="96" s="1"/>
  <c r="E31" i="96" s="1"/>
  <c r="E32" i="96" s="1"/>
  <c r="E33" i="96" s="1"/>
  <c r="E34" i="96" s="1"/>
  <c r="E35" i="96" s="1"/>
  <c r="E36" i="96" s="1"/>
  <c r="E37" i="96" s="1"/>
  <c r="E38" i="96" s="1"/>
  <c r="E39" i="96" s="1"/>
  <c r="E40" i="96" s="1"/>
  <c r="E41" i="96" s="1"/>
  <c r="E42" i="96" s="1"/>
  <c r="A10" i="96"/>
  <c r="G10" i="96" s="1"/>
  <c r="I10" i="96" s="1"/>
  <c r="A53" i="95"/>
  <c r="A52" i="95"/>
  <c r="E13" i="138" l="1"/>
  <c r="E17" i="143"/>
  <c r="K42" i="96"/>
  <c r="K41" i="96"/>
  <c r="K39" i="96"/>
  <c r="K37" i="96"/>
  <c r="K35" i="96"/>
  <c r="K33" i="96"/>
  <c r="K31" i="96"/>
  <c r="K29" i="96"/>
  <c r="K27" i="96"/>
  <c r="K25" i="96"/>
  <c r="K23" i="96"/>
  <c r="K21" i="96"/>
  <c r="K19" i="96"/>
  <c r="K17" i="96"/>
  <c r="K12" i="96"/>
  <c r="K40" i="96"/>
  <c r="K38" i="96"/>
  <c r="K36" i="96"/>
  <c r="K34" i="96"/>
  <c r="K32" i="96"/>
  <c r="K30" i="96"/>
  <c r="K28" i="96"/>
  <c r="K26" i="96"/>
  <c r="K24" i="96"/>
  <c r="K22" i="96"/>
  <c r="K20" i="96"/>
  <c r="K18" i="96"/>
  <c r="K16" i="96"/>
  <c r="K15" i="96"/>
  <c r="K14" i="96"/>
  <c r="K13" i="96"/>
  <c r="K11" i="96"/>
  <c r="K10" i="158"/>
  <c r="K29" i="158"/>
  <c r="K28" i="158"/>
  <c r="K27" i="158"/>
  <c r="K26" i="158"/>
  <c r="K25" i="158"/>
  <c r="K24" i="158"/>
  <c r="K23" i="158"/>
  <c r="K22" i="158"/>
  <c r="K21" i="158"/>
  <c r="K20" i="158"/>
  <c r="K19" i="158"/>
  <c r="K18" i="158"/>
  <c r="K17" i="158"/>
  <c r="K16" i="158"/>
  <c r="K15" i="158"/>
  <c r="K14" i="158"/>
  <c r="K13" i="158"/>
  <c r="K12" i="158"/>
  <c r="K11" i="158"/>
  <c r="K21" i="134"/>
  <c r="K20" i="134"/>
  <c r="K19" i="134"/>
  <c r="K18" i="134"/>
  <c r="K17" i="134"/>
  <c r="K16" i="134"/>
  <c r="K15" i="134"/>
  <c r="K14" i="134"/>
  <c r="K13" i="134"/>
  <c r="K12" i="134"/>
  <c r="K11" i="134"/>
  <c r="K10" i="134"/>
  <c r="K23" i="129"/>
  <c r="K22" i="129"/>
  <c r="K21" i="129"/>
  <c r="K20" i="129"/>
  <c r="K19" i="129"/>
  <c r="K18" i="129"/>
  <c r="K17" i="129"/>
  <c r="K16" i="129"/>
  <c r="K15" i="129"/>
  <c r="K14" i="129"/>
  <c r="K13" i="129"/>
  <c r="K12" i="129"/>
  <c r="K11" i="129"/>
  <c r="K10" i="129"/>
  <c r="I11" i="96"/>
  <c r="K16" i="110"/>
  <c r="K15" i="110"/>
  <c r="K14" i="110"/>
  <c r="K13" i="110"/>
  <c r="K12" i="110"/>
  <c r="K10" i="110"/>
  <c r="K11" i="110"/>
  <c r="K25" i="135"/>
  <c r="K24" i="135"/>
  <c r="K23" i="135"/>
  <c r="K22" i="135"/>
  <c r="K21" i="135"/>
  <c r="K20" i="135"/>
  <c r="K19" i="135"/>
  <c r="K18" i="135"/>
  <c r="K17" i="135"/>
  <c r="K16" i="135"/>
  <c r="K15" i="135"/>
  <c r="K14" i="135"/>
  <c r="K13" i="135"/>
  <c r="K12" i="135"/>
  <c r="K11" i="135"/>
  <c r="K10" i="135"/>
  <c r="G52" i="95"/>
  <c r="G53" i="95"/>
  <c r="I12" i="153"/>
  <c r="I13" i="156"/>
  <c r="K20" i="145"/>
  <c r="K19" i="145"/>
  <c r="K18" i="145"/>
  <c r="K17" i="145"/>
  <c r="K16" i="145"/>
  <c r="K15" i="145"/>
  <c r="K14" i="145"/>
  <c r="K13" i="145"/>
  <c r="K12" i="145"/>
  <c r="K11" i="145"/>
  <c r="K10" i="145"/>
  <c r="I10" i="145" s="1"/>
  <c r="K21" i="145"/>
  <c r="I11" i="164"/>
  <c r="I16" i="173"/>
  <c r="M15" i="173"/>
  <c r="I18" i="167"/>
  <c r="M17" i="167"/>
  <c r="I24" i="190"/>
  <c r="M23" i="190"/>
  <c r="E17" i="140"/>
  <c r="E13" i="139"/>
  <c r="E14" i="138"/>
  <c r="E14" i="137"/>
  <c r="E14" i="136"/>
  <c r="E20" i="133"/>
  <c r="E12" i="132"/>
  <c r="E13" i="131"/>
  <c r="E13" i="130"/>
  <c r="E18" i="109"/>
  <c r="I12" i="137"/>
  <c r="I12" i="136"/>
  <c r="I11" i="132"/>
  <c r="G41" i="96"/>
  <c r="I12" i="147"/>
  <c r="O11" i="147"/>
  <c r="I13" i="154"/>
  <c r="M13" i="154" s="1"/>
  <c r="I15" i="162"/>
  <c r="M14" i="162"/>
  <c r="I15" i="163"/>
  <c r="M14" i="163"/>
  <c r="I24" i="183"/>
  <c r="M23" i="183"/>
  <c r="O19" i="181"/>
  <c r="I20" i="181"/>
  <c r="M19" i="181"/>
  <c r="I21" i="182"/>
  <c r="M20" i="182"/>
  <c r="I20" i="172"/>
  <c r="M19" i="172"/>
  <c r="I18" i="178"/>
  <c r="M17" i="178"/>
  <c r="I19" i="166"/>
  <c r="M18" i="166"/>
  <c r="I25" i="197"/>
  <c r="M24" i="197"/>
  <c r="I20" i="179"/>
  <c r="M19" i="179"/>
  <c r="I12" i="149"/>
  <c r="I13" i="161"/>
  <c r="M10" i="160"/>
  <c r="K19" i="159"/>
  <c r="K18" i="159"/>
  <c r="K17" i="159"/>
  <c r="K16" i="159"/>
  <c r="K15" i="159"/>
  <c r="K14" i="159"/>
  <c r="K13" i="159"/>
  <c r="K12" i="159"/>
  <c r="K10" i="159"/>
  <c r="K20" i="159"/>
  <c r="K11" i="159"/>
  <c r="K47" i="161"/>
  <c r="K46" i="161"/>
  <c r="K45" i="161"/>
  <c r="K44" i="161"/>
  <c r="K43" i="161"/>
  <c r="K42" i="161"/>
  <c r="K41" i="161"/>
  <c r="K40" i="161"/>
  <c r="K39" i="161"/>
  <c r="K38" i="161"/>
  <c r="K37" i="161"/>
  <c r="K36" i="161"/>
  <c r="K35" i="161"/>
  <c r="K34" i="161"/>
  <c r="K33" i="161"/>
  <c r="K32" i="161"/>
  <c r="K31" i="161"/>
  <c r="K30" i="161"/>
  <c r="K29" i="161"/>
  <c r="K28" i="161"/>
  <c r="K27" i="161"/>
  <c r="K26" i="161"/>
  <c r="K25" i="161"/>
  <c r="K24" i="161"/>
  <c r="K23" i="161"/>
  <c r="K22" i="161"/>
  <c r="K21" i="161"/>
  <c r="K20" i="161"/>
  <c r="K19" i="161"/>
  <c r="K18" i="161"/>
  <c r="K17" i="161"/>
  <c r="K16" i="161"/>
  <c r="K15" i="161"/>
  <c r="K14" i="161"/>
  <c r="K13" i="161"/>
  <c r="K12" i="161"/>
  <c r="M12" i="161" s="1"/>
  <c r="K11" i="161"/>
  <c r="M11" i="161" s="1"/>
  <c r="K10" i="161"/>
  <c r="I17" i="170"/>
  <c r="M16" i="170"/>
  <c r="I18" i="165"/>
  <c r="M17" i="165"/>
  <c r="I17" i="176"/>
  <c r="M16" i="176"/>
  <c r="E14" i="144"/>
  <c r="E15" i="144" s="1"/>
  <c r="E16" i="144" s="1"/>
  <c r="E17" i="144" s="1"/>
  <c r="E18" i="144" s="1"/>
  <c r="E19" i="144" s="1"/>
  <c r="E20" i="144" s="1"/>
  <c r="E21" i="144" s="1"/>
  <c r="E22" i="144" s="1"/>
  <c r="E23" i="144" s="1"/>
  <c r="E24" i="144" s="1"/>
  <c r="E25" i="144" s="1"/>
  <c r="E26" i="144" s="1"/>
  <c r="E27" i="144" s="1"/>
  <c r="E28" i="144" s="1"/>
  <c r="E29" i="144" s="1"/>
  <c r="E30" i="144" s="1"/>
  <c r="E18" i="143"/>
  <c r="E19" i="143" s="1"/>
  <c r="E20" i="143" s="1"/>
  <c r="E28" i="141"/>
  <c r="I11" i="157"/>
  <c r="M11" i="157" s="1"/>
  <c r="E18" i="140"/>
  <c r="E19" i="140" s="1"/>
  <c r="E20" i="140" s="1"/>
  <c r="E21" i="140" s="1"/>
  <c r="E22" i="140" s="1"/>
  <c r="E23" i="140" s="1"/>
  <c r="E24" i="140" s="1"/>
  <c r="E25" i="140" s="1"/>
  <c r="E26" i="140" s="1"/>
  <c r="E27" i="140" s="1"/>
  <c r="E28" i="140" s="1"/>
  <c r="E29" i="140" s="1"/>
  <c r="E30" i="140" s="1"/>
  <c r="E31" i="140" s="1"/>
  <c r="E32" i="140" s="1"/>
  <c r="E33" i="140" s="1"/>
  <c r="E34" i="140" s="1"/>
  <c r="E14" i="139"/>
  <c r="E15" i="139" s="1"/>
  <c r="E16" i="139" s="1"/>
  <c r="E17" i="139" s="1"/>
  <c r="E18" i="139" s="1"/>
  <c r="E19" i="139" s="1"/>
  <c r="E20" i="139" s="1"/>
  <c r="E21" i="139" s="1"/>
  <c r="E15" i="138"/>
  <c r="E16" i="138" s="1"/>
  <c r="E17" i="138" s="1"/>
  <c r="E18" i="138" s="1"/>
  <c r="E19" i="138" s="1"/>
  <c r="E20" i="138" s="1"/>
  <c r="E21" i="138" s="1"/>
  <c r="E15" i="137"/>
  <c r="E16" i="137" s="1"/>
  <c r="E17" i="137" s="1"/>
  <c r="E18" i="137" s="1"/>
  <c r="E19" i="137" s="1"/>
  <c r="E20" i="137" s="1"/>
  <c r="E21" i="137" s="1"/>
  <c r="E15" i="136"/>
  <c r="E16" i="136" s="1"/>
  <c r="E17" i="136" s="1"/>
  <c r="E18" i="136" s="1"/>
  <c r="E19" i="136" s="1"/>
  <c r="E13" i="132"/>
  <c r="E14" i="132" s="1"/>
  <c r="E14" i="131"/>
  <c r="E15" i="131" s="1"/>
  <c r="E14" i="130"/>
  <c r="E15" i="130" s="1"/>
  <c r="E16" i="130" s="1"/>
  <c r="E17" i="130" s="1"/>
  <c r="E18" i="130" s="1"/>
  <c r="E19" i="130" s="1"/>
  <c r="E20" i="130" s="1"/>
  <c r="E21" i="130" s="1"/>
  <c r="E15" i="97"/>
  <c r="E16" i="97" s="1"/>
  <c r="E17" i="97" s="1"/>
  <c r="I11" i="139"/>
  <c r="I12" i="138"/>
  <c r="I16" i="107"/>
  <c r="O12" i="107" s="1"/>
  <c r="M12" i="107" s="1"/>
  <c r="T3" i="208"/>
  <c r="T3" i="205"/>
  <c r="T3" i="207"/>
  <c r="T3" i="206"/>
  <c r="T27" i="190"/>
  <c r="T29" i="190" s="1"/>
  <c r="T30" i="190" s="1"/>
  <c r="T16" i="195"/>
  <c r="T12" i="195"/>
  <c r="T17" i="195"/>
  <c r="T15" i="195"/>
  <c r="T18" i="195"/>
  <c r="T14" i="195"/>
  <c r="T13" i="195"/>
  <c r="A51" i="95"/>
  <c r="A50" i="95"/>
  <c r="G50" i="95" s="1"/>
  <c r="M13" i="161" l="1"/>
  <c r="K11" i="138"/>
  <c r="K21" i="138"/>
  <c r="K20" i="138"/>
  <c r="K19" i="138"/>
  <c r="K18" i="138"/>
  <c r="K17" i="138"/>
  <c r="K16" i="138"/>
  <c r="K15" i="138"/>
  <c r="K14" i="138"/>
  <c r="K13" i="138"/>
  <c r="K12" i="138"/>
  <c r="M12" i="138" s="1"/>
  <c r="K10" i="138"/>
  <c r="K34" i="140"/>
  <c r="K33" i="140"/>
  <c r="K32" i="140"/>
  <c r="K31" i="140"/>
  <c r="K30" i="140"/>
  <c r="K29" i="140"/>
  <c r="K28" i="140"/>
  <c r="K14" i="140"/>
  <c r="K12" i="140"/>
  <c r="K27" i="140"/>
  <c r="K26" i="140"/>
  <c r="K25" i="140"/>
  <c r="K24" i="140"/>
  <c r="K23" i="140"/>
  <c r="K22" i="140"/>
  <c r="K21" i="140"/>
  <c r="K20" i="140"/>
  <c r="K19" i="140"/>
  <c r="K18" i="140"/>
  <c r="K17" i="140"/>
  <c r="K16" i="140"/>
  <c r="K15" i="140"/>
  <c r="K13" i="140"/>
  <c r="K11" i="140"/>
  <c r="K10" i="140"/>
  <c r="I10" i="140" s="1"/>
  <c r="K30" i="144"/>
  <c r="K29" i="144"/>
  <c r="K28" i="144"/>
  <c r="K27" i="144"/>
  <c r="K26" i="144"/>
  <c r="K25" i="144"/>
  <c r="K24" i="144"/>
  <c r="K23" i="144"/>
  <c r="K22" i="144"/>
  <c r="K21" i="144"/>
  <c r="K20" i="144"/>
  <c r="K19" i="144"/>
  <c r="K18" i="144"/>
  <c r="K17" i="144"/>
  <c r="K16" i="144"/>
  <c r="K15" i="144"/>
  <c r="K14" i="144"/>
  <c r="K13" i="144"/>
  <c r="K12" i="144"/>
  <c r="K11" i="144"/>
  <c r="K10" i="144"/>
  <c r="I10" i="144" s="1"/>
  <c r="K10" i="131"/>
  <c r="K15" i="131"/>
  <c r="K14" i="131"/>
  <c r="K13" i="131"/>
  <c r="K12" i="131"/>
  <c r="K11" i="131"/>
  <c r="K11" i="136"/>
  <c r="K19" i="136"/>
  <c r="K18" i="136"/>
  <c r="K17" i="136"/>
  <c r="K16" i="136"/>
  <c r="K15" i="136"/>
  <c r="K14" i="136"/>
  <c r="K13" i="136"/>
  <c r="K12" i="136"/>
  <c r="M12" i="136" s="1"/>
  <c r="K10" i="136"/>
  <c r="K21" i="130"/>
  <c r="K10" i="130"/>
  <c r="K20" i="130"/>
  <c r="K19" i="130"/>
  <c r="K18" i="130"/>
  <c r="K17" i="130"/>
  <c r="K16" i="130"/>
  <c r="K15" i="130"/>
  <c r="K14" i="130"/>
  <c r="K13" i="130"/>
  <c r="K12" i="130"/>
  <c r="K11" i="130"/>
  <c r="K10" i="132"/>
  <c r="K14" i="132"/>
  <c r="K13" i="132"/>
  <c r="K12" i="132"/>
  <c r="K11" i="132"/>
  <c r="M11" i="132" s="1"/>
  <c r="K21" i="137"/>
  <c r="K11" i="137"/>
  <c r="K20" i="137"/>
  <c r="K19" i="137"/>
  <c r="K18" i="137"/>
  <c r="K17" i="137"/>
  <c r="K16" i="137"/>
  <c r="K15" i="137"/>
  <c r="K14" i="137"/>
  <c r="K13" i="137"/>
  <c r="K12" i="137"/>
  <c r="M12" i="137" s="1"/>
  <c r="K10" i="137"/>
  <c r="K10" i="139"/>
  <c r="K21" i="139"/>
  <c r="K20" i="139"/>
  <c r="K19" i="139"/>
  <c r="K18" i="139"/>
  <c r="K17" i="139"/>
  <c r="K16" i="139"/>
  <c r="K15" i="139"/>
  <c r="K14" i="139"/>
  <c r="K13" i="139"/>
  <c r="K12" i="139"/>
  <c r="K11" i="139"/>
  <c r="M11" i="139" s="1"/>
  <c r="K14" i="143"/>
  <c r="K12" i="143"/>
  <c r="K20" i="143"/>
  <c r="K19" i="143"/>
  <c r="K18" i="143"/>
  <c r="K17" i="143"/>
  <c r="K16" i="143"/>
  <c r="K15" i="143"/>
  <c r="K13" i="143"/>
  <c r="K11" i="143"/>
  <c r="K10" i="143"/>
  <c r="I10" i="143" s="1"/>
  <c r="I12" i="139"/>
  <c r="K27" i="141"/>
  <c r="K26" i="141"/>
  <c r="K25" i="141"/>
  <c r="K24" i="141"/>
  <c r="K23" i="141"/>
  <c r="K22" i="141"/>
  <c r="K21" i="141"/>
  <c r="K20" i="141"/>
  <c r="K19" i="141"/>
  <c r="K18" i="141"/>
  <c r="K17" i="141"/>
  <c r="K16" i="141"/>
  <c r="K15" i="141"/>
  <c r="K14" i="141"/>
  <c r="K13" i="141"/>
  <c r="K11" i="141"/>
  <c r="K10" i="141"/>
  <c r="K28" i="141"/>
  <c r="K12" i="141"/>
  <c r="I13" i="149"/>
  <c r="M12" i="149"/>
  <c r="I16" i="162"/>
  <c r="M15" i="162"/>
  <c r="I12" i="132"/>
  <c r="I13" i="136"/>
  <c r="I13" i="137"/>
  <c r="I14" i="156"/>
  <c r="M13" i="156"/>
  <c r="I13" i="153"/>
  <c r="M12" i="153"/>
  <c r="I10" i="135"/>
  <c r="M10" i="135" s="1"/>
  <c r="I10" i="129"/>
  <c r="I10" i="134"/>
  <c r="G51" i="95"/>
  <c r="M16" i="107"/>
  <c r="O13" i="107"/>
  <c r="M13" i="107" s="1"/>
  <c r="O11" i="107"/>
  <c r="M11" i="107" s="1"/>
  <c r="O15" i="107"/>
  <c r="M15" i="107" s="1"/>
  <c r="O14" i="107"/>
  <c r="M14" i="107" s="1"/>
  <c r="I13" i="138"/>
  <c r="K13" i="97"/>
  <c r="K11" i="97"/>
  <c r="K10" i="97"/>
  <c r="I10" i="97" s="1"/>
  <c r="K17" i="97"/>
  <c r="K16" i="97"/>
  <c r="K15" i="97"/>
  <c r="K14" i="97"/>
  <c r="K12" i="97"/>
  <c r="I12" i="157"/>
  <c r="I18" i="176"/>
  <c r="M17" i="176"/>
  <c r="I19" i="165"/>
  <c r="M18" i="165"/>
  <c r="I18" i="170"/>
  <c r="M17" i="170"/>
  <c r="I11" i="159"/>
  <c r="I14" i="161"/>
  <c r="I21" i="179"/>
  <c r="M20" i="179"/>
  <c r="I26" i="197"/>
  <c r="M25" i="197"/>
  <c r="I20" i="166"/>
  <c r="M19" i="166"/>
  <c r="I19" i="178"/>
  <c r="M18" i="178"/>
  <c r="I21" i="172"/>
  <c r="M20" i="172"/>
  <c r="I22" i="182"/>
  <c r="M21" i="182"/>
  <c r="O20" i="181"/>
  <c r="M20" i="181"/>
  <c r="O10" i="181"/>
  <c r="O11" i="181"/>
  <c r="O12" i="181"/>
  <c r="O13" i="181"/>
  <c r="O14" i="181"/>
  <c r="O15" i="181"/>
  <c r="O16" i="181"/>
  <c r="O17" i="181"/>
  <c r="O18" i="181"/>
  <c r="I25" i="183"/>
  <c r="M24" i="183"/>
  <c r="I16" i="163"/>
  <c r="M15" i="163"/>
  <c r="I14" i="154"/>
  <c r="O12" i="147"/>
  <c r="M12" i="147"/>
  <c r="O10" i="147"/>
  <c r="M10" i="147" s="1"/>
  <c r="K17" i="109"/>
  <c r="K16" i="109"/>
  <c r="K15" i="109"/>
  <c r="K14" i="109"/>
  <c r="K12" i="109"/>
  <c r="K11" i="109"/>
  <c r="I11" i="109" s="1"/>
  <c r="K18" i="109"/>
  <c r="K13" i="109"/>
  <c r="K10" i="109"/>
  <c r="K19" i="133"/>
  <c r="K18" i="133"/>
  <c r="K17" i="133"/>
  <c r="K16" i="133"/>
  <c r="K15" i="133"/>
  <c r="K14" i="133"/>
  <c r="K13" i="133"/>
  <c r="K12" i="133"/>
  <c r="K11" i="133"/>
  <c r="K20" i="133"/>
  <c r="K10" i="133"/>
  <c r="I25" i="190"/>
  <c r="M24" i="190"/>
  <c r="I19" i="167"/>
  <c r="M18" i="167"/>
  <c r="I17" i="173"/>
  <c r="M16" i="173"/>
  <c r="I12" i="164"/>
  <c r="M11" i="164"/>
  <c r="I11" i="145"/>
  <c r="M11" i="145" s="1"/>
  <c r="O24" i="190"/>
  <c r="I10" i="110"/>
  <c r="M10" i="110" s="1"/>
  <c r="I10" i="158"/>
  <c r="M10" i="158"/>
  <c r="I12" i="96"/>
  <c r="T16" i="206"/>
  <c r="O16" i="206" s="1"/>
  <c r="T13" i="206"/>
  <c r="T17" i="206"/>
  <c r="T12" i="206"/>
  <c r="T15" i="206"/>
  <c r="T14" i="206"/>
  <c r="T14" i="208"/>
  <c r="T17" i="208"/>
  <c r="T13" i="208"/>
  <c r="T16" i="208"/>
  <c r="T12" i="208"/>
  <c r="T15" i="208"/>
  <c r="T21" i="207"/>
  <c r="T17" i="207"/>
  <c r="T13" i="207"/>
  <c r="T20" i="207"/>
  <c r="T16" i="207"/>
  <c r="T12" i="207"/>
  <c r="T23" i="207"/>
  <c r="T19" i="207"/>
  <c r="T15" i="207"/>
  <c r="T22" i="207"/>
  <c r="T18" i="207"/>
  <c r="T14" i="207"/>
  <c r="T12" i="205"/>
  <c r="T13" i="205"/>
  <c r="T14" i="205"/>
  <c r="T23" i="195"/>
  <c r="T25" i="195" s="1"/>
  <c r="A49" i="95"/>
  <c r="A48" i="95"/>
  <c r="G48" i="95" s="1"/>
  <c r="I13" i="164" l="1"/>
  <c r="M12" i="164"/>
  <c r="O25" i="190"/>
  <c r="O10" i="190"/>
  <c r="M10" i="190" s="1"/>
  <c r="O11" i="190"/>
  <c r="O12" i="190"/>
  <c r="M25" i="190"/>
  <c r="O13" i="190"/>
  <c r="O14" i="190"/>
  <c r="O15" i="190"/>
  <c r="O16" i="190"/>
  <c r="O17" i="190"/>
  <c r="O18" i="190"/>
  <c r="O19" i="190"/>
  <c r="O20" i="190"/>
  <c r="O21" i="190"/>
  <c r="O22" i="190"/>
  <c r="O23" i="190"/>
  <c r="I12" i="159"/>
  <c r="I13" i="157"/>
  <c r="M12" i="157"/>
  <c r="I11" i="97"/>
  <c r="I14" i="138"/>
  <c r="I11" i="134"/>
  <c r="I11" i="129"/>
  <c r="I14" i="153"/>
  <c r="M13" i="153"/>
  <c r="I17" i="162"/>
  <c r="M16" i="162"/>
  <c r="I14" i="149"/>
  <c r="M13" i="149"/>
  <c r="I11" i="143"/>
  <c r="M12" i="139"/>
  <c r="M12" i="132"/>
  <c r="I10" i="130"/>
  <c r="M10" i="130" s="1"/>
  <c r="M13" i="136"/>
  <c r="I11" i="144"/>
  <c r="M13" i="138"/>
  <c r="G49" i="95"/>
  <c r="I13" i="96"/>
  <c r="I11" i="158"/>
  <c r="I11" i="110"/>
  <c r="I12" i="145"/>
  <c r="I18" i="173"/>
  <c r="M17" i="173"/>
  <c r="I20" i="167"/>
  <c r="O19" i="167" s="1"/>
  <c r="M19" i="167"/>
  <c r="I10" i="133"/>
  <c r="M10" i="133"/>
  <c r="I12" i="109"/>
  <c r="M12" i="109" s="1"/>
  <c r="I15" i="154"/>
  <c r="M14" i="154"/>
  <c r="I17" i="163"/>
  <c r="M16" i="163"/>
  <c r="I26" i="183"/>
  <c r="M25" i="183"/>
  <c r="I23" i="182"/>
  <c r="M22" i="182"/>
  <c r="I22" i="172"/>
  <c r="M21" i="172"/>
  <c r="I20" i="178"/>
  <c r="M19" i="178"/>
  <c r="I21" i="166"/>
  <c r="M20" i="166"/>
  <c r="I27" i="197"/>
  <c r="M26" i="197"/>
  <c r="I22" i="179"/>
  <c r="M21" i="179"/>
  <c r="I15" i="161"/>
  <c r="M11" i="159"/>
  <c r="M14" i="161"/>
  <c r="I19" i="170"/>
  <c r="M18" i="170"/>
  <c r="I20" i="165"/>
  <c r="M19" i="165"/>
  <c r="I19" i="176"/>
  <c r="M18" i="176"/>
  <c r="M11" i="97"/>
  <c r="M10" i="134"/>
  <c r="M10" i="129"/>
  <c r="I11" i="135"/>
  <c r="I15" i="156"/>
  <c r="M14" i="156"/>
  <c r="I14" i="137"/>
  <c r="I14" i="136"/>
  <c r="I13" i="132"/>
  <c r="M13" i="132" s="1"/>
  <c r="I12" i="141"/>
  <c r="M12" i="141" s="1"/>
  <c r="I13" i="139"/>
  <c r="M13" i="139" s="1"/>
  <c r="M11" i="143"/>
  <c r="M13" i="137"/>
  <c r="M14" i="136"/>
  <c r="I10" i="131"/>
  <c r="M10" i="131" s="1"/>
  <c r="M11" i="144"/>
  <c r="I11" i="140"/>
  <c r="M11" i="140" s="1"/>
  <c r="M14" i="138"/>
  <c r="T16" i="205"/>
  <c r="T18" i="205" s="1"/>
  <c r="T19" i="205" s="1"/>
  <c r="T19" i="208"/>
  <c r="T21" i="208" s="1"/>
  <c r="T22" i="208" s="1"/>
  <c r="T27" i="207"/>
  <c r="T29" i="207" s="1"/>
  <c r="T30" i="207" s="1"/>
  <c r="T19" i="206"/>
  <c r="T21" i="206" s="1"/>
  <c r="T22" i="206" s="1"/>
  <c r="A47" i="95"/>
  <c r="G47" i="95" s="1"/>
  <c r="A46" i="95"/>
  <c r="A45" i="95"/>
  <c r="A44" i="95"/>
  <c r="A43" i="95"/>
  <c r="A42" i="95"/>
  <c r="A41" i="95"/>
  <c r="A40" i="95"/>
  <c r="A39" i="95"/>
  <c r="A38" i="95"/>
  <c r="A37" i="95"/>
  <c r="A36" i="95"/>
  <c r="A35" i="95"/>
  <c r="A34" i="95"/>
  <c r="A33" i="95"/>
  <c r="A32" i="95"/>
  <c r="A31" i="95"/>
  <c r="A30" i="95"/>
  <c r="A29" i="95"/>
  <c r="A28" i="95"/>
  <c r="A27" i="95"/>
  <c r="A26" i="95"/>
  <c r="A25" i="95"/>
  <c r="A24" i="95"/>
  <c r="A23" i="95"/>
  <c r="A22" i="95"/>
  <c r="A21" i="95"/>
  <c r="A20" i="95"/>
  <c r="A19" i="95"/>
  <c r="A18" i="95"/>
  <c r="A17" i="95"/>
  <c r="A16" i="95"/>
  <c r="G16" i="95" s="1"/>
  <c r="A15" i="95"/>
  <c r="A14" i="95"/>
  <c r="G14" i="95" s="1"/>
  <c r="A13" i="95"/>
  <c r="A12" i="95"/>
  <c r="G12" i="95" s="1"/>
  <c r="A11" i="95"/>
  <c r="E10" i="95"/>
  <c r="E11" i="95" s="1"/>
  <c r="E12" i="95" s="1"/>
  <c r="E13" i="95" s="1"/>
  <c r="E14" i="95" s="1"/>
  <c r="E15" i="95" s="1"/>
  <c r="E16" i="95" s="1"/>
  <c r="E17" i="95" s="1"/>
  <c r="A10" i="95"/>
  <c r="G10" i="95" s="1"/>
  <c r="G11" i="95" l="1"/>
  <c r="G13" i="95"/>
  <c r="G15" i="95"/>
  <c r="G17" i="95"/>
  <c r="G18" i="95"/>
  <c r="G19" i="95"/>
  <c r="G20" i="95"/>
  <c r="G21" i="95"/>
  <c r="G22" i="95"/>
  <c r="G23" i="95"/>
  <c r="G24" i="95"/>
  <c r="G25" i="95"/>
  <c r="G26" i="95"/>
  <c r="G27" i="95"/>
  <c r="G28" i="95"/>
  <c r="G29" i="95"/>
  <c r="G30" i="95"/>
  <c r="G31" i="95"/>
  <c r="G32" i="95"/>
  <c r="G33" i="95"/>
  <c r="G34" i="95"/>
  <c r="G35" i="95"/>
  <c r="G36" i="95"/>
  <c r="G37" i="95"/>
  <c r="G38" i="95"/>
  <c r="G39" i="95"/>
  <c r="G40" i="95"/>
  <c r="G41" i="95"/>
  <c r="G42" i="95"/>
  <c r="G43" i="95"/>
  <c r="G44" i="95"/>
  <c r="G45" i="95"/>
  <c r="G46" i="95"/>
  <c r="I16" i="156"/>
  <c r="M15" i="156"/>
  <c r="I12" i="135"/>
  <c r="M11" i="135"/>
  <c r="I20" i="176"/>
  <c r="M19" i="176"/>
  <c r="I21" i="165"/>
  <c r="M20" i="165"/>
  <c r="I20" i="170"/>
  <c r="M19" i="170"/>
  <c r="I16" i="161"/>
  <c r="M15" i="161"/>
  <c r="I27" i="183"/>
  <c r="M26" i="183"/>
  <c r="I18" i="163"/>
  <c r="M17" i="163"/>
  <c r="I16" i="154"/>
  <c r="M15" i="154"/>
  <c r="I11" i="133"/>
  <c r="O20" i="167"/>
  <c r="O10" i="167"/>
  <c r="M10" i="167" s="1"/>
  <c r="M20" i="167"/>
  <c r="O11" i="167"/>
  <c r="O12" i="167"/>
  <c r="O13" i="167"/>
  <c r="O14" i="167"/>
  <c r="O15" i="167"/>
  <c r="O16" i="167"/>
  <c r="O17" i="167"/>
  <c r="O18" i="167"/>
  <c r="I19" i="173"/>
  <c r="M18" i="173"/>
  <c r="I12" i="158"/>
  <c r="M11" i="158"/>
  <c r="I12" i="144"/>
  <c r="I15" i="149"/>
  <c r="M14" i="149"/>
  <c r="I18" i="162"/>
  <c r="M17" i="162"/>
  <c r="I15" i="153"/>
  <c r="M14" i="153"/>
  <c r="I12" i="129"/>
  <c r="M11" i="129"/>
  <c r="I12" i="134"/>
  <c r="M11" i="134"/>
  <c r="I15" i="138"/>
  <c r="I12" i="140"/>
  <c r="I11" i="131"/>
  <c r="I14" i="139"/>
  <c r="I13" i="141"/>
  <c r="I14" i="132"/>
  <c r="O13" i="132" s="1"/>
  <c r="I15" i="136"/>
  <c r="I15" i="137"/>
  <c r="I23" i="179"/>
  <c r="M22" i="179"/>
  <c r="I28" i="197"/>
  <c r="M27" i="197"/>
  <c r="I22" i="166"/>
  <c r="M21" i="166"/>
  <c r="I21" i="178"/>
  <c r="M20" i="178"/>
  <c r="I23" i="172"/>
  <c r="M22" i="172"/>
  <c r="I24" i="182"/>
  <c r="M23" i="182"/>
  <c r="I13" i="109"/>
  <c r="I13" i="145"/>
  <c r="M12" i="145"/>
  <c r="I12" i="110"/>
  <c r="M11" i="110"/>
  <c r="I14" i="96"/>
  <c r="I11" i="130"/>
  <c r="M14" i="137"/>
  <c r="I12" i="143"/>
  <c r="I12" i="97"/>
  <c r="I14" i="157"/>
  <c r="M13" i="157"/>
  <c r="I13" i="159"/>
  <c r="M12" i="159"/>
  <c r="I14" i="164"/>
  <c r="M13" i="164"/>
  <c r="G45" i="93"/>
  <c r="A45" i="93"/>
  <c r="A44" i="93"/>
  <c r="G44" i="93" s="1"/>
  <c r="G43" i="93"/>
  <c r="A43" i="93"/>
  <c r="A42" i="93"/>
  <c r="G42" i="93" s="1"/>
  <c r="G41" i="93"/>
  <c r="A41" i="93"/>
  <c r="A40" i="93"/>
  <c r="G40" i="93" s="1"/>
  <c r="G39" i="93"/>
  <c r="A39" i="93"/>
  <c r="A38" i="93"/>
  <c r="G38" i="93" s="1"/>
  <c r="G37" i="93"/>
  <c r="A37" i="93"/>
  <c r="A36" i="93"/>
  <c r="G36" i="93" s="1"/>
  <c r="G35" i="93"/>
  <c r="A35" i="93"/>
  <c r="A34" i="93"/>
  <c r="G34" i="93" s="1"/>
  <c r="G33" i="93"/>
  <c r="A33" i="93"/>
  <c r="A32" i="93"/>
  <c r="G32" i="93" s="1"/>
  <c r="G31" i="93"/>
  <c r="A31" i="93"/>
  <c r="A30" i="93"/>
  <c r="G30" i="93" s="1"/>
  <c r="G29" i="93"/>
  <c r="A29" i="93"/>
  <c r="A28" i="93"/>
  <c r="G28" i="93" s="1"/>
  <c r="A27" i="93"/>
  <c r="G27" i="93" s="1"/>
  <c r="A26" i="93"/>
  <c r="G26" i="93" s="1"/>
  <c r="A25" i="93"/>
  <c r="G25" i="93" s="1"/>
  <c r="A24" i="93"/>
  <c r="G24" i="93" s="1"/>
  <c r="A23" i="93"/>
  <c r="G23" i="93" s="1"/>
  <c r="A22" i="93"/>
  <c r="G22" i="93" s="1"/>
  <c r="A21" i="93"/>
  <c r="G21" i="93" s="1"/>
  <c r="A20" i="93"/>
  <c r="G20" i="93" s="1"/>
  <c r="A19" i="93"/>
  <c r="G19" i="93" s="1"/>
  <c r="A18" i="93"/>
  <c r="G18" i="93" s="1"/>
  <c r="A17" i="93"/>
  <c r="G17" i="93" s="1"/>
  <c r="A16" i="93"/>
  <c r="G16" i="93" s="1"/>
  <c r="A15" i="93"/>
  <c r="G15" i="93" s="1"/>
  <c r="A14" i="93"/>
  <c r="G14" i="93" s="1"/>
  <c r="A13" i="93"/>
  <c r="G13" i="93" s="1"/>
  <c r="A12" i="93"/>
  <c r="A11" i="93"/>
  <c r="E10" i="93"/>
  <c r="E11" i="93" s="1"/>
  <c r="E12" i="93" s="1"/>
  <c r="A10" i="93"/>
  <c r="G10" i="93" s="1"/>
  <c r="I10" i="93" s="1"/>
  <c r="A31" i="90"/>
  <c r="G31" i="90" s="1"/>
  <c r="A30" i="90"/>
  <c r="G30" i="90" s="1"/>
  <c r="A29" i="90"/>
  <c r="G29" i="90" s="1"/>
  <c r="A28" i="90"/>
  <c r="G28" i="90" s="1"/>
  <c r="A27" i="90"/>
  <c r="G27" i="90" s="1"/>
  <c r="A26" i="90"/>
  <c r="G26" i="90" s="1"/>
  <c r="A25" i="90"/>
  <c r="G25" i="90" s="1"/>
  <c r="A24" i="90"/>
  <c r="G24" i="90" s="1"/>
  <c r="A23" i="90"/>
  <c r="G23" i="90" s="1"/>
  <c r="A22" i="90"/>
  <c r="G22" i="90" s="1"/>
  <c r="A21" i="90"/>
  <c r="G21" i="90" s="1"/>
  <c r="A20" i="90"/>
  <c r="G20" i="90" s="1"/>
  <c r="A19" i="90"/>
  <c r="G19" i="90" s="1"/>
  <c r="A18" i="90"/>
  <c r="G18" i="90" s="1"/>
  <c r="A17" i="90"/>
  <c r="G17" i="90" s="1"/>
  <c r="A16" i="90"/>
  <c r="G16" i="90" s="1"/>
  <c r="A15" i="90"/>
  <c r="G15" i="90" s="1"/>
  <c r="A14" i="90"/>
  <c r="G14" i="90" s="1"/>
  <c r="A13" i="90"/>
  <c r="G13" i="90" s="1"/>
  <c r="A12" i="90"/>
  <c r="G12" i="90" s="1"/>
  <c r="A11" i="90"/>
  <c r="E10" i="90"/>
  <c r="E11" i="90" s="1"/>
  <c r="E12" i="90" s="1"/>
  <c r="A10" i="90"/>
  <c r="G10" i="90" s="1"/>
  <c r="I10" i="90" s="1"/>
  <c r="R4" i="90"/>
  <c r="R3" i="90"/>
  <c r="R2" i="90"/>
  <c r="A17" i="89"/>
  <c r="G17" i="89" s="1"/>
  <c r="A16" i="89"/>
  <c r="G16" i="89" s="1"/>
  <c r="A15" i="89"/>
  <c r="A14" i="89"/>
  <c r="G14" i="89" s="1"/>
  <c r="A13" i="89"/>
  <c r="G13" i="89" s="1"/>
  <c r="A12" i="89"/>
  <c r="G12" i="89" s="1"/>
  <c r="A11" i="89"/>
  <c r="G11" i="89" s="1"/>
  <c r="E10" i="89"/>
  <c r="E11" i="89" s="1"/>
  <c r="E12" i="89" s="1"/>
  <c r="E13" i="89" s="1"/>
  <c r="E14" i="89" s="1"/>
  <c r="E15" i="89" s="1"/>
  <c r="E16" i="89" s="1"/>
  <c r="E17" i="89" s="1"/>
  <c r="A10" i="89"/>
  <c r="G10" i="89" s="1"/>
  <c r="I10" i="89" s="1"/>
  <c r="K17" i="89" l="1"/>
  <c r="K16" i="89"/>
  <c r="K14" i="89"/>
  <c r="K13" i="89"/>
  <c r="K12" i="89"/>
  <c r="K11" i="89"/>
  <c r="I11" i="89" s="1"/>
  <c r="K15" i="89"/>
  <c r="I12" i="89"/>
  <c r="I13" i="89" s="1"/>
  <c r="E13" i="90"/>
  <c r="E14" i="90" s="1"/>
  <c r="E15" i="90" s="1"/>
  <c r="E16" i="90" s="1"/>
  <c r="E17" i="90" s="1"/>
  <c r="E18" i="90" s="1"/>
  <c r="E19" i="90" s="1"/>
  <c r="E20" i="90" s="1"/>
  <c r="E21" i="90" s="1"/>
  <c r="E22" i="90" s="1"/>
  <c r="E23" i="90" s="1"/>
  <c r="E24" i="90" s="1"/>
  <c r="E25" i="90" s="1"/>
  <c r="E26" i="90" s="1"/>
  <c r="E27" i="90" s="1"/>
  <c r="E28" i="90" s="1"/>
  <c r="E29" i="90" s="1"/>
  <c r="E30" i="90" s="1"/>
  <c r="E31" i="90" s="1"/>
  <c r="G15" i="89"/>
  <c r="G11" i="93"/>
  <c r="G12" i="93"/>
  <c r="E13" i="93"/>
  <c r="E14" i="93" s="1"/>
  <c r="E15" i="93" s="1"/>
  <c r="E16" i="93" s="1"/>
  <c r="E17" i="93" s="1"/>
  <c r="E18" i="93" s="1"/>
  <c r="E19" i="93" s="1"/>
  <c r="E20" i="93" s="1"/>
  <c r="E21" i="93" s="1"/>
  <c r="E22" i="93" s="1"/>
  <c r="E23" i="93" s="1"/>
  <c r="E24" i="93" s="1"/>
  <c r="E25" i="93" s="1"/>
  <c r="E26" i="93" s="1"/>
  <c r="E27" i="93" s="1"/>
  <c r="E28" i="93" s="1"/>
  <c r="E29" i="93" s="1"/>
  <c r="E30" i="93" s="1"/>
  <c r="E31" i="93" s="1"/>
  <c r="E32" i="93" s="1"/>
  <c r="E33" i="93" s="1"/>
  <c r="E34" i="93" s="1"/>
  <c r="E35" i="93" s="1"/>
  <c r="E36" i="93" s="1"/>
  <c r="E37" i="93" s="1"/>
  <c r="E38" i="93" s="1"/>
  <c r="E39" i="93" s="1"/>
  <c r="E40" i="93" s="1"/>
  <c r="E41" i="93" s="1"/>
  <c r="E42" i="93" s="1"/>
  <c r="E43" i="93" s="1"/>
  <c r="E44" i="93" s="1"/>
  <c r="E45" i="93" s="1"/>
  <c r="I15" i="164"/>
  <c r="M14" i="164"/>
  <c r="I14" i="159"/>
  <c r="M13" i="159"/>
  <c r="I15" i="157"/>
  <c r="M14" i="157"/>
  <c r="I13" i="143"/>
  <c r="M12" i="143"/>
  <c r="I15" i="96"/>
  <c r="I14" i="145"/>
  <c r="M13" i="145"/>
  <c r="I14" i="109"/>
  <c r="M13" i="109"/>
  <c r="I25" i="182"/>
  <c r="M24" i="182"/>
  <c r="I24" i="172"/>
  <c r="M23" i="172"/>
  <c r="I22" i="178"/>
  <c r="M21" i="178"/>
  <c r="I23" i="166"/>
  <c r="M22" i="166"/>
  <c r="I29" i="197"/>
  <c r="M28" i="197"/>
  <c r="I24" i="179"/>
  <c r="M23" i="179"/>
  <c r="I16" i="138"/>
  <c r="M15" i="138"/>
  <c r="I13" i="134"/>
  <c r="M12" i="134"/>
  <c r="I13" i="158"/>
  <c r="M12" i="158"/>
  <c r="I12" i="133"/>
  <c r="M11" i="133"/>
  <c r="I21" i="170"/>
  <c r="M20" i="170"/>
  <c r="I22" i="165"/>
  <c r="M21" i="165"/>
  <c r="I21" i="176"/>
  <c r="M20" i="176"/>
  <c r="E18" i="95"/>
  <c r="G11" i="90"/>
  <c r="I13" i="97"/>
  <c r="M12" i="97"/>
  <c r="I12" i="130"/>
  <c r="M11" i="130"/>
  <c r="I13" i="110"/>
  <c r="M12" i="110"/>
  <c r="I16" i="137"/>
  <c r="M15" i="137"/>
  <c r="I16" i="136"/>
  <c r="M15" i="136"/>
  <c r="O14" i="132"/>
  <c r="O10" i="132"/>
  <c r="M10" i="132" s="1"/>
  <c r="O11" i="132"/>
  <c r="M14" i="132"/>
  <c r="O12" i="132"/>
  <c r="I14" i="141"/>
  <c r="M13" i="141"/>
  <c r="I15" i="139"/>
  <c r="M14" i="139"/>
  <c r="I12" i="131"/>
  <c r="M11" i="131"/>
  <c r="I13" i="140"/>
  <c r="M12" i="140"/>
  <c r="I13" i="129"/>
  <c r="M12" i="129"/>
  <c r="I16" i="153"/>
  <c r="M15" i="153"/>
  <c r="I19" i="162"/>
  <c r="M18" i="162"/>
  <c r="I16" i="149"/>
  <c r="M15" i="149"/>
  <c r="I13" i="144"/>
  <c r="M12" i="144"/>
  <c r="I20" i="173"/>
  <c r="M19" i="173"/>
  <c r="I17" i="154"/>
  <c r="M16" i="154"/>
  <c r="I19" i="163"/>
  <c r="M18" i="163"/>
  <c r="I28" i="183"/>
  <c r="M27" i="183"/>
  <c r="I17" i="161"/>
  <c r="M16" i="161"/>
  <c r="I13" i="135"/>
  <c r="M12" i="135"/>
  <c r="I17" i="156"/>
  <c r="M16" i="156"/>
  <c r="E19" i="95"/>
  <c r="E20" i="95" s="1"/>
  <c r="E21" i="95" s="1"/>
  <c r="E22" i="95" s="1"/>
  <c r="E23" i="95" s="1"/>
  <c r="E24" i="95" s="1"/>
  <c r="E25" i="95" s="1"/>
  <c r="E26" i="95" s="1"/>
  <c r="E27" i="95" s="1"/>
  <c r="E28" i="95" s="1"/>
  <c r="E29" i="95" s="1"/>
  <c r="E30" i="95" s="1"/>
  <c r="E31" i="95" s="1"/>
  <c r="E32" i="95" s="1"/>
  <c r="E33" i="95" s="1"/>
  <c r="E34" i="95" s="1"/>
  <c r="E35" i="95" s="1"/>
  <c r="E36" i="95" s="1"/>
  <c r="E37" i="95" s="1"/>
  <c r="E38" i="95" s="1"/>
  <c r="E39" i="95" s="1"/>
  <c r="E40" i="95" s="1"/>
  <c r="E41" i="95" s="1"/>
  <c r="E42" i="95" s="1"/>
  <c r="E43" i="95" s="1"/>
  <c r="E44" i="95" s="1"/>
  <c r="E45" i="95" s="1"/>
  <c r="E46" i="95" s="1"/>
  <c r="E47" i="95" s="1"/>
  <c r="E48" i="95" s="1"/>
  <c r="E49" i="95" s="1"/>
  <c r="E50" i="95" s="1"/>
  <c r="E51" i="95" s="1"/>
  <c r="E52" i="95" s="1"/>
  <c r="E53" i="95" s="1"/>
  <c r="A65" i="87"/>
  <c r="G65" i="87" s="1"/>
  <c r="A64" i="87"/>
  <c r="G64" i="87" s="1"/>
  <c r="A63" i="87"/>
  <c r="G63" i="87" s="1"/>
  <c r="A62" i="87"/>
  <c r="G62" i="87" s="1"/>
  <c r="K45" i="93" l="1"/>
  <c r="K44" i="93"/>
  <c r="K43" i="93"/>
  <c r="K42" i="93"/>
  <c r="K41" i="93"/>
  <c r="K40" i="93"/>
  <c r="K39" i="93"/>
  <c r="K38" i="93"/>
  <c r="K37" i="93"/>
  <c r="K36" i="93"/>
  <c r="K35" i="93"/>
  <c r="K34" i="93"/>
  <c r="K33" i="93"/>
  <c r="K32" i="93"/>
  <c r="K31" i="93"/>
  <c r="K30" i="93"/>
  <c r="K29" i="93"/>
  <c r="K28" i="93"/>
  <c r="K27" i="93"/>
  <c r="K26" i="93"/>
  <c r="K25" i="93"/>
  <c r="K24" i="93"/>
  <c r="K23" i="93"/>
  <c r="K22" i="93"/>
  <c r="K21" i="93"/>
  <c r="K20" i="93"/>
  <c r="K19" i="93"/>
  <c r="K18" i="93"/>
  <c r="K17" i="93"/>
  <c r="K16" i="93"/>
  <c r="K15" i="93"/>
  <c r="K14" i="93"/>
  <c r="K13" i="93"/>
  <c r="K11" i="93"/>
  <c r="K12" i="93"/>
  <c r="K10" i="93"/>
  <c r="K31" i="90"/>
  <c r="K30" i="90"/>
  <c r="K29" i="90"/>
  <c r="K28" i="90"/>
  <c r="K27" i="90"/>
  <c r="K26" i="90"/>
  <c r="K25" i="90"/>
  <c r="K24" i="90"/>
  <c r="K23" i="90"/>
  <c r="K22" i="90"/>
  <c r="K21" i="90"/>
  <c r="K20" i="90"/>
  <c r="K19" i="90"/>
  <c r="K18" i="90"/>
  <c r="K17" i="90"/>
  <c r="K16" i="90"/>
  <c r="K15" i="90"/>
  <c r="K14" i="90"/>
  <c r="K13" i="90"/>
  <c r="K12" i="90"/>
  <c r="K10" i="90"/>
  <c r="K11" i="90"/>
  <c r="K53" i="95"/>
  <c r="K52" i="95"/>
  <c r="K51" i="95"/>
  <c r="K50" i="95"/>
  <c r="K49" i="95"/>
  <c r="K48" i="95"/>
  <c r="K47" i="95"/>
  <c r="K16" i="95"/>
  <c r="K14" i="95"/>
  <c r="K12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5" i="95"/>
  <c r="K13" i="95"/>
  <c r="K11" i="95"/>
  <c r="K10" i="95"/>
  <c r="I10" i="95" s="1"/>
  <c r="O17" i="156"/>
  <c r="O10" i="156"/>
  <c r="M17" i="156"/>
  <c r="O11" i="156"/>
  <c r="M11" i="156" s="1"/>
  <c r="O12" i="156"/>
  <c r="M12" i="156" s="1"/>
  <c r="O13" i="156"/>
  <c r="O14" i="156"/>
  <c r="O15" i="156"/>
  <c r="I14" i="135"/>
  <c r="M13" i="135"/>
  <c r="I21" i="173"/>
  <c r="M20" i="173"/>
  <c r="I17" i="149"/>
  <c r="M16" i="149"/>
  <c r="I20" i="162"/>
  <c r="M19" i="162"/>
  <c r="I17" i="153"/>
  <c r="M16" i="153"/>
  <c r="I14" i="129"/>
  <c r="M13" i="129"/>
  <c r="I14" i="140"/>
  <c r="M13" i="140"/>
  <c r="I16" i="139"/>
  <c r="M15" i="139"/>
  <c r="I15" i="141"/>
  <c r="M14" i="141"/>
  <c r="I17" i="137"/>
  <c r="M16" i="137"/>
  <c r="I14" i="110"/>
  <c r="M13" i="110"/>
  <c r="I13" i="130"/>
  <c r="M12" i="130"/>
  <c r="I14" i="97"/>
  <c r="M13" i="97"/>
  <c r="I22" i="176"/>
  <c r="M21" i="176"/>
  <c r="I13" i="133"/>
  <c r="M12" i="133"/>
  <c r="I14" i="158"/>
  <c r="M13" i="158"/>
  <c r="I14" i="134"/>
  <c r="M13" i="134"/>
  <c r="I17" i="138"/>
  <c r="M16" i="138"/>
  <c r="I25" i="179"/>
  <c r="M24" i="179"/>
  <c r="I30" i="197"/>
  <c r="M29" i="197"/>
  <c r="I24" i="166"/>
  <c r="M23" i="166"/>
  <c r="I23" i="178"/>
  <c r="M22" i="178"/>
  <c r="I25" i="172"/>
  <c r="M24" i="172"/>
  <c r="I26" i="182"/>
  <c r="M25" i="182"/>
  <c r="I15" i="109"/>
  <c r="M14" i="109"/>
  <c r="I16" i="157"/>
  <c r="M15" i="157"/>
  <c r="I15" i="159"/>
  <c r="M14" i="159"/>
  <c r="I16" i="164"/>
  <c r="M15" i="164"/>
  <c r="O16" i="156"/>
  <c r="I18" i="161"/>
  <c r="M17" i="161"/>
  <c r="I29" i="183"/>
  <c r="M28" i="183"/>
  <c r="I20" i="163"/>
  <c r="M19" i="163"/>
  <c r="I18" i="154"/>
  <c r="M17" i="154"/>
  <c r="I14" i="144"/>
  <c r="M13" i="144"/>
  <c r="I13" i="131"/>
  <c r="M12" i="131"/>
  <c r="I17" i="136"/>
  <c r="M16" i="136"/>
  <c r="O22" i="165"/>
  <c r="O10" i="165"/>
  <c r="M10" i="165" s="1"/>
  <c r="O11" i="165"/>
  <c r="O12" i="165"/>
  <c r="M22" i="165"/>
  <c r="O13" i="165"/>
  <c r="O14" i="165"/>
  <c r="O15" i="165"/>
  <c r="O16" i="165"/>
  <c r="O17" i="165"/>
  <c r="O18" i="165"/>
  <c r="O19" i="165"/>
  <c r="O20" i="165"/>
  <c r="I22" i="170"/>
  <c r="M21" i="170"/>
  <c r="I15" i="145"/>
  <c r="M14" i="145"/>
  <c r="I16" i="96"/>
  <c r="I14" i="143"/>
  <c r="M13" i="143"/>
  <c r="I14" i="89"/>
  <c r="A61" i="87"/>
  <c r="G61" i="87" s="1"/>
  <c r="A60" i="87"/>
  <c r="G60" i="87" s="1"/>
  <c r="A59" i="87"/>
  <c r="G59" i="87" s="1"/>
  <c r="A58" i="87"/>
  <c r="G58" i="87" s="1"/>
  <c r="A57" i="87"/>
  <c r="G57" i="87" s="1"/>
  <c r="A56" i="87"/>
  <c r="G56" i="87" s="1"/>
  <c r="A55" i="87"/>
  <c r="G55" i="87" s="1"/>
  <c r="A54" i="87"/>
  <c r="G54" i="87" s="1"/>
  <c r="A53" i="87"/>
  <c r="G53" i="87" s="1"/>
  <c r="A52" i="87"/>
  <c r="G52" i="87" s="1"/>
  <c r="A51" i="87"/>
  <c r="G51" i="87" s="1"/>
  <c r="A50" i="87"/>
  <c r="G50" i="87" s="1"/>
  <c r="A49" i="87"/>
  <c r="G49" i="87" s="1"/>
  <c r="A48" i="87"/>
  <c r="G48" i="87" s="1"/>
  <c r="A47" i="87"/>
  <c r="G47" i="87" s="1"/>
  <c r="A46" i="87"/>
  <c r="G46" i="87" s="1"/>
  <c r="A45" i="87"/>
  <c r="G45" i="87" s="1"/>
  <c r="A44" i="87"/>
  <c r="G44" i="87" s="1"/>
  <c r="A43" i="87"/>
  <c r="G43" i="87" s="1"/>
  <c r="A42" i="87"/>
  <c r="G42" i="87" s="1"/>
  <c r="A41" i="87"/>
  <c r="G41" i="87" s="1"/>
  <c r="A40" i="87"/>
  <c r="G40" i="87" s="1"/>
  <c r="A39" i="87"/>
  <c r="G39" i="87" s="1"/>
  <c r="A38" i="87"/>
  <c r="G38" i="87" s="1"/>
  <c r="A37" i="87"/>
  <c r="G37" i="87" s="1"/>
  <c r="A36" i="87"/>
  <c r="G36" i="87" s="1"/>
  <c r="A35" i="87"/>
  <c r="G35" i="87" s="1"/>
  <c r="A34" i="87"/>
  <c r="G34" i="87" s="1"/>
  <c r="A33" i="87"/>
  <c r="G33" i="87" s="1"/>
  <c r="A32" i="87"/>
  <c r="G32" i="87" s="1"/>
  <c r="A31" i="87"/>
  <c r="G31" i="87" s="1"/>
  <c r="A30" i="87"/>
  <c r="G30" i="87" s="1"/>
  <c r="A29" i="87"/>
  <c r="G29" i="87" s="1"/>
  <c r="A28" i="87"/>
  <c r="G28" i="87" s="1"/>
  <c r="A27" i="87"/>
  <c r="G27" i="87" s="1"/>
  <c r="A26" i="87"/>
  <c r="G26" i="87" s="1"/>
  <c r="A25" i="87"/>
  <c r="G25" i="87" s="1"/>
  <c r="A24" i="87"/>
  <c r="G24" i="87" s="1"/>
  <c r="A23" i="87"/>
  <c r="G23" i="87" s="1"/>
  <c r="A22" i="87"/>
  <c r="G22" i="87" s="1"/>
  <c r="A21" i="87"/>
  <c r="G21" i="87" s="1"/>
  <c r="A20" i="87"/>
  <c r="G20" i="87" s="1"/>
  <c r="A19" i="87"/>
  <c r="G19" i="87" s="1"/>
  <c r="A18" i="87"/>
  <c r="G18" i="87" s="1"/>
  <c r="A17" i="87"/>
  <c r="G17" i="87" s="1"/>
  <c r="A16" i="87"/>
  <c r="G16" i="87" s="1"/>
  <c r="A15" i="87"/>
  <c r="G15" i="87" s="1"/>
  <c r="A14" i="87"/>
  <c r="G14" i="87" s="1"/>
  <c r="A13" i="87"/>
  <c r="G13" i="87" s="1"/>
  <c r="A12" i="87"/>
  <c r="G12" i="87" s="1"/>
  <c r="A11" i="87"/>
  <c r="E10" i="87"/>
  <c r="E11" i="87" s="1"/>
  <c r="A10" i="87"/>
  <c r="G10" i="87" s="1"/>
  <c r="G11" i="87" l="1"/>
  <c r="M14" i="89"/>
  <c r="I15" i="143"/>
  <c r="M14" i="143"/>
  <c r="I16" i="145"/>
  <c r="M15" i="145"/>
  <c r="I18" i="136"/>
  <c r="M17" i="136"/>
  <c r="I15" i="144"/>
  <c r="M14" i="144"/>
  <c r="I15" i="89"/>
  <c r="I17" i="164"/>
  <c r="M16" i="164"/>
  <c r="I16" i="159"/>
  <c r="M15" i="159"/>
  <c r="I16" i="109"/>
  <c r="M15" i="109"/>
  <c r="I27" i="182"/>
  <c r="M26" i="182"/>
  <c r="O25" i="172"/>
  <c r="O10" i="172"/>
  <c r="M10" i="172" s="1"/>
  <c r="O11" i="172"/>
  <c r="M11" i="172" s="1"/>
  <c r="O12" i="172"/>
  <c r="M25" i="172"/>
  <c r="O13" i="172"/>
  <c r="O14" i="172"/>
  <c r="O15" i="172"/>
  <c r="O16" i="172"/>
  <c r="O17" i="172"/>
  <c r="O18" i="172"/>
  <c r="O19" i="172"/>
  <c r="O20" i="172"/>
  <c r="O21" i="172"/>
  <c r="O22" i="172"/>
  <c r="O23" i="172"/>
  <c r="I24" i="178"/>
  <c r="O23" i="178" s="1"/>
  <c r="M23" i="178"/>
  <c r="I25" i="166"/>
  <c r="M24" i="166"/>
  <c r="I31" i="197"/>
  <c r="M30" i="197"/>
  <c r="O25" i="179"/>
  <c r="M25" i="179"/>
  <c r="O10" i="179"/>
  <c r="O11" i="179"/>
  <c r="O12" i="179"/>
  <c r="O13" i="179"/>
  <c r="O14" i="179"/>
  <c r="O15" i="179"/>
  <c r="O16" i="179"/>
  <c r="O17" i="179"/>
  <c r="O18" i="179"/>
  <c r="O19" i="179"/>
  <c r="O20" i="179"/>
  <c r="O21" i="179"/>
  <c r="O22" i="179"/>
  <c r="O23" i="179"/>
  <c r="I18" i="138"/>
  <c r="M17" i="138"/>
  <c r="I15" i="134"/>
  <c r="M14" i="134"/>
  <c r="I15" i="158"/>
  <c r="M14" i="158"/>
  <c r="I14" i="133"/>
  <c r="M13" i="133"/>
  <c r="I15" i="97"/>
  <c r="M14" i="97"/>
  <c r="I14" i="130"/>
  <c r="M13" i="130"/>
  <c r="I15" i="110"/>
  <c r="M14" i="110"/>
  <c r="I18" i="137"/>
  <c r="M17" i="137"/>
  <c r="I16" i="141"/>
  <c r="M15" i="141"/>
  <c r="I17" i="139"/>
  <c r="M16" i="139"/>
  <c r="I22" i="173"/>
  <c r="M21" i="173"/>
  <c r="I15" i="135"/>
  <c r="M14" i="135"/>
  <c r="I11" i="95"/>
  <c r="M11" i="95" s="1"/>
  <c r="I11" i="90"/>
  <c r="M11" i="90" s="1"/>
  <c r="I11" i="93"/>
  <c r="M11" i="93" s="1"/>
  <c r="E12" i="87"/>
  <c r="E13" i="87" s="1"/>
  <c r="E14" i="87" s="1"/>
  <c r="E15" i="87" s="1"/>
  <c r="E16" i="87" s="1"/>
  <c r="E17" i="87" s="1"/>
  <c r="E18" i="87" s="1"/>
  <c r="E19" i="87" s="1"/>
  <c r="E20" i="87" s="1"/>
  <c r="E21" i="87" s="1"/>
  <c r="E22" i="87" s="1"/>
  <c r="E23" i="87" s="1"/>
  <c r="E24" i="87" s="1"/>
  <c r="E25" i="87" s="1"/>
  <c r="E26" i="87" s="1"/>
  <c r="E27" i="87" s="1"/>
  <c r="E28" i="87" s="1"/>
  <c r="E29" i="87" s="1"/>
  <c r="E30" i="87" s="1"/>
  <c r="E31" i="87" s="1"/>
  <c r="E32" i="87" s="1"/>
  <c r="E33" i="87" s="1"/>
  <c r="E34" i="87" s="1"/>
  <c r="E35" i="87" s="1"/>
  <c r="E36" i="87" s="1"/>
  <c r="E37" i="87" s="1"/>
  <c r="E38" i="87" s="1"/>
  <c r="E39" i="87" s="1"/>
  <c r="E40" i="87" s="1"/>
  <c r="E41" i="87" s="1"/>
  <c r="E42" i="87" s="1"/>
  <c r="E43" i="87" s="1"/>
  <c r="E44" i="87" s="1"/>
  <c r="E45" i="87" s="1"/>
  <c r="E46" i="87" s="1"/>
  <c r="E47" i="87" s="1"/>
  <c r="E48" i="87" s="1"/>
  <c r="E49" i="87" s="1"/>
  <c r="E50" i="87" s="1"/>
  <c r="E51" i="87" s="1"/>
  <c r="E52" i="87" s="1"/>
  <c r="E53" i="87" s="1"/>
  <c r="E54" i="87" s="1"/>
  <c r="E55" i="87" s="1"/>
  <c r="E56" i="87" s="1"/>
  <c r="E57" i="87" s="1"/>
  <c r="E58" i="87" s="1"/>
  <c r="E59" i="87" s="1"/>
  <c r="E60" i="87" s="1"/>
  <c r="E61" i="87" s="1"/>
  <c r="E62" i="87" s="1"/>
  <c r="E63" i="87" s="1"/>
  <c r="E64" i="87" s="1"/>
  <c r="E65" i="87" s="1"/>
  <c r="I17" i="96"/>
  <c r="M16" i="96"/>
  <c r="I23" i="170"/>
  <c r="M22" i="170"/>
  <c r="I14" i="131"/>
  <c r="M13" i="131"/>
  <c r="I19" i="154"/>
  <c r="M18" i="154"/>
  <c r="I21" i="163"/>
  <c r="M20" i="163"/>
  <c r="I30" i="183"/>
  <c r="M29" i="183"/>
  <c r="I19" i="161"/>
  <c r="M18" i="161"/>
  <c r="I17" i="157"/>
  <c r="M16" i="157"/>
  <c r="O24" i="172"/>
  <c r="O24" i="179"/>
  <c r="I23" i="176"/>
  <c r="M22" i="176"/>
  <c r="I15" i="140"/>
  <c r="M14" i="140"/>
  <c r="I15" i="129"/>
  <c r="M14" i="129"/>
  <c r="I18" i="153"/>
  <c r="M17" i="153"/>
  <c r="I21" i="162"/>
  <c r="O20" i="162" s="1"/>
  <c r="M20" i="162"/>
  <c r="I18" i="149"/>
  <c r="M17" i="149"/>
  <c r="A39" i="84"/>
  <c r="G39" i="84" s="1"/>
  <c r="A38" i="84"/>
  <c r="G38" i="84" s="1"/>
  <c r="A37" i="84"/>
  <c r="G37" i="84" s="1"/>
  <c r="A36" i="84"/>
  <c r="G36" i="84" s="1"/>
  <c r="A35" i="84"/>
  <c r="G35" i="84" s="1"/>
  <c r="A34" i="84"/>
  <c r="G34" i="84" s="1"/>
  <c r="A33" i="84"/>
  <c r="G33" i="84" s="1"/>
  <c r="A32" i="84"/>
  <c r="G32" i="84" s="1"/>
  <c r="A31" i="84"/>
  <c r="G31" i="84" s="1"/>
  <c r="A30" i="84"/>
  <c r="G30" i="84" s="1"/>
  <c r="A29" i="84"/>
  <c r="G29" i="84" s="1"/>
  <c r="A28" i="84"/>
  <c r="G28" i="84" s="1"/>
  <c r="A27" i="84"/>
  <c r="G27" i="84" s="1"/>
  <c r="A26" i="84"/>
  <c r="G26" i="84" s="1"/>
  <c r="A25" i="84"/>
  <c r="G25" i="84" s="1"/>
  <c r="A24" i="84"/>
  <c r="G24" i="84" s="1"/>
  <c r="A23" i="84"/>
  <c r="G23" i="84" s="1"/>
  <c r="A22" i="84"/>
  <c r="G22" i="84" s="1"/>
  <c r="A21" i="84"/>
  <c r="G21" i="84" s="1"/>
  <c r="A20" i="84"/>
  <c r="G20" i="84" s="1"/>
  <c r="A19" i="84"/>
  <c r="G19" i="84" s="1"/>
  <c r="A18" i="84"/>
  <c r="G18" i="84" s="1"/>
  <c r="A17" i="84"/>
  <c r="G17" i="84" s="1"/>
  <c r="A16" i="84"/>
  <c r="G16" i="84" s="1"/>
  <c r="A15" i="84"/>
  <c r="G15" i="84" s="1"/>
  <c r="A14" i="84"/>
  <c r="G14" i="84" s="1"/>
  <c r="A13" i="84"/>
  <c r="G12" i="84"/>
  <c r="A12" i="84"/>
  <c r="G11" i="84"/>
  <c r="A11" i="84"/>
  <c r="E10" i="84"/>
  <c r="A10" i="84"/>
  <c r="G10" i="84" s="1"/>
  <c r="I10" i="84" s="1"/>
  <c r="K65" i="87" l="1"/>
  <c r="K64" i="87"/>
  <c r="K63" i="87"/>
  <c r="K62" i="87"/>
  <c r="K61" i="87"/>
  <c r="K10" i="87"/>
  <c r="K1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E11" i="84"/>
  <c r="E12" i="84" s="1"/>
  <c r="I18" i="157"/>
  <c r="M17" i="157"/>
  <c r="I15" i="131"/>
  <c r="M14" i="131"/>
  <c r="I24" i="170"/>
  <c r="M23" i="170"/>
  <c r="I18" i="139"/>
  <c r="M17" i="139"/>
  <c r="I17" i="141"/>
  <c r="M16" i="141"/>
  <c r="I19" i="137"/>
  <c r="M18" i="137"/>
  <c r="I16" i="110"/>
  <c r="M15" i="110"/>
  <c r="I15" i="130"/>
  <c r="M14" i="130"/>
  <c r="I16" i="97"/>
  <c r="M15" i="97"/>
  <c r="I32" i="197"/>
  <c r="M31" i="197"/>
  <c r="I26" i="166"/>
  <c r="M25" i="166"/>
  <c r="O24" i="178"/>
  <c r="M24" i="178"/>
  <c r="O10" i="178"/>
  <c r="O11" i="178"/>
  <c r="O12" i="178"/>
  <c r="O13" i="178"/>
  <c r="O14" i="178"/>
  <c r="O15" i="178"/>
  <c r="O16" i="178"/>
  <c r="O17" i="178"/>
  <c r="O18" i="178"/>
  <c r="O19" i="178"/>
  <c r="O20" i="178"/>
  <c r="O21" i="178"/>
  <c r="O22" i="178"/>
  <c r="I17" i="159"/>
  <c r="M16" i="159"/>
  <c r="I18" i="164"/>
  <c r="M17" i="164"/>
  <c r="I16" i="144"/>
  <c r="M15" i="144"/>
  <c r="I12" i="84"/>
  <c r="G13" i="84"/>
  <c r="I19" i="149"/>
  <c r="M18" i="149"/>
  <c r="O21" i="162"/>
  <c r="O10" i="162"/>
  <c r="M10" i="162" s="1"/>
  <c r="O11" i="162"/>
  <c r="M11" i="162" s="1"/>
  <c r="M21" i="162"/>
  <c r="O12" i="162"/>
  <c r="O13" i="162"/>
  <c r="O14" i="162"/>
  <c r="O15" i="162"/>
  <c r="O16" i="162"/>
  <c r="O17" i="162"/>
  <c r="O18" i="162"/>
  <c r="O19" i="162"/>
  <c r="I19" i="153"/>
  <c r="M18" i="153"/>
  <c r="I16" i="129"/>
  <c r="M15" i="129"/>
  <c r="I16" i="140"/>
  <c r="M15" i="140"/>
  <c r="I24" i="176"/>
  <c r="M23" i="176"/>
  <c r="I20" i="161"/>
  <c r="M19" i="161"/>
  <c r="I31" i="183"/>
  <c r="M30" i="183"/>
  <c r="I22" i="163"/>
  <c r="M21" i="163"/>
  <c r="I20" i="154"/>
  <c r="M19" i="154"/>
  <c r="I18" i="96"/>
  <c r="M17" i="96"/>
  <c r="I12" i="93"/>
  <c r="I12" i="90"/>
  <c r="I12" i="95"/>
  <c r="I16" i="135"/>
  <c r="M15" i="135"/>
  <c r="I23" i="173"/>
  <c r="M22" i="173"/>
  <c r="I15" i="133"/>
  <c r="M14" i="133"/>
  <c r="I16" i="158"/>
  <c r="M15" i="158"/>
  <c r="I16" i="134"/>
  <c r="M15" i="134"/>
  <c r="I19" i="138"/>
  <c r="M18" i="138"/>
  <c r="I28" i="182"/>
  <c r="M27" i="182"/>
  <c r="I17" i="109"/>
  <c r="M16" i="109"/>
  <c r="I16" i="89"/>
  <c r="M15" i="89"/>
  <c r="I19" i="136"/>
  <c r="O18" i="136"/>
  <c r="M18" i="136"/>
  <c r="I17" i="145"/>
  <c r="M16" i="145"/>
  <c r="I16" i="143"/>
  <c r="M15" i="143"/>
  <c r="G39" i="83"/>
  <c r="A39" i="83"/>
  <c r="A38" i="83"/>
  <c r="G38" i="83" s="1"/>
  <c r="G37" i="83"/>
  <c r="A37" i="83"/>
  <c r="A36" i="83"/>
  <c r="G36" i="83" s="1"/>
  <c r="G35" i="83"/>
  <c r="A35" i="83"/>
  <c r="A34" i="83"/>
  <c r="G34" i="83" s="1"/>
  <c r="G33" i="83"/>
  <c r="A33" i="83"/>
  <c r="A32" i="83"/>
  <c r="G32" i="83" s="1"/>
  <c r="G31" i="83"/>
  <c r="A31" i="83"/>
  <c r="A30" i="83"/>
  <c r="G30" i="83" s="1"/>
  <c r="G29" i="83"/>
  <c r="A29" i="83"/>
  <c r="A28" i="83"/>
  <c r="G28" i="83" s="1"/>
  <c r="G27" i="83"/>
  <c r="A27" i="83"/>
  <c r="A26" i="83"/>
  <c r="G26" i="83" s="1"/>
  <c r="G25" i="83"/>
  <c r="A25" i="83"/>
  <c r="A24" i="83"/>
  <c r="G24" i="83" s="1"/>
  <c r="G23" i="83"/>
  <c r="A23" i="83"/>
  <c r="A22" i="83"/>
  <c r="G22" i="83" s="1"/>
  <c r="G21" i="83"/>
  <c r="A21" i="83"/>
  <c r="A20" i="83"/>
  <c r="G20" i="83" s="1"/>
  <c r="G19" i="83"/>
  <c r="A19" i="83"/>
  <c r="A18" i="83"/>
  <c r="G18" i="83" s="1"/>
  <c r="G17" i="83"/>
  <c r="A17" i="83"/>
  <c r="A16" i="83"/>
  <c r="G16" i="83" s="1"/>
  <c r="A15" i="83"/>
  <c r="G15" i="83" s="1"/>
  <c r="A14" i="83"/>
  <c r="G14" i="83" s="1"/>
  <c r="A13" i="83"/>
  <c r="G13" i="83" s="1"/>
  <c r="A12" i="83"/>
  <c r="G12" i="83" s="1"/>
  <c r="A11" i="83"/>
  <c r="G11" i="83" s="1"/>
  <c r="E10" i="83"/>
  <c r="A10" i="83"/>
  <c r="G10" i="83" s="1"/>
  <c r="I10" i="83" s="1"/>
  <c r="E13" i="84" l="1"/>
  <c r="E14" i="84" s="1"/>
  <c r="E15" i="84" s="1"/>
  <c r="E16" i="84" s="1"/>
  <c r="E17" i="84" s="1"/>
  <c r="E18" i="84" s="1"/>
  <c r="E19" i="84" s="1"/>
  <c r="E20" i="84" s="1"/>
  <c r="E21" i="84" s="1"/>
  <c r="E22" i="84" s="1"/>
  <c r="E23" i="84" s="1"/>
  <c r="E24" i="84" s="1"/>
  <c r="E25" i="84" s="1"/>
  <c r="E26" i="84" s="1"/>
  <c r="E27" i="84" s="1"/>
  <c r="E28" i="84" s="1"/>
  <c r="E29" i="84" s="1"/>
  <c r="E30" i="84" s="1"/>
  <c r="E31" i="84" s="1"/>
  <c r="E32" i="84" s="1"/>
  <c r="E33" i="84" s="1"/>
  <c r="E34" i="84" s="1"/>
  <c r="E35" i="84" s="1"/>
  <c r="E36" i="84" s="1"/>
  <c r="E37" i="84" s="1"/>
  <c r="E38" i="84" s="1"/>
  <c r="E39" i="84" s="1"/>
  <c r="K36" i="84" s="1"/>
  <c r="I12" i="83"/>
  <c r="K37" i="84"/>
  <c r="K33" i="84"/>
  <c r="K29" i="84"/>
  <c r="K25" i="84"/>
  <c r="K21" i="84"/>
  <c r="K17" i="84"/>
  <c r="K10" i="84"/>
  <c r="I18" i="109"/>
  <c r="M17" i="109"/>
  <c r="I29" i="182"/>
  <c r="M28" i="182"/>
  <c r="I19" i="96"/>
  <c r="M18" i="96"/>
  <c r="I21" i="154"/>
  <c r="M20" i="154"/>
  <c r="I23" i="163"/>
  <c r="M22" i="163"/>
  <c r="I32" i="183"/>
  <c r="M31" i="183"/>
  <c r="I21" i="161"/>
  <c r="M20" i="161"/>
  <c r="I20" i="149"/>
  <c r="M19" i="149"/>
  <c r="I19" i="164"/>
  <c r="M18" i="164"/>
  <c r="I18" i="159"/>
  <c r="M17" i="159"/>
  <c r="I27" i="166"/>
  <c r="M26" i="166"/>
  <c r="I33" i="197"/>
  <c r="O32" i="197" s="1"/>
  <c r="M32" i="197"/>
  <c r="I17" i="97"/>
  <c r="O16" i="97" s="1"/>
  <c r="M16" i="97"/>
  <c r="I16" i="130"/>
  <c r="M15" i="130"/>
  <c r="O16" i="110"/>
  <c r="M16" i="110"/>
  <c r="O10" i="110"/>
  <c r="O11" i="110"/>
  <c r="O12" i="110"/>
  <c r="O13" i="110"/>
  <c r="O14" i="110"/>
  <c r="I20" i="137"/>
  <c r="M19" i="137"/>
  <c r="I18" i="141"/>
  <c r="M17" i="141"/>
  <c r="I19" i="139"/>
  <c r="M18" i="139"/>
  <c r="I25" i="170"/>
  <c r="M24" i="170"/>
  <c r="O15" i="131"/>
  <c r="M15" i="131"/>
  <c r="O10" i="131"/>
  <c r="O11" i="131"/>
  <c r="O12" i="131"/>
  <c r="O13" i="131"/>
  <c r="I19" i="157"/>
  <c r="M18" i="157"/>
  <c r="I10" i="87"/>
  <c r="M10" i="87" s="1"/>
  <c r="E11" i="83"/>
  <c r="E12" i="83" s="1"/>
  <c r="E13" i="83" s="1"/>
  <c r="E14" i="83" s="1"/>
  <c r="E15" i="83" s="1"/>
  <c r="E16" i="83" s="1"/>
  <c r="E17" i="83" s="1"/>
  <c r="E18" i="83" s="1"/>
  <c r="E19" i="83" s="1"/>
  <c r="E20" i="83" s="1"/>
  <c r="E21" i="83" s="1"/>
  <c r="E22" i="83" s="1"/>
  <c r="E23" i="83" s="1"/>
  <c r="E24" i="83" s="1"/>
  <c r="E25" i="83" s="1"/>
  <c r="E26" i="83" s="1"/>
  <c r="E27" i="83" s="1"/>
  <c r="E28" i="83" s="1"/>
  <c r="E29" i="83" s="1"/>
  <c r="E30" i="83" s="1"/>
  <c r="E31" i="83" s="1"/>
  <c r="E32" i="83" s="1"/>
  <c r="E33" i="83" s="1"/>
  <c r="E34" i="83" s="1"/>
  <c r="E35" i="83" s="1"/>
  <c r="E36" i="83" s="1"/>
  <c r="E37" i="83" s="1"/>
  <c r="E38" i="83" s="1"/>
  <c r="E39" i="83" s="1"/>
  <c r="I17" i="143"/>
  <c r="M16" i="143"/>
  <c r="I18" i="145"/>
  <c r="M17" i="145"/>
  <c r="O19" i="136"/>
  <c r="O10" i="136"/>
  <c r="M10" i="136" s="1"/>
  <c r="O11" i="136"/>
  <c r="M11" i="136" s="1"/>
  <c r="O12" i="136"/>
  <c r="M19" i="136"/>
  <c r="O13" i="136"/>
  <c r="O14" i="136"/>
  <c r="O15" i="136"/>
  <c r="O16" i="136"/>
  <c r="O17" i="136"/>
  <c r="I17" i="89"/>
  <c r="M16" i="89"/>
  <c r="I20" i="138"/>
  <c r="M19" i="138"/>
  <c r="I17" i="134"/>
  <c r="M16" i="134"/>
  <c r="I17" i="158"/>
  <c r="M16" i="158"/>
  <c r="I16" i="133"/>
  <c r="M15" i="133"/>
  <c r="I24" i="173"/>
  <c r="M23" i="173"/>
  <c r="I17" i="135"/>
  <c r="M16" i="135"/>
  <c r="I13" i="95"/>
  <c r="M12" i="95"/>
  <c r="I13" i="90"/>
  <c r="M12" i="90"/>
  <c r="I13" i="93"/>
  <c r="M12" i="93"/>
  <c r="I25" i="176"/>
  <c r="M24" i="176"/>
  <c r="I17" i="140"/>
  <c r="M16" i="140"/>
  <c r="I17" i="129"/>
  <c r="M16" i="129"/>
  <c r="I20" i="153"/>
  <c r="M19" i="153"/>
  <c r="I17" i="144"/>
  <c r="M16" i="144"/>
  <c r="O15" i="110"/>
  <c r="O14" i="131"/>
  <c r="K12" i="84" l="1"/>
  <c r="K11" i="84"/>
  <c r="I11" i="84" s="1"/>
  <c r="K18" i="84"/>
  <c r="K22" i="84"/>
  <c r="K26" i="84"/>
  <c r="K30" i="84"/>
  <c r="K34" i="84"/>
  <c r="K38" i="84"/>
  <c r="K13" i="84"/>
  <c r="K15" i="84"/>
  <c r="K19" i="84"/>
  <c r="K23" i="84"/>
  <c r="K27" i="84"/>
  <c r="K31" i="84"/>
  <c r="K35" i="84"/>
  <c r="K39" i="84"/>
  <c r="K14" i="84"/>
  <c r="K16" i="84"/>
  <c r="K20" i="84"/>
  <c r="K24" i="84"/>
  <c r="K28" i="84"/>
  <c r="K32" i="84"/>
  <c r="K15" i="83"/>
  <c r="K14" i="83"/>
  <c r="K13" i="83"/>
  <c r="K12" i="83"/>
  <c r="K11" i="83"/>
  <c r="K1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I14" i="93"/>
  <c r="M13" i="93"/>
  <c r="I14" i="95"/>
  <c r="M13" i="95"/>
  <c r="I20" i="157"/>
  <c r="M19" i="157"/>
  <c r="I19" i="159"/>
  <c r="M18" i="159"/>
  <c r="I20" i="164"/>
  <c r="M19" i="164"/>
  <c r="I13" i="84"/>
  <c r="M13" i="84" s="1"/>
  <c r="I18" i="144"/>
  <c r="M17" i="144"/>
  <c r="I21" i="153"/>
  <c r="O20" i="153" s="1"/>
  <c r="M20" i="153"/>
  <c r="I18" i="129"/>
  <c r="M17" i="129"/>
  <c r="I18" i="140"/>
  <c r="M17" i="140"/>
  <c r="I26" i="176"/>
  <c r="M25" i="176"/>
  <c r="I14" i="90"/>
  <c r="M13" i="90"/>
  <c r="I18" i="135"/>
  <c r="M17" i="135"/>
  <c r="I25" i="173"/>
  <c r="M24" i="173"/>
  <c r="I17" i="133"/>
  <c r="M16" i="133"/>
  <c r="I18" i="158"/>
  <c r="M17" i="158"/>
  <c r="I18" i="134"/>
  <c r="M17" i="134"/>
  <c r="I21" i="138"/>
  <c r="O20" i="138" s="1"/>
  <c r="M20" i="138"/>
  <c r="O17" i="89"/>
  <c r="O10" i="89"/>
  <c r="M17" i="89"/>
  <c r="O12" i="89"/>
  <c r="M12" i="89" s="1"/>
  <c r="O13" i="89"/>
  <c r="M13" i="89" s="1"/>
  <c r="O11" i="89"/>
  <c r="M11" i="89" s="1"/>
  <c r="O14" i="89"/>
  <c r="O15" i="89"/>
  <c r="I19" i="145"/>
  <c r="M18" i="145"/>
  <c r="I18" i="143"/>
  <c r="M17" i="143"/>
  <c r="I11" i="87"/>
  <c r="I26" i="170"/>
  <c r="M25" i="170"/>
  <c r="I20" i="139"/>
  <c r="M19" i="139"/>
  <c r="I19" i="141"/>
  <c r="M18" i="141"/>
  <c r="I21" i="137"/>
  <c r="M20" i="137"/>
  <c r="I17" i="130"/>
  <c r="M16" i="130"/>
  <c r="O17" i="97"/>
  <c r="O10" i="97"/>
  <c r="M10" i="97" s="1"/>
  <c r="M17" i="97"/>
  <c r="O11" i="97"/>
  <c r="O12" i="97"/>
  <c r="O13" i="97"/>
  <c r="O14" i="97"/>
  <c r="O15" i="97"/>
  <c r="O33" i="197"/>
  <c r="M33" i="197"/>
  <c r="O11" i="197"/>
  <c r="O10" i="197"/>
  <c r="O12" i="197"/>
  <c r="M12" i="197" s="1"/>
  <c r="O13" i="197"/>
  <c r="O14" i="197"/>
  <c r="O15" i="197"/>
  <c r="O16" i="197"/>
  <c r="O17" i="197"/>
  <c r="O18" i="197"/>
  <c r="O19" i="197"/>
  <c r="O20" i="197"/>
  <c r="O21" i="197"/>
  <c r="O22" i="197"/>
  <c r="O23" i="197"/>
  <c r="O24" i="197"/>
  <c r="O25" i="197"/>
  <c r="O26" i="197"/>
  <c r="O27" i="197"/>
  <c r="O28" i="197"/>
  <c r="O29" i="197"/>
  <c r="O30" i="197"/>
  <c r="O31" i="197"/>
  <c r="I28" i="166"/>
  <c r="M27" i="166"/>
  <c r="I21" i="149"/>
  <c r="M20" i="149"/>
  <c r="I22" i="161"/>
  <c r="M21" i="161"/>
  <c r="I33" i="183"/>
  <c r="M32" i="183"/>
  <c r="I24" i="163"/>
  <c r="M23" i="163"/>
  <c r="I22" i="154"/>
  <c r="M21" i="154"/>
  <c r="I20" i="96"/>
  <c r="M19" i="96"/>
  <c r="I30" i="182"/>
  <c r="M29" i="182"/>
  <c r="O18" i="109"/>
  <c r="O10" i="109"/>
  <c r="M10" i="109" s="1"/>
  <c r="M18" i="109"/>
  <c r="O11" i="109"/>
  <c r="M11" i="109" s="1"/>
  <c r="O12" i="109"/>
  <c r="O13" i="109"/>
  <c r="O14" i="109"/>
  <c r="O15" i="109"/>
  <c r="O16" i="109"/>
  <c r="A90" i="79"/>
  <c r="I31" i="182" l="1"/>
  <c r="M30" i="182"/>
  <c r="I21" i="96"/>
  <c r="M20" i="96"/>
  <c r="I23" i="154"/>
  <c r="M22" i="154"/>
  <c r="I25" i="163"/>
  <c r="M24" i="163"/>
  <c r="I34" i="183"/>
  <c r="M33" i="183"/>
  <c r="I23" i="161"/>
  <c r="M22" i="161"/>
  <c r="I22" i="149"/>
  <c r="M21" i="149"/>
  <c r="I29" i="166"/>
  <c r="M28" i="166"/>
  <c r="I18" i="130"/>
  <c r="M17" i="130"/>
  <c r="O21" i="137"/>
  <c r="O10" i="137"/>
  <c r="M10" i="137" s="1"/>
  <c r="O11" i="137"/>
  <c r="M11" i="137" s="1"/>
  <c r="O12" i="137"/>
  <c r="M21" i="137"/>
  <c r="O13" i="137"/>
  <c r="O14" i="137"/>
  <c r="O15" i="137"/>
  <c r="O16" i="137"/>
  <c r="O17" i="137"/>
  <c r="O18" i="137"/>
  <c r="O19" i="137"/>
  <c r="I20" i="141"/>
  <c r="M19" i="141"/>
  <c r="I21" i="139"/>
  <c r="O20" i="139" s="1"/>
  <c r="M20" i="139"/>
  <c r="I27" i="170"/>
  <c r="M26" i="170"/>
  <c r="I12" i="87"/>
  <c r="M11" i="87"/>
  <c r="I19" i="143"/>
  <c r="M18" i="143"/>
  <c r="I20" i="145"/>
  <c r="M19" i="145"/>
  <c r="O21" i="138"/>
  <c r="O10" i="138"/>
  <c r="M10" i="138" s="1"/>
  <c r="O11" i="138"/>
  <c r="M11" i="138" s="1"/>
  <c r="O12" i="138"/>
  <c r="O13" i="138"/>
  <c r="M21" i="138"/>
  <c r="O14" i="138"/>
  <c r="O15" i="138"/>
  <c r="O16" i="138"/>
  <c r="O17" i="138"/>
  <c r="O18" i="138"/>
  <c r="O19" i="138"/>
  <c r="I19" i="134"/>
  <c r="M18" i="134"/>
  <c r="I19" i="158"/>
  <c r="M18" i="158"/>
  <c r="I18" i="133"/>
  <c r="M17" i="133"/>
  <c r="I26" i="173"/>
  <c r="M25" i="173"/>
  <c r="I19" i="135"/>
  <c r="M18" i="135"/>
  <c r="I27" i="176"/>
  <c r="M26" i="176"/>
  <c r="I19" i="140"/>
  <c r="M18" i="140"/>
  <c r="I19" i="129"/>
  <c r="M18" i="129"/>
  <c r="O21" i="153"/>
  <c r="M21" i="153"/>
  <c r="O10" i="153"/>
  <c r="M10" i="153" s="1"/>
  <c r="O11" i="153"/>
  <c r="O12" i="153"/>
  <c r="O13" i="153"/>
  <c r="O14" i="153"/>
  <c r="O15" i="153"/>
  <c r="O16" i="153"/>
  <c r="O17" i="153"/>
  <c r="O18" i="153"/>
  <c r="O19" i="153"/>
  <c r="I14" i="84"/>
  <c r="I21" i="157"/>
  <c r="M20" i="157"/>
  <c r="I15" i="93"/>
  <c r="M14" i="93"/>
  <c r="G90" i="79"/>
  <c r="I15" i="90"/>
  <c r="M14" i="90"/>
  <c r="I19" i="144"/>
  <c r="M18" i="144"/>
  <c r="I21" i="164"/>
  <c r="M20" i="164"/>
  <c r="I20" i="159"/>
  <c r="M19" i="159"/>
  <c r="I15" i="95"/>
  <c r="M14" i="95"/>
  <c r="I11" i="83"/>
  <c r="I13" i="83"/>
  <c r="M13" i="83" s="1"/>
  <c r="A89" i="79"/>
  <c r="G89" i="79" s="1"/>
  <c r="M11" i="83" l="1"/>
  <c r="O20" i="159"/>
  <c r="O10" i="159"/>
  <c r="M10" i="159" s="1"/>
  <c r="M20" i="159"/>
  <c r="O11" i="159"/>
  <c r="O12" i="159"/>
  <c r="O13" i="159"/>
  <c r="O14" i="159"/>
  <c r="O15" i="159"/>
  <c r="O16" i="159"/>
  <c r="O17" i="159"/>
  <c r="O18" i="159"/>
  <c r="I20" i="144"/>
  <c r="M19" i="144"/>
  <c r="I16" i="90"/>
  <c r="M15" i="90"/>
  <c r="I16" i="93"/>
  <c r="M15" i="93"/>
  <c r="I20" i="129"/>
  <c r="M19" i="129"/>
  <c r="I20" i="140"/>
  <c r="M19" i="140"/>
  <c r="O27" i="170"/>
  <c r="O10" i="170"/>
  <c r="M10" i="170" s="1"/>
  <c r="M27" i="170"/>
  <c r="O11" i="170"/>
  <c r="O12" i="170"/>
  <c r="O13" i="170"/>
  <c r="O14" i="170"/>
  <c r="O15" i="170"/>
  <c r="O16" i="170"/>
  <c r="O17" i="170"/>
  <c r="O18" i="170"/>
  <c r="O19" i="170"/>
  <c r="O20" i="170"/>
  <c r="O21" i="170"/>
  <c r="O22" i="170"/>
  <c r="O23" i="170"/>
  <c r="O24" i="170"/>
  <c r="O25" i="170"/>
  <c r="I14" i="83"/>
  <c r="I16" i="95"/>
  <c r="M15" i="95"/>
  <c r="I22" i="164"/>
  <c r="M21" i="164"/>
  <c r="I22" i="157"/>
  <c r="M21" i="157"/>
  <c r="I15" i="84"/>
  <c r="I28" i="176"/>
  <c r="M27" i="176"/>
  <c r="I20" i="135"/>
  <c r="M19" i="135"/>
  <c r="I27" i="173"/>
  <c r="M26" i="173"/>
  <c r="I19" i="133"/>
  <c r="M18" i="133"/>
  <c r="I20" i="158"/>
  <c r="M19" i="158"/>
  <c r="I20" i="134"/>
  <c r="M19" i="134"/>
  <c r="I21" i="145"/>
  <c r="M20" i="145"/>
  <c r="I20" i="143"/>
  <c r="O19" i="143" s="1"/>
  <c r="M19" i="143"/>
  <c r="I13" i="87"/>
  <c r="M12" i="87"/>
  <c r="O21" i="139"/>
  <c r="O10" i="139"/>
  <c r="M10" i="139" s="1"/>
  <c r="O11" i="139"/>
  <c r="O12" i="139"/>
  <c r="M21" i="139"/>
  <c r="O13" i="139"/>
  <c r="O14" i="139"/>
  <c r="O15" i="139"/>
  <c r="O16" i="139"/>
  <c r="O17" i="139"/>
  <c r="O18" i="139"/>
  <c r="O19" i="139"/>
  <c r="I21" i="141"/>
  <c r="M20" i="141"/>
  <c r="I19" i="130"/>
  <c r="M18" i="130"/>
  <c r="I30" i="166"/>
  <c r="M29" i="166"/>
  <c r="I23" i="149"/>
  <c r="M22" i="149"/>
  <c r="I24" i="161"/>
  <c r="M23" i="161"/>
  <c r="I35" i="183"/>
  <c r="M34" i="183"/>
  <c r="I26" i="163"/>
  <c r="M25" i="163"/>
  <c r="I24" i="154"/>
  <c r="M23" i="154"/>
  <c r="I22" i="96"/>
  <c r="M21" i="96"/>
  <c r="I32" i="182"/>
  <c r="M31" i="182"/>
  <c r="A88" i="79"/>
  <c r="G88" i="79" s="1"/>
  <c r="I33" i="182" l="1"/>
  <c r="O32" i="182"/>
  <c r="M32" i="182"/>
  <c r="I23" i="96"/>
  <c r="M22" i="96"/>
  <c r="I25" i="154"/>
  <c r="O24" i="154" s="1"/>
  <c r="M24" i="154"/>
  <c r="I27" i="163"/>
  <c r="M26" i="163"/>
  <c r="I36" i="183"/>
  <c r="M35" i="183"/>
  <c r="I25" i="161"/>
  <c r="M24" i="161"/>
  <c r="I24" i="149"/>
  <c r="M23" i="149"/>
  <c r="I31" i="166"/>
  <c r="M30" i="166"/>
  <c r="I20" i="130"/>
  <c r="M19" i="130"/>
  <c r="I22" i="141"/>
  <c r="M21" i="141"/>
  <c r="I16" i="84"/>
  <c r="M15" i="84"/>
  <c r="I21" i="140"/>
  <c r="M20" i="140"/>
  <c r="I21" i="129"/>
  <c r="M20" i="129"/>
  <c r="I14" i="87"/>
  <c r="M13" i="87"/>
  <c r="O20" i="143"/>
  <c r="O10" i="143"/>
  <c r="M10" i="143" s="1"/>
  <c r="M20" i="143"/>
  <c r="O11" i="143"/>
  <c r="O12" i="143"/>
  <c r="O13" i="143"/>
  <c r="O14" i="143"/>
  <c r="O15" i="143"/>
  <c r="O16" i="143"/>
  <c r="O17" i="143"/>
  <c r="O18" i="143"/>
  <c r="O21" i="145"/>
  <c r="M21" i="145"/>
  <c r="O10" i="145"/>
  <c r="M10" i="145" s="1"/>
  <c r="O11" i="145"/>
  <c r="O12" i="145"/>
  <c r="O13" i="145"/>
  <c r="O14" i="145"/>
  <c r="O15" i="145"/>
  <c r="O16" i="145"/>
  <c r="O17" i="145"/>
  <c r="O18" i="145"/>
  <c r="O19" i="145"/>
  <c r="I21" i="134"/>
  <c r="O20" i="134" s="1"/>
  <c r="M20" i="134"/>
  <c r="I21" i="158"/>
  <c r="M20" i="158"/>
  <c r="I20" i="133"/>
  <c r="M19" i="133"/>
  <c r="I28" i="173"/>
  <c r="M27" i="173"/>
  <c r="I21" i="135"/>
  <c r="M20" i="135"/>
  <c r="I29" i="176"/>
  <c r="M28" i="176"/>
  <c r="I23" i="157"/>
  <c r="M22" i="157"/>
  <c r="I23" i="164"/>
  <c r="M22" i="164"/>
  <c r="I17" i="95"/>
  <c r="M16" i="95"/>
  <c r="I15" i="83"/>
  <c r="M14" i="83"/>
  <c r="I17" i="93"/>
  <c r="M16" i="93"/>
  <c r="I17" i="90"/>
  <c r="M16" i="90"/>
  <c r="I21" i="144"/>
  <c r="M20" i="144"/>
  <c r="G87" i="79"/>
  <c r="A87" i="79"/>
  <c r="I18" i="93" l="1"/>
  <c r="M17" i="93"/>
  <c r="I18" i="95"/>
  <c r="M17" i="95"/>
  <c r="I24" i="164"/>
  <c r="M23" i="164"/>
  <c r="I24" i="157"/>
  <c r="M23" i="157"/>
  <c r="I30" i="176"/>
  <c r="M29" i="176"/>
  <c r="I22" i="135"/>
  <c r="M21" i="135"/>
  <c r="I29" i="173"/>
  <c r="M28" i="173"/>
  <c r="O20" i="133"/>
  <c r="M20" i="133"/>
  <c r="O10" i="133"/>
  <c r="O11" i="133"/>
  <c r="O12" i="133"/>
  <c r="O13" i="133"/>
  <c r="O14" i="133"/>
  <c r="O15" i="133"/>
  <c r="O16" i="133"/>
  <c r="O17" i="133"/>
  <c r="O18" i="133"/>
  <c r="I23" i="141"/>
  <c r="M22" i="141"/>
  <c r="I21" i="130"/>
  <c r="M20" i="130"/>
  <c r="I32" i="166"/>
  <c r="M31" i="166"/>
  <c r="I25" i="149"/>
  <c r="M24" i="149"/>
  <c r="I26" i="161"/>
  <c r="M25" i="161"/>
  <c r="I37" i="183"/>
  <c r="M36" i="183"/>
  <c r="I28" i="163"/>
  <c r="M27" i="163"/>
  <c r="O25" i="154"/>
  <c r="O10" i="154"/>
  <c r="M10" i="154" s="1"/>
  <c r="O11" i="154"/>
  <c r="M11" i="154" s="1"/>
  <c r="O12" i="154"/>
  <c r="M12" i="154" s="1"/>
  <c r="M25" i="154"/>
  <c r="O13" i="154"/>
  <c r="O14" i="154"/>
  <c r="O15" i="154"/>
  <c r="O16" i="154"/>
  <c r="O17" i="154"/>
  <c r="O18" i="154"/>
  <c r="O19" i="154"/>
  <c r="O20" i="154"/>
  <c r="O21" i="154"/>
  <c r="O22" i="154"/>
  <c r="O23" i="154"/>
  <c r="I24" i="96"/>
  <c r="M23" i="96"/>
  <c r="O33" i="182"/>
  <c r="M33" i="182"/>
  <c r="O10" i="182"/>
  <c r="O11" i="182"/>
  <c r="O12" i="182"/>
  <c r="O13" i="182"/>
  <c r="O14" i="182"/>
  <c r="O15" i="182"/>
  <c r="O16" i="182"/>
  <c r="O17" i="182"/>
  <c r="O18" i="182"/>
  <c r="O19" i="182"/>
  <c r="O20" i="182"/>
  <c r="O21" i="182"/>
  <c r="O22" i="182"/>
  <c r="O23" i="182"/>
  <c r="O24" i="182"/>
  <c r="O25" i="182"/>
  <c r="O26" i="182"/>
  <c r="O27" i="182"/>
  <c r="O28" i="182"/>
  <c r="O29" i="182"/>
  <c r="O30" i="182"/>
  <c r="O31" i="182"/>
  <c r="I22" i="144"/>
  <c r="M21" i="144"/>
  <c r="I18" i="90"/>
  <c r="M17" i="90"/>
  <c r="I16" i="83"/>
  <c r="I22" i="158"/>
  <c r="M21" i="158"/>
  <c r="O21" i="134"/>
  <c r="M21" i="134"/>
  <c r="O10" i="134"/>
  <c r="O11" i="134"/>
  <c r="O12" i="134"/>
  <c r="O13" i="134"/>
  <c r="O14" i="134"/>
  <c r="O15" i="134"/>
  <c r="O16" i="134"/>
  <c r="O17" i="134"/>
  <c r="O18" i="134"/>
  <c r="O19" i="134"/>
  <c r="I15" i="87"/>
  <c r="M14" i="87"/>
  <c r="I22" i="129"/>
  <c r="M21" i="129"/>
  <c r="I22" i="140"/>
  <c r="M21" i="140"/>
  <c r="I17" i="84"/>
  <c r="M16" i="84"/>
  <c r="A86" i="79"/>
  <c r="G86" i="79" s="1"/>
  <c r="I16" i="87" l="1"/>
  <c r="M15" i="87"/>
  <c r="I23" i="158"/>
  <c r="M22" i="158"/>
  <c r="I19" i="90"/>
  <c r="M18" i="90"/>
  <c r="I23" i="144"/>
  <c r="M22" i="144"/>
  <c r="I29" i="163"/>
  <c r="M28" i="163"/>
  <c r="I38" i="183"/>
  <c r="M37" i="183"/>
  <c r="I27" i="161"/>
  <c r="M26" i="161"/>
  <c r="I26" i="149"/>
  <c r="M25" i="149"/>
  <c r="I33" i="166"/>
  <c r="M32" i="166"/>
  <c r="I30" i="173"/>
  <c r="M29" i="173"/>
  <c r="I23" i="135"/>
  <c r="M22" i="135"/>
  <c r="I31" i="176"/>
  <c r="M30" i="176"/>
  <c r="I25" i="157"/>
  <c r="M24" i="157"/>
  <c r="I25" i="164"/>
  <c r="M24" i="164"/>
  <c r="I19" i="95"/>
  <c r="M18" i="95"/>
  <c r="I18" i="84"/>
  <c r="M17" i="84"/>
  <c r="I23" i="140"/>
  <c r="M22" i="140"/>
  <c r="I23" i="129"/>
  <c r="O22" i="129" s="1"/>
  <c r="M22" i="129"/>
  <c r="I17" i="83"/>
  <c r="M16" i="83"/>
  <c r="I25" i="96"/>
  <c r="M24" i="96"/>
  <c r="O21" i="130"/>
  <c r="M21" i="130"/>
  <c r="O10" i="130"/>
  <c r="O11" i="130"/>
  <c r="O12" i="130"/>
  <c r="O13" i="130"/>
  <c r="O14" i="130"/>
  <c r="O15" i="130"/>
  <c r="O16" i="130"/>
  <c r="O17" i="130"/>
  <c r="O18" i="130"/>
  <c r="O19" i="130"/>
  <c r="I24" i="141"/>
  <c r="M23" i="141"/>
  <c r="I19" i="93"/>
  <c r="M18" i="93"/>
  <c r="A85" i="79"/>
  <c r="G85" i="79" s="1"/>
  <c r="I25" i="141" l="1"/>
  <c r="M24" i="141"/>
  <c r="I18" i="83"/>
  <c r="M17" i="83"/>
  <c r="I28" i="161"/>
  <c r="M27" i="161"/>
  <c r="I20" i="93"/>
  <c r="M19" i="93"/>
  <c r="I26" i="96"/>
  <c r="M25" i="96"/>
  <c r="O23" i="129"/>
  <c r="M23" i="129"/>
  <c r="O10" i="129"/>
  <c r="O11" i="129"/>
  <c r="O12" i="129"/>
  <c r="O13" i="129"/>
  <c r="O14" i="129"/>
  <c r="O15" i="129"/>
  <c r="O16" i="129"/>
  <c r="O17" i="129"/>
  <c r="O18" i="129"/>
  <c r="O19" i="129"/>
  <c r="O20" i="129"/>
  <c r="O21" i="129"/>
  <c r="I24" i="140"/>
  <c r="M23" i="140"/>
  <c r="I19" i="84"/>
  <c r="M18" i="84"/>
  <c r="I20" i="95"/>
  <c r="M19" i="95"/>
  <c r="I26" i="164"/>
  <c r="M25" i="164"/>
  <c r="I26" i="157"/>
  <c r="O25" i="157" s="1"/>
  <c r="M25" i="157"/>
  <c r="I32" i="176"/>
  <c r="M31" i="176"/>
  <c r="I24" i="135"/>
  <c r="M23" i="135"/>
  <c r="I31" i="173"/>
  <c r="M30" i="173"/>
  <c r="I34" i="166"/>
  <c r="M33" i="166"/>
  <c r="I27" i="149"/>
  <c r="M26" i="149"/>
  <c r="I39" i="183"/>
  <c r="M38" i="183"/>
  <c r="I30" i="163"/>
  <c r="M29" i="163"/>
  <c r="I24" i="144"/>
  <c r="M23" i="144"/>
  <c r="I20" i="90"/>
  <c r="M19" i="90"/>
  <c r="I24" i="158"/>
  <c r="M23" i="158"/>
  <c r="I17" i="87"/>
  <c r="M16" i="87"/>
  <c r="A84" i="79"/>
  <c r="G84" i="79" s="1"/>
  <c r="I18" i="87" l="1"/>
  <c r="M17" i="87"/>
  <c r="I25" i="158"/>
  <c r="M24" i="158"/>
  <c r="I21" i="90"/>
  <c r="M20" i="90"/>
  <c r="I25" i="144"/>
  <c r="M24" i="144"/>
  <c r="I31" i="163"/>
  <c r="M30" i="163"/>
  <c r="I40" i="183"/>
  <c r="M39" i="183"/>
  <c r="I20" i="84"/>
  <c r="M19" i="84"/>
  <c r="I25" i="140"/>
  <c r="M24" i="140"/>
  <c r="I27" i="96"/>
  <c r="M26" i="96"/>
  <c r="I29" i="161"/>
  <c r="M28" i="161"/>
  <c r="I19" i="83"/>
  <c r="M18" i="83"/>
  <c r="I28" i="149"/>
  <c r="M27" i="149"/>
  <c r="I35" i="166"/>
  <c r="M34" i="166"/>
  <c r="I32" i="173"/>
  <c r="M31" i="173"/>
  <c r="O24" i="135"/>
  <c r="I25" i="135"/>
  <c r="M24" i="135"/>
  <c r="I33" i="176"/>
  <c r="M32" i="176"/>
  <c r="O26" i="157"/>
  <c r="M26" i="157"/>
  <c r="O10" i="157"/>
  <c r="M10" i="157" s="1"/>
  <c r="O11" i="157"/>
  <c r="O12" i="157"/>
  <c r="O13" i="157"/>
  <c r="O14" i="157"/>
  <c r="O15" i="157"/>
  <c r="O16" i="157"/>
  <c r="O17" i="157"/>
  <c r="O18" i="157"/>
  <c r="O19" i="157"/>
  <c r="O20" i="157"/>
  <c r="O21" i="157"/>
  <c r="O22" i="157"/>
  <c r="O23" i="157"/>
  <c r="O24" i="157"/>
  <c r="I27" i="164"/>
  <c r="M26" i="164"/>
  <c r="I21" i="95"/>
  <c r="M20" i="95"/>
  <c r="I21" i="93"/>
  <c r="M20" i="93"/>
  <c r="I26" i="141"/>
  <c r="M25" i="141"/>
  <c r="A83" i="79"/>
  <c r="G83" i="79" s="1"/>
  <c r="I27" i="141" l="1"/>
  <c r="M26" i="141"/>
  <c r="I22" i="95"/>
  <c r="M21" i="95"/>
  <c r="I28" i="164"/>
  <c r="M27" i="164"/>
  <c r="I34" i="176"/>
  <c r="M33" i="176"/>
  <c r="O25" i="135"/>
  <c r="M25" i="135"/>
  <c r="O10" i="135"/>
  <c r="O11" i="135"/>
  <c r="O12" i="135"/>
  <c r="O13" i="135"/>
  <c r="O14" i="135"/>
  <c r="O15" i="135"/>
  <c r="O16" i="135"/>
  <c r="O17" i="135"/>
  <c r="O18" i="135"/>
  <c r="O19" i="135"/>
  <c r="O20" i="135"/>
  <c r="O21" i="135"/>
  <c r="O22" i="135"/>
  <c r="O23" i="135"/>
  <c r="I33" i="173"/>
  <c r="M32" i="173"/>
  <c r="I36" i="166"/>
  <c r="M35" i="166"/>
  <c r="I29" i="149"/>
  <c r="M28" i="149"/>
  <c r="I22" i="93"/>
  <c r="M21" i="93"/>
  <c r="I20" i="83"/>
  <c r="M19" i="83"/>
  <c r="I30" i="161"/>
  <c r="M29" i="161"/>
  <c r="I28" i="96"/>
  <c r="M27" i="96"/>
  <c r="I26" i="140"/>
  <c r="M25" i="140"/>
  <c r="I21" i="84"/>
  <c r="M20" i="84"/>
  <c r="I41" i="183"/>
  <c r="M40" i="183"/>
  <c r="I32" i="163"/>
  <c r="M31" i="163"/>
  <c r="I26" i="144"/>
  <c r="M25" i="144"/>
  <c r="I22" i="90"/>
  <c r="M21" i="90"/>
  <c r="I26" i="158"/>
  <c r="M25" i="158"/>
  <c r="I19" i="87"/>
  <c r="M18" i="87"/>
  <c r="A82" i="79"/>
  <c r="G82" i="79" s="1"/>
  <c r="I20" i="87" l="1"/>
  <c r="M19" i="87"/>
  <c r="I27" i="158"/>
  <c r="M26" i="158"/>
  <c r="I23" i="90"/>
  <c r="M22" i="90"/>
  <c r="I27" i="144"/>
  <c r="M26" i="144"/>
  <c r="I33" i="163"/>
  <c r="M32" i="163"/>
  <c r="I42" i="183"/>
  <c r="M41" i="183"/>
  <c r="I22" i="84"/>
  <c r="M21" i="84"/>
  <c r="I27" i="140"/>
  <c r="M26" i="140"/>
  <c r="I29" i="96"/>
  <c r="M28" i="96"/>
  <c r="I31" i="161"/>
  <c r="M30" i="161"/>
  <c r="I21" i="83"/>
  <c r="M20" i="83"/>
  <c r="I30" i="149"/>
  <c r="M29" i="149"/>
  <c r="I37" i="166"/>
  <c r="M36" i="166"/>
  <c r="I34" i="173"/>
  <c r="O33" i="173" s="1"/>
  <c r="M33" i="173"/>
  <c r="I29" i="164"/>
  <c r="M28" i="164"/>
  <c r="I23" i="95"/>
  <c r="M22" i="95"/>
  <c r="I23" i="93"/>
  <c r="M22" i="93"/>
  <c r="I35" i="176"/>
  <c r="M34" i="176"/>
  <c r="I28" i="141"/>
  <c r="M27" i="141"/>
  <c r="A81" i="79"/>
  <c r="G81" i="79" l="1"/>
  <c r="I36" i="176"/>
  <c r="M35" i="176"/>
  <c r="I24" i="93"/>
  <c r="M23" i="93"/>
  <c r="I24" i="95"/>
  <c r="M23" i="95"/>
  <c r="I30" i="164"/>
  <c r="M29" i="164"/>
  <c r="O28" i="141"/>
  <c r="O10" i="141"/>
  <c r="M10" i="141" s="1"/>
  <c r="O11" i="141"/>
  <c r="M11" i="141" s="1"/>
  <c r="M28" i="141"/>
  <c r="O12" i="141"/>
  <c r="O13" i="141"/>
  <c r="O14" i="141"/>
  <c r="O15" i="141"/>
  <c r="O16" i="141"/>
  <c r="O17" i="141"/>
  <c r="O18" i="141"/>
  <c r="O19" i="141"/>
  <c r="O20" i="141"/>
  <c r="O21" i="141"/>
  <c r="O22" i="141"/>
  <c r="O23" i="141"/>
  <c r="O24" i="141"/>
  <c r="O25" i="141"/>
  <c r="O26" i="141"/>
  <c r="O34" i="173"/>
  <c r="M34" i="173"/>
  <c r="O10" i="173"/>
  <c r="O11" i="173"/>
  <c r="O12" i="173"/>
  <c r="O13" i="173"/>
  <c r="O14" i="173"/>
  <c r="O15" i="173"/>
  <c r="O16" i="173"/>
  <c r="O17" i="173"/>
  <c r="O18" i="173"/>
  <c r="O19" i="173"/>
  <c r="O20" i="173"/>
  <c r="O21" i="173"/>
  <c r="O22" i="173"/>
  <c r="O23" i="173"/>
  <c r="O24" i="173"/>
  <c r="O25" i="173"/>
  <c r="O26" i="173"/>
  <c r="O27" i="173"/>
  <c r="O28" i="173"/>
  <c r="O29" i="173"/>
  <c r="O30" i="173"/>
  <c r="O31" i="173"/>
  <c r="O32" i="173"/>
  <c r="I38" i="166"/>
  <c r="M37" i="166"/>
  <c r="I31" i="149"/>
  <c r="M30" i="149"/>
  <c r="I22" i="83"/>
  <c r="M21" i="83"/>
  <c r="I32" i="161"/>
  <c r="M31" i="161"/>
  <c r="I30" i="96"/>
  <c r="M29" i="96"/>
  <c r="I28" i="140"/>
  <c r="M27" i="140"/>
  <c r="I23" i="84"/>
  <c r="M22" i="84"/>
  <c r="I43" i="183"/>
  <c r="M42" i="183"/>
  <c r="I34" i="163"/>
  <c r="M33" i="163"/>
  <c r="I28" i="144"/>
  <c r="M27" i="144"/>
  <c r="I24" i="90"/>
  <c r="M23" i="90"/>
  <c r="I28" i="158"/>
  <c r="M27" i="158"/>
  <c r="I21" i="87"/>
  <c r="M20" i="87"/>
  <c r="A80" i="79"/>
  <c r="I22" i="87" l="1"/>
  <c r="M21" i="87"/>
  <c r="I29" i="158"/>
  <c r="O28" i="158" s="1"/>
  <c r="M28" i="158"/>
  <c r="I25" i="90"/>
  <c r="M24" i="90"/>
  <c r="I29" i="144"/>
  <c r="M28" i="144"/>
  <c r="I35" i="163"/>
  <c r="O34" i="163" s="1"/>
  <c r="M34" i="163"/>
  <c r="I44" i="183"/>
  <c r="O43" i="183" s="1"/>
  <c r="M43" i="183"/>
  <c r="I24" i="84"/>
  <c r="M23" i="84"/>
  <c r="I29" i="140"/>
  <c r="M28" i="140"/>
  <c r="I31" i="96"/>
  <c r="M30" i="96"/>
  <c r="I33" i="161"/>
  <c r="M32" i="161"/>
  <c r="I23" i="83"/>
  <c r="M22" i="83"/>
  <c r="I32" i="149"/>
  <c r="M31" i="149"/>
  <c r="I39" i="166"/>
  <c r="M38" i="166"/>
  <c r="I31" i="164"/>
  <c r="M30" i="164"/>
  <c r="I25" i="95"/>
  <c r="M24" i="95"/>
  <c r="G80" i="79"/>
  <c r="I25" i="93"/>
  <c r="M24" i="93"/>
  <c r="I37" i="176"/>
  <c r="M36" i="176"/>
  <c r="A79" i="79"/>
  <c r="G79" i="79" l="1"/>
  <c r="I38" i="176"/>
  <c r="M37" i="176"/>
  <c r="I26" i="93"/>
  <c r="M25" i="93"/>
  <c r="I26" i="95"/>
  <c r="M25" i="95"/>
  <c r="I32" i="164"/>
  <c r="M31" i="164"/>
  <c r="I40" i="166"/>
  <c r="M39" i="166"/>
  <c r="I33" i="149"/>
  <c r="M32" i="149"/>
  <c r="I24" i="83"/>
  <c r="M23" i="83"/>
  <c r="I34" i="161"/>
  <c r="M33" i="161"/>
  <c r="I32" i="96"/>
  <c r="M31" i="96"/>
  <c r="I30" i="140"/>
  <c r="M29" i="140"/>
  <c r="I25" i="84"/>
  <c r="M24" i="84"/>
  <c r="O44" i="183"/>
  <c r="O10" i="183"/>
  <c r="M10" i="183" s="1"/>
  <c r="O11" i="183"/>
  <c r="O12" i="183"/>
  <c r="M44" i="183"/>
  <c r="O13" i="183"/>
  <c r="O14" i="183"/>
  <c r="O15" i="183"/>
  <c r="O16" i="183"/>
  <c r="O17" i="183"/>
  <c r="O18" i="183"/>
  <c r="O19" i="183"/>
  <c r="O20" i="183"/>
  <c r="O21" i="183"/>
  <c r="O22" i="183"/>
  <c r="O23" i="183"/>
  <c r="O24" i="183"/>
  <c r="O25" i="183"/>
  <c r="O26" i="183"/>
  <c r="O27" i="183"/>
  <c r="O28" i="183"/>
  <c r="O29" i="183"/>
  <c r="O30" i="183"/>
  <c r="O31" i="183"/>
  <c r="O32" i="183"/>
  <c r="O33" i="183"/>
  <c r="O34" i="183"/>
  <c r="O35" i="183"/>
  <c r="O36" i="183"/>
  <c r="O37" i="183"/>
  <c r="O38" i="183"/>
  <c r="O39" i="183"/>
  <c r="O40" i="183"/>
  <c r="O41" i="183"/>
  <c r="O42" i="183"/>
  <c r="O35" i="163"/>
  <c r="O10" i="163"/>
  <c r="M10" i="163" s="1"/>
  <c r="O11" i="163"/>
  <c r="O12" i="163"/>
  <c r="M35" i="163"/>
  <c r="O13" i="163"/>
  <c r="O14" i="163"/>
  <c r="O15" i="163"/>
  <c r="O16" i="163"/>
  <c r="O17" i="163"/>
  <c r="O18" i="163"/>
  <c r="O19" i="163"/>
  <c r="O20" i="163"/>
  <c r="O21" i="163"/>
  <c r="O22" i="163"/>
  <c r="O23" i="163"/>
  <c r="O24" i="163"/>
  <c r="O25" i="163"/>
  <c r="O26" i="163"/>
  <c r="O27" i="163"/>
  <c r="O28" i="163"/>
  <c r="O29" i="163"/>
  <c r="O30" i="163"/>
  <c r="O31" i="163"/>
  <c r="O32" i="163"/>
  <c r="O33" i="163"/>
  <c r="I30" i="144"/>
  <c r="M29" i="144"/>
  <c r="I26" i="90"/>
  <c r="M25" i="90"/>
  <c r="O29" i="158"/>
  <c r="M29" i="158"/>
  <c r="O10" i="158"/>
  <c r="O11" i="158"/>
  <c r="O12" i="158"/>
  <c r="O13" i="158"/>
  <c r="O14" i="158"/>
  <c r="O15" i="158"/>
  <c r="O16" i="158"/>
  <c r="O17" i="158"/>
  <c r="O18" i="158"/>
  <c r="O19" i="158"/>
  <c r="O20" i="158"/>
  <c r="O21" i="158"/>
  <c r="O22" i="158"/>
  <c r="O23" i="158"/>
  <c r="O24" i="158"/>
  <c r="O25" i="158"/>
  <c r="O26" i="158"/>
  <c r="O27" i="158"/>
  <c r="I23" i="87"/>
  <c r="M22" i="87"/>
  <c r="A78" i="79"/>
  <c r="G78" i="79" s="1"/>
  <c r="I24" i="87" l="1"/>
  <c r="M23" i="87"/>
  <c r="O30" i="144"/>
  <c r="O10" i="144"/>
  <c r="M10" i="144" s="1"/>
  <c r="M30" i="144"/>
  <c r="O11" i="144"/>
  <c r="O12" i="144"/>
  <c r="O13" i="144"/>
  <c r="O14" i="144"/>
  <c r="O15" i="144"/>
  <c r="O16" i="144"/>
  <c r="O17" i="144"/>
  <c r="O18" i="144"/>
  <c r="O19" i="144"/>
  <c r="O20" i="144"/>
  <c r="O21" i="144"/>
  <c r="O22" i="144"/>
  <c r="O23" i="144"/>
  <c r="O24" i="144"/>
  <c r="O25" i="144"/>
  <c r="O26" i="144"/>
  <c r="O27" i="144"/>
  <c r="O28" i="144"/>
  <c r="I27" i="90"/>
  <c r="M26" i="90"/>
  <c r="I26" i="84"/>
  <c r="M25" i="84"/>
  <c r="I31" i="140"/>
  <c r="M30" i="140"/>
  <c r="I33" i="96"/>
  <c r="M32" i="96"/>
  <c r="I35" i="161"/>
  <c r="M34" i="161"/>
  <c r="I25" i="83"/>
  <c r="M24" i="83"/>
  <c r="I34" i="149"/>
  <c r="M33" i="149"/>
  <c r="I41" i="166"/>
  <c r="M40" i="166"/>
  <c r="I33" i="164"/>
  <c r="M32" i="164"/>
  <c r="I27" i="95"/>
  <c r="M26" i="95"/>
  <c r="I27" i="93"/>
  <c r="M26" i="93"/>
  <c r="I39" i="176"/>
  <c r="M38" i="176"/>
  <c r="A77" i="79"/>
  <c r="G77" i="79" s="1"/>
  <c r="A76" i="79"/>
  <c r="G76" i="79" s="1"/>
  <c r="I40" i="176" l="1"/>
  <c r="M39" i="176"/>
  <c r="I28" i="93"/>
  <c r="M27" i="93"/>
  <c r="I35" i="149"/>
  <c r="M34" i="149"/>
  <c r="I26" i="83"/>
  <c r="M25" i="83"/>
  <c r="I36" i="161"/>
  <c r="M35" i="161"/>
  <c r="I34" i="96"/>
  <c r="M33" i="96"/>
  <c r="I32" i="140"/>
  <c r="M31" i="140"/>
  <c r="I27" i="84"/>
  <c r="M26" i="84"/>
  <c r="I25" i="87"/>
  <c r="M24" i="87"/>
  <c r="I28" i="95"/>
  <c r="M27" i="95"/>
  <c r="I34" i="164"/>
  <c r="M33" i="164"/>
  <c r="O41" i="166"/>
  <c r="O10" i="166"/>
  <c r="M10" i="166" s="1"/>
  <c r="O11" i="166"/>
  <c r="O12" i="166"/>
  <c r="M41" i="166"/>
  <c r="O13" i="166"/>
  <c r="O14" i="166"/>
  <c r="O15" i="166"/>
  <c r="O16" i="166"/>
  <c r="O17" i="166"/>
  <c r="O18" i="166"/>
  <c r="O19" i="166"/>
  <c r="O20" i="166"/>
  <c r="O21" i="166"/>
  <c r="O22" i="166"/>
  <c r="O23" i="166"/>
  <c r="O24" i="166"/>
  <c r="O25" i="166"/>
  <c r="O26" i="166"/>
  <c r="O27" i="166"/>
  <c r="O28" i="166"/>
  <c r="O29" i="166"/>
  <c r="O30" i="166"/>
  <c r="O31" i="166"/>
  <c r="O32" i="166"/>
  <c r="O33" i="166"/>
  <c r="O34" i="166"/>
  <c r="O35" i="166"/>
  <c r="O36" i="166"/>
  <c r="O37" i="166"/>
  <c r="O38" i="166"/>
  <c r="O39" i="166"/>
  <c r="I28" i="90"/>
  <c r="M27" i="90"/>
  <c r="A75" i="79"/>
  <c r="G75" i="79" s="1"/>
  <c r="A74" i="79"/>
  <c r="A73" i="79"/>
  <c r="G73" i="79" l="1"/>
  <c r="G74" i="79"/>
  <c r="I28" i="84"/>
  <c r="M27" i="84"/>
  <c r="I33" i="140"/>
  <c r="M32" i="140"/>
  <c r="I35" i="96"/>
  <c r="M34" i="96"/>
  <c r="I37" i="161"/>
  <c r="M36" i="161"/>
  <c r="I27" i="83"/>
  <c r="M26" i="83"/>
  <c r="I36" i="149"/>
  <c r="M35" i="149"/>
  <c r="I29" i="93"/>
  <c r="M28" i="93"/>
  <c r="I41" i="176"/>
  <c r="M40" i="176"/>
  <c r="I29" i="90"/>
  <c r="M28" i="90"/>
  <c r="I35" i="164"/>
  <c r="M34" i="164"/>
  <c r="I29" i="95"/>
  <c r="M28" i="95"/>
  <c r="I26" i="87"/>
  <c r="M25" i="87"/>
  <c r="A72" i="79"/>
  <c r="G72" i="79" s="1"/>
  <c r="A71" i="79"/>
  <c r="A70" i="79"/>
  <c r="A69" i="79"/>
  <c r="A68" i="79"/>
  <c r="A67" i="79"/>
  <c r="A66" i="79"/>
  <c r="A65" i="79"/>
  <c r="A64" i="79"/>
  <c r="A63" i="79"/>
  <c r="A62" i="79"/>
  <c r="A61" i="79"/>
  <c r="A60" i="79"/>
  <c r="G60" i="79" l="1"/>
  <c r="G61" i="79"/>
  <c r="G62" i="79"/>
  <c r="G63" i="79"/>
  <c r="G64" i="79"/>
  <c r="G65" i="79"/>
  <c r="G66" i="79"/>
  <c r="G67" i="79"/>
  <c r="G68" i="79"/>
  <c r="G69" i="79"/>
  <c r="G70" i="79"/>
  <c r="G71" i="79"/>
  <c r="I30" i="95"/>
  <c r="M29" i="95"/>
  <c r="I36" i="164"/>
  <c r="M35" i="164"/>
  <c r="I30" i="90"/>
  <c r="M29" i="90"/>
  <c r="I27" i="87"/>
  <c r="M26" i="87"/>
  <c r="I42" i="176"/>
  <c r="M41" i="176"/>
  <c r="I30" i="93"/>
  <c r="M29" i="93"/>
  <c r="I37" i="149"/>
  <c r="M36" i="149"/>
  <c r="I28" i="83"/>
  <c r="M27" i="83"/>
  <c r="I38" i="161"/>
  <c r="M37" i="161"/>
  <c r="I36" i="96"/>
  <c r="M35" i="96"/>
  <c r="I34" i="140"/>
  <c r="O33" i="140" s="1"/>
  <c r="M33" i="140"/>
  <c r="I29" i="84"/>
  <c r="M28" i="84"/>
  <c r="A59" i="79"/>
  <c r="G59" i="79" s="1"/>
  <c r="A58" i="79"/>
  <c r="A57" i="79"/>
  <c r="A56" i="79"/>
  <c r="A55" i="79"/>
  <c r="A54" i="79"/>
  <c r="A53" i="79"/>
  <c r="A52" i="79"/>
  <c r="A51" i="79"/>
  <c r="A50" i="79"/>
  <c r="A49" i="79"/>
  <c r="A48" i="79"/>
  <c r="G48" i="79" l="1"/>
  <c r="G49" i="79"/>
  <c r="G50" i="79"/>
  <c r="G51" i="79"/>
  <c r="G52" i="79"/>
  <c r="G53" i="79"/>
  <c r="G54" i="79"/>
  <c r="G55" i="79"/>
  <c r="G56" i="79"/>
  <c r="G57" i="79"/>
  <c r="G58" i="79"/>
  <c r="I30" i="84"/>
  <c r="M29" i="84"/>
  <c r="O34" i="140"/>
  <c r="O10" i="140"/>
  <c r="M10" i="140" s="1"/>
  <c r="M34" i="140"/>
  <c r="O11" i="140"/>
  <c r="O12" i="140"/>
  <c r="O13" i="140"/>
  <c r="O14" i="140"/>
  <c r="O15" i="140"/>
  <c r="O16" i="140"/>
  <c r="O17" i="140"/>
  <c r="O18" i="140"/>
  <c r="O19" i="140"/>
  <c r="O20" i="140"/>
  <c r="O21" i="140"/>
  <c r="O22" i="140"/>
  <c r="O23" i="140"/>
  <c r="O24" i="140"/>
  <c r="O25" i="140"/>
  <c r="O26" i="140"/>
  <c r="O27" i="140"/>
  <c r="O28" i="140"/>
  <c r="O29" i="140"/>
  <c r="O30" i="140"/>
  <c r="O31" i="140"/>
  <c r="O32" i="140"/>
  <c r="I37" i="96"/>
  <c r="M36" i="96"/>
  <c r="I39" i="161"/>
  <c r="M38" i="161"/>
  <c r="I29" i="83"/>
  <c r="M28" i="83"/>
  <c r="I38" i="149"/>
  <c r="M37" i="149"/>
  <c r="I31" i="93"/>
  <c r="M30" i="93"/>
  <c r="I43" i="176"/>
  <c r="M42" i="176"/>
  <c r="I28" i="87"/>
  <c r="M27" i="87"/>
  <c r="I31" i="90"/>
  <c r="O30" i="90" s="1"/>
  <c r="M30" i="90"/>
  <c r="I37" i="164"/>
  <c r="M36" i="164"/>
  <c r="I31" i="95"/>
  <c r="M30" i="95"/>
  <c r="A47" i="79"/>
  <c r="G47" i="79" s="1"/>
  <c r="A46" i="79"/>
  <c r="A45" i="79"/>
  <c r="A44" i="79"/>
  <c r="A43" i="79"/>
  <c r="A42" i="79"/>
  <c r="A41" i="79"/>
  <c r="A40" i="79"/>
  <c r="A39" i="79"/>
  <c r="A38" i="79"/>
  <c r="A37" i="79"/>
  <c r="A36" i="79"/>
  <c r="A35" i="79"/>
  <c r="A34" i="79"/>
  <c r="A33" i="79"/>
  <c r="A32" i="79"/>
  <c r="A31" i="79"/>
  <c r="A30" i="79"/>
  <c r="A29" i="79"/>
  <c r="A28" i="79"/>
  <c r="A27" i="79"/>
  <c r="A26" i="79"/>
  <c r="A25" i="79"/>
  <c r="A24" i="79"/>
  <c r="A23" i="79"/>
  <c r="A22" i="79"/>
  <c r="A21" i="79"/>
  <c r="A20" i="79"/>
  <c r="A19" i="79"/>
  <c r="A18" i="79"/>
  <c r="A17" i="79"/>
  <c r="A16" i="79"/>
  <c r="A15" i="79"/>
  <c r="A14" i="79"/>
  <c r="A13" i="79"/>
  <c r="A12" i="79"/>
  <c r="A11" i="79"/>
  <c r="G11" i="79" s="1"/>
  <c r="E11" i="79" s="1"/>
  <c r="E10" i="79"/>
  <c r="A10" i="79"/>
  <c r="G10" i="79" s="1"/>
  <c r="I10" i="79" s="1"/>
  <c r="A28" i="78"/>
  <c r="G28" i="78" s="1"/>
  <c r="A27" i="78"/>
  <c r="A26" i="78"/>
  <c r="A25" i="78"/>
  <c r="A24" i="78"/>
  <c r="A23" i="78"/>
  <c r="A22" i="78"/>
  <c r="A21" i="78"/>
  <c r="A20" i="78"/>
  <c r="A19" i="78"/>
  <c r="A18" i="78"/>
  <c r="A17" i="78"/>
  <c r="A16" i="78"/>
  <c r="A15" i="78"/>
  <c r="A14" i="78"/>
  <c r="A13" i="78"/>
  <c r="A12" i="78"/>
  <c r="E11" i="78"/>
  <c r="A11" i="78"/>
  <c r="G11" i="78" s="1"/>
  <c r="I11" i="78" s="1"/>
  <c r="E10" i="78"/>
  <c r="A10" i="78"/>
  <c r="I11" i="79" l="1"/>
  <c r="G12" i="78"/>
  <c r="E12" i="78" s="1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27" i="78"/>
  <c r="G12" i="79"/>
  <c r="E12" i="79" s="1"/>
  <c r="G13" i="79"/>
  <c r="E13" i="79" s="1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10" i="78"/>
  <c r="I32" i="95"/>
  <c r="M31" i="95"/>
  <c r="I38" i="164"/>
  <c r="M37" i="164"/>
  <c r="O31" i="90"/>
  <c r="O10" i="90"/>
  <c r="M10" i="90" s="1"/>
  <c r="M31" i="90"/>
  <c r="O11" i="90"/>
  <c r="O12" i="90"/>
  <c r="O13" i="90"/>
  <c r="O14" i="90"/>
  <c r="O15" i="90"/>
  <c r="O16" i="90"/>
  <c r="O17" i="90"/>
  <c r="O18" i="90"/>
  <c r="O19" i="90"/>
  <c r="O20" i="90"/>
  <c r="O21" i="90"/>
  <c r="O22" i="90"/>
  <c r="O23" i="90"/>
  <c r="O24" i="90"/>
  <c r="O25" i="90"/>
  <c r="O26" i="90"/>
  <c r="O27" i="90"/>
  <c r="O28" i="90"/>
  <c r="O29" i="90"/>
  <c r="I29" i="87"/>
  <c r="M28" i="87"/>
  <c r="I44" i="176"/>
  <c r="M43" i="176"/>
  <c r="I32" i="93"/>
  <c r="M31" i="93"/>
  <c r="I39" i="149"/>
  <c r="M38" i="149"/>
  <c r="I30" i="83"/>
  <c r="M29" i="83"/>
  <c r="I40" i="161"/>
  <c r="M39" i="161"/>
  <c r="I38" i="96"/>
  <c r="M37" i="96"/>
  <c r="I31" i="84"/>
  <c r="M30" i="84"/>
  <c r="A15" i="76"/>
  <c r="A14" i="76"/>
  <c r="A13" i="76"/>
  <c r="A12" i="76"/>
  <c r="G12" i="76" s="1"/>
  <c r="E12" i="76" s="1"/>
  <c r="E11" i="76"/>
  <c r="A11" i="76"/>
  <c r="G11" i="76" s="1"/>
  <c r="I11" i="76" s="1"/>
  <c r="E10" i="76"/>
  <c r="A10" i="76"/>
  <c r="R7" i="76"/>
  <c r="R6" i="76"/>
  <c r="R5" i="76"/>
  <c r="R4" i="76"/>
  <c r="R3" i="76"/>
  <c r="R2" i="76"/>
  <c r="A44" i="75"/>
  <c r="G44" i="75" s="1"/>
  <c r="A43" i="75"/>
  <c r="G43" i="75" s="1"/>
  <c r="A42" i="75"/>
  <c r="G42" i="75" s="1"/>
  <c r="A41" i="75"/>
  <c r="G41" i="75" s="1"/>
  <c r="A40" i="75"/>
  <c r="G40" i="75" s="1"/>
  <c r="A39" i="75"/>
  <c r="G39" i="75" s="1"/>
  <c r="A38" i="75"/>
  <c r="G38" i="75" s="1"/>
  <c r="A37" i="75"/>
  <c r="G37" i="75" s="1"/>
  <c r="A36" i="75"/>
  <c r="G36" i="75" s="1"/>
  <c r="A35" i="75"/>
  <c r="G35" i="75" s="1"/>
  <c r="A34" i="75"/>
  <c r="G34" i="75" s="1"/>
  <c r="A33" i="75"/>
  <c r="G33" i="75" s="1"/>
  <c r="A32" i="75"/>
  <c r="G32" i="75" s="1"/>
  <c r="A31" i="75"/>
  <c r="G31" i="75" s="1"/>
  <c r="A30" i="75"/>
  <c r="G30" i="75" s="1"/>
  <c r="A29" i="75"/>
  <c r="G29" i="75" s="1"/>
  <c r="A28" i="75"/>
  <c r="G28" i="75" s="1"/>
  <c r="A27" i="75"/>
  <c r="G27" i="75" s="1"/>
  <c r="A26" i="75"/>
  <c r="G26" i="75" s="1"/>
  <c r="A25" i="75"/>
  <c r="G25" i="75" s="1"/>
  <c r="A24" i="75"/>
  <c r="G24" i="75" s="1"/>
  <c r="A23" i="75"/>
  <c r="G23" i="75" s="1"/>
  <c r="A22" i="75"/>
  <c r="G22" i="75" s="1"/>
  <c r="A21" i="75"/>
  <c r="G21" i="75" s="1"/>
  <c r="A20" i="75"/>
  <c r="G20" i="75" s="1"/>
  <c r="A19" i="75"/>
  <c r="G19" i="75" s="1"/>
  <c r="A18" i="75"/>
  <c r="G18" i="75" s="1"/>
  <c r="A17" i="75"/>
  <c r="G17" i="75" s="1"/>
  <c r="A16" i="75"/>
  <c r="G16" i="75" s="1"/>
  <c r="A15" i="75"/>
  <c r="G15" i="75" s="1"/>
  <c r="A14" i="75"/>
  <c r="G14" i="75" s="1"/>
  <c r="A13" i="75"/>
  <c r="G13" i="75" s="1"/>
  <c r="A12" i="75"/>
  <c r="G12" i="75" s="1"/>
  <c r="A11" i="75"/>
  <c r="G11" i="75" s="1"/>
  <c r="E10" i="75"/>
  <c r="E11" i="75" s="1"/>
  <c r="A10" i="75"/>
  <c r="A65" i="74"/>
  <c r="A64" i="74"/>
  <c r="A63" i="74"/>
  <c r="A62" i="74"/>
  <c r="A61" i="74"/>
  <c r="A60" i="74"/>
  <c r="A59" i="74"/>
  <c r="A58" i="74"/>
  <c r="A57" i="74"/>
  <c r="A56" i="74"/>
  <c r="A55" i="74"/>
  <c r="A54" i="74"/>
  <c r="A53" i="74"/>
  <c r="A52" i="74"/>
  <c r="A51" i="74"/>
  <c r="A50" i="74"/>
  <c r="A49" i="74"/>
  <c r="A48" i="74"/>
  <c r="A47" i="74"/>
  <c r="A46" i="74"/>
  <c r="A45" i="74"/>
  <c r="A44" i="74"/>
  <c r="A43" i="74"/>
  <c r="A42" i="74"/>
  <c r="A41" i="74"/>
  <c r="E12" i="75" l="1"/>
  <c r="E13" i="75"/>
  <c r="E14" i="75" s="1"/>
  <c r="E15" i="75" s="1"/>
  <c r="E16" i="75" s="1"/>
  <c r="E17" i="75" s="1"/>
  <c r="E18" i="75" s="1"/>
  <c r="E19" i="75" s="1"/>
  <c r="E20" i="75" s="1"/>
  <c r="E21" i="75" s="1"/>
  <c r="E22" i="75" s="1"/>
  <c r="E23" i="75" s="1"/>
  <c r="E24" i="75" s="1"/>
  <c r="E25" i="75" s="1"/>
  <c r="E26" i="75" s="1"/>
  <c r="E27" i="75" s="1"/>
  <c r="E28" i="75" s="1"/>
  <c r="E29" i="75" s="1"/>
  <c r="E30" i="75" s="1"/>
  <c r="E31" i="75" s="1"/>
  <c r="E32" i="75" s="1"/>
  <c r="E33" i="75" s="1"/>
  <c r="E34" i="75" s="1"/>
  <c r="E35" i="75" s="1"/>
  <c r="E36" i="75" s="1"/>
  <c r="E37" i="75" s="1"/>
  <c r="E38" i="75" s="1"/>
  <c r="E39" i="75" s="1"/>
  <c r="E40" i="75" s="1"/>
  <c r="E41" i="75" s="1"/>
  <c r="E42" i="75" s="1"/>
  <c r="E43" i="75" s="1"/>
  <c r="E44" i="75" s="1"/>
  <c r="I12" i="76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10" i="76"/>
  <c r="G13" i="76"/>
  <c r="E13" i="76" s="1"/>
  <c r="G14" i="76"/>
  <c r="G15" i="76"/>
  <c r="I32" i="84"/>
  <c r="M31" i="84"/>
  <c r="E14" i="79"/>
  <c r="E13" i="78"/>
  <c r="I12" i="79"/>
  <c r="I12" i="78"/>
  <c r="G10" i="75"/>
  <c r="I39" i="96"/>
  <c r="M38" i="96"/>
  <c r="I41" i="161"/>
  <c r="M40" i="161"/>
  <c r="I31" i="83"/>
  <c r="M30" i="83"/>
  <c r="I40" i="149"/>
  <c r="M39" i="149"/>
  <c r="I33" i="93"/>
  <c r="M32" i="93"/>
  <c r="I45" i="176"/>
  <c r="M44" i="176"/>
  <c r="I30" i="87"/>
  <c r="M29" i="87"/>
  <c r="I39" i="164"/>
  <c r="M38" i="164"/>
  <c r="I33" i="95"/>
  <c r="M32" i="95"/>
  <c r="E15" i="79"/>
  <c r="E16" i="79" s="1"/>
  <c r="E17" i="79" s="1"/>
  <c r="E18" i="79" s="1"/>
  <c r="E19" i="79" s="1"/>
  <c r="E20" i="79" s="1"/>
  <c r="E21" i="79" s="1"/>
  <c r="E22" i="79" s="1"/>
  <c r="E23" i="79" s="1"/>
  <c r="E24" i="79" s="1"/>
  <c r="E25" i="79" s="1"/>
  <c r="E26" i="79" s="1"/>
  <c r="E27" i="79" s="1"/>
  <c r="E28" i="79" s="1"/>
  <c r="E29" i="79" s="1"/>
  <c r="E30" i="79" s="1"/>
  <c r="E31" i="79" s="1"/>
  <c r="E32" i="79" s="1"/>
  <c r="E33" i="79" s="1"/>
  <c r="E34" i="79" s="1"/>
  <c r="E35" i="79" s="1"/>
  <c r="E36" i="79" s="1"/>
  <c r="E37" i="79" s="1"/>
  <c r="E38" i="79" s="1"/>
  <c r="E39" i="79" s="1"/>
  <c r="E40" i="79" s="1"/>
  <c r="E41" i="79" s="1"/>
  <c r="E42" i="79" s="1"/>
  <c r="E43" i="79" s="1"/>
  <c r="E44" i="79" s="1"/>
  <c r="E45" i="79" s="1"/>
  <c r="E46" i="79" s="1"/>
  <c r="E47" i="79" s="1"/>
  <c r="E48" i="79" s="1"/>
  <c r="E49" i="79" s="1"/>
  <c r="E50" i="79" s="1"/>
  <c r="E51" i="79" s="1"/>
  <c r="E52" i="79" s="1"/>
  <c r="E53" i="79" s="1"/>
  <c r="E54" i="79" s="1"/>
  <c r="E55" i="79" s="1"/>
  <c r="E56" i="79" s="1"/>
  <c r="E57" i="79" s="1"/>
  <c r="E58" i="79" s="1"/>
  <c r="E59" i="79" s="1"/>
  <c r="E60" i="79" s="1"/>
  <c r="E61" i="79" s="1"/>
  <c r="E62" i="79" s="1"/>
  <c r="E63" i="79" s="1"/>
  <c r="E64" i="79" s="1"/>
  <c r="E65" i="79" s="1"/>
  <c r="E66" i="79" s="1"/>
  <c r="E67" i="79" s="1"/>
  <c r="E68" i="79" s="1"/>
  <c r="E69" i="79" s="1"/>
  <c r="E70" i="79" s="1"/>
  <c r="E71" i="79" s="1"/>
  <c r="E72" i="79" s="1"/>
  <c r="E73" i="79" s="1"/>
  <c r="E74" i="79" s="1"/>
  <c r="E75" i="79" s="1"/>
  <c r="E76" i="79" s="1"/>
  <c r="E77" i="79" s="1"/>
  <c r="E78" i="79" s="1"/>
  <c r="E79" i="79" s="1"/>
  <c r="E80" i="79" s="1"/>
  <c r="E81" i="79" s="1"/>
  <c r="E82" i="79" s="1"/>
  <c r="E83" i="79" s="1"/>
  <c r="E84" i="79" s="1"/>
  <c r="E85" i="79" s="1"/>
  <c r="E86" i="79" s="1"/>
  <c r="E87" i="79" s="1"/>
  <c r="E88" i="79" s="1"/>
  <c r="E89" i="79" s="1"/>
  <c r="E90" i="79" s="1"/>
  <c r="E14" i="78"/>
  <c r="E15" i="78" s="1"/>
  <c r="E16" i="78" s="1"/>
  <c r="E17" i="78" s="1"/>
  <c r="E18" i="78" s="1"/>
  <c r="E19" i="78" s="1"/>
  <c r="E20" i="78" s="1"/>
  <c r="E21" i="78" s="1"/>
  <c r="E22" i="78" s="1"/>
  <c r="E23" i="78" s="1"/>
  <c r="E24" i="78" s="1"/>
  <c r="E25" i="78" s="1"/>
  <c r="E26" i="78" s="1"/>
  <c r="E27" i="78" s="1"/>
  <c r="E28" i="78" s="1"/>
  <c r="G40" i="74"/>
  <c r="A40" i="74"/>
  <c r="A39" i="74"/>
  <c r="G39" i="74" s="1"/>
  <c r="G38" i="74"/>
  <c r="A38" i="74"/>
  <c r="A37" i="74"/>
  <c r="G37" i="74" s="1"/>
  <c r="G36" i="74"/>
  <c r="A36" i="74"/>
  <c r="A35" i="74"/>
  <c r="G35" i="74" s="1"/>
  <c r="G34" i="74"/>
  <c r="A34" i="74"/>
  <c r="A33" i="74"/>
  <c r="G33" i="74" s="1"/>
  <c r="G32" i="74"/>
  <c r="A32" i="74"/>
  <c r="A31" i="74"/>
  <c r="G31" i="74" s="1"/>
  <c r="G30" i="74"/>
  <c r="A30" i="74"/>
  <c r="A29" i="74"/>
  <c r="G29" i="74" s="1"/>
  <c r="G28" i="74"/>
  <c r="A28" i="74"/>
  <c r="A27" i="74"/>
  <c r="G27" i="74" s="1"/>
  <c r="G26" i="74"/>
  <c r="A26" i="74"/>
  <c r="A25" i="74"/>
  <c r="G25" i="74" s="1"/>
  <c r="G24" i="74"/>
  <c r="A24" i="74"/>
  <c r="A23" i="74"/>
  <c r="G23" i="74" s="1"/>
  <c r="G22" i="74"/>
  <c r="A22" i="74"/>
  <c r="A21" i="74"/>
  <c r="G21" i="74" s="1"/>
  <c r="G20" i="74"/>
  <c r="A20" i="74"/>
  <c r="A19" i="74"/>
  <c r="G19" i="74" s="1"/>
  <c r="G18" i="74"/>
  <c r="A18" i="74"/>
  <c r="A17" i="74"/>
  <c r="G17" i="74" s="1"/>
  <c r="G16" i="74"/>
  <c r="A16" i="74"/>
  <c r="A15" i="74"/>
  <c r="G15" i="74" s="1"/>
  <c r="G14" i="74"/>
  <c r="A14" i="74"/>
  <c r="A13" i="74"/>
  <c r="G13" i="74" s="1"/>
  <c r="G12" i="74"/>
  <c r="A12" i="74"/>
  <c r="A11" i="74"/>
  <c r="G11" i="74" s="1"/>
  <c r="E10" i="74"/>
  <c r="A10" i="74"/>
  <c r="G10" i="74" s="1"/>
  <c r="I10" i="74" s="1"/>
  <c r="A47" i="73"/>
  <c r="G47" i="73" s="1"/>
  <c r="G46" i="73"/>
  <c r="A46" i="73"/>
  <c r="A45" i="73"/>
  <c r="G45" i="73" s="1"/>
  <c r="G44" i="73"/>
  <c r="A44" i="73"/>
  <c r="E14" i="76" l="1"/>
  <c r="K90" i="79"/>
  <c r="K89" i="79"/>
  <c r="K88" i="79"/>
  <c r="K87" i="79"/>
  <c r="K86" i="79"/>
  <c r="K85" i="79"/>
  <c r="K84" i="79"/>
  <c r="K83" i="79"/>
  <c r="K82" i="79"/>
  <c r="K81" i="79"/>
  <c r="K80" i="79"/>
  <c r="K79" i="79"/>
  <c r="K78" i="79"/>
  <c r="K77" i="79"/>
  <c r="K76" i="79"/>
  <c r="K75" i="79"/>
  <c r="K74" i="79"/>
  <c r="K73" i="79"/>
  <c r="K72" i="79"/>
  <c r="K71" i="79"/>
  <c r="K70" i="79"/>
  <c r="K69" i="79"/>
  <c r="K68" i="79"/>
  <c r="K67" i="79"/>
  <c r="K66" i="79"/>
  <c r="K65" i="79"/>
  <c r="K64" i="79"/>
  <c r="K63" i="79"/>
  <c r="K62" i="79"/>
  <c r="K61" i="79"/>
  <c r="K60" i="79"/>
  <c r="K59" i="79"/>
  <c r="K58" i="79"/>
  <c r="K57" i="79"/>
  <c r="K56" i="79"/>
  <c r="K55" i="79"/>
  <c r="K54" i="79"/>
  <c r="K53" i="79"/>
  <c r="K52" i="79"/>
  <c r="K51" i="79"/>
  <c r="K50" i="79"/>
  <c r="K49" i="79"/>
  <c r="K48" i="79"/>
  <c r="K47" i="79"/>
  <c r="K11" i="79"/>
  <c r="K46" i="79"/>
  <c r="K45" i="79"/>
  <c r="K44" i="79"/>
  <c r="K43" i="79"/>
  <c r="K42" i="79"/>
  <c r="K41" i="79"/>
  <c r="K40" i="79"/>
  <c r="K39" i="79"/>
  <c r="K38" i="79"/>
  <c r="K37" i="79"/>
  <c r="K36" i="79"/>
  <c r="K35" i="79"/>
  <c r="K34" i="79"/>
  <c r="K33" i="79"/>
  <c r="K32" i="79"/>
  <c r="K31" i="79"/>
  <c r="K30" i="79"/>
  <c r="K29" i="79"/>
  <c r="K28" i="79"/>
  <c r="K27" i="79"/>
  <c r="K26" i="79"/>
  <c r="K25" i="79"/>
  <c r="K24" i="79"/>
  <c r="K23" i="79"/>
  <c r="K22" i="79"/>
  <c r="K21" i="79"/>
  <c r="K20" i="79"/>
  <c r="K19" i="79"/>
  <c r="K18" i="79"/>
  <c r="K17" i="79"/>
  <c r="K16" i="79"/>
  <c r="K15" i="79"/>
  <c r="K14" i="79"/>
  <c r="K13" i="79"/>
  <c r="K12" i="79"/>
  <c r="M12" i="79" s="1"/>
  <c r="K10" i="79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28" i="78"/>
  <c r="K11" i="78"/>
  <c r="K27" i="78"/>
  <c r="K26" i="78"/>
  <c r="K25" i="78"/>
  <c r="K24" i="78"/>
  <c r="K23" i="78"/>
  <c r="K22" i="78"/>
  <c r="K21" i="78"/>
  <c r="K20" i="78"/>
  <c r="K19" i="78"/>
  <c r="K18" i="78"/>
  <c r="K17" i="78"/>
  <c r="K16" i="78"/>
  <c r="K15" i="78"/>
  <c r="K14" i="78"/>
  <c r="K13" i="78"/>
  <c r="K12" i="78"/>
  <c r="M12" i="78" s="1"/>
  <c r="K10" i="78"/>
  <c r="E11" i="74"/>
  <c r="E12" i="74" s="1"/>
  <c r="E13" i="74" s="1"/>
  <c r="E14" i="74" s="1"/>
  <c r="E15" i="74" s="1"/>
  <c r="E16" i="74" s="1"/>
  <c r="E17" i="74" s="1"/>
  <c r="E18" i="74" s="1"/>
  <c r="E19" i="74" s="1"/>
  <c r="E20" i="74" s="1"/>
  <c r="E21" i="74" s="1"/>
  <c r="E22" i="74" s="1"/>
  <c r="E23" i="74" s="1"/>
  <c r="E24" i="74" s="1"/>
  <c r="E25" i="74" s="1"/>
  <c r="E26" i="74" s="1"/>
  <c r="E27" i="74" s="1"/>
  <c r="E28" i="74" s="1"/>
  <c r="E29" i="74" s="1"/>
  <c r="E30" i="74" s="1"/>
  <c r="E31" i="74" s="1"/>
  <c r="E32" i="74" s="1"/>
  <c r="E33" i="74" s="1"/>
  <c r="E34" i="74" s="1"/>
  <c r="E35" i="74" s="1"/>
  <c r="E36" i="74" s="1"/>
  <c r="E37" i="74" s="1"/>
  <c r="E38" i="74" s="1"/>
  <c r="E39" i="74" s="1"/>
  <c r="E40" i="74" s="1"/>
  <c r="E41" i="74" s="1"/>
  <c r="E42" i="74" s="1"/>
  <c r="E43" i="74" s="1"/>
  <c r="E44" i="74" s="1"/>
  <c r="E45" i="74" s="1"/>
  <c r="E46" i="74" s="1"/>
  <c r="E47" i="74" s="1"/>
  <c r="E48" i="74" s="1"/>
  <c r="E49" i="74" s="1"/>
  <c r="E50" i="74" s="1"/>
  <c r="E51" i="74" s="1"/>
  <c r="E52" i="74" s="1"/>
  <c r="E53" i="74" s="1"/>
  <c r="E54" i="74" s="1"/>
  <c r="E55" i="74" s="1"/>
  <c r="E56" i="74" s="1"/>
  <c r="E57" i="74" s="1"/>
  <c r="E58" i="74" s="1"/>
  <c r="E59" i="74" s="1"/>
  <c r="E60" i="74" s="1"/>
  <c r="E61" i="74" s="1"/>
  <c r="E62" i="74" s="1"/>
  <c r="E63" i="74" s="1"/>
  <c r="E64" i="74" s="1"/>
  <c r="E65" i="74" s="1"/>
  <c r="I34" i="95"/>
  <c r="M33" i="95"/>
  <c r="I31" i="87"/>
  <c r="M30" i="87"/>
  <c r="I46" i="176"/>
  <c r="M45" i="176"/>
  <c r="I34" i="93"/>
  <c r="M33" i="93"/>
  <c r="I41" i="149"/>
  <c r="M40" i="149"/>
  <c r="I32" i="83"/>
  <c r="M31" i="83"/>
  <c r="I42" i="161"/>
  <c r="M41" i="161"/>
  <c r="I40" i="96"/>
  <c r="M39" i="96"/>
  <c r="I33" i="84"/>
  <c r="M32" i="84"/>
  <c r="E15" i="76"/>
  <c r="I13" i="76"/>
  <c r="I40" i="164"/>
  <c r="M39" i="164"/>
  <c r="I13" i="78"/>
  <c r="I13" i="79"/>
  <c r="A43" i="73"/>
  <c r="A42" i="73"/>
  <c r="G42" i="73" s="1"/>
  <c r="A41" i="73"/>
  <c r="G41" i="73" s="1"/>
  <c r="A40" i="73"/>
  <c r="G40" i="73" s="1"/>
  <c r="A39" i="73"/>
  <c r="G39" i="73" s="1"/>
  <c r="A38" i="73"/>
  <c r="G38" i="73" s="1"/>
  <c r="A37" i="73"/>
  <c r="G37" i="73" s="1"/>
  <c r="A36" i="73"/>
  <c r="G36" i="73" s="1"/>
  <c r="A35" i="73"/>
  <c r="G35" i="73" s="1"/>
  <c r="A34" i="73"/>
  <c r="G34" i="73" s="1"/>
  <c r="A33" i="73"/>
  <c r="G33" i="73" s="1"/>
  <c r="A32" i="73"/>
  <c r="G32" i="73" s="1"/>
  <c r="A31" i="73"/>
  <c r="G31" i="73" s="1"/>
  <c r="A30" i="73"/>
  <c r="G30" i="73" s="1"/>
  <c r="A29" i="73"/>
  <c r="G29" i="73" s="1"/>
  <c r="A28" i="73"/>
  <c r="G28" i="73" s="1"/>
  <c r="A27" i="73"/>
  <c r="G27" i="73" s="1"/>
  <c r="A26" i="73"/>
  <c r="G26" i="73" s="1"/>
  <c r="A25" i="73"/>
  <c r="G25" i="73" s="1"/>
  <c r="A24" i="73"/>
  <c r="G24" i="73" s="1"/>
  <c r="A23" i="73"/>
  <c r="G23" i="73" s="1"/>
  <c r="A22" i="73"/>
  <c r="G22" i="73" s="1"/>
  <c r="A21" i="73"/>
  <c r="G21" i="73" s="1"/>
  <c r="A20" i="73"/>
  <c r="G20" i="73" s="1"/>
  <c r="A19" i="73"/>
  <c r="G19" i="73" s="1"/>
  <c r="A18" i="73"/>
  <c r="G18" i="73" s="1"/>
  <c r="A17" i="73"/>
  <c r="G17" i="73" s="1"/>
  <c r="A16" i="73"/>
  <c r="G16" i="73" s="1"/>
  <c r="A15" i="73"/>
  <c r="G15" i="73" s="1"/>
  <c r="A14" i="73"/>
  <c r="G14" i="73" s="1"/>
  <c r="A13" i="73"/>
  <c r="G13" i="73" s="1"/>
  <c r="A12" i="73"/>
  <c r="G12" i="73" s="1"/>
  <c r="A11" i="73"/>
  <c r="G11" i="73" s="1"/>
  <c r="E10" i="73"/>
  <c r="A10" i="73"/>
  <c r="G10" i="73" s="1"/>
  <c r="I10" i="73" s="1"/>
  <c r="E11" i="73" l="1"/>
  <c r="K65" i="74"/>
  <c r="K64" i="74"/>
  <c r="K63" i="74"/>
  <c r="K62" i="74"/>
  <c r="K61" i="74"/>
  <c r="K60" i="74"/>
  <c r="K59" i="74"/>
  <c r="K58" i="74"/>
  <c r="K57" i="74"/>
  <c r="K56" i="74"/>
  <c r="K55" i="74"/>
  <c r="K54" i="74"/>
  <c r="K53" i="74"/>
  <c r="K52" i="74"/>
  <c r="K51" i="74"/>
  <c r="K50" i="74"/>
  <c r="K49" i="74"/>
  <c r="K48" i="74"/>
  <c r="K47" i="74"/>
  <c r="K46" i="74"/>
  <c r="K45" i="74"/>
  <c r="K44" i="74"/>
  <c r="K43" i="74"/>
  <c r="K42" i="74"/>
  <c r="K41" i="74"/>
  <c r="K40" i="74"/>
  <c r="K13" i="74"/>
  <c r="K11" i="74"/>
  <c r="I11" i="74" s="1"/>
  <c r="K10" i="74"/>
  <c r="K39" i="74"/>
  <c r="K38" i="74"/>
  <c r="K37" i="74"/>
  <c r="K36" i="74"/>
  <c r="K35" i="74"/>
  <c r="K34" i="74"/>
  <c r="K33" i="74"/>
  <c r="K32" i="74"/>
  <c r="K31" i="74"/>
  <c r="K30" i="74"/>
  <c r="K29" i="74"/>
  <c r="K28" i="74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2" i="74"/>
  <c r="E12" i="73"/>
  <c r="E13" i="73"/>
  <c r="E14" i="73" s="1"/>
  <c r="E15" i="73" s="1"/>
  <c r="E16" i="73" s="1"/>
  <c r="E17" i="73" s="1"/>
  <c r="E18" i="73" s="1"/>
  <c r="E19" i="73" s="1"/>
  <c r="E20" i="73" s="1"/>
  <c r="E21" i="73" s="1"/>
  <c r="E22" i="73" s="1"/>
  <c r="E23" i="73" s="1"/>
  <c r="E24" i="73" s="1"/>
  <c r="E25" i="73" s="1"/>
  <c r="E26" i="73" s="1"/>
  <c r="E27" i="73" s="1"/>
  <c r="E28" i="73" s="1"/>
  <c r="E29" i="73" s="1"/>
  <c r="E30" i="73" s="1"/>
  <c r="E31" i="73" s="1"/>
  <c r="E32" i="73" s="1"/>
  <c r="E33" i="73" s="1"/>
  <c r="E34" i="73" s="1"/>
  <c r="E35" i="73" s="1"/>
  <c r="E36" i="73" s="1"/>
  <c r="E37" i="73" s="1"/>
  <c r="E38" i="73" s="1"/>
  <c r="E39" i="73" s="1"/>
  <c r="E40" i="73" s="1"/>
  <c r="E41" i="73" s="1"/>
  <c r="E42" i="73" s="1"/>
  <c r="I14" i="79"/>
  <c r="I14" i="78"/>
  <c r="I41" i="164"/>
  <c r="M40" i="164"/>
  <c r="K12" i="76"/>
  <c r="K10" i="76"/>
  <c r="K15" i="76"/>
  <c r="K14" i="76"/>
  <c r="K13" i="76"/>
  <c r="M13" i="76" s="1"/>
  <c r="K11" i="76"/>
  <c r="I34" i="84"/>
  <c r="M33" i="84"/>
  <c r="I35" i="95"/>
  <c r="M34" i="95"/>
  <c r="I10" i="78"/>
  <c r="M13" i="78"/>
  <c r="I10" i="75"/>
  <c r="M10" i="75" s="1"/>
  <c r="M14" i="79"/>
  <c r="G43" i="73"/>
  <c r="I14" i="76"/>
  <c r="M40" i="96"/>
  <c r="I41" i="96"/>
  <c r="I43" i="161"/>
  <c r="M42" i="161"/>
  <c r="I33" i="83"/>
  <c r="M32" i="83"/>
  <c r="I42" i="149"/>
  <c r="M41" i="149"/>
  <c r="I35" i="93"/>
  <c r="M34" i="93"/>
  <c r="I47" i="176"/>
  <c r="M46" i="176"/>
  <c r="I32" i="87"/>
  <c r="M31" i="87"/>
  <c r="M14" i="78"/>
  <c r="M13" i="79"/>
  <c r="A70" i="72"/>
  <c r="G70" i="72" s="1"/>
  <c r="G69" i="72"/>
  <c r="A69" i="72"/>
  <c r="A68" i="72"/>
  <c r="G68" i="72" s="1"/>
  <c r="G67" i="72"/>
  <c r="A67" i="72"/>
  <c r="A66" i="72"/>
  <c r="G66" i="72" s="1"/>
  <c r="G65" i="72"/>
  <c r="A65" i="72"/>
  <c r="A64" i="72"/>
  <c r="G64" i="72" s="1"/>
  <c r="G63" i="72"/>
  <c r="A63" i="72"/>
  <c r="O42" i="149" l="1"/>
  <c r="O10" i="149"/>
  <c r="M10" i="149" s="1"/>
  <c r="M42" i="149"/>
  <c r="O11" i="149"/>
  <c r="O12" i="149"/>
  <c r="O13" i="149"/>
  <c r="O14" i="149"/>
  <c r="O15" i="149"/>
  <c r="O16" i="149"/>
  <c r="O17" i="149"/>
  <c r="O18" i="149"/>
  <c r="O19" i="149"/>
  <c r="O20" i="149"/>
  <c r="O21" i="149"/>
  <c r="O22" i="149"/>
  <c r="O23" i="149"/>
  <c r="O24" i="149"/>
  <c r="O25" i="149"/>
  <c r="O26" i="149"/>
  <c r="O27" i="149"/>
  <c r="O28" i="149"/>
  <c r="O29" i="149"/>
  <c r="O30" i="149"/>
  <c r="O31" i="149"/>
  <c r="O32" i="149"/>
  <c r="O33" i="149"/>
  <c r="O34" i="149"/>
  <c r="O35" i="149"/>
  <c r="O36" i="149"/>
  <c r="O37" i="149"/>
  <c r="O38" i="149"/>
  <c r="O39" i="149"/>
  <c r="O40" i="149"/>
  <c r="I34" i="83"/>
  <c r="M33" i="83"/>
  <c r="I44" i="161"/>
  <c r="M43" i="161"/>
  <c r="E43" i="73"/>
  <c r="E44" i="73" s="1"/>
  <c r="E45" i="73" s="1"/>
  <c r="E46" i="73" s="1"/>
  <c r="E47" i="73" s="1"/>
  <c r="I36" i="95"/>
  <c r="M35" i="95"/>
  <c r="I42" i="164"/>
  <c r="M41" i="164"/>
  <c r="I12" i="74"/>
  <c r="I33" i="87"/>
  <c r="M32" i="87"/>
  <c r="I48" i="176"/>
  <c r="M47" i="176"/>
  <c r="I36" i="93"/>
  <c r="M35" i="93"/>
  <c r="I42" i="96"/>
  <c r="O41" i="96" s="1"/>
  <c r="M41" i="96"/>
  <c r="I15" i="76"/>
  <c r="O14" i="76"/>
  <c r="I11" i="75"/>
  <c r="M10" i="78"/>
  <c r="I35" i="84"/>
  <c r="M34" i="84"/>
  <c r="M14" i="76"/>
  <c r="I10" i="76"/>
  <c r="O10" i="76" s="1"/>
  <c r="I15" i="78"/>
  <c r="I15" i="79"/>
  <c r="A62" i="72"/>
  <c r="G62" i="72" s="1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G45" i="72" s="1"/>
  <c r="A44" i="72"/>
  <c r="G44" i="72" s="1"/>
  <c r="A43" i="72"/>
  <c r="G43" i="72" s="1"/>
  <c r="A42" i="72"/>
  <c r="G42" i="72" s="1"/>
  <c r="A41" i="72"/>
  <c r="G41" i="72" s="1"/>
  <c r="A40" i="72"/>
  <c r="G40" i="72" s="1"/>
  <c r="A39" i="72"/>
  <c r="G39" i="72" s="1"/>
  <c r="A38" i="72"/>
  <c r="G38" i="72" s="1"/>
  <c r="A37" i="72"/>
  <c r="G37" i="72" s="1"/>
  <c r="A36" i="72"/>
  <c r="G36" i="72" s="1"/>
  <c r="G46" i="72" l="1"/>
  <c r="G47" i="72"/>
  <c r="G48" i="72"/>
  <c r="G49" i="72"/>
  <c r="G50" i="72"/>
  <c r="G51" i="72"/>
  <c r="G52" i="72"/>
  <c r="G53" i="72"/>
  <c r="G54" i="72"/>
  <c r="G55" i="72"/>
  <c r="G56" i="72"/>
  <c r="G57" i="72"/>
  <c r="G58" i="72"/>
  <c r="G59" i="72"/>
  <c r="G60" i="72"/>
  <c r="G61" i="72"/>
  <c r="M10" i="76"/>
  <c r="I36" i="84"/>
  <c r="M35" i="84"/>
  <c r="O15" i="76"/>
  <c r="O11" i="76"/>
  <c r="M11" i="76" s="1"/>
  <c r="O12" i="76"/>
  <c r="M12" i="76" s="1"/>
  <c r="O13" i="76"/>
  <c r="O42" i="96"/>
  <c r="O10" i="96"/>
  <c r="O11" i="96"/>
  <c r="M11" i="96" s="1"/>
  <c r="M42" i="96"/>
  <c r="O12" i="96"/>
  <c r="M12" i="96" s="1"/>
  <c r="O13" i="96"/>
  <c r="M13" i="96" s="1"/>
  <c r="O14" i="96"/>
  <c r="M14" i="96" s="1"/>
  <c r="O15" i="96"/>
  <c r="M15" i="96" s="1"/>
  <c r="O16" i="96"/>
  <c r="O17" i="96"/>
  <c r="O18" i="96"/>
  <c r="O19" i="96"/>
  <c r="O20" i="96"/>
  <c r="O21" i="96"/>
  <c r="O22" i="96"/>
  <c r="O23" i="96"/>
  <c r="O24" i="96"/>
  <c r="O25" i="96"/>
  <c r="O26" i="96"/>
  <c r="O27" i="96"/>
  <c r="O28" i="96"/>
  <c r="O29" i="96"/>
  <c r="O30" i="96"/>
  <c r="O31" i="96"/>
  <c r="O32" i="96"/>
  <c r="O33" i="96"/>
  <c r="O34" i="96"/>
  <c r="O35" i="96"/>
  <c r="O36" i="96"/>
  <c r="O37" i="96"/>
  <c r="O38" i="96"/>
  <c r="O39" i="96"/>
  <c r="O40" i="96"/>
  <c r="I45" i="161"/>
  <c r="M44" i="161"/>
  <c r="I35" i="83"/>
  <c r="M34" i="83"/>
  <c r="I16" i="79"/>
  <c r="M15" i="79"/>
  <c r="I16" i="78"/>
  <c r="M15" i="78"/>
  <c r="I12" i="75"/>
  <c r="M11" i="75"/>
  <c r="I37" i="93"/>
  <c r="M36" i="93"/>
  <c r="I49" i="176"/>
  <c r="M48" i="176"/>
  <c r="I34" i="87"/>
  <c r="M33" i="87"/>
  <c r="I13" i="74"/>
  <c r="I43" i="164"/>
  <c r="M42" i="164"/>
  <c r="M15" i="76"/>
  <c r="I37" i="95"/>
  <c r="M36" i="95"/>
  <c r="K47" i="73"/>
  <c r="K46" i="73"/>
  <c r="K45" i="73"/>
  <c r="K44" i="73"/>
  <c r="K43" i="73"/>
  <c r="K42" i="73"/>
  <c r="K41" i="73"/>
  <c r="K40" i="73"/>
  <c r="K39" i="73"/>
  <c r="K38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K24" i="73"/>
  <c r="K23" i="73"/>
  <c r="K22" i="73"/>
  <c r="K21" i="73"/>
  <c r="K20" i="73"/>
  <c r="K19" i="73"/>
  <c r="K18" i="73"/>
  <c r="K17" i="73"/>
  <c r="K16" i="73"/>
  <c r="K15" i="73"/>
  <c r="K14" i="73"/>
  <c r="K12" i="73"/>
  <c r="K13" i="73"/>
  <c r="K11" i="73"/>
  <c r="I11" i="73" s="1"/>
  <c r="K10" i="73"/>
  <c r="A35" i="72"/>
  <c r="G35" i="72" s="1"/>
  <c r="A34" i="72"/>
  <c r="G34" i="72" l="1"/>
  <c r="I12" i="73"/>
  <c r="I38" i="95"/>
  <c r="M37" i="95"/>
  <c r="I44" i="164"/>
  <c r="M43" i="164"/>
  <c r="I14" i="74"/>
  <c r="I13" i="75"/>
  <c r="M12" i="75"/>
  <c r="I17" i="78"/>
  <c r="M16" i="78"/>
  <c r="I36" i="83"/>
  <c r="M35" i="83"/>
  <c r="I46" i="161"/>
  <c r="M45" i="161"/>
  <c r="I35" i="87"/>
  <c r="M34" i="87"/>
  <c r="I50" i="176"/>
  <c r="M49" i="176"/>
  <c r="I38" i="93"/>
  <c r="M37" i="93"/>
  <c r="I17" i="79"/>
  <c r="M16" i="79"/>
  <c r="I37" i="84"/>
  <c r="M36" i="84"/>
  <c r="A33" i="72"/>
  <c r="G33" i="72" s="1"/>
  <c r="G32" i="72"/>
  <c r="A32" i="72"/>
  <c r="A31" i="72"/>
  <c r="G31" i="72" s="1"/>
  <c r="G30" i="72"/>
  <c r="A30" i="72"/>
  <c r="A29" i="72"/>
  <c r="G29" i="72" s="1"/>
  <c r="A28" i="72"/>
  <c r="G28" i="72" s="1"/>
  <c r="A27" i="72"/>
  <c r="G27" i="72" s="1"/>
  <c r="A26" i="72"/>
  <c r="G26" i="72" s="1"/>
  <c r="A25" i="72"/>
  <c r="G25" i="72" s="1"/>
  <c r="A24" i="72"/>
  <c r="G24" i="72" s="1"/>
  <c r="A23" i="72"/>
  <c r="G23" i="72" s="1"/>
  <c r="A22" i="72"/>
  <c r="G22" i="72" s="1"/>
  <c r="A21" i="72"/>
  <c r="G21" i="72" s="1"/>
  <c r="A20" i="72"/>
  <c r="G20" i="72" s="1"/>
  <c r="A19" i="72"/>
  <c r="G19" i="72" s="1"/>
  <c r="A18" i="72"/>
  <c r="G18" i="72" s="1"/>
  <c r="A17" i="72"/>
  <c r="G17" i="72" s="1"/>
  <c r="A16" i="72"/>
  <c r="G16" i="72" s="1"/>
  <c r="A15" i="72"/>
  <c r="G15" i="72" s="1"/>
  <c r="A14" i="72"/>
  <c r="G14" i="72" s="1"/>
  <c r="G13" i="72"/>
  <c r="A13" i="72"/>
  <c r="A12" i="72"/>
  <c r="G12" i="72" s="1"/>
  <c r="A11" i="72"/>
  <c r="G11" i="72" s="1"/>
  <c r="E10" i="72"/>
  <c r="A10" i="72"/>
  <c r="G10" i="72" s="1"/>
  <c r="I10" i="72" s="1"/>
  <c r="A25" i="70"/>
  <c r="G25" i="70" s="1"/>
  <c r="A24" i="70"/>
  <c r="A23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E10" i="70"/>
  <c r="E11" i="70" s="1"/>
  <c r="A10" i="70"/>
  <c r="G10" i="70" s="1"/>
  <c r="A29" i="69"/>
  <c r="A28" i="69"/>
  <c r="A27" i="69"/>
  <c r="A26" i="69"/>
  <c r="A25" i="69"/>
  <c r="A24" i="69"/>
  <c r="G24" i="69" s="1"/>
  <c r="G23" i="69"/>
  <c r="A23" i="69"/>
  <c r="A22" i="69"/>
  <c r="A21" i="69"/>
  <c r="A20" i="69"/>
  <c r="A19" i="69"/>
  <c r="A18" i="69"/>
  <c r="A17" i="69"/>
  <c r="A16" i="69"/>
  <c r="A15" i="69"/>
  <c r="A14" i="69"/>
  <c r="A13" i="69"/>
  <c r="A12" i="69"/>
  <c r="A11" i="69"/>
  <c r="E10" i="69"/>
  <c r="E11" i="69" s="1"/>
  <c r="A10" i="69"/>
  <c r="G10" i="69" s="1"/>
  <c r="A24" i="68"/>
  <c r="A23" i="68"/>
  <c r="A22" i="68"/>
  <c r="A21" i="68"/>
  <c r="A20" i="68"/>
  <c r="A19" i="68"/>
  <c r="A18" i="68"/>
  <c r="A17" i="68"/>
  <c r="A16" i="68"/>
  <c r="A15" i="68"/>
  <c r="A14" i="68"/>
  <c r="A13" i="68"/>
  <c r="G12" i="68"/>
  <c r="A12" i="68"/>
  <c r="A11" i="68"/>
  <c r="G11" i="68" s="1"/>
  <c r="E10" i="68"/>
  <c r="E11" i="68" s="1"/>
  <c r="A10" i="68"/>
  <c r="E11" i="72" l="1"/>
  <c r="E12" i="72" s="1"/>
  <c r="E13" i="72" s="1"/>
  <c r="E14" i="72" s="1"/>
  <c r="E15" i="72" s="1"/>
  <c r="E16" i="72" s="1"/>
  <c r="E17" i="72" s="1"/>
  <c r="E18" i="72" s="1"/>
  <c r="E19" i="72" s="1"/>
  <c r="E20" i="72" s="1"/>
  <c r="E21" i="72" s="1"/>
  <c r="E22" i="72" s="1"/>
  <c r="E23" i="72" s="1"/>
  <c r="E24" i="72" s="1"/>
  <c r="E25" i="72" s="1"/>
  <c r="E26" i="72" s="1"/>
  <c r="E27" i="72" s="1"/>
  <c r="E28" i="72" s="1"/>
  <c r="E29" i="72" s="1"/>
  <c r="E30" i="72" s="1"/>
  <c r="E31" i="72" s="1"/>
  <c r="E32" i="72" s="1"/>
  <c r="E33" i="72" s="1"/>
  <c r="E34" i="72" s="1"/>
  <c r="E35" i="72" s="1"/>
  <c r="E36" i="72" s="1"/>
  <c r="E37" i="72" s="1"/>
  <c r="E38" i="72" s="1"/>
  <c r="E39" i="72" s="1"/>
  <c r="E40" i="72" s="1"/>
  <c r="E41" i="72" s="1"/>
  <c r="E42" i="72" s="1"/>
  <c r="E43" i="72" s="1"/>
  <c r="E44" i="72" s="1"/>
  <c r="E45" i="72" s="1"/>
  <c r="E46" i="72" s="1"/>
  <c r="E47" i="72" s="1"/>
  <c r="E48" i="72" s="1"/>
  <c r="E49" i="72" s="1"/>
  <c r="E50" i="72" s="1"/>
  <c r="E51" i="72" s="1"/>
  <c r="E52" i="72" s="1"/>
  <c r="E53" i="72" s="1"/>
  <c r="E54" i="72" s="1"/>
  <c r="E55" i="72" s="1"/>
  <c r="E56" i="72" s="1"/>
  <c r="E57" i="72" s="1"/>
  <c r="E58" i="72" s="1"/>
  <c r="E59" i="72" s="1"/>
  <c r="E60" i="72" s="1"/>
  <c r="E61" i="72" s="1"/>
  <c r="E62" i="72" s="1"/>
  <c r="E63" i="72" s="1"/>
  <c r="E64" i="72" s="1"/>
  <c r="E65" i="72" s="1"/>
  <c r="E66" i="72" s="1"/>
  <c r="E67" i="72" s="1"/>
  <c r="E68" i="72" s="1"/>
  <c r="E69" i="72" s="1"/>
  <c r="E70" i="72" s="1"/>
  <c r="G13" i="68"/>
  <c r="G14" i="68"/>
  <c r="G15" i="68"/>
  <c r="G16" i="68"/>
  <c r="G17" i="68"/>
  <c r="G18" i="68"/>
  <c r="G19" i="68"/>
  <c r="G20" i="68"/>
  <c r="G21" i="68"/>
  <c r="G22" i="68"/>
  <c r="G23" i="68"/>
  <c r="G24" i="68"/>
  <c r="G11" i="69"/>
  <c r="G12" i="69"/>
  <c r="G13" i="69"/>
  <c r="G14" i="69"/>
  <c r="G15" i="69"/>
  <c r="G16" i="69"/>
  <c r="G17" i="69"/>
  <c r="G18" i="69"/>
  <c r="G19" i="69"/>
  <c r="G20" i="69"/>
  <c r="G21" i="69"/>
  <c r="G22" i="69"/>
  <c r="G25" i="69"/>
  <c r="G26" i="69"/>
  <c r="G27" i="69"/>
  <c r="G28" i="69"/>
  <c r="G29" i="69"/>
  <c r="G11" i="70"/>
  <c r="G12" i="70"/>
  <c r="G13" i="70"/>
  <c r="G14" i="70"/>
  <c r="G15" i="70"/>
  <c r="G16" i="70"/>
  <c r="G17" i="70"/>
  <c r="G18" i="70"/>
  <c r="G19" i="70"/>
  <c r="G20" i="70"/>
  <c r="G21" i="70"/>
  <c r="G22" i="70"/>
  <c r="G23" i="70"/>
  <c r="G24" i="70"/>
  <c r="I38" i="84"/>
  <c r="M37" i="84"/>
  <c r="I18" i="79"/>
  <c r="M17" i="79"/>
  <c r="I39" i="93"/>
  <c r="M38" i="93"/>
  <c r="I51" i="176"/>
  <c r="O50" i="176" s="1"/>
  <c r="M50" i="176"/>
  <c r="I36" i="87"/>
  <c r="M35" i="87"/>
  <c r="I13" i="73"/>
  <c r="G10" i="68"/>
  <c r="E12" i="68"/>
  <c r="I47" i="161"/>
  <c r="O46" i="161" s="1"/>
  <c r="M46" i="161"/>
  <c r="I37" i="83"/>
  <c r="M36" i="83"/>
  <c r="I18" i="78"/>
  <c r="M17" i="78"/>
  <c r="I14" i="75"/>
  <c r="M13" i="75"/>
  <c r="I15" i="74"/>
  <c r="M14" i="74"/>
  <c r="I45" i="164"/>
  <c r="M44" i="164"/>
  <c r="I39" i="95"/>
  <c r="M38" i="95"/>
  <c r="H14" i="63"/>
  <c r="H13" i="63"/>
  <c r="H11" i="63"/>
  <c r="I10" i="63" s="1"/>
  <c r="H10" i="63"/>
  <c r="H8" i="63"/>
  <c r="H7" i="63"/>
  <c r="A3" i="63"/>
  <c r="A1" i="63"/>
  <c r="D3" i="59"/>
  <c r="D513" i="58"/>
  <c r="D512" i="58"/>
  <c r="D511" i="58"/>
  <c r="D510" i="58"/>
  <c r="D509" i="58"/>
  <c r="D508" i="58"/>
  <c r="D507" i="58"/>
  <c r="D506" i="58"/>
  <c r="D505" i="58"/>
  <c r="D504" i="58"/>
  <c r="D503" i="58"/>
  <c r="D502" i="58"/>
  <c r="D501" i="58"/>
  <c r="D500" i="58"/>
  <c r="D499" i="58"/>
  <c r="D498" i="58"/>
  <c r="D497" i="58"/>
  <c r="D496" i="58"/>
  <c r="D495" i="58"/>
  <c r="D494" i="58"/>
  <c r="D493" i="58"/>
  <c r="D492" i="58"/>
  <c r="D491" i="58"/>
  <c r="D490" i="58"/>
  <c r="D489" i="58"/>
  <c r="D488" i="58"/>
  <c r="D487" i="58"/>
  <c r="D486" i="58"/>
  <c r="D485" i="58"/>
  <c r="D484" i="58"/>
  <c r="D483" i="58"/>
  <c r="D482" i="58"/>
  <c r="D481" i="58"/>
  <c r="D480" i="58"/>
  <c r="D479" i="58"/>
  <c r="D478" i="58"/>
  <c r="D477" i="58"/>
  <c r="D476" i="58"/>
  <c r="D475" i="58"/>
  <c r="D474" i="58"/>
  <c r="D473" i="58"/>
  <c r="D472" i="58"/>
  <c r="D471" i="58"/>
  <c r="D470" i="58"/>
  <c r="D469" i="58"/>
  <c r="D468" i="58"/>
  <c r="D467" i="58"/>
  <c r="D466" i="58"/>
  <c r="D465" i="58"/>
  <c r="D464" i="58"/>
  <c r="D463" i="58"/>
  <c r="D462" i="58"/>
  <c r="D461" i="58"/>
  <c r="D460" i="58"/>
  <c r="D459" i="58"/>
  <c r="D458" i="58"/>
  <c r="D457" i="58"/>
  <c r="D456" i="58"/>
  <c r="D455" i="58"/>
  <c r="D454" i="58"/>
  <c r="D453" i="58"/>
  <c r="D452" i="58"/>
  <c r="D451" i="58"/>
  <c r="D450" i="58"/>
  <c r="D449" i="58"/>
  <c r="D448" i="58"/>
  <c r="D447" i="58"/>
  <c r="D446" i="58"/>
  <c r="D445" i="58"/>
  <c r="D444" i="58"/>
  <c r="D443" i="58"/>
  <c r="D442" i="58"/>
  <c r="D441" i="58"/>
  <c r="D440" i="58"/>
  <c r="D439" i="58"/>
  <c r="D438" i="58"/>
  <c r="D437" i="58"/>
  <c r="D436" i="58"/>
  <c r="D435" i="58"/>
  <c r="D434" i="58"/>
  <c r="D433" i="58"/>
  <c r="D432" i="58"/>
  <c r="D431" i="58"/>
  <c r="D430" i="58"/>
  <c r="D429" i="58"/>
  <c r="D428" i="58"/>
  <c r="D427" i="58"/>
  <c r="D426" i="58"/>
  <c r="D425" i="58"/>
  <c r="D424" i="58"/>
  <c r="D423" i="58"/>
  <c r="D422" i="58"/>
  <c r="D421" i="58"/>
  <c r="D420" i="58"/>
  <c r="D419" i="58"/>
  <c r="D418" i="58"/>
  <c r="D417" i="58"/>
  <c r="D416" i="58"/>
  <c r="D415" i="58"/>
  <c r="D414" i="58"/>
  <c r="D413" i="58"/>
  <c r="D412" i="58"/>
  <c r="D411" i="58"/>
  <c r="D410" i="58"/>
  <c r="D409" i="58"/>
  <c r="D408" i="58"/>
  <c r="D407" i="58"/>
  <c r="D406" i="58"/>
  <c r="D405" i="58"/>
  <c r="D404" i="58"/>
  <c r="D403" i="58"/>
  <c r="D402" i="58"/>
  <c r="D401" i="58"/>
  <c r="D400" i="58"/>
  <c r="D399" i="58"/>
  <c r="D398" i="58"/>
  <c r="D397" i="58"/>
  <c r="D396" i="58"/>
  <c r="D395" i="58"/>
  <c r="D394" i="58"/>
  <c r="D393" i="58"/>
  <c r="D392" i="58"/>
  <c r="D391" i="58"/>
  <c r="D390" i="58"/>
  <c r="D389" i="58"/>
  <c r="D388" i="58"/>
  <c r="D387" i="58"/>
  <c r="D386" i="58"/>
  <c r="D385" i="58"/>
  <c r="D384" i="58"/>
  <c r="D383" i="58"/>
  <c r="D382" i="58"/>
  <c r="D381" i="58"/>
  <c r="D380" i="58"/>
  <c r="D379" i="58"/>
  <c r="D378" i="58"/>
  <c r="D377" i="58"/>
  <c r="D376" i="58"/>
  <c r="D375" i="58"/>
  <c r="D374" i="58"/>
  <c r="D373" i="58"/>
  <c r="D372" i="58"/>
  <c r="D371" i="58"/>
  <c r="D370" i="58"/>
  <c r="D369" i="58"/>
  <c r="D368" i="58"/>
  <c r="D367" i="58"/>
  <c r="D366" i="58"/>
  <c r="D365" i="58"/>
  <c r="D364" i="58"/>
  <c r="D363" i="58"/>
  <c r="D362" i="58"/>
  <c r="D361" i="58"/>
  <c r="D360" i="58"/>
  <c r="D359" i="58"/>
  <c r="D358" i="58"/>
  <c r="D357" i="58"/>
  <c r="D356" i="58"/>
  <c r="D355" i="58"/>
  <c r="D354" i="58"/>
  <c r="D353" i="58"/>
  <c r="D352" i="58"/>
  <c r="D351" i="58"/>
  <c r="D350" i="58"/>
  <c r="D349" i="58"/>
  <c r="D348" i="58"/>
  <c r="D347" i="58"/>
  <c r="D346" i="58"/>
  <c r="D345" i="58"/>
  <c r="D344" i="58"/>
  <c r="D343" i="58"/>
  <c r="D342" i="58"/>
  <c r="D341" i="58"/>
  <c r="D340" i="58"/>
  <c r="D339" i="58"/>
  <c r="D338" i="58"/>
  <c r="D337" i="58"/>
  <c r="D336" i="58"/>
  <c r="D335" i="58"/>
  <c r="D334" i="58"/>
  <c r="D333" i="58"/>
  <c r="D332" i="58"/>
  <c r="D331" i="58"/>
  <c r="D330" i="58"/>
  <c r="D329" i="58"/>
  <c r="D328" i="58"/>
  <c r="D327" i="58"/>
  <c r="D326" i="58"/>
  <c r="D325" i="58"/>
  <c r="D324" i="58"/>
  <c r="D323" i="58"/>
  <c r="D322" i="58"/>
  <c r="D321" i="58"/>
  <c r="D320" i="58"/>
  <c r="D319" i="58"/>
  <c r="D318" i="58"/>
  <c r="D317" i="58"/>
  <c r="D316" i="58"/>
  <c r="D315" i="58"/>
  <c r="D314" i="58"/>
  <c r="D313" i="58"/>
  <c r="D312" i="58"/>
  <c r="D311" i="58"/>
  <c r="D310" i="58"/>
  <c r="D309" i="58"/>
  <c r="D308" i="58"/>
  <c r="D307" i="58"/>
  <c r="D306" i="58"/>
  <c r="D305" i="58"/>
  <c r="D304" i="58"/>
  <c r="D303" i="58"/>
  <c r="D302" i="58"/>
  <c r="D301" i="58"/>
  <c r="D300" i="58"/>
  <c r="D299" i="58"/>
  <c r="D298" i="58"/>
  <c r="D297" i="58"/>
  <c r="D296" i="58"/>
  <c r="D295" i="58"/>
  <c r="D294" i="58"/>
  <c r="D293" i="58"/>
  <c r="D292" i="58"/>
  <c r="D291" i="58"/>
  <c r="D290" i="58"/>
  <c r="D289" i="58"/>
  <c r="D288" i="58"/>
  <c r="D287" i="58"/>
  <c r="D286" i="58"/>
  <c r="D285" i="58"/>
  <c r="D284" i="58"/>
  <c r="D283" i="58"/>
  <c r="D282" i="58"/>
  <c r="D281" i="58"/>
  <c r="D280" i="58"/>
  <c r="D279" i="58"/>
  <c r="D278" i="58"/>
  <c r="D277" i="58"/>
  <c r="D276" i="58"/>
  <c r="D275" i="58"/>
  <c r="D274" i="58"/>
  <c r="D273" i="58"/>
  <c r="D272" i="58"/>
  <c r="D271" i="58"/>
  <c r="D270" i="58"/>
  <c r="D269" i="58"/>
  <c r="D268" i="58"/>
  <c r="D267" i="58"/>
  <c r="D266" i="58"/>
  <c r="D265" i="58"/>
  <c r="D264" i="58"/>
  <c r="D263" i="58"/>
  <c r="D262" i="58"/>
  <c r="D261" i="58"/>
  <c r="D260" i="58"/>
  <c r="D259" i="58"/>
  <c r="D258" i="58"/>
  <c r="D257" i="58"/>
  <c r="D256" i="58"/>
  <c r="D255" i="58"/>
  <c r="D254" i="58"/>
  <c r="D253" i="58"/>
  <c r="D252" i="58"/>
  <c r="D251" i="58"/>
  <c r="D250" i="58"/>
  <c r="D249" i="58"/>
  <c r="D248" i="58"/>
  <c r="D247" i="58"/>
  <c r="D246" i="58"/>
  <c r="D245" i="58"/>
  <c r="D244" i="58"/>
  <c r="D243" i="58"/>
  <c r="D242" i="58"/>
  <c r="D241" i="58"/>
  <c r="D240" i="58"/>
  <c r="D239" i="58"/>
  <c r="D238" i="58"/>
  <c r="D237" i="58"/>
  <c r="D236" i="58"/>
  <c r="D235" i="58"/>
  <c r="D234" i="58"/>
  <c r="D233" i="58"/>
  <c r="D232" i="58"/>
  <c r="D231" i="58"/>
  <c r="D230" i="58"/>
  <c r="D229" i="58"/>
  <c r="D228" i="58"/>
  <c r="D227" i="58"/>
  <c r="D226" i="58"/>
  <c r="D225" i="58"/>
  <c r="D224" i="58"/>
  <c r="D223" i="58"/>
  <c r="D222" i="58"/>
  <c r="D221" i="58"/>
  <c r="D220" i="58"/>
  <c r="D219" i="58"/>
  <c r="D218" i="58"/>
  <c r="D217" i="58"/>
  <c r="D216" i="58"/>
  <c r="D215" i="58"/>
  <c r="D214" i="58"/>
  <c r="D213" i="58"/>
  <c r="D212" i="58"/>
  <c r="D211" i="58"/>
  <c r="D210" i="58"/>
  <c r="D209" i="58"/>
  <c r="D208" i="58"/>
  <c r="D207" i="58"/>
  <c r="D206" i="58"/>
  <c r="D205" i="58"/>
  <c r="D204" i="58"/>
  <c r="D203" i="58"/>
  <c r="D202" i="58"/>
  <c r="D201" i="58"/>
  <c r="D200" i="58"/>
  <c r="D199" i="58"/>
  <c r="D198" i="58"/>
  <c r="D197" i="58"/>
  <c r="D196" i="58"/>
  <c r="D195" i="58"/>
  <c r="D194" i="58"/>
  <c r="D193" i="58"/>
  <c r="D192" i="58"/>
  <c r="D191" i="58"/>
  <c r="D190" i="58"/>
  <c r="D189" i="58"/>
  <c r="D188" i="58"/>
  <c r="D187" i="58"/>
  <c r="D186" i="58"/>
  <c r="D185" i="58"/>
  <c r="D184" i="58"/>
  <c r="D183" i="58"/>
  <c r="D182" i="58"/>
  <c r="D181" i="58"/>
  <c r="D180" i="58"/>
  <c r="D179" i="58"/>
  <c r="D178" i="58"/>
  <c r="D177" i="58"/>
  <c r="D176" i="58"/>
  <c r="D175" i="58"/>
  <c r="D174" i="58"/>
  <c r="D173" i="58"/>
  <c r="D172" i="58"/>
  <c r="D171" i="58"/>
  <c r="D170" i="58"/>
  <c r="D169" i="58"/>
  <c r="D168" i="58"/>
  <c r="D167" i="58"/>
  <c r="D166" i="58"/>
  <c r="D165" i="58"/>
  <c r="D164" i="58"/>
  <c r="D163" i="58"/>
  <c r="D162" i="58"/>
  <c r="D161" i="58"/>
  <c r="D160" i="58"/>
  <c r="D159" i="58"/>
  <c r="D158" i="58"/>
  <c r="D157" i="58"/>
  <c r="D156" i="58"/>
  <c r="D155" i="58"/>
  <c r="D154" i="58"/>
  <c r="D153" i="58"/>
  <c r="D152" i="58"/>
  <c r="D151" i="58"/>
  <c r="D150" i="58"/>
  <c r="D149" i="58"/>
  <c r="D148" i="58"/>
  <c r="D147" i="58"/>
  <c r="D146" i="58"/>
  <c r="D145" i="58"/>
  <c r="D144" i="58"/>
  <c r="D143" i="58"/>
  <c r="D142" i="58"/>
  <c r="D141" i="58"/>
  <c r="D140" i="58"/>
  <c r="D139" i="58"/>
  <c r="D138" i="58"/>
  <c r="D137" i="58"/>
  <c r="D136" i="58"/>
  <c r="D135" i="58"/>
  <c r="D134" i="58"/>
  <c r="D133" i="58"/>
  <c r="D132" i="58"/>
  <c r="D131" i="58"/>
  <c r="D130" i="58"/>
  <c r="D129" i="58"/>
  <c r="D128" i="58"/>
  <c r="D127" i="58"/>
  <c r="D126" i="58"/>
  <c r="D125" i="58"/>
  <c r="D124" i="58"/>
  <c r="D123" i="58"/>
  <c r="D122" i="58"/>
  <c r="D121" i="58"/>
  <c r="D120" i="58"/>
  <c r="D119" i="58"/>
  <c r="D118" i="58"/>
  <c r="D117" i="58"/>
  <c r="D116" i="58"/>
  <c r="D115" i="58"/>
  <c r="D114" i="58"/>
  <c r="D113" i="58"/>
  <c r="D112" i="58"/>
  <c r="D111" i="58"/>
  <c r="D110" i="58"/>
  <c r="D109" i="58"/>
  <c r="D108" i="58"/>
  <c r="D107" i="58"/>
  <c r="D106" i="58"/>
  <c r="D105" i="58"/>
  <c r="D104" i="58"/>
  <c r="D103" i="58"/>
  <c r="D102" i="58"/>
  <c r="D101" i="58"/>
  <c r="D100" i="58"/>
  <c r="D99" i="58"/>
  <c r="D98" i="58"/>
  <c r="D97" i="58"/>
  <c r="D96" i="58"/>
  <c r="D95" i="58"/>
  <c r="D94" i="58"/>
  <c r="D93" i="58"/>
  <c r="D92" i="58"/>
  <c r="D91" i="58"/>
  <c r="D90" i="58"/>
  <c r="D89" i="58"/>
  <c r="D88" i="58"/>
  <c r="D87" i="58"/>
  <c r="D86" i="58"/>
  <c r="D85" i="58"/>
  <c r="D84" i="58"/>
  <c r="D83" i="58"/>
  <c r="D82" i="58"/>
  <c r="D81" i="58"/>
  <c r="D80" i="58"/>
  <c r="D79" i="58"/>
  <c r="D78" i="58"/>
  <c r="D77" i="58"/>
  <c r="D76" i="58"/>
  <c r="D75" i="58"/>
  <c r="D74" i="58"/>
  <c r="D73" i="58"/>
  <c r="D72" i="58"/>
  <c r="D71" i="58"/>
  <c r="D70" i="58"/>
  <c r="D69" i="58"/>
  <c r="D68" i="58"/>
  <c r="D67" i="58"/>
  <c r="D66" i="58"/>
  <c r="D65" i="58"/>
  <c r="D64" i="58"/>
  <c r="D63" i="58"/>
  <c r="D62" i="58"/>
  <c r="D61" i="58"/>
  <c r="D60" i="58"/>
  <c r="D59" i="58"/>
  <c r="D58" i="58"/>
  <c r="D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8" i="58"/>
  <c r="D7" i="58"/>
  <c r="D6" i="58"/>
  <c r="D3" i="58"/>
  <c r="D39" i="31"/>
  <c r="D38" i="31"/>
  <c r="C38" i="31"/>
  <c r="D37" i="31"/>
  <c r="D36" i="31"/>
  <c r="C36" i="31"/>
  <c r="D34" i="31"/>
  <c r="D31" i="31"/>
  <c r="C31" i="31"/>
  <c r="D30" i="31"/>
  <c r="D29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C13" i="31"/>
  <c r="D12" i="31"/>
  <c r="D11" i="31"/>
  <c r="D10" i="31"/>
  <c r="C10" i="31"/>
  <c r="D9" i="31"/>
  <c r="D8" i="31"/>
  <c r="D7" i="31"/>
  <c r="D6" i="31"/>
  <c r="A1" i="31"/>
  <c r="D13" i="55"/>
  <c r="B12" i="55"/>
  <c r="F14" i="55" s="1"/>
  <c r="B11" i="55"/>
  <c r="A3" i="55"/>
  <c r="E3" i="58" l="1"/>
  <c r="I7" i="63"/>
  <c r="I13" i="63"/>
  <c r="E513" i="58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E495" i="58"/>
  <c r="E494" i="58"/>
  <c r="E493" i="58"/>
  <c r="E492" i="58"/>
  <c r="E491" i="58"/>
  <c r="E490" i="58"/>
  <c r="E489" i="58"/>
  <c r="E488" i="58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6" i="58"/>
  <c r="E7" i="58"/>
  <c r="F7" i="58" s="1"/>
  <c r="E8" i="58"/>
  <c r="E9" i="58"/>
  <c r="F9" i="58" s="1"/>
  <c r="E10" i="58"/>
  <c r="E11" i="58"/>
  <c r="F11" i="58" s="1"/>
  <c r="E12" i="58"/>
  <c r="E13" i="58"/>
  <c r="F13" i="58" s="1"/>
  <c r="E14" i="58"/>
  <c r="E15" i="58"/>
  <c r="F15" i="58" s="1"/>
  <c r="E16" i="58"/>
  <c r="E17" i="58"/>
  <c r="F17" i="58" s="1"/>
  <c r="E18" i="58"/>
  <c r="E19" i="58"/>
  <c r="F19" i="58" s="1"/>
  <c r="E20" i="58"/>
  <c r="E21" i="58"/>
  <c r="F21" i="58" s="1"/>
  <c r="E22" i="58"/>
  <c r="E23" i="58"/>
  <c r="E24" i="58"/>
  <c r="F24" i="58" s="1"/>
  <c r="E25" i="58"/>
  <c r="F25" i="58" s="1"/>
  <c r="E26" i="58"/>
  <c r="E27" i="58"/>
  <c r="E28" i="58"/>
  <c r="F28" i="58" s="1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54" i="58"/>
  <c r="E55" i="58"/>
  <c r="E56" i="58"/>
  <c r="E57" i="58"/>
  <c r="E58" i="58"/>
  <c r="E59" i="58"/>
  <c r="E60" i="58"/>
  <c r="E61" i="58"/>
  <c r="E62" i="58"/>
  <c r="E63" i="58"/>
  <c r="E64" i="58"/>
  <c r="E65" i="58"/>
  <c r="E66" i="58"/>
  <c r="E67" i="58"/>
  <c r="E68" i="58"/>
  <c r="E69" i="58"/>
  <c r="E70" i="58"/>
  <c r="E71" i="58"/>
  <c r="E72" i="58"/>
  <c r="E73" i="58"/>
  <c r="E74" i="58"/>
  <c r="E75" i="58"/>
  <c r="E76" i="58"/>
  <c r="E77" i="58"/>
  <c r="E78" i="58"/>
  <c r="E79" i="58"/>
  <c r="E80" i="58"/>
  <c r="E81" i="58"/>
  <c r="E82" i="58"/>
  <c r="E83" i="58"/>
  <c r="E84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E101" i="58"/>
  <c r="E102" i="58"/>
  <c r="E103" i="58"/>
  <c r="E104" i="58"/>
  <c r="E105" i="58"/>
  <c r="E106" i="58"/>
  <c r="E107" i="58"/>
  <c r="E108" i="58"/>
  <c r="E109" i="58"/>
  <c r="E110" i="58"/>
  <c r="E111" i="58"/>
  <c r="E112" i="58"/>
  <c r="E113" i="58"/>
  <c r="E114" i="58"/>
  <c r="E115" i="58"/>
  <c r="E116" i="58"/>
  <c r="E117" i="58"/>
  <c r="E118" i="58"/>
  <c r="E119" i="58"/>
  <c r="E120" i="58"/>
  <c r="E121" i="58"/>
  <c r="E122" i="58"/>
  <c r="E123" i="58"/>
  <c r="E124" i="58"/>
  <c r="E125" i="58"/>
  <c r="E126" i="58"/>
  <c r="E127" i="58"/>
  <c r="E128" i="58"/>
  <c r="E129" i="58"/>
  <c r="E130" i="58"/>
  <c r="E131" i="58"/>
  <c r="E132" i="58"/>
  <c r="E133" i="58"/>
  <c r="E134" i="58"/>
  <c r="E135" i="58"/>
  <c r="E136" i="58"/>
  <c r="E137" i="58"/>
  <c r="E138" i="58"/>
  <c r="E139" i="58"/>
  <c r="E140" i="58"/>
  <c r="E141" i="58"/>
  <c r="E142" i="58"/>
  <c r="E143" i="58"/>
  <c r="E144" i="58"/>
  <c r="E145" i="58"/>
  <c r="E146" i="58"/>
  <c r="E147" i="58"/>
  <c r="E148" i="58"/>
  <c r="E149" i="58"/>
  <c r="E150" i="58"/>
  <c r="E151" i="58"/>
  <c r="E152" i="58"/>
  <c r="E153" i="58"/>
  <c r="E154" i="58"/>
  <c r="E155" i="58"/>
  <c r="E156" i="58"/>
  <c r="E157" i="58"/>
  <c r="E158" i="58"/>
  <c r="E159" i="58"/>
  <c r="E160" i="58"/>
  <c r="E161" i="58"/>
  <c r="E162" i="58"/>
  <c r="E163" i="58"/>
  <c r="E164" i="58"/>
  <c r="F165" i="58"/>
  <c r="F167" i="58"/>
  <c r="F169" i="58"/>
  <c r="F171" i="58"/>
  <c r="F173" i="58"/>
  <c r="F175" i="58"/>
  <c r="F177" i="58"/>
  <c r="F179" i="58"/>
  <c r="F181" i="58"/>
  <c r="F183" i="58"/>
  <c r="F185" i="58"/>
  <c r="F187" i="58"/>
  <c r="F189" i="58"/>
  <c r="F191" i="58"/>
  <c r="F193" i="58"/>
  <c r="F195" i="58"/>
  <c r="F197" i="58"/>
  <c r="F199" i="58"/>
  <c r="F201" i="58"/>
  <c r="F203" i="58"/>
  <c r="F205" i="58"/>
  <c r="F207" i="58"/>
  <c r="F209" i="58"/>
  <c r="F211" i="58"/>
  <c r="F213" i="58"/>
  <c r="F215" i="58"/>
  <c r="F217" i="58"/>
  <c r="F219" i="58"/>
  <c r="F221" i="58"/>
  <c r="F223" i="58"/>
  <c r="F225" i="58"/>
  <c r="F227" i="58"/>
  <c r="F229" i="58"/>
  <c r="F231" i="58"/>
  <c r="F233" i="58"/>
  <c r="F235" i="58"/>
  <c r="F237" i="58"/>
  <c r="F239" i="58"/>
  <c r="F241" i="58"/>
  <c r="F243" i="58"/>
  <c r="F245" i="58"/>
  <c r="F247" i="58"/>
  <c r="F249" i="58"/>
  <c r="F251" i="58"/>
  <c r="F253" i="58"/>
  <c r="F255" i="58"/>
  <c r="F257" i="58"/>
  <c r="F259" i="58"/>
  <c r="F261" i="58"/>
  <c r="F263" i="58"/>
  <c r="F265" i="58"/>
  <c r="F267" i="58"/>
  <c r="F269" i="58"/>
  <c r="F271" i="58"/>
  <c r="F273" i="58"/>
  <c r="F275" i="58"/>
  <c r="F277" i="58"/>
  <c r="F279" i="58"/>
  <c r="F281" i="58"/>
  <c r="F283" i="58"/>
  <c r="F285" i="58"/>
  <c r="F287" i="58"/>
  <c r="F289" i="58"/>
  <c r="F291" i="58"/>
  <c r="F293" i="58"/>
  <c r="F295" i="58"/>
  <c r="F297" i="58"/>
  <c r="F299" i="58"/>
  <c r="F301" i="58"/>
  <c r="F303" i="58"/>
  <c r="F305" i="58"/>
  <c r="F307" i="58"/>
  <c r="F309" i="58"/>
  <c r="F311" i="58"/>
  <c r="F313" i="58"/>
  <c r="F315" i="58"/>
  <c r="F317" i="58"/>
  <c r="F319" i="58"/>
  <c r="B13" i="55"/>
  <c r="F6" i="58"/>
  <c r="F8" i="58"/>
  <c r="F10" i="58"/>
  <c r="F12" i="58"/>
  <c r="F14" i="58"/>
  <c r="F16" i="58"/>
  <c r="F18" i="58"/>
  <c r="F20" i="58"/>
  <c r="F22" i="58"/>
  <c r="F23" i="58"/>
  <c r="F26" i="58"/>
  <c r="F27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F111" i="58"/>
  <c r="F112" i="58"/>
  <c r="F113" i="58"/>
  <c r="F114" i="58"/>
  <c r="F115" i="58"/>
  <c r="F116" i="58"/>
  <c r="F117" i="58"/>
  <c r="F118" i="58"/>
  <c r="F119" i="58"/>
  <c r="F120" i="58"/>
  <c r="F121" i="58"/>
  <c r="F122" i="58"/>
  <c r="F123" i="58"/>
  <c r="F124" i="58"/>
  <c r="F125" i="58"/>
  <c r="F126" i="58"/>
  <c r="F127" i="58"/>
  <c r="F128" i="58"/>
  <c r="F129" i="58"/>
  <c r="F130" i="58"/>
  <c r="F131" i="58"/>
  <c r="F132" i="58"/>
  <c r="F133" i="58"/>
  <c r="F134" i="58"/>
  <c r="F135" i="58"/>
  <c r="F136" i="58"/>
  <c r="F137" i="58"/>
  <c r="F138" i="58"/>
  <c r="F139" i="58"/>
  <c r="F140" i="58"/>
  <c r="F141" i="58"/>
  <c r="F142" i="58"/>
  <c r="F143" i="58"/>
  <c r="F144" i="58"/>
  <c r="F145" i="58"/>
  <c r="F146" i="58"/>
  <c r="F147" i="58"/>
  <c r="F148" i="58"/>
  <c r="F149" i="58"/>
  <c r="F150" i="58"/>
  <c r="F151" i="58"/>
  <c r="F152" i="58"/>
  <c r="F153" i="58"/>
  <c r="F154" i="58"/>
  <c r="F155" i="58"/>
  <c r="F156" i="58"/>
  <c r="F157" i="58"/>
  <c r="F158" i="58"/>
  <c r="F159" i="58"/>
  <c r="F160" i="58"/>
  <c r="F161" i="58"/>
  <c r="F162" i="58"/>
  <c r="F163" i="58"/>
  <c r="F164" i="58"/>
  <c r="F166" i="58"/>
  <c r="F168" i="58"/>
  <c r="F170" i="58"/>
  <c r="F172" i="58"/>
  <c r="F174" i="58"/>
  <c r="F176" i="58"/>
  <c r="F178" i="58"/>
  <c r="F180" i="58"/>
  <c r="F182" i="58"/>
  <c r="F184" i="58"/>
  <c r="F186" i="58"/>
  <c r="F188" i="58"/>
  <c r="F190" i="58"/>
  <c r="F192" i="58"/>
  <c r="F194" i="58"/>
  <c r="F196" i="58"/>
  <c r="F198" i="58"/>
  <c r="F200" i="58"/>
  <c r="F202" i="58"/>
  <c r="F204" i="58"/>
  <c r="F206" i="58"/>
  <c r="F208" i="58"/>
  <c r="F210" i="58"/>
  <c r="F212" i="58"/>
  <c r="F214" i="58"/>
  <c r="F216" i="58"/>
  <c r="F218" i="58"/>
  <c r="F220" i="58"/>
  <c r="F222" i="58"/>
  <c r="F224" i="58"/>
  <c r="F226" i="58"/>
  <c r="F228" i="58"/>
  <c r="F230" i="58"/>
  <c r="F232" i="58"/>
  <c r="F234" i="58"/>
  <c r="F236" i="58"/>
  <c r="F238" i="58"/>
  <c r="F240" i="58"/>
  <c r="F242" i="58"/>
  <c r="F244" i="58"/>
  <c r="F246" i="58"/>
  <c r="F248" i="58"/>
  <c r="F250" i="58"/>
  <c r="F252" i="58"/>
  <c r="F254" i="58"/>
  <c r="F256" i="58"/>
  <c r="F258" i="58"/>
  <c r="F260" i="58"/>
  <c r="F262" i="58"/>
  <c r="F264" i="58"/>
  <c r="F266" i="58"/>
  <c r="F268" i="58"/>
  <c r="F270" i="58"/>
  <c r="F272" i="58"/>
  <c r="F274" i="58"/>
  <c r="F276" i="58"/>
  <c r="F278" i="58"/>
  <c r="F280" i="58"/>
  <c r="F282" i="58"/>
  <c r="F284" i="58"/>
  <c r="F286" i="58"/>
  <c r="F288" i="58"/>
  <c r="F290" i="58"/>
  <c r="F292" i="58"/>
  <c r="F294" i="58"/>
  <c r="F296" i="58"/>
  <c r="F298" i="58"/>
  <c r="F300" i="58"/>
  <c r="F302" i="58"/>
  <c r="F304" i="58"/>
  <c r="F306" i="58"/>
  <c r="F308" i="58"/>
  <c r="F310" i="58"/>
  <c r="F312" i="58"/>
  <c r="F314" i="58"/>
  <c r="F316" i="58"/>
  <c r="F318" i="58"/>
  <c r="F320" i="58"/>
  <c r="K70" i="72"/>
  <c r="K69" i="72"/>
  <c r="K68" i="72"/>
  <c r="K67" i="72"/>
  <c r="K66" i="72"/>
  <c r="K65" i="72"/>
  <c r="K64" i="72"/>
  <c r="K63" i="72"/>
  <c r="K62" i="72"/>
  <c r="K61" i="72"/>
  <c r="K60" i="72"/>
  <c r="K59" i="72"/>
  <c r="K58" i="72"/>
  <c r="K57" i="72"/>
  <c r="K56" i="72"/>
  <c r="K55" i="72"/>
  <c r="K54" i="72"/>
  <c r="K53" i="72"/>
  <c r="K52" i="72"/>
  <c r="K51" i="72"/>
  <c r="K50" i="72"/>
  <c r="K49" i="72"/>
  <c r="K48" i="72"/>
  <c r="K47" i="72"/>
  <c r="K46" i="72"/>
  <c r="K45" i="72"/>
  <c r="K44" i="72"/>
  <c r="K43" i="72"/>
  <c r="K42" i="72"/>
  <c r="K41" i="72"/>
  <c r="K40" i="72"/>
  <c r="K39" i="72"/>
  <c r="K38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K22" i="72"/>
  <c r="K21" i="72"/>
  <c r="K20" i="72"/>
  <c r="K19" i="72"/>
  <c r="K18" i="72"/>
  <c r="K17" i="72"/>
  <c r="K16" i="72"/>
  <c r="K15" i="72"/>
  <c r="K14" i="72"/>
  <c r="K12" i="72"/>
  <c r="K13" i="72"/>
  <c r="K11" i="72"/>
  <c r="I11" i="72" s="1"/>
  <c r="K10" i="72"/>
  <c r="F321" i="58"/>
  <c r="F322" i="58"/>
  <c r="F323" i="58"/>
  <c r="F324" i="58"/>
  <c r="F325" i="58"/>
  <c r="F326" i="58"/>
  <c r="F327" i="58"/>
  <c r="F328" i="58"/>
  <c r="F329" i="58"/>
  <c r="F330" i="58"/>
  <c r="F331" i="58"/>
  <c r="F332" i="58"/>
  <c r="F333" i="58"/>
  <c r="F334" i="58"/>
  <c r="F335" i="58"/>
  <c r="F336" i="58"/>
  <c r="F337" i="58"/>
  <c r="F338" i="58"/>
  <c r="F339" i="58"/>
  <c r="F340" i="58"/>
  <c r="F341" i="58"/>
  <c r="F342" i="58"/>
  <c r="F343" i="58"/>
  <c r="F344" i="58"/>
  <c r="F345" i="58"/>
  <c r="F346" i="58"/>
  <c r="F347" i="58"/>
  <c r="F348" i="58"/>
  <c r="F349" i="58"/>
  <c r="F350" i="58"/>
  <c r="F351" i="58"/>
  <c r="F352" i="58"/>
  <c r="F353" i="58"/>
  <c r="F354" i="58"/>
  <c r="F355" i="58"/>
  <c r="F356" i="58"/>
  <c r="F357" i="58"/>
  <c r="F358" i="58"/>
  <c r="F359" i="58"/>
  <c r="F360" i="58"/>
  <c r="F361" i="58"/>
  <c r="F362" i="58"/>
  <c r="F363" i="58"/>
  <c r="F364" i="58"/>
  <c r="F365" i="58"/>
  <c r="F366" i="58"/>
  <c r="F367" i="58"/>
  <c r="F368" i="58"/>
  <c r="F369" i="58"/>
  <c r="F370" i="58"/>
  <c r="F371" i="58"/>
  <c r="F372" i="58"/>
  <c r="F373" i="58"/>
  <c r="F374" i="58"/>
  <c r="F375" i="58"/>
  <c r="F376" i="58"/>
  <c r="F377" i="58"/>
  <c r="F378" i="58"/>
  <c r="F379" i="58"/>
  <c r="F380" i="58"/>
  <c r="F381" i="58"/>
  <c r="F382" i="58"/>
  <c r="F383" i="58"/>
  <c r="F384" i="58"/>
  <c r="F385" i="58"/>
  <c r="F386" i="58"/>
  <c r="F387" i="58"/>
  <c r="F388" i="58"/>
  <c r="F389" i="58"/>
  <c r="F390" i="58"/>
  <c r="F391" i="58"/>
  <c r="F392" i="58"/>
  <c r="F393" i="58"/>
  <c r="F394" i="58"/>
  <c r="F395" i="58"/>
  <c r="F396" i="58"/>
  <c r="F397" i="58"/>
  <c r="F398" i="58"/>
  <c r="F399" i="58"/>
  <c r="F400" i="58"/>
  <c r="F401" i="58"/>
  <c r="F402" i="58"/>
  <c r="F403" i="58"/>
  <c r="F404" i="58"/>
  <c r="F405" i="58"/>
  <c r="F406" i="58"/>
  <c r="F407" i="58"/>
  <c r="F408" i="58"/>
  <c r="F409" i="58"/>
  <c r="F410" i="58"/>
  <c r="F411" i="58"/>
  <c r="F412" i="58"/>
  <c r="F413" i="58"/>
  <c r="F414" i="58"/>
  <c r="F415" i="58"/>
  <c r="F416" i="58"/>
  <c r="F417" i="58"/>
  <c r="F418" i="58"/>
  <c r="F419" i="58"/>
  <c r="F420" i="58"/>
  <c r="F421" i="58"/>
  <c r="F422" i="58"/>
  <c r="F423" i="58"/>
  <c r="F424" i="58"/>
  <c r="F425" i="58"/>
  <c r="F426" i="58"/>
  <c r="F427" i="58"/>
  <c r="F428" i="58"/>
  <c r="F429" i="58"/>
  <c r="F430" i="58"/>
  <c r="F431" i="58"/>
  <c r="F432" i="58"/>
  <c r="F433" i="58"/>
  <c r="F434" i="58"/>
  <c r="F435" i="58"/>
  <c r="F436" i="58"/>
  <c r="F437" i="58"/>
  <c r="F438" i="58"/>
  <c r="F439" i="58"/>
  <c r="F440" i="58"/>
  <c r="F441" i="58"/>
  <c r="F442" i="58"/>
  <c r="F443" i="58"/>
  <c r="F444" i="58"/>
  <c r="F445" i="58"/>
  <c r="F446" i="58"/>
  <c r="F447" i="58"/>
  <c r="F448" i="58"/>
  <c r="F449" i="58"/>
  <c r="F450" i="58"/>
  <c r="F451" i="58"/>
  <c r="F452" i="58"/>
  <c r="F453" i="58"/>
  <c r="F454" i="58"/>
  <c r="F455" i="58"/>
  <c r="F456" i="58"/>
  <c r="F457" i="58"/>
  <c r="F458" i="58"/>
  <c r="F459" i="58"/>
  <c r="F460" i="58"/>
  <c r="F461" i="58"/>
  <c r="F462" i="58"/>
  <c r="F463" i="58"/>
  <c r="F464" i="58"/>
  <c r="F465" i="58"/>
  <c r="F466" i="58"/>
  <c r="F467" i="58"/>
  <c r="F468" i="58"/>
  <c r="F469" i="58"/>
  <c r="F470" i="58"/>
  <c r="F471" i="58"/>
  <c r="F472" i="58"/>
  <c r="F473" i="58"/>
  <c r="F474" i="58"/>
  <c r="F475" i="58"/>
  <c r="F476" i="58"/>
  <c r="F477" i="58"/>
  <c r="F478" i="58"/>
  <c r="F479" i="58"/>
  <c r="F480" i="58"/>
  <c r="F481" i="58"/>
  <c r="F482" i="58"/>
  <c r="F483" i="58"/>
  <c r="F484" i="58"/>
  <c r="F485" i="58"/>
  <c r="F486" i="58"/>
  <c r="F487" i="58"/>
  <c r="F488" i="58"/>
  <c r="F489" i="58"/>
  <c r="F490" i="58"/>
  <c r="F491" i="58"/>
  <c r="F492" i="58"/>
  <c r="F493" i="58"/>
  <c r="F494" i="58"/>
  <c r="F495" i="58"/>
  <c r="F496" i="58"/>
  <c r="F497" i="58"/>
  <c r="F498" i="58"/>
  <c r="F499" i="58"/>
  <c r="F500" i="58"/>
  <c r="F501" i="58"/>
  <c r="F502" i="58"/>
  <c r="F503" i="58"/>
  <c r="F504" i="58"/>
  <c r="F505" i="58"/>
  <c r="F506" i="58"/>
  <c r="F507" i="58"/>
  <c r="F508" i="58"/>
  <c r="F509" i="58"/>
  <c r="F510" i="58"/>
  <c r="F511" i="58"/>
  <c r="F512" i="58"/>
  <c r="F513" i="58"/>
  <c r="I8" i="63"/>
  <c r="I11" i="63"/>
  <c r="I15" i="75"/>
  <c r="M14" i="75"/>
  <c r="I19" i="78"/>
  <c r="M18" i="78"/>
  <c r="I38" i="83"/>
  <c r="M37" i="83"/>
  <c r="O47" i="161"/>
  <c r="O10" i="161"/>
  <c r="M10" i="161" s="1"/>
  <c r="O11" i="161"/>
  <c r="O12" i="161"/>
  <c r="M47" i="161"/>
  <c r="O13" i="161"/>
  <c r="O14" i="161"/>
  <c r="O15" i="161"/>
  <c r="O16" i="161"/>
  <c r="O17" i="161"/>
  <c r="O18" i="161"/>
  <c r="O19" i="161"/>
  <c r="O20" i="161"/>
  <c r="O21" i="161"/>
  <c r="O22" i="161"/>
  <c r="O23" i="161"/>
  <c r="O24" i="161"/>
  <c r="O25" i="161"/>
  <c r="O26" i="161"/>
  <c r="O27" i="161"/>
  <c r="O28" i="161"/>
  <c r="O29" i="161"/>
  <c r="O30" i="161"/>
  <c r="O31" i="161"/>
  <c r="O32" i="161"/>
  <c r="O33" i="161"/>
  <c r="O34" i="161"/>
  <c r="O35" i="161"/>
  <c r="O36" i="161"/>
  <c r="O37" i="161"/>
  <c r="O38" i="161"/>
  <c r="O39" i="161"/>
  <c r="O40" i="161"/>
  <c r="O41" i="161"/>
  <c r="O42" i="161"/>
  <c r="O43" i="161"/>
  <c r="O44" i="161"/>
  <c r="O45" i="161"/>
  <c r="I37" i="87"/>
  <c r="M36" i="87"/>
  <c r="O51" i="176"/>
  <c r="M51" i="176"/>
  <c r="O10" i="176"/>
  <c r="O11" i="176"/>
  <c r="O12" i="176"/>
  <c r="O13" i="176"/>
  <c r="O14" i="176"/>
  <c r="O15" i="176"/>
  <c r="O16" i="176"/>
  <c r="O17" i="176"/>
  <c r="O18" i="176"/>
  <c r="O19" i="176"/>
  <c r="O20" i="176"/>
  <c r="O21" i="176"/>
  <c r="O22" i="176"/>
  <c r="O23" i="176"/>
  <c r="O24" i="176"/>
  <c r="O25" i="176"/>
  <c r="O26" i="176"/>
  <c r="O27" i="176"/>
  <c r="O28" i="176"/>
  <c r="O29" i="176"/>
  <c r="O30" i="176"/>
  <c r="O31" i="176"/>
  <c r="O32" i="176"/>
  <c r="O33" i="176"/>
  <c r="O34" i="176"/>
  <c r="O35" i="176"/>
  <c r="O36" i="176"/>
  <c r="O37" i="176"/>
  <c r="O38" i="176"/>
  <c r="O39" i="176"/>
  <c r="O40" i="176"/>
  <c r="O41" i="176"/>
  <c r="O42" i="176"/>
  <c r="O43" i="176"/>
  <c r="O44" i="176"/>
  <c r="O45" i="176"/>
  <c r="O46" i="176"/>
  <c r="O47" i="176"/>
  <c r="O48" i="176"/>
  <c r="O49" i="176"/>
  <c r="I40" i="93"/>
  <c r="M39" i="93"/>
  <c r="I19" i="79"/>
  <c r="M18" i="79"/>
  <c r="I39" i="84"/>
  <c r="O38" i="84" s="1"/>
  <c r="M38" i="84"/>
  <c r="E12" i="70"/>
  <c r="E13" i="70" s="1"/>
  <c r="E14" i="70" s="1"/>
  <c r="E15" i="70" s="1"/>
  <c r="E16" i="70" s="1"/>
  <c r="E17" i="70" s="1"/>
  <c r="E18" i="70" s="1"/>
  <c r="E19" i="70" s="1"/>
  <c r="E20" i="70" s="1"/>
  <c r="E21" i="70" s="1"/>
  <c r="E22" i="70" s="1"/>
  <c r="E23" i="70" s="1"/>
  <c r="E24" i="70" s="1"/>
  <c r="E25" i="70" s="1"/>
  <c r="E13" i="68"/>
  <c r="I40" i="95"/>
  <c r="M39" i="95"/>
  <c r="I46" i="164"/>
  <c r="M45" i="164"/>
  <c r="I16" i="74"/>
  <c r="M15" i="74"/>
  <c r="I14" i="73"/>
  <c r="E12" i="69"/>
  <c r="E13" i="69" s="1"/>
  <c r="E14" i="69" s="1"/>
  <c r="E15" i="69" s="1"/>
  <c r="E16" i="69" s="1"/>
  <c r="E17" i="69" s="1"/>
  <c r="E18" i="69" s="1"/>
  <c r="E19" i="69" s="1"/>
  <c r="E20" i="69" s="1"/>
  <c r="E21" i="69" s="1"/>
  <c r="E22" i="69" s="1"/>
  <c r="E23" i="69" s="1"/>
  <c r="E24" i="69" s="1"/>
  <c r="E25" i="69" s="1"/>
  <c r="E26" i="69" s="1"/>
  <c r="E27" i="69" s="1"/>
  <c r="E28" i="69" s="1"/>
  <c r="E29" i="69" s="1"/>
  <c r="E14" i="68"/>
  <c r="E15" i="68" s="1"/>
  <c r="E16" i="68" s="1"/>
  <c r="E17" i="68" s="1"/>
  <c r="E18" i="68" s="1"/>
  <c r="E19" i="68" s="1"/>
  <c r="E20" i="68" s="1"/>
  <c r="E21" i="68" s="1"/>
  <c r="E22" i="68" s="1"/>
  <c r="E23" i="68" s="1"/>
  <c r="E24" i="68" s="1"/>
  <c r="D27" i="31"/>
  <c r="D32" i="31"/>
  <c r="D40" i="31"/>
  <c r="A1" i="2"/>
  <c r="A1" i="222" s="1"/>
  <c r="V27" i="53"/>
  <c r="T27" i="53"/>
  <c r="R27" i="53"/>
  <c r="P27" i="53"/>
  <c r="N27" i="53"/>
  <c r="L27" i="53"/>
  <c r="J27" i="53"/>
  <c r="H27" i="53"/>
  <c r="F27" i="53"/>
  <c r="AH14" i="53"/>
  <c r="AF14" i="53"/>
  <c r="Y14" i="53"/>
  <c r="V14" i="53"/>
  <c r="T14" i="53"/>
  <c r="R14" i="53"/>
  <c r="P14" i="53"/>
  <c r="N14" i="53"/>
  <c r="J14" i="53"/>
  <c r="H14" i="53"/>
  <c r="AH13" i="53"/>
  <c r="AF13" i="53"/>
  <c r="Y13" i="53"/>
  <c r="V13" i="53"/>
  <c r="T13" i="53"/>
  <c r="R13" i="53"/>
  <c r="P13" i="53"/>
  <c r="N13" i="53"/>
  <c r="J13" i="53"/>
  <c r="H13" i="53"/>
  <c r="AF12" i="53"/>
  <c r="Y12" i="53"/>
  <c r="V12" i="53"/>
  <c r="T12" i="53"/>
  <c r="R12" i="53"/>
  <c r="P12" i="53"/>
  <c r="N12" i="53"/>
  <c r="J12" i="53"/>
  <c r="H12" i="53"/>
  <c r="Y11" i="53"/>
  <c r="V11" i="53"/>
  <c r="T11" i="53"/>
  <c r="R11" i="53"/>
  <c r="P11" i="53"/>
  <c r="N11" i="53"/>
  <c r="J11" i="53"/>
  <c r="H11" i="53"/>
  <c r="G9" i="53"/>
  <c r="AI3" i="53"/>
  <c r="AI1" i="53" s="1"/>
  <c r="K29" i="69" l="1"/>
  <c r="K28" i="69"/>
  <c r="K27" i="69"/>
  <c r="K26" i="69"/>
  <c r="K25" i="69"/>
  <c r="K24" i="69"/>
  <c r="K23" i="69"/>
  <c r="K22" i="69"/>
  <c r="K21" i="69"/>
  <c r="K20" i="69"/>
  <c r="K19" i="69"/>
  <c r="K18" i="69"/>
  <c r="K17" i="69"/>
  <c r="K16" i="69"/>
  <c r="K15" i="69"/>
  <c r="K14" i="69"/>
  <c r="K13" i="69"/>
  <c r="K12" i="69"/>
  <c r="K11" i="69"/>
  <c r="K10" i="69"/>
  <c r="I10" i="69" s="1"/>
  <c r="K12" i="68"/>
  <c r="K11" i="68"/>
  <c r="K24" i="68"/>
  <c r="K23" i="68"/>
  <c r="K22" i="68"/>
  <c r="K21" i="68"/>
  <c r="K20" i="68"/>
  <c r="K19" i="68"/>
  <c r="K18" i="68"/>
  <c r="K17" i="68"/>
  <c r="K16" i="68"/>
  <c r="K15" i="68"/>
  <c r="K14" i="68"/>
  <c r="K13" i="68"/>
  <c r="K10" i="68"/>
  <c r="K25" i="70"/>
  <c r="K24" i="70"/>
  <c r="K23" i="70"/>
  <c r="K22" i="70"/>
  <c r="K21" i="70"/>
  <c r="K20" i="70"/>
  <c r="K19" i="70"/>
  <c r="K18" i="70"/>
  <c r="K17" i="70"/>
  <c r="K16" i="70"/>
  <c r="K15" i="70"/>
  <c r="K14" i="70"/>
  <c r="K13" i="70"/>
  <c r="K12" i="70"/>
  <c r="K11" i="70"/>
  <c r="K10" i="70"/>
  <c r="I10" i="70" s="1"/>
  <c r="I15" i="73"/>
  <c r="M14" i="73"/>
  <c r="I38" i="87"/>
  <c r="M37" i="87"/>
  <c r="I17" i="74"/>
  <c r="M16" i="74"/>
  <c r="I47" i="164"/>
  <c r="M46" i="164"/>
  <c r="I41" i="95"/>
  <c r="M40" i="95"/>
  <c r="O39" i="84"/>
  <c r="O10" i="84"/>
  <c r="M10" i="84" s="1"/>
  <c r="O12" i="84"/>
  <c r="M12" i="84" s="1"/>
  <c r="M39" i="84"/>
  <c r="O11" i="84"/>
  <c r="M11" i="84" s="1"/>
  <c r="O13" i="84"/>
  <c r="O14" i="84"/>
  <c r="M14" i="84" s="1"/>
  <c r="O15" i="84"/>
  <c r="O16" i="84"/>
  <c r="O17" i="84"/>
  <c r="O18" i="84"/>
  <c r="O19" i="84"/>
  <c r="O20" i="84"/>
  <c r="O21" i="84"/>
  <c r="O22" i="84"/>
  <c r="O23" i="84"/>
  <c r="O24" i="84"/>
  <c r="O25" i="84"/>
  <c r="O26" i="84"/>
  <c r="O27" i="84"/>
  <c r="O28" i="84"/>
  <c r="O29" i="84"/>
  <c r="O30" i="84"/>
  <c r="O31" i="84"/>
  <c r="O32" i="84"/>
  <c r="O33" i="84"/>
  <c r="O34" i="84"/>
  <c r="O35" i="84"/>
  <c r="O36" i="84"/>
  <c r="O37" i="84"/>
  <c r="I20" i="79"/>
  <c r="M19" i="79"/>
  <c r="I41" i="93"/>
  <c r="M40" i="93"/>
  <c r="I39" i="83"/>
  <c r="M38" i="83"/>
  <c r="I20" i="78"/>
  <c r="M19" i="78"/>
  <c r="I16" i="75"/>
  <c r="M15" i="75"/>
  <c r="I12" i="72"/>
  <c r="D43" i="31"/>
  <c r="E41" i="26"/>
  <c r="H200" i="49"/>
  <c r="L199" i="49"/>
  <c r="N199" i="49" s="1"/>
  <c r="L198" i="49"/>
  <c r="N198" i="49" s="1"/>
  <c r="H195" i="49"/>
  <c r="L194" i="49"/>
  <c r="N194" i="49"/>
  <c r="R194" i="49" s="1"/>
  <c r="P194" i="49" s="1"/>
  <c r="L193" i="49"/>
  <c r="H190" i="49"/>
  <c r="L189" i="49"/>
  <c r="N189" i="49"/>
  <c r="L188" i="49"/>
  <c r="N188" i="49" s="1"/>
  <c r="H185" i="49"/>
  <c r="L184" i="49"/>
  <c r="N184" i="49" s="1"/>
  <c r="R184" i="49" s="1"/>
  <c r="P184" i="49" s="1"/>
  <c r="L183" i="49"/>
  <c r="N183" i="49" s="1"/>
  <c r="N185" i="49" s="1"/>
  <c r="L179" i="49"/>
  <c r="N179" i="49" s="1"/>
  <c r="L178" i="49"/>
  <c r="N178" i="49" s="1"/>
  <c r="H175" i="49"/>
  <c r="L174" i="49"/>
  <c r="N174" i="49" s="1"/>
  <c r="L173" i="49"/>
  <c r="N173" i="49"/>
  <c r="R173" i="49" s="1"/>
  <c r="P173" i="49" s="1"/>
  <c r="L172" i="49"/>
  <c r="N172" i="49" s="1"/>
  <c r="L171" i="49"/>
  <c r="N171" i="49"/>
  <c r="R171" i="49" s="1"/>
  <c r="P171" i="49" s="1"/>
  <c r="L170" i="49"/>
  <c r="N170" i="49" s="1"/>
  <c r="L169" i="49"/>
  <c r="N169" i="49"/>
  <c r="R169" i="49" s="1"/>
  <c r="P169" i="49" s="1"/>
  <c r="L168" i="49"/>
  <c r="N168" i="49" s="1"/>
  <c r="L167" i="49"/>
  <c r="N167" i="49"/>
  <c r="R167" i="49" s="1"/>
  <c r="P167" i="49" s="1"/>
  <c r="L166" i="49"/>
  <c r="H160" i="49"/>
  <c r="L159" i="49"/>
  <c r="N159" i="49"/>
  <c r="R159" i="49" s="1"/>
  <c r="P159" i="49" s="1"/>
  <c r="L158" i="49"/>
  <c r="N158" i="49" s="1"/>
  <c r="L157" i="49"/>
  <c r="N157" i="49"/>
  <c r="R157" i="49" s="1"/>
  <c r="P157" i="49" s="1"/>
  <c r="L156" i="49"/>
  <c r="N156" i="49" s="1"/>
  <c r="L155" i="49"/>
  <c r="N155" i="49"/>
  <c r="R155" i="49" s="1"/>
  <c r="P155" i="49" s="1"/>
  <c r="L154" i="49"/>
  <c r="N154" i="49" s="1"/>
  <c r="L153" i="49"/>
  <c r="N153" i="49"/>
  <c r="R153" i="49" s="1"/>
  <c r="P153" i="49" s="1"/>
  <c r="L152" i="49"/>
  <c r="N152" i="49" s="1"/>
  <c r="L151" i="49"/>
  <c r="N151" i="49"/>
  <c r="R151" i="49" s="1"/>
  <c r="P151" i="49" s="1"/>
  <c r="L150" i="49"/>
  <c r="N150" i="49" s="1"/>
  <c r="L149" i="49"/>
  <c r="N149" i="49"/>
  <c r="L119" i="49"/>
  <c r="N119" i="49" s="1"/>
  <c r="R119" i="49" s="1"/>
  <c r="P119" i="49" s="1"/>
  <c r="L118" i="49"/>
  <c r="N118" i="49"/>
  <c r="R118" i="49" s="1"/>
  <c r="N116" i="49"/>
  <c r="L115" i="49"/>
  <c r="L111" i="49"/>
  <c r="N111" i="49"/>
  <c r="R111" i="49" s="1"/>
  <c r="P111" i="49" s="1"/>
  <c r="L110" i="49"/>
  <c r="N180" i="49" l="1"/>
  <c r="I17" i="75"/>
  <c r="M16" i="75"/>
  <c r="I21" i="78"/>
  <c r="M20" i="78"/>
  <c r="O39" i="83"/>
  <c r="O10" i="83"/>
  <c r="M10" i="83" s="1"/>
  <c r="O12" i="83"/>
  <c r="M12" i="83" s="1"/>
  <c r="M39" i="83"/>
  <c r="O11" i="83"/>
  <c r="O13" i="83"/>
  <c r="O14" i="83"/>
  <c r="O15" i="83"/>
  <c r="M15" i="83" s="1"/>
  <c r="O16" i="83"/>
  <c r="O17" i="83"/>
  <c r="O18" i="83"/>
  <c r="O19" i="83"/>
  <c r="O20" i="83"/>
  <c r="O21" i="83"/>
  <c r="O22" i="83"/>
  <c r="O23" i="83"/>
  <c r="O24" i="83"/>
  <c r="O25" i="83"/>
  <c r="O26" i="83"/>
  <c r="O27" i="83"/>
  <c r="O28" i="83"/>
  <c r="O29" i="83"/>
  <c r="O30" i="83"/>
  <c r="O31" i="83"/>
  <c r="O32" i="83"/>
  <c r="O33" i="83"/>
  <c r="O34" i="83"/>
  <c r="O35" i="83"/>
  <c r="O36" i="83"/>
  <c r="O37" i="83"/>
  <c r="I16" i="73"/>
  <c r="M15" i="73"/>
  <c r="I11" i="69"/>
  <c r="I13" i="72"/>
  <c r="O38" i="83"/>
  <c r="I42" i="93"/>
  <c r="M41" i="93"/>
  <c r="I21" i="79"/>
  <c r="M20" i="79"/>
  <c r="I42" i="95"/>
  <c r="M41" i="95"/>
  <c r="I48" i="164"/>
  <c r="M47" i="164"/>
  <c r="I18" i="74"/>
  <c r="M17" i="74"/>
  <c r="I39" i="87"/>
  <c r="M38" i="87"/>
  <c r="I11" i="70"/>
  <c r="I10" i="68"/>
  <c r="M10" i="68" s="1"/>
  <c r="M11" i="69"/>
  <c r="N200" i="49"/>
  <c r="R149" i="49"/>
  <c r="P149" i="49" s="1"/>
  <c r="N160" i="49"/>
  <c r="P150" i="49"/>
  <c r="R150" i="49"/>
  <c r="R152" i="49"/>
  <c r="P152" i="49"/>
  <c r="P154" i="49"/>
  <c r="R154" i="49"/>
  <c r="R156" i="49"/>
  <c r="P156" i="49"/>
  <c r="P158" i="49"/>
  <c r="R158" i="49"/>
  <c r="P179" i="49"/>
  <c r="R179" i="49"/>
  <c r="P168" i="49"/>
  <c r="R168" i="49"/>
  <c r="R170" i="49"/>
  <c r="P170" i="49"/>
  <c r="P172" i="49"/>
  <c r="R172" i="49"/>
  <c r="R174" i="49"/>
  <c r="P174" i="49"/>
  <c r="N190" i="49"/>
  <c r="R188" i="49"/>
  <c r="P188" i="49" s="1"/>
  <c r="R189" i="49"/>
  <c r="P189" i="49"/>
  <c r="P199" i="49"/>
  <c r="R199" i="49"/>
  <c r="N193" i="49"/>
  <c r="N166" i="49"/>
  <c r="N115" i="49"/>
  <c r="P118" i="49"/>
  <c r="R198" i="49"/>
  <c r="P198" i="49" s="1"/>
  <c r="P183" i="49"/>
  <c r="P185" i="49" s="1"/>
  <c r="R183" i="49"/>
  <c r="H180" i="49"/>
  <c r="H219" i="49" s="1"/>
  <c r="R178" i="49"/>
  <c r="P178" i="49" s="1"/>
  <c r="P180" i="49" s="1"/>
  <c r="G47" i="26"/>
  <c r="L107" i="49"/>
  <c r="L103" i="49"/>
  <c r="N103" i="49" s="1"/>
  <c r="L102" i="49"/>
  <c r="L99" i="49"/>
  <c r="I40" i="87" l="1"/>
  <c r="M39" i="87"/>
  <c r="I14" i="72"/>
  <c r="I11" i="68"/>
  <c r="I12" i="70"/>
  <c r="I19" i="74"/>
  <c r="M18" i="74"/>
  <c r="I49" i="164"/>
  <c r="M48" i="164"/>
  <c r="I43" i="95"/>
  <c r="M42" i="95"/>
  <c r="I22" i="79"/>
  <c r="M21" i="79"/>
  <c r="I43" i="93"/>
  <c r="M42" i="93"/>
  <c r="I12" i="69"/>
  <c r="M11" i="70"/>
  <c r="I17" i="73"/>
  <c r="M16" i="73"/>
  <c r="I22" i="78"/>
  <c r="M21" i="78"/>
  <c r="I18" i="75"/>
  <c r="M17" i="75"/>
  <c r="R103" i="49"/>
  <c r="P103" i="49"/>
  <c r="N102" i="49"/>
  <c r="R102" i="49" s="1"/>
  <c r="P102" i="49" s="1"/>
  <c r="P190" i="49"/>
  <c r="N175" i="49"/>
  <c r="N219" i="49" s="1"/>
  <c r="R166" i="49"/>
  <c r="P166" i="49"/>
  <c r="P175" i="49" s="1"/>
  <c r="N195" i="49"/>
  <c r="R193" i="49"/>
  <c r="P193" i="49" s="1"/>
  <c r="P195" i="49" s="1"/>
  <c r="H120" i="49"/>
  <c r="P115" i="49"/>
  <c r="H112" i="49"/>
  <c r="H104" i="49"/>
  <c r="R115" i="49"/>
  <c r="N99" i="49"/>
  <c r="P99" i="49" s="1"/>
  <c r="N100" i="49"/>
  <c r="P100" i="49" s="1"/>
  <c r="P200" i="49"/>
  <c r="P219" i="49" s="1"/>
  <c r="H95" i="49"/>
  <c r="H94" i="49"/>
  <c r="N94" i="49" s="1"/>
  <c r="R94" i="49" s="1"/>
  <c r="L93" i="49"/>
  <c r="H93" i="49"/>
  <c r="H92" i="49"/>
  <c r="N91" i="49"/>
  <c r="R91" i="49" s="1"/>
  <c r="H91" i="49"/>
  <c r="L90" i="49"/>
  <c r="N90" i="49" s="1"/>
  <c r="R90" i="49" s="1"/>
  <c r="P90" i="49" s="1"/>
  <c r="H90" i="49"/>
  <c r="L89" i="49"/>
  <c r="N89" i="49" s="1"/>
  <c r="R89" i="49" s="1"/>
  <c r="P89" i="49" s="1"/>
  <c r="H89" i="49"/>
  <c r="H88" i="49"/>
  <c r="H87" i="49"/>
  <c r="N87" i="49" s="1"/>
  <c r="L86" i="49"/>
  <c r="H86" i="49"/>
  <c r="L85" i="49"/>
  <c r="N85" i="49"/>
  <c r="R85" i="49" s="1"/>
  <c r="P85" i="49" s="1"/>
  <c r="H83" i="49"/>
  <c r="N83" i="49" s="1"/>
  <c r="L82" i="49"/>
  <c r="L81" i="49"/>
  <c r="N81" i="49" s="1"/>
  <c r="H79" i="49"/>
  <c r="L78" i="49"/>
  <c r="H78" i="49"/>
  <c r="L76" i="49"/>
  <c r="H76" i="49"/>
  <c r="L75" i="49"/>
  <c r="N75" i="49"/>
  <c r="H75" i="49"/>
  <c r="L74" i="49"/>
  <c r="N74" i="49" s="1"/>
  <c r="L73" i="49"/>
  <c r="L69" i="49"/>
  <c r="J65" i="48"/>
  <c r="L62" i="49"/>
  <c r="N62" i="49" s="1"/>
  <c r="L61" i="49"/>
  <c r="L60" i="49"/>
  <c r="N60" i="49" s="1"/>
  <c r="L59" i="49"/>
  <c r="L58" i="49"/>
  <c r="N58" i="49"/>
  <c r="L57" i="49"/>
  <c r="L56" i="49"/>
  <c r="N56" i="49" s="1"/>
  <c r="L55" i="49"/>
  <c r="L54" i="49"/>
  <c r="N54" i="49" s="1"/>
  <c r="L53" i="49"/>
  <c r="L52" i="49"/>
  <c r="N52" i="49" s="1"/>
  <c r="L51" i="49"/>
  <c r="L50" i="49"/>
  <c r="L49" i="49"/>
  <c r="L48" i="49"/>
  <c r="L47" i="49"/>
  <c r="J47" i="48"/>
  <c r="L46" i="49"/>
  <c r="J46" i="48"/>
  <c r="L45" i="49"/>
  <c r="J45" i="48"/>
  <c r="L44" i="49"/>
  <c r="J44" i="48"/>
  <c r="L43" i="49"/>
  <c r="J43" i="48"/>
  <c r="L42" i="49"/>
  <c r="J42" i="48"/>
  <c r="L41" i="49"/>
  <c r="J41" i="48"/>
  <c r="L40" i="49"/>
  <c r="J40" i="48"/>
  <c r="L39" i="49"/>
  <c r="J39" i="48"/>
  <c r="L38" i="49"/>
  <c r="J38" i="48"/>
  <c r="L37" i="49"/>
  <c r="J37" i="48"/>
  <c r="L36" i="49"/>
  <c r="J36" i="48"/>
  <c r="L35" i="49"/>
  <c r="J35" i="48"/>
  <c r="L34" i="49"/>
  <c r="J34" i="48"/>
  <c r="L33" i="49"/>
  <c r="J33" i="48"/>
  <c r="L32" i="49"/>
  <c r="J32" i="48"/>
  <c r="L31" i="49"/>
  <c r="J31" i="48"/>
  <c r="L30" i="49"/>
  <c r="J30" i="48"/>
  <c r="L29" i="49"/>
  <c r="J29" i="48"/>
  <c r="L28" i="49"/>
  <c r="J28" i="48"/>
  <c r="L27" i="49"/>
  <c r="J27" i="48"/>
  <c r="L26" i="49"/>
  <c r="J26" i="48"/>
  <c r="L25" i="49"/>
  <c r="J25" i="48"/>
  <c r="L24" i="49"/>
  <c r="J24" i="48"/>
  <c r="L23" i="49"/>
  <c r="J23" i="48"/>
  <c r="L22" i="49"/>
  <c r="J22" i="48"/>
  <c r="L21" i="49"/>
  <c r="J21" i="48"/>
  <c r="L20" i="49"/>
  <c r="J20" i="48"/>
  <c r="L19" i="49"/>
  <c r="J19" i="48"/>
  <c r="L18" i="49"/>
  <c r="J18" i="48"/>
  <c r="L17" i="49"/>
  <c r="J17" i="48"/>
  <c r="L16" i="49"/>
  <c r="N16" i="49" s="1"/>
  <c r="L15" i="49"/>
  <c r="J15" i="48"/>
  <c r="L14" i="49"/>
  <c r="N14" i="49" s="1"/>
  <c r="L13" i="49"/>
  <c r="J13" i="48"/>
  <c r="L12" i="49"/>
  <c r="N12" i="49" s="1"/>
  <c r="R12" i="49" s="1"/>
  <c r="L11" i="49"/>
  <c r="J11" i="48"/>
  <c r="U10" i="49"/>
  <c r="L88" i="49" s="1"/>
  <c r="N88" i="49" s="1"/>
  <c r="L10" i="49"/>
  <c r="N10" i="49" s="1"/>
  <c r="L9" i="49"/>
  <c r="N9" i="49" s="1"/>
  <c r="R9" i="49" s="1"/>
  <c r="H102" i="48"/>
  <c r="L101" i="48"/>
  <c r="J101" i="48" s="1"/>
  <c r="N101" i="48" s="1"/>
  <c r="L100" i="48"/>
  <c r="J100" i="48" s="1"/>
  <c r="L99" i="48"/>
  <c r="J99" i="48" s="1"/>
  <c r="N99" i="48" s="1"/>
  <c r="L98" i="48"/>
  <c r="J98" i="48" s="1"/>
  <c r="N98" i="48" s="1"/>
  <c r="L97" i="48"/>
  <c r="J97" i="48" s="1"/>
  <c r="N97" i="48" s="1"/>
  <c r="L96" i="48"/>
  <c r="J96" i="48"/>
  <c r="L95" i="48"/>
  <c r="J95" i="48"/>
  <c r="N95" i="48" s="1"/>
  <c r="L94" i="48"/>
  <c r="J94" i="48" s="1"/>
  <c r="N94" i="48" s="1"/>
  <c r="R94" i="48" s="1"/>
  <c r="L93" i="48"/>
  <c r="J93" i="48" s="1"/>
  <c r="N93" i="48" s="1"/>
  <c r="R93" i="48" s="1"/>
  <c r="H89" i="48"/>
  <c r="L88" i="48"/>
  <c r="J88" i="48" s="1"/>
  <c r="L87" i="48"/>
  <c r="J87" i="48"/>
  <c r="L86" i="48"/>
  <c r="J86" i="48"/>
  <c r="N86" i="48" s="1"/>
  <c r="R86" i="48" s="1"/>
  <c r="P86" i="48" s="1"/>
  <c r="L85" i="48"/>
  <c r="J85" i="48" s="1"/>
  <c r="L84" i="48"/>
  <c r="J84" i="48"/>
  <c r="L83" i="48"/>
  <c r="J83" i="48"/>
  <c r="L82" i="48"/>
  <c r="J82" i="48" s="1"/>
  <c r="L81" i="48"/>
  <c r="J81" i="48"/>
  <c r="N81" i="48" s="1"/>
  <c r="R81" i="48" s="1"/>
  <c r="P81" i="48" s="1"/>
  <c r="L80" i="48"/>
  <c r="J80" i="48"/>
  <c r="L79" i="48"/>
  <c r="J79" i="48"/>
  <c r="N79" i="48" s="1"/>
  <c r="R79" i="48" s="1"/>
  <c r="P79" i="48" s="1"/>
  <c r="L78" i="48"/>
  <c r="J78" i="48"/>
  <c r="H74" i="48"/>
  <c r="L73" i="48"/>
  <c r="J73" i="48"/>
  <c r="J72" i="48"/>
  <c r="J71" i="48"/>
  <c r="J70" i="48"/>
  <c r="L69" i="48"/>
  <c r="J69" i="48"/>
  <c r="J68" i="48"/>
  <c r="J67" i="48"/>
  <c r="J66" i="48"/>
  <c r="J64" i="48"/>
  <c r="J63" i="48"/>
  <c r="L62" i="48"/>
  <c r="J62" i="48"/>
  <c r="L61" i="48"/>
  <c r="J61" i="48"/>
  <c r="L60" i="48"/>
  <c r="J60" i="48"/>
  <c r="L59" i="48"/>
  <c r="J59" i="48"/>
  <c r="L58" i="48"/>
  <c r="J58" i="48"/>
  <c r="L57" i="48"/>
  <c r="J57" i="48"/>
  <c r="L56" i="48"/>
  <c r="J56" i="48"/>
  <c r="L55" i="48"/>
  <c r="J55" i="48"/>
  <c r="L54" i="48"/>
  <c r="J54" i="48"/>
  <c r="L53" i="48"/>
  <c r="J53" i="48"/>
  <c r="L52" i="48"/>
  <c r="J52" i="48"/>
  <c r="L51" i="48"/>
  <c r="J51" i="48"/>
  <c r="L50" i="48"/>
  <c r="J50" i="48"/>
  <c r="L49" i="48"/>
  <c r="J49" i="48"/>
  <c r="L48" i="48"/>
  <c r="J48" i="48"/>
  <c r="U47" i="48"/>
  <c r="L47" i="48"/>
  <c r="U46" i="48"/>
  <c r="L46" i="48"/>
  <c r="V45" i="48"/>
  <c r="U45" i="48"/>
  <c r="L45" i="48"/>
  <c r="V44" i="48"/>
  <c r="U44" i="48"/>
  <c r="L44" i="48"/>
  <c r="V43" i="48"/>
  <c r="U43" i="48"/>
  <c r="L43" i="48"/>
  <c r="V42" i="48"/>
  <c r="U42" i="48"/>
  <c r="L42" i="48"/>
  <c r="V41" i="48"/>
  <c r="U41" i="48"/>
  <c r="L41" i="48"/>
  <c r="V40" i="48"/>
  <c r="U40" i="48"/>
  <c r="L40" i="48"/>
  <c r="V39" i="48"/>
  <c r="U39" i="48"/>
  <c r="L39" i="48"/>
  <c r="V38" i="48"/>
  <c r="U38" i="48"/>
  <c r="L38" i="48"/>
  <c r="V37" i="48"/>
  <c r="U37" i="48"/>
  <c r="L37" i="48"/>
  <c r="V36" i="48"/>
  <c r="U36" i="48"/>
  <c r="L36" i="48"/>
  <c r="V35" i="48"/>
  <c r="U35" i="48"/>
  <c r="L35" i="48"/>
  <c r="V34" i="48"/>
  <c r="U34" i="48"/>
  <c r="L34" i="48"/>
  <c r="V33" i="48"/>
  <c r="U33" i="48"/>
  <c r="L33" i="48"/>
  <c r="V32" i="48"/>
  <c r="U32" i="48"/>
  <c r="L32" i="48"/>
  <c r="V31" i="48"/>
  <c r="U31" i="48"/>
  <c r="L31" i="48"/>
  <c r="V30" i="48"/>
  <c r="U30" i="48"/>
  <c r="L30" i="48"/>
  <c r="V29" i="48"/>
  <c r="U29" i="48"/>
  <c r="L29" i="48"/>
  <c r="V28" i="48"/>
  <c r="U28" i="48"/>
  <c r="L28" i="48"/>
  <c r="V27" i="48"/>
  <c r="U27" i="48"/>
  <c r="L27" i="48"/>
  <c r="V26" i="48"/>
  <c r="U26" i="48"/>
  <c r="L26" i="48"/>
  <c r="V25" i="48"/>
  <c r="U25" i="48"/>
  <c r="L25" i="48"/>
  <c r="V24" i="48"/>
  <c r="U24" i="48"/>
  <c r="L24" i="48"/>
  <c r="V23" i="48"/>
  <c r="U23" i="48"/>
  <c r="L23" i="48"/>
  <c r="V22" i="48"/>
  <c r="U22" i="48"/>
  <c r="L22" i="48"/>
  <c r="V21" i="48"/>
  <c r="U21" i="48"/>
  <c r="L21" i="48"/>
  <c r="V20" i="48"/>
  <c r="U20" i="48"/>
  <c r="L20" i="48"/>
  <c r="V19" i="48"/>
  <c r="U19" i="48"/>
  <c r="L19" i="48"/>
  <c r="V18" i="48"/>
  <c r="U18" i="48"/>
  <c r="L18" i="48"/>
  <c r="V17" i="48"/>
  <c r="U17" i="48"/>
  <c r="L17" i="48"/>
  <c r="L16" i="48"/>
  <c r="L15" i="48"/>
  <c r="L14" i="48"/>
  <c r="L13" i="48"/>
  <c r="L12" i="48"/>
  <c r="J12" i="48"/>
  <c r="U11" i="48"/>
  <c r="L11" i="48"/>
  <c r="U10" i="48"/>
  <c r="L72" i="48" s="1"/>
  <c r="L10" i="48"/>
  <c r="J10" i="48"/>
  <c r="L9" i="48"/>
  <c r="N78" i="49" l="1"/>
  <c r="N93" i="49"/>
  <c r="R93" i="49" s="1"/>
  <c r="P93" i="49" s="1"/>
  <c r="N78" i="48"/>
  <c r="N80" i="48"/>
  <c r="R80" i="48" s="1"/>
  <c r="P80" i="48" s="1"/>
  <c r="N87" i="48"/>
  <c r="R87" i="48" s="1"/>
  <c r="P87" i="48" s="1"/>
  <c r="N96" i="48"/>
  <c r="R96" i="48" s="1"/>
  <c r="P96" i="48" s="1"/>
  <c r="N76" i="49"/>
  <c r="L63" i="48"/>
  <c r="L65" i="48"/>
  <c r="L66" i="48"/>
  <c r="L67" i="48"/>
  <c r="L68" i="48"/>
  <c r="L70" i="48"/>
  <c r="L71" i="48"/>
  <c r="N11" i="48"/>
  <c r="R11" i="48" s="1"/>
  <c r="P11" i="48" s="1"/>
  <c r="L63" i="49"/>
  <c r="L64" i="49"/>
  <c r="N64" i="49" s="1"/>
  <c r="L65" i="49"/>
  <c r="L66" i="49"/>
  <c r="N66" i="49" s="1"/>
  <c r="L70" i="49"/>
  <c r="N70" i="49" s="1"/>
  <c r="L80" i="49"/>
  <c r="N80" i="49" s="1"/>
  <c r="I19" i="75"/>
  <c r="M18" i="75"/>
  <c r="I23" i="78"/>
  <c r="M22" i="78"/>
  <c r="I18" i="73"/>
  <c r="M17" i="73"/>
  <c r="I44" i="93"/>
  <c r="M43" i="93"/>
  <c r="I23" i="79"/>
  <c r="M22" i="79"/>
  <c r="I44" i="95"/>
  <c r="M43" i="95"/>
  <c r="I50" i="164"/>
  <c r="M49" i="164"/>
  <c r="I20" i="74"/>
  <c r="M19" i="74"/>
  <c r="I13" i="70"/>
  <c r="M12" i="70"/>
  <c r="I12" i="68"/>
  <c r="M11" i="68"/>
  <c r="I41" i="87"/>
  <c r="M40" i="87"/>
  <c r="N10" i="48"/>
  <c r="R10" i="48" s="1"/>
  <c r="P10" i="48" s="1"/>
  <c r="N48" i="48"/>
  <c r="N49" i="48"/>
  <c r="R49" i="48" s="1"/>
  <c r="P49" i="48" s="1"/>
  <c r="N50" i="48"/>
  <c r="R50" i="48" s="1"/>
  <c r="P50" i="48" s="1"/>
  <c r="N51" i="48"/>
  <c r="R51" i="48" s="1"/>
  <c r="P51" i="48" s="1"/>
  <c r="N52" i="48"/>
  <c r="R52" i="48" s="1"/>
  <c r="P52" i="48" s="1"/>
  <c r="N53" i="48"/>
  <c r="R53" i="48" s="1"/>
  <c r="P53" i="48" s="1"/>
  <c r="N54" i="48"/>
  <c r="R54" i="48" s="1"/>
  <c r="P54" i="48" s="1"/>
  <c r="N55" i="48"/>
  <c r="R55" i="48" s="1"/>
  <c r="P55" i="48" s="1"/>
  <c r="N56" i="48"/>
  <c r="R56" i="48" s="1"/>
  <c r="P56" i="48" s="1"/>
  <c r="N57" i="48"/>
  <c r="R57" i="48" s="1"/>
  <c r="P57" i="48" s="1"/>
  <c r="N58" i="48"/>
  <c r="R58" i="48" s="1"/>
  <c r="P58" i="48" s="1"/>
  <c r="N59" i="48"/>
  <c r="R59" i="48" s="1"/>
  <c r="P59" i="48" s="1"/>
  <c r="N60" i="48"/>
  <c r="R60" i="48" s="1"/>
  <c r="P60" i="48" s="1"/>
  <c r="N61" i="48"/>
  <c r="R61" i="48" s="1"/>
  <c r="P61" i="48" s="1"/>
  <c r="N62" i="48"/>
  <c r="R62" i="48" s="1"/>
  <c r="P62" i="48" s="1"/>
  <c r="N63" i="48"/>
  <c r="R63" i="48" s="1"/>
  <c r="P63" i="48" s="1"/>
  <c r="N67" i="48"/>
  <c r="R67" i="48" s="1"/>
  <c r="P67" i="48" s="1"/>
  <c r="N69" i="48"/>
  <c r="R69" i="48" s="1"/>
  <c r="P69" i="48" s="1"/>
  <c r="N71" i="48"/>
  <c r="R71" i="48" s="1"/>
  <c r="P71" i="48" s="1"/>
  <c r="N73" i="48"/>
  <c r="R73" i="48" s="1"/>
  <c r="P73" i="48" s="1"/>
  <c r="N83" i="48"/>
  <c r="R83" i="48" s="1"/>
  <c r="P83" i="48" s="1"/>
  <c r="N84" i="48"/>
  <c r="R84" i="48" s="1"/>
  <c r="P84" i="48" s="1"/>
  <c r="L133" i="49"/>
  <c r="N133" i="49" s="1"/>
  <c r="L125" i="49"/>
  <c r="N125" i="49" s="1"/>
  <c r="L109" i="49"/>
  <c r="L117" i="49"/>
  <c r="N117" i="49" s="1"/>
  <c r="L101" i="49"/>
  <c r="N101" i="49" s="1"/>
  <c r="R101" i="49" s="1"/>
  <c r="P101" i="49" s="1"/>
  <c r="N13" i="48"/>
  <c r="R13" i="48" s="1"/>
  <c r="P13" i="48" s="1"/>
  <c r="N15" i="48"/>
  <c r="R15" i="48" s="1"/>
  <c r="P15" i="48" s="1"/>
  <c r="N17" i="48"/>
  <c r="R17" i="48" s="1"/>
  <c r="P17" i="48" s="1"/>
  <c r="N18" i="48"/>
  <c r="R18" i="48" s="1"/>
  <c r="P18" i="48" s="1"/>
  <c r="N19" i="48"/>
  <c r="R19" i="48" s="1"/>
  <c r="P19" i="48" s="1"/>
  <c r="N20" i="48"/>
  <c r="R20" i="48" s="1"/>
  <c r="P20" i="48" s="1"/>
  <c r="N21" i="48"/>
  <c r="R21" i="48" s="1"/>
  <c r="P21" i="48" s="1"/>
  <c r="N22" i="48"/>
  <c r="R22" i="48" s="1"/>
  <c r="P22" i="48" s="1"/>
  <c r="N23" i="48"/>
  <c r="R23" i="48" s="1"/>
  <c r="P23" i="48" s="1"/>
  <c r="N24" i="48"/>
  <c r="R24" i="48" s="1"/>
  <c r="P24" i="48" s="1"/>
  <c r="N25" i="48"/>
  <c r="R25" i="48" s="1"/>
  <c r="P25" i="48" s="1"/>
  <c r="N26" i="48"/>
  <c r="R26" i="48" s="1"/>
  <c r="P26" i="48" s="1"/>
  <c r="N27" i="48"/>
  <c r="R27" i="48" s="1"/>
  <c r="P27" i="48" s="1"/>
  <c r="N28" i="48"/>
  <c r="R28" i="48" s="1"/>
  <c r="P28" i="48" s="1"/>
  <c r="N29" i="48"/>
  <c r="R29" i="48" s="1"/>
  <c r="P29" i="48" s="1"/>
  <c r="N30" i="48"/>
  <c r="R30" i="48" s="1"/>
  <c r="P30" i="48" s="1"/>
  <c r="N31" i="48"/>
  <c r="R31" i="48" s="1"/>
  <c r="P31" i="48" s="1"/>
  <c r="N32" i="48"/>
  <c r="R32" i="48" s="1"/>
  <c r="P32" i="48" s="1"/>
  <c r="N33" i="48"/>
  <c r="R33" i="48" s="1"/>
  <c r="P33" i="48" s="1"/>
  <c r="N34" i="48"/>
  <c r="R34" i="48" s="1"/>
  <c r="P34" i="48" s="1"/>
  <c r="N35" i="48"/>
  <c r="R35" i="48" s="1"/>
  <c r="P35" i="48" s="1"/>
  <c r="N36" i="48"/>
  <c r="R36" i="48" s="1"/>
  <c r="P36" i="48" s="1"/>
  <c r="N37" i="48"/>
  <c r="R37" i="48" s="1"/>
  <c r="P37" i="48" s="1"/>
  <c r="N38" i="48"/>
  <c r="R38" i="48" s="1"/>
  <c r="P38" i="48" s="1"/>
  <c r="N39" i="48"/>
  <c r="R39" i="48" s="1"/>
  <c r="P39" i="48" s="1"/>
  <c r="N40" i="48"/>
  <c r="R40" i="48" s="1"/>
  <c r="P40" i="48" s="1"/>
  <c r="N41" i="48"/>
  <c r="R41" i="48" s="1"/>
  <c r="P41" i="48" s="1"/>
  <c r="N42" i="48"/>
  <c r="R42" i="48" s="1"/>
  <c r="P42" i="48" s="1"/>
  <c r="N43" i="48"/>
  <c r="R43" i="48" s="1"/>
  <c r="P43" i="48" s="1"/>
  <c r="N44" i="48"/>
  <c r="R44" i="48" s="1"/>
  <c r="P44" i="48" s="1"/>
  <c r="N45" i="48"/>
  <c r="R45" i="48" s="1"/>
  <c r="P45" i="48" s="1"/>
  <c r="N46" i="48"/>
  <c r="R46" i="48" s="1"/>
  <c r="P46" i="48" s="1"/>
  <c r="N47" i="48"/>
  <c r="R47" i="48" s="1"/>
  <c r="P47" i="48" s="1"/>
  <c r="L67" i="49"/>
  <c r="L68" i="49"/>
  <c r="N68" i="49" s="1"/>
  <c r="L71" i="49"/>
  <c r="L72" i="49"/>
  <c r="N72" i="49" s="1"/>
  <c r="L77" i="49"/>
  <c r="H82" i="49"/>
  <c r="N82" i="49" s="1"/>
  <c r="L84" i="49"/>
  <c r="N84" i="49" s="1"/>
  <c r="R84" i="49" s="1"/>
  <c r="P84" i="49" s="1"/>
  <c r="L92" i="49"/>
  <c r="N92" i="49" s="1"/>
  <c r="L95" i="49"/>
  <c r="N95" i="49" s="1"/>
  <c r="P95" i="49" s="1"/>
  <c r="I13" i="69"/>
  <c r="M12" i="69"/>
  <c r="I15" i="72"/>
  <c r="M14" i="72"/>
  <c r="P10" i="49"/>
  <c r="R10" i="49"/>
  <c r="J14" i="48"/>
  <c r="J16" i="48"/>
  <c r="R95" i="49"/>
  <c r="R92" i="49"/>
  <c r="P92" i="49"/>
  <c r="J9" i="48"/>
  <c r="P91" i="49"/>
  <c r="P94" i="49"/>
  <c r="P9" i="49"/>
  <c r="R14" i="49"/>
  <c r="P14" i="49"/>
  <c r="R16" i="49"/>
  <c r="P16" i="49"/>
  <c r="R52" i="49"/>
  <c r="P52" i="49"/>
  <c r="P75" i="49"/>
  <c r="R75" i="49"/>
  <c r="R78" i="49"/>
  <c r="P78" i="49"/>
  <c r="P80" i="49"/>
  <c r="R80" i="49"/>
  <c r="R82" i="49"/>
  <c r="P82" i="49"/>
  <c r="P54" i="49"/>
  <c r="R54" i="49"/>
  <c r="P56" i="49"/>
  <c r="R56" i="49"/>
  <c r="P58" i="49"/>
  <c r="R58" i="49"/>
  <c r="P60" i="49"/>
  <c r="R60" i="49"/>
  <c r="P62" i="49"/>
  <c r="R62" i="49"/>
  <c r="P64" i="49"/>
  <c r="R64" i="49"/>
  <c r="P66" i="49"/>
  <c r="R66" i="49"/>
  <c r="P68" i="49"/>
  <c r="R68" i="49"/>
  <c r="P70" i="49"/>
  <c r="R70" i="49"/>
  <c r="P72" i="49"/>
  <c r="R72" i="49"/>
  <c r="P74" i="49"/>
  <c r="R74" i="49"/>
  <c r="P76" i="49"/>
  <c r="R76" i="49"/>
  <c r="R81" i="49"/>
  <c r="P81" i="49"/>
  <c r="P83" i="49"/>
  <c r="R83" i="49"/>
  <c r="P87" i="49"/>
  <c r="R87" i="49"/>
  <c r="P88" i="49"/>
  <c r="R88" i="49"/>
  <c r="P12" i="49"/>
  <c r="N86" i="49"/>
  <c r="P104" i="49"/>
  <c r="R100" i="49"/>
  <c r="R99" i="49"/>
  <c r="N104" i="49"/>
  <c r="P98" i="48"/>
  <c r="R98" i="48"/>
  <c r="R48" i="48"/>
  <c r="P48" i="48"/>
  <c r="L64" i="48"/>
  <c r="N64" i="48" s="1"/>
  <c r="R78" i="48"/>
  <c r="P78" i="48" s="1"/>
  <c r="P95" i="48"/>
  <c r="R95" i="48"/>
  <c r="P97" i="48"/>
  <c r="R97" i="48"/>
  <c r="P99" i="48"/>
  <c r="R99" i="48"/>
  <c r="P101" i="48"/>
  <c r="R101" i="48"/>
  <c r="P93" i="48"/>
  <c r="P94" i="48"/>
  <c r="E22" i="21"/>
  <c r="G22" i="21"/>
  <c r="E16" i="21"/>
  <c r="P64" i="48" l="1"/>
  <c r="R64" i="48"/>
  <c r="I16" i="72"/>
  <c r="M15" i="72"/>
  <c r="R125" i="49"/>
  <c r="N128" i="49"/>
  <c r="P125" i="49"/>
  <c r="P128" i="49" s="1"/>
  <c r="I13" i="68"/>
  <c r="I21" i="74"/>
  <c r="M20" i="74"/>
  <c r="I45" i="95"/>
  <c r="M44" i="95"/>
  <c r="I24" i="79"/>
  <c r="M23" i="79"/>
  <c r="O44" i="93"/>
  <c r="I45" i="93"/>
  <c r="M44" i="93"/>
  <c r="I14" i="69"/>
  <c r="M13" i="69"/>
  <c r="R133" i="49"/>
  <c r="N136" i="49"/>
  <c r="P133" i="49"/>
  <c r="P136" i="49" s="1"/>
  <c r="I42" i="87"/>
  <c r="M41" i="87"/>
  <c r="I14" i="70"/>
  <c r="M13" i="70"/>
  <c r="I51" i="164"/>
  <c r="M50" i="164"/>
  <c r="I19" i="73"/>
  <c r="M18" i="73"/>
  <c r="I24" i="78"/>
  <c r="M23" i="78"/>
  <c r="I20" i="75"/>
  <c r="M19" i="75"/>
  <c r="H96" i="49"/>
  <c r="H142" i="49" s="1"/>
  <c r="E31" i="21"/>
  <c r="E49" i="21" s="1"/>
  <c r="R86" i="49"/>
  <c r="P86" i="49"/>
  <c r="A1" i="22"/>
  <c r="A1" i="10"/>
  <c r="E28" i="19"/>
  <c r="H23" i="19"/>
  <c r="H22" i="19"/>
  <c r="H21" i="19"/>
  <c r="A1" i="19"/>
  <c r="J51" i="215"/>
  <c r="I52" i="164" l="1"/>
  <c r="O51" i="164" s="1"/>
  <c r="M51" i="164"/>
  <c r="I43" i="87"/>
  <c r="M42" i="87"/>
  <c r="I15" i="69"/>
  <c r="M14" i="69"/>
  <c r="I22" i="74"/>
  <c r="M21" i="74"/>
  <c r="I14" i="68"/>
  <c r="M13" i="68"/>
  <c r="I17" i="72"/>
  <c r="M16" i="72"/>
  <c r="I21" i="75"/>
  <c r="M20" i="75"/>
  <c r="I25" i="78"/>
  <c r="M24" i="78"/>
  <c r="I20" i="73"/>
  <c r="M19" i="73"/>
  <c r="I15" i="70"/>
  <c r="M14" i="70"/>
  <c r="O45" i="93"/>
  <c r="O10" i="93"/>
  <c r="M10" i="93" s="1"/>
  <c r="M45" i="93"/>
  <c r="O11" i="93"/>
  <c r="O12" i="93"/>
  <c r="O13" i="93"/>
  <c r="O14" i="93"/>
  <c r="O15" i="93"/>
  <c r="O16" i="93"/>
  <c r="O17" i="93"/>
  <c r="O18" i="93"/>
  <c r="O19" i="93"/>
  <c r="O20" i="93"/>
  <c r="O21" i="93"/>
  <c r="O22" i="93"/>
  <c r="O23" i="93"/>
  <c r="O24" i="93"/>
  <c r="O25" i="93"/>
  <c r="O26" i="93"/>
  <c r="O27" i="93"/>
  <c r="O28" i="93"/>
  <c r="O29" i="93"/>
  <c r="O30" i="93"/>
  <c r="O31" i="93"/>
  <c r="O32" i="93"/>
  <c r="O33" i="93"/>
  <c r="O34" i="93"/>
  <c r="O35" i="93"/>
  <c r="O36" i="93"/>
  <c r="O37" i="93"/>
  <c r="O38" i="93"/>
  <c r="O39" i="93"/>
  <c r="O40" i="93"/>
  <c r="O41" i="93"/>
  <c r="O42" i="93"/>
  <c r="O43" i="93"/>
  <c r="I25" i="79"/>
  <c r="M24" i="79"/>
  <c r="I46" i="95"/>
  <c r="M45" i="95"/>
  <c r="O29" i="21"/>
  <c r="H39" i="19"/>
  <c r="I21" i="73" l="1"/>
  <c r="M20" i="73"/>
  <c r="I26" i="78"/>
  <c r="M25" i="78"/>
  <c r="I22" i="75"/>
  <c r="M21" i="75"/>
  <c r="I15" i="68"/>
  <c r="M14" i="68"/>
  <c r="I16" i="69"/>
  <c r="M15" i="69"/>
  <c r="O52" i="164"/>
  <c r="M52" i="164"/>
  <c r="O10" i="164"/>
  <c r="O11" i="164"/>
  <c r="O12" i="164"/>
  <c r="O13" i="164"/>
  <c r="O14" i="164"/>
  <c r="O15" i="164"/>
  <c r="O16" i="164"/>
  <c r="O17" i="164"/>
  <c r="O18" i="164"/>
  <c r="O19" i="164"/>
  <c r="O20" i="164"/>
  <c r="O21" i="164"/>
  <c r="O22" i="164"/>
  <c r="O23" i="164"/>
  <c r="O24" i="164"/>
  <c r="O25" i="164"/>
  <c r="O26" i="164"/>
  <c r="O27" i="164"/>
  <c r="O28" i="164"/>
  <c r="O29" i="164"/>
  <c r="O30" i="164"/>
  <c r="O31" i="164"/>
  <c r="O32" i="164"/>
  <c r="O33" i="164"/>
  <c r="O34" i="164"/>
  <c r="O35" i="164"/>
  <c r="O36" i="164"/>
  <c r="O37" i="164"/>
  <c r="O38" i="164"/>
  <c r="O39" i="164"/>
  <c r="O40" i="164"/>
  <c r="O41" i="164"/>
  <c r="O42" i="164"/>
  <c r="O43" i="164"/>
  <c r="O44" i="164"/>
  <c r="O45" i="164"/>
  <c r="O46" i="164"/>
  <c r="O47" i="164"/>
  <c r="O48" i="164"/>
  <c r="O49" i="164"/>
  <c r="O50" i="164"/>
  <c r="I47" i="95"/>
  <c r="M46" i="95"/>
  <c r="I26" i="79"/>
  <c r="M25" i="79"/>
  <c r="I16" i="70"/>
  <c r="M15" i="70"/>
  <c r="I18" i="72"/>
  <c r="M17" i="72"/>
  <c r="I23" i="74"/>
  <c r="M22" i="74"/>
  <c r="I44" i="87"/>
  <c r="M43" i="87"/>
  <c r="R11" i="215"/>
  <c r="D107" i="216"/>
  <c r="F20" i="216"/>
  <c r="F19" i="216"/>
  <c r="F18" i="216"/>
  <c r="F17" i="216"/>
  <c r="F16" i="216"/>
  <c r="F15" i="216"/>
  <c r="F14" i="216"/>
  <c r="F13" i="216"/>
  <c r="F12" i="216"/>
  <c r="F11" i="216"/>
  <c r="C39" i="57"/>
  <c r="I24" i="74" l="1"/>
  <c r="M23" i="74"/>
  <c r="I17" i="70"/>
  <c r="M16" i="70"/>
  <c r="I27" i="79"/>
  <c r="M26" i="79"/>
  <c r="I48" i="95"/>
  <c r="M47" i="95"/>
  <c r="I17" i="69"/>
  <c r="M16" i="69"/>
  <c r="I23" i="75"/>
  <c r="M22" i="75"/>
  <c r="I27" i="78"/>
  <c r="M26" i="78"/>
  <c r="I22" i="73"/>
  <c r="M21" i="73"/>
  <c r="I45" i="87"/>
  <c r="M44" i="87"/>
  <c r="I19" i="72"/>
  <c r="M18" i="72"/>
  <c r="I16" i="68"/>
  <c r="M15" i="68"/>
  <c r="H11" i="215"/>
  <c r="T11" i="215"/>
  <c r="H12" i="216"/>
  <c r="H14" i="216"/>
  <c r="H16" i="216"/>
  <c r="H18" i="216"/>
  <c r="H20" i="216"/>
  <c r="H11" i="216"/>
  <c r="H13" i="216"/>
  <c r="H15" i="216"/>
  <c r="H17" i="216"/>
  <c r="H19" i="216"/>
  <c r="G21" i="57"/>
  <c r="I17" i="68" l="1"/>
  <c r="M16" i="68"/>
  <c r="I46" i="87"/>
  <c r="M45" i="87"/>
  <c r="I18" i="69"/>
  <c r="M17" i="69"/>
  <c r="I25" i="74"/>
  <c r="M24" i="74"/>
  <c r="I20" i="72"/>
  <c r="M19" i="72"/>
  <c r="I23" i="73"/>
  <c r="M22" i="73"/>
  <c r="I28" i="78"/>
  <c r="M27" i="78"/>
  <c r="I24" i="75"/>
  <c r="M23" i="75"/>
  <c r="I49" i="95"/>
  <c r="M48" i="95"/>
  <c r="I28" i="79"/>
  <c r="M27" i="79"/>
  <c r="I18" i="70"/>
  <c r="M17" i="70"/>
  <c r="E21" i="57"/>
  <c r="I21" i="57" s="1"/>
  <c r="E13" i="57"/>
  <c r="Q98" i="56"/>
  <c r="I25" i="75" l="1"/>
  <c r="M24" i="75"/>
  <c r="I21" i="72"/>
  <c r="M20" i="72"/>
  <c r="I19" i="69"/>
  <c r="M18" i="69"/>
  <c r="I18" i="68"/>
  <c r="M17" i="68"/>
  <c r="I19" i="70"/>
  <c r="M18" i="70"/>
  <c r="I29" i="79"/>
  <c r="M28" i="79"/>
  <c r="I50" i="95"/>
  <c r="M49" i="95"/>
  <c r="O28" i="78"/>
  <c r="O11" i="78"/>
  <c r="M11" i="78" s="1"/>
  <c r="O12" i="78"/>
  <c r="O13" i="78"/>
  <c r="M28" i="78"/>
  <c r="O10" i="78"/>
  <c r="O14" i="78"/>
  <c r="O15" i="78"/>
  <c r="O16" i="78"/>
  <c r="O17" i="78"/>
  <c r="O18" i="78"/>
  <c r="O19" i="78"/>
  <c r="O20" i="78"/>
  <c r="O21" i="78"/>
  <c r="O22" i="78"/>
  <c r="O23" i="78"/>
  <c r="O24" i="78"/>
  <c r="O25" i="78"/>
  <c r="O26" i="78"/>
  <c r="I24" i="73"/>
  <c r="M23" i="73"/>
  <c r="I26" i="74"/>
  <c r="M25" i="74"/>
  <c r="I47" i="87"/>
  <c r="M46" i="87"/>
  <c r="V13" i="215"/>
  <c r="V15" i="215"/>
  <c r="V17" i="215"/>
  <c r="V19" i="215"/>
  <c r="V20" i="215"/>
  <c r="V22" i="215"/>
  <c r="V25" i="215"/>
  <c r="V27" i="215"/>
  <c r="V28" i="215"/>
  <c r="V30" i="215"/>
  <c r="V32" i="215"/>
  <c r="V34" i="215"/>
  <c r="V36" i="215"/>
  <c r="V38" i="215"/>
  <c r="V40" i="215"/>
  <c r="V42" i="215"/>
  <c r="V45" i="215"/>
  <c r="V47" i="215"/>
  <c r="V49" i="215"/>
  <c r="V12" i="215"/>
  <c r="V14" i="215"/>
  <c r="V16" i="215"/>
  <c r="V18" i="215"/>
  <c r="V43" i="215"/>
  <c r="V21" i="215"/>
  <c r="V23" i="215"/>
  <c r="V26" i="215"/>
  <c r="V35" i="215"/>
  <c r="V29" i="215"/>
  <c r="V31" i="215"/>
  <c r="V33" i="215"/>
  <c r="V24" i="215"/>
  <c r="V37" i="215"/>
  <c r="V39" i="215"/>
  <c r="V41" i="215"/>
  <c r="V44" i="215"/>
  <c r="V46" i="215"/>
  <c r="V48" i="215"/>
  <c r="V50" i="215"/>
  <c r="V11" i="215"/>
  <c r="G13" i="57"/>
  <c r="I13" i="57" s="1"/>
  <c r="I80" i="56"/>
  <c r="I48" i="87" l="1"/>
  <c r="M47" i="87"/>
  <c r="I25" i="73"/>
  <c r="M24" i="73"/>
  <c r="I51" i="95"/>
  <c r="M50" i="95"/>
  <c r="I30" i="79"/>
  <c r="M29" i="79"/>
  <c r="I20" i="70"/>
  <c r="M19" i="70"/>
  <c r="I20" i="69"/>
  <c r="M19" i="69"/>
  <c r="I26" i="75"/>
  <c r="M25" i="75"/>
  <c r="I27" i="74"/>
  <c r="M26" i="74"/>
  <c r="I19" i="68"/>
  <c r="M18" i="68"/>
  <c r="I22" i="72"/>
  <c r="M21" i="72"/>
  <c r="P12" i="215"/>
  <c r="X12" i="215" s="1"/>
  <c r="P14" i="215"/>
  <c r="X14" i="215" s="1"/>
  <c r="P16" i="215"/>
  <c r="X16" i="215" s="1"/>
  <c r="P18" i="215"/>
  <c r="X18" i="215" s="1"/>
  <c r="P43" i="215"/>
  <c r="X43" i="215" s="1"/>
  <c r="P21" i="215"/>
  <c r="X21" i="215" s="1"/>
  <c r="P23" i="215"/>
  <c r="X23" i="215" s="1"/>
  <c r="P26" i="215"/>
  <c r="X26" i="215" s="1"/>
  <c r="P35" i="215"/>
  <c r="X35" i="215" s="1"/>
  <c r="P29" i="215"/>
  <c r="X29" i="215" s="1"/>
  <c r="P31" i="215"/>
  <c r="X31" i="215" s="1"/>
  <c r="P33" i="215"/>
  <c r="X33" i="215" s="1"/>
  <c r="P24" i="215"/>
  <c r="X24" i="215" s="1"/>
  <c r="P37" i="215"/>
  <c r="X37" i="215" s="1"/>
  <c r="P39" i="215"/>
  <c r="X39" i="215" s="1"/>
  <c r="P41" i="215"/>
  <c r="X41" i="215" s="1"/>
  <c r="P44" i="215"/>
  <c r="X44" i="215" s="1"/>
  <c r="P46" i="215"/>
  <c r="X46" i="215" s="1"/>
  <c r="P48" i="215"/>
  <c r="X48" i="215" s="1"/>
  <c r="P50" i="215"/>
  <c r="X50" i="215" s="1"/>
  <c r="P13" i="215"/>
  <c r="X13" i="215" s="1"/>
  <c r="P15" i="215"/>
  <c r="X15" i="215" s="1"/>
  <c r="P17" i="215"/>
  <c r="X17" i="215" s="1"/>
  <c r="P19" i="215"/>
  <c r="X19" i="215" s="1"/>
  <c r="P20" i="215"/>
  <c r="X20" i="215" s="1"/>
  <c r="P22" i="215"/>
  <c r="X22" i="215" s="1"/>
  <c r="P25" i="215"/>
  <c r="X25" i="215" s="1"/>
  <c r="P27" i="215"/>
  <c r="X27" i="215" s="1"/>
  <c r="P28" i="215"/>
  <c r="X28" i="215" s="1"/>
  <c r="P30" i="215"/>
  <c r="X30" i="215" s="1"/>
  <c r="P32" i="215"/>
  <c r="X32" i="215" s="1"/>
  <c r="P34" i="215"/>
  <c r="X34" i="215" s="1"/>
  <c r="P36" i="215"/>
  <c r="X36" i="215" s="1"/>
  <c r="P38" i="215"/>
  <c r="X38" i="215" s="1"/>
  <c r="P40" i="215"/>
  <c r="X40" i="215" s="1"/>
  <c r="P42" i="215"/>
  <c r="X42" i="215" s="1"/>
  <c r="P45" i="215"/>
  <c r="X45" i="215" s="1"/>
  <c r="P47" i="215"/>
  <c r="X47" i="215" s="1"/>
  <c r="P49" i="215"/>
  <c r="X49" i="215" s="1"/>
  <c r="P11" i="215"/>
  <c r="X11" i="215" s="1"/>
  <c r="V51" i="215"/>
  <c r="V53" i="56"/>
  <c r="T53" i="56"/>
  <c r="R53" i="56"/>
  <c r="P53" i="56"/>
  <c r="N53" i="56"/>
  <c r="J53" i="56"/>
  <c r="H53" i="56"/>
  <c r="B52" i="56"/>
  <c r="B51" i="56"/>
  <c r="B50" i="56"/>
  <c r="B49" i="56"/>
  <c r="I20" i="68" l="1"/>
  <c r="M19" i="68"/>
  <c r="I27" i="75"/>
  <c r="M26" i="75"/>
  <c r="I21" i="70"/>
  <c r="M20" i="70"/>
  <c r="I31" i="79"/>
  <c r="M30" i="79"/>
  <c r="I52" i="95"/>
  <c r="M51" i="95"/>
  <c r="I49" i="87"/>
  <c r="M48" i="87"/>
  <c r="I23" i="72"/>
  <c r="M22" i="72"/>
  <c r="I28" i="74"/>
  <c r="M27" i="74"/>
  <c r="I21" i="69"/>
  <c r="M20" i="69"/>
  <c r="I26" i="73"/>
  <c r="M25" i="73"/>
  <c r="B48" i="56"/>
  <c r="AE28" i="56"/>
  <c r="AK28" i="56" s="1"/>
  <c r="E28" i="56" s="1"/>
  <c r="S28" i="56"/>
  <c r="Q28" i="56"/>
  <c r="I28" i="56"/>
  <c r="AE27" i="56"/>
  <c r="AK27" i="56" s="1"/>
  <c r="E27" i="56" s="1"/>
  <c r="S27" i="56" s="1"/>
  <c r="I27" i="56"/>
  <c r="AE26" i="56"/>
  <c r="AK26" i="56" s="1"/>
  <c r="E26" i="56" s="1"/>
  <c r="S26" i="56"/>
  <c r="Q26" i="56"/>
  <c r="I26" i="56"/>
  <c r="AE25" i="56"/>
  <c r="AK25" i="56" s="1"/>
  <c r="E25" i="56" s="1"/>
  <c r="S25" i="56" s="1"/>
  <c r="Q25" i="56"/>
  <c r="I25" i="56"/>
  <c r="AE24" i="56"/>
  <c r="AK24" i="56" s="1"/>
  <c r="E24" i="56" s="1"/>
  <c r="S24" i="56" s="1"/>
  <c r="I24" i="56"/>
  <c r="AI21" i="56"/>
  <c r="AG14" i="53" s="1"/>
  <c r="AE21" i="56"/>
  <c r="AE14" i="53" s="1"/>
  <c r="I21" i="56"/>
  <c r="I14" i="53" s="1"/>
  <c r="AI20" i="56"/>
  <c r="AG13" i="53" s="1"/>
  <c r="AE20" i="56"/>
  <c r="AE13" i="53" s="1"/>
  <c r="I20" i="56"/>
  <c r="I13" i="53" s="1"/>
  <c r="AI19" i="56"/>
  <c r="AE19" i="56"/>
  <c r="I19" i="56"/>
  <c r="AI18" i="56"/>
  <c r="AG12" i="53" s="1"/>
  <c r="AE18" i="56"/>
  <c r="AE12" i="53" s="1"/>
  <c r="I18" i="56"/>
  <c r="I12" i="53" s="1"/>
  <c r="AI17" i="56"/>
  <c r="AK17" i="56" s="1"/>
  <c r="E17" i="56" s="1"/>
  <c r="AE17" i="56"/>
  <c r="I17" i="56"/>
  <c r="AI16" i="56"/>
  <c r="AE16" i="56"/>
  <c r="I16" i="56"/>
  <c r="AI15" i="56"/>
  <c r="AE15" i="56"/>
  <c r="I15" i="56"/>
  <c r="AI14" i="56"/>
  <c r="AE14" i="56"/>
  <c r="I14" i="56"/>
  <c r="I11" i="53" s="1"/>
  <c r="AI13" i="56"/>
  <c r="AE13" i="56"/>
  <c r="I13" i="56"/>
  <c r="AI12" i="56"/>
  <c r="AE12" i="56"/>
  <c r="I12" i="56"/>
  <c r="AI11" i="56"/>
  <c r="AE11" i="56"/>
  <c r="AK12" i="56" l="1"/>
  <c r="E12" i="56" s="1"/>
  <c r="Q27" i="56"/>
  <c r="AK19" i="56"/>
  <c r="E19" i="56" s="1"/>
  <c r="Q24" i="56"/>
  <c r="I17" i="53"/>
  <c r="I22" i="53"/>
  <c r="AK16" i="56"/>
  <c r="E16" i="56" s="1"/>
  <c r="K24" i="56"/>
  <c r="G24" i="56"/>
  <c r="M24" i="56" s="1"/>
  <c r="K26" i="56"/>
  <c r="G26" i="56"/>
  <c r="M26" i="56" s="1"/>
  <c r="K28" i="56"/>
  <c r="G28" i="56"/>
  <c r="M28" i="56" s="1"/>
  <c r="I22" i="69"/>
  <c r="M21" i="69"/>
  <c r="I24" i="72"/>
  <c r="M23" i="72"/>
  <c r="I53" i="95"/>
  <c r="O52" i="95" s="1"/>
  <c r="M52" i="95"/>
  <c r="I32" i="79"/>
  <c r="M31" i="79"/>
  <c r="I22" i="70"/>
  <c r="M21" i="70"/>
  <c r="I21" i="68"/>
  <c r="M20" i="68"/>
  <c r="AK11" i="56"/>
  <c r="E11" i="56" s="1"/>
  <c r="AK13" i="56"/>
  <c r="E13" i="56" s="1"/>
  <c r="G13" i="56" s="1"/>
  <c r="AK15" i="56"/>
  <c r="E15" i="56" s="1"/>
  <c r="G15" i="56" s="1"/>
  <c r="G25" i="56"/>
  <c r="M25" i="56" s="1"/>
  <c r="K25" i="56"/>
  <c r="G27" i="56"/>
  <c r="M27" i="56" s="1"/>
  <c r="K27" i="56"/>
  <c r="I27" i="73"/>
  <c r="M26" i="73"/>
  <c r="I29" i="74"/>
  <c r="M28" i="74"/>
  <c r="I50" i="87"/>
  <c r="M49" i="87"/>
  <c r="I28" i="75"/>
  <c r="M27" i="75"/>
  <c r="K13" i="56"/>
  <c r="K11" i="56"/>
  <c r="G11" i="56"/>
  <c r="K15" i="56"/>
  <c r="K19" i="56"/>
  <c r="G19" i="56"/>
  <c r="G17" i="56"/>
  <c r="K17" i="56"/>
  <c r="K12" i="56"/>
  <c r="G12" i="56"/>
  <c r="E36" i="56"/>
  <c r="K16" i="56"/>
  <c r="G16" i="56"/>
  <c r="AK20" i="56"/>
  <c r="AI13" i="53" s="1"/>
  <c r="E13" i="53" s="1"/>
  <c r="E24" i="53" s="1"/>
  <c r="AK21" i="56"/>
  <c r="AG17" i="53"/>
  <c r="AE30" i="56"/>
  <c r="AK14" i="56"/>
  <c r="E14" i="56" s="1"/>
  <c r="K43" i="56"/>
  <c r="I43" i="56" s="1"/>
  <c r="S19" i="56"/>
  <c r="S43" i="56" s="1"/>
  <c r="Q19" i="56"/>
  <c r="Q43" i="56" s="1"/>
  <c r="AK18" i="56"/>
  <c r="E18" i="56" s="1"/>
  <c r="Q17" i="56"/>
  <c r="S17" i="56"/>
  <c r="S16" i="56"/>
  <c r="Q16" i="56"/>
  <c r="Q15" i="56"/>
  <c r="S15" i="56"/>
  <c r="Q13" i="56"/>
  <c r="Q37" i="56" s="1"/>
  <c r="S13" i="56"/>
  <c r="Q12" i="56"/>
  <c r="S12" i="56"/>
  <c r="AI30" i="56"/>
  <c r="U11" i="56"/>
  <c r="O11" i="56"/>
  <c r="I11" i="56"/>
  <c r="S11" i="56"/>
  <c r="E37" i="56" l="1"/>
  <c r="I30" i="56"/>
  <c r="I35" i="56"/>
  <c r="I51" i="87"/>
  <c r="M50" i="87"/>
  <c r="I28" i="73"/>
  <c r="M27" i="73"/>
  <c r="I22" i="68"/>
  <c r="M21" i="68"/>
  <c r="I25" i="72"/>
  <c r="M24" i="72"/>
  <c r="I29" i="75"/>
  <c r="M28" i="75"/>
  <c r="I30" i="74"/>
  <c r="M29" i="74"/>
  <c r="I23" i="70"/>
  <c r="M22" i="70"/>
  <c r="I33" i="79"/>
  <c r="M32" i="79"/>
  <c r="O53" i="95"/>
  <c r="M53" i="95"/>
  <c r="O10" i="95"/>
  <c r="M10" i="95" s="1"/>
  <c r="O11" i="95"/>
  <c r="O12" i="95"/>
  <c r="O13" i="95"/>
  <c r="O14" i="95"/>
  <c r="O15" i="95"/>
  <c r="O16" i="95"/>
  <c r="O17" i="95"/>
  <c r="O18" i="95"/>
  <c r="O19" i="95"/>
  <c r="O20" i="95"/>
  <c r="O21" i="95"/>
  <c r="O22" i="95"/>
  <c r="O23" i="95"/>
  <c r="O24" i="95"/>
  <c r="O25" i="95"/>
  <c r="O26" i="95"/>
  <c r="O27" i="95"/>
  <c r="O28" i="95"/>
  <c r="O29" i="95"/>
  <c r="O30" i="95"/>
  <c r="O31" i="95"/>
  <c r="O32" i="95"/>
  <c r="O33" i="95"/>
  <c r="O34" i="95"/>
  <c r="O35" i="95"/>
  <c r="O36" i="95"/>
  <c r="O37" i="95"/>
  <c r="O38" i="95"/>
  <c r="O39" i="95"/>
  <c r="O40" i="95"/>
  <c r="O41" i="95"/>
  <c r="O42" i="95"/>
  <c r="O43" i="95"/>
  <c r="O44" i="95"/>
  <c r="O45" i="95"/>
  <c r="O46" i="95"/>
  <c r="O47" i="95"/>
  <c r="O48" i="95"/>
  <c r="O49" i="95"/>
  <c r="O50" i="95"/>
  <c r="O51" i="95"/>
  <c r="I23" i="69"/>
  <c r="M22" i="69"/>
  <c r="E20" i="56"/>
  <c r="K20" i="56" s="1"/>
  <c r="K13" i="53" s="1"/>
  <c r="K18" i="56"/>
  <c r="G18" i="56"/>
  <c r="G20" i="56"/>
  <c r="K14" i="56"/>
  <c r="G14" i="56"/>
  <c r="E38" i="56"/>
  <c r="AI14" i="53"/>
  <c r="E14" i="53" s="1"/>
  <c r="E25" i="53" s="1"/>
  <c r="E21" i="56"/>
  <c r="AI11" i="53"/>
  <c r="E11" i="53" s="1"/>
  <c r="E22" i="53" s="1"/>
  <c r="AK30" i="56"/>
  <c r="AE11" i="53"/>
  <c r="AE17" i="53" s="1"/>
  <c r="K11" i="53"/>
  <c r="K22" i="53" s="1"/>
  <c r="Q14" i="56"/>
  <c r="Q11" i="53" s="1"/>
  <c r="Q22" i="53" s="1"/>
  <c r="S14" i="56"/>
  <c r="S11" i="53" s="1"/>
  <c r="S22" i="53" s="1"/>
  <c r="E44" i="56"/>
  <c r="S20" i="56"/>
  <c r="S13" i="53" s="1"/>
  <c r="Q20" i="56"/>
  <c r="Q13" i="53" s="1"/>
  <c r="G43" i="56"/>
  <c r="E43" i="56" s="1"/>
  <c r="M19" i="56"/>
  <c r="AI12" i="53"/>
  <c r="G41" i="56"/>
  <c r="E41" i="56" s="1"/>
  <c r="M17" i="56"/>
  <c r="G40" i="56"/>
  <c r="E40" i="56" s="1"/>
  <c r="M16" i="56"/>
  <c r="M15" i="56"/>
  <c r="G39" i="56"/>
  <c r="E39" i="56" s="1"/>
  <c r="M13" i="56"/>
  <c r="G37" i="56"/>
  <c r="M12" i="56"/>
  <c r="S35" i="56"/>
  <c r="E35" i="56"/>
  <c r="Q11" i="56"/>
  <c r="W11" i="56" s="1"/>
  <c r="U25" i="56"/>
  <c r="U26" i="56" s="1"/>
  <c r="U35" i="56"/>
  <c r="U12" i="56"/>
  <c r="O25" i="56"/>
  <c r="O35" i="56"/>
  <c r="O12" i="56"/>
  <c r="F30" i="29"/>
  <c r="I24" i="69" l="1"/>
  <c r="M23" i="69"/>
  <c r="I34" i="79"/>
  <c r="M33" i="79"/>
  <c r="I24" i="70"/>
  <c r="M23" i="70"/>
  <c r="I30" i="75"/>
  <c r="M29" i="75"/>
  <c r="I23" i="68"/>
  <c r="M22" i="68"/>
  <c r="I52" i="87"/>
  <c r="M51" i="87"/>
  <c r="I31" i="74"/>
  <c r="M30" i="74"/>
  <c r="I26" i="72"/>
  <c r="M25" i="72"/>
  <c r="I29" i="73"/>
  <c r="M28" i="73"/>
  <c r="K21" i="56"/>
  <c r="G21" i="56"/>
  <c r="G14" i="53" s="1"/>
  <c r="Q21" i="56"/>
  <c r="Q14" i="53" s="1"/>
  <c r="S21" i="56"/>
  <c r="S14" i="53" s="1"/>
  <c r="K14" i="53"/>
  <c r="E45" i="56"/>
  <c r="G11" i="53"/>
  <c r="G22" i="53" s="1"/>
  <c r="M22" i="53" s="1"/>
  <c r="M14" i="56"/>
  <c r="M11" i="53" s="1"/>
  <c r="G13" i="53"/>
  <c r="M20" i="56"/>
  <c r="M13" i="53" s="1"/>
  <c r="K12" i="53"/>
  <c r="E42" i="56"/>
  <c r="Q18" i="56"/>
  <c r="Q12" i="53" s="1"/>
  <c r="S18" i="56"/>
  <c r="E12" i="53"/>
  <c r="E23" i="53" s="1"/>
  <c r="AI17" i="53"/>
  <c r="E30" i="56"/>
  <c r="K35" i="56"/>
  <c r="Q35" i="56"/>
  <c r="W35" i="56" s="1"/>
  <c r="G35" i="56"/>
  <c r="M11" i="56"/>
  <c r="W25" i="56"/>
  <c r="U36" i="56"/>
  <c r="S36" i="56" s="1"/>
  <c r="Q36" i="56" s="1"/>
  <c r="O36" i="56" s="1"/>
  <c r="U28" i="56"/>
  <c r="U13" i="56"/>
  <c r="U14" i="56" s="1"/>
  <c r="O26" i="56"/>
  <c r="O13" i="56"/>
  <c r="W12" i="56"/>
  <c r="A1" i="29"/>
  <c r="I830" i="27"/>
  <c r="I30" i="73" l="1"/>
  <c r="M29" i="73"/>
  <c r="I32" i="74"/>
  <c r="M31" i="74"/>
  <c r="I24" i="68"/>
  <c r="O23" i="68" s="1"/>
  <c r="M23" i="68"/>
  <c r="I25" i="70"/>
  <c r="M24" i="70"/>
  <c r="I35" i="79"/>
  <c r="M34" i="79"/>
  <c r="I25" i="69"/>
  <c r="M24" i="69"/>
  <c r="I27" i="72"/>
  <c r="M26" i="72"/>
  <c r="I53" i="87"/>
  <c r="M52" i="87"/>
  <c r="I31" i="75"/>
  <c r="M30" i="75"/>
  <c r="Q30" i="56"/>
  <c r="M21" i="56"/>
  <c r="M14" i="53" s="1"/>
  <c r="K30" i="56"/>
  <c r="K17" i="53"/>
  <c r="G12" i="53"/>
  <c r="M18" i="56"/>
  <c r="M12" i="53" s="1"/>
  <c r="S12" i="53"/>
  <c r="S17" i="53" s="1"/>
  <c r="S30" i="56"/>
  <c r="E17" i="53"/>
  <c r="Q17" i="53"/>
  <c r="Q23" i="53"/>
  <c r="G30" i="56"/>
  <c r="M35" i="56"/>
  <c r="U11" i="53"/>
  <c r="U15" i="56"/>
  <c r="W36" i="56"/>
  <c r="O37" i="56"/>
  <c r="O14" i="56"/>
  <c r="W13" i="56"/>
  <c r="I817" i="27"/>
  <c r="E817" i="27"/>
  <c r="I815" i="27"/>
  <c r="E815" i="27"/>
  <c r="I813" i="27"/>
  <c r="E813" i="27"/>
  <c r="I810" i="27"/>
  <c r="I811" i="27" s="1"/>
  <c r="E810" i="27"/>
  <c r="E811" i="27" s="1"/>
  <c r="C808" i="27"/>
  <c r="E803" i="27"/>
  <c r="I802" i="27"/>
  <c r="I800" i="27"/>
  <c r="E800" i="27"/>
  <c r="I799" i="27"/>
  <c r="E799" i="27"/>
  <c r="I798" i="27"/>
  <c r="I804" i="27" s="1"/>
  <c r="E798" i="27"/>
  <c r="E804" i="27" s="1"/>
  <c r="C796" i="27"/>
  <c r="C795" i="27"/>
  <c r="C794" i="27"/>
  <c r="C793" i="27"/>
  <c r="M788" i="27"/>
  <c r="I787" i="27"/>
  <c r="E787" i="27"/>
  <c r="C784" i="27"/>
  <c r="C783" i="27"/>
  <c r="C782" i="27"/>
  <c r="C781" i="27"/>
  <c r="E776" i="27"/>
  <c r="M775" i="27"/>
  <c r="I775" i="27"/>
  <c r="M774" i="27"/>
  <c r="I774" i="27"/>
  <c r="E774" i="27"/>
  <c r="I772" i="27"/>
  <c r="E772" i="27"/>
  <c r="I771" i="27"/>
  <c r="I777" i="27" s="1"/>
  <c r="E771" i="27"/>
  <c r="E777" i="27" s="1"/>
  <c r="C769" i="27"/>
  <c r="C768" i="27"/>
  <c r="C767" i="27"/>
  <c r="C766" i="27"/>
  <c r="C765" i="27"/>
  <c r="M760" i="27"/>
  <c r="E760" i="27"/>
  <c r="M759" i="27"/>
  <c r="E759" i="27"/>
  <c r="M758" i="27"/>
  <c r="E758" i="27"/>
  <c r="M757" i="27"/>
  <c r="E757" i="27"/>
  <c r="M756" i="27"/>
  <c r="E756" i="27"/>
  <c r="E755" i="27"/>
  <c r="E754" i="27"/>
  <c r="M753" i="27"/>
  <c r="E753" i="27"/>
  <c r="M752" i="27"/>
  <c r="I752" i="27"/>
  <c r="E752" i="27"/>
  <c r="M751" i="27"/>
  <c r="E751" i="27"/>
  <c r="M750" i="27"/>
  <c r="E750" i="27"/>
  <c r="E749" i="27"/>
  <c r="M748" i="27"/>
  <c r="E748" i="27"/>
  <c r="M747" i="27"/>
  <c r="E747" i="27"/>
  <c r="I746" i="27"/>
  <c r="E746" i="27"/>
  <c r="M745" i="27"/>
  <c r="I745" i="27"/>
  <c r="E745" i="27"/>
  <c r="E744" i="27"/>
  <c r="I743" i="27"/>
  <c r="E743" i="27"/>
  <c r="I742" i="27"/>
  <c r="E742" i="27"/>
  <c r="I741" i="27"/>
  <c r="E741" i="27"/>
  <c r="I740" i="27"/>
  <c r="E740" i="27"/>
  <c r="E761" i="27" s="1"/>
  <c r="I696" i="27"/>
  <c r="I688" i="27"/>
  <c r="I686" i="27"/>
  <c r="C680" i="27"/>
  <c r="C671" i="27"/>
  <c r="I54" i="87" l="1"/>
  <c r="M53" i="87"/>
  <c r="I26" i="69"/>
  <c r="M25" i="69"/>
  <c r="I36" i="79"/>
  <c r="M35" i="79"/>
  <c r="O25" i="70"/>
  <c r="M25" i="70"/>
  <c r="O10" i="70"/>
  <c r="M10" i="70" s="1"/>
  <c r="O11" i="70"/>
  <c r="O12" i="70"/>
  <c r="O13" i="70"/>
  <c r="O14" i="70"/>
  <c r="O15" i="70"/>
  <c r="O16" i="70"/>
  <c r="O17" i="70"/>
  <c r="O18" i="70"/>
  <c r="O19" i="70"/>
  <c r="O20" i="70"/>
  <c r="O21" i="70"/>
  <c r="O22" i="70"/>
  <c r="O23" i="70"/>
  <c r="O24" i="68"/>
  <c r="M24" i="68"/>
  <c r="O10" i="68"/>
  <c r="O11" i="68"/>
  <c r="O12" i="68"/>
  <c r="M12" i="68" s="1"/>
  <c r="O13" i="68"/>
  <c r="O14" i="68"/>
  <c r="O15" i="68"/>
  <c r="O16" i="68"/>
  <c r="O17" i="68"/>
  <c r="O18" i="68"/>
  <c r="O19" i="68"/>
  <c r="O20" i="68"/>
  <c r="O21" i="68"/>
  <c r="O22" i="68"/>
  <c r="I31" i="73"/>
  <c r="M30" i="73"/>
  <c r="I32" i="75"/>
  <c r="M31" i="75"/>
  <c r="I28" i="72"/>
  <c r="M27" i="72"/>
  <c r="I33" i="74"/>
  <c r="M32" i="74"/>
  <c r="M30" i="56"/>
  <c r="M17" i="53"/>
  <c r="G17" i="53"/>
  <c r="G23" i="53"/>
  <c r="O11" i="53"/>
  <c r="W14" i="56"/>
  <c r="W11" i="53" s="1"/>
  <c r="O38" i="56"/>
  <c r="O27" i="56"/>
  <c r="O15" i="56"/>
  <c r="U16" i="56"/>
  <c r="U17" i="56" s="1"/>
  <c r="U18" i="56" s="1"/>
  <c r="U22" i="53"/>
  <c r="I663" i="27"/>
  <c r="I667" i="27" s="1"/>
  <c r="E663" i="27"/>
  <c r="E667" i="27" s="1"/>
  <c r="C661" i="27"/>
  <c r="C660" i="27"/>
  <c r="I652" i="27"/>
  <c r="E652" i="27"/>
  <c r="I651" i="27"/>
  <c r="E651" i="27"/>
  <c r="I650" i="27"/>
  <c r="E650" i="27"/>
  <c r="I649" i="27"/>
  <c r="E649" i="27"/>
  <c r="I648" i="27"/>
  <c r="E648" i="27"/>
  <c r="I647" i="27"/>
  <c r="E647" i="27"/>
  <c r="I646" i="27"/>
  <c r="E646" i="27"/>
  <c r="I645" i="27"/>
  <c r="E645" i="27"/>
  <c r="I644" i="27"/>
  <c r="I656" i="27" s="1"/>
  <c r="E644" i="27"/>
  <c r="E656" i="27" s="1"/>
  <c r="C642" i="27"/>
  <c r="C641" i="27"/>
  <c r="C640" i="27"/>
  <c r="C639" i="27"/>
  <c r="I631" i="27"/>
  <c r="E631" i="27"/>
  <c r="I630" i="27"/>
  <c r="E630" i="27"/>
  <c r="I629" i="27"/>
  <c r="E629" i="27"/>
  <c r="I628" i="27"/>
  <c r="E628" i="27"/>
  <c r="I627" i="27"/>
  <c r="E627" i="27"/>
  <c r="I29" i="72" l="1"/>
  <c r="M28" i="72"/>
  <c r="I32" i="73"/>
  <c r="M31" i="73"/>
  <c r="I55" i="87"/>
  <c r="M54" i="87"/>
  <c r="I34" i="74"/>
  <c r="M33" i="74"/>
  <c r="I33" i="75"/>
  <c r="M32" i="75"/>
  <c r="I37" i="79"/>
  <c r="M36" i="79"/>
  <c r="I27" i="69"/>
  <c r="M26" i="69"/>
  <c r="U12" i="53"/>
  <c r="U19" i="56"/>
  <c r="O39" i="56"/>
  <c r="O16" i="56"/>
  <c r="O28" i="56"/>
  <c r="W28" i="56" s="1"/>
  <c r="W15" i="56"/>
  <c r="O22" i="53"/>
  <c r="I626" i="27"/>
  <c r="E626" i="27"/>
  <c r="I625" i="27"/>
  <c r="I635" i="27" s="1"/>
  <c r="E625" i="27"/>
  <c r="E635" i="27" s="1"/>
  <c r="C623" i="27"/>
  <c r="C622" i="27"/>
  <c r="C621" i="27"/>
  <c r="C620" i="27"/>
  <c r="I611" i="27"/>
  <c r="E611" i="27"/>
  <c r="I610" i="27"/>
  <c r="E610" i="27"/>
  <c r="I609" i="27"/>
  <c r="E609" i="27"/>
  <c r="I608" i="27"/>
  <c r="E608" i="27"/>
  <c r="I607" i="27"/>
  <c r="E607" i="27"/>
  <c r="I606" i="27"/>
  <c r="E606" i="27"/>
  <c r="I605" i="27"/>
  <c r="E605" i="27"/>
  <c r="I604" i="27"/>
  <c r="E604" i="27"/>
  <c r="I603" i="27"/>
  <c r="E603" i="27"/>
  <c r="I602" i="27"/>
  <c r="E602" i="27"/>
  <c r="I601" i="27"/>
  <c r="I616" i="27" s="1"/>
  <c r="E601" i="27"/>
  <c r="E616" i="27" s="1"/>
  <c r="C598" i="27"/>
  <c r="C597" i="27"/>
  <c r="C596" i="27"/>
  <c r="C595" i="27"/>
  <c r="C594" i="27"/>
  <c r="I585" i="27"/>
  <c r="E585" i="27"/>
  <c r="I584" i="27"/>
  <c r="E584" i="27"/>
  <c r="I583" i="27"/>
  <c r="E583" i="27"/>
  <c r="I582" i="27"/>
  <c r="E582" i="27"/>
  <c r="I581" i="27"/>
  <c r="E581" i="27"/>
  <c r="I580" i="27"/>
  <c r="E580" i="27"/>
  <c r="I579" i="27"/>
  <c r="E579" i="27"/>
  <c r="I578" i="27"/>
  <c r="E578" i="27"/>
  <c r="I577" i="27"/>
  <c r="E577" i="27"/>
  <c r="I576" i="27"/>
  <c r="E576" i="27"/>
  <c r="I575" i="27"/>
  <c r="E575" i="27"/>
  <c r="I574" i="27"/>
  <c r="E574" i="27"/>
  <c r="I573" i="27"/>
  <c r="E573" i="27"/>
  <c r="I572" i="27"/>
  <c r="E572" i="27"/>
  <c r="I571" i="27"/>
  <c r="E571" i="27"/>
  <c r="I570" i="27"/>
  <c r="E570" i="27"/>
  <c r="I569" i="27"/>
  <c r="E569" i="27"/>
  <c r="I568" i="27"/>
  <c r="E568" i="27"/>
  <c r="I567" i="27"/>
  <c r="E567" i="27"/>
  <c r="I566" i="27"/>
  <c r="E566" i="27"/>
  <c r="I564" i="27"/>
  <c r="E564" i="27"/>
  <c r="I563" i="27"/>
  <c r="E563" i="27"/>
  <c r="Q562" i="27"/>
  <c r="Q588" i="27" s="1"/>
  <c r="I562" i="27"/>
  <c r="E562" i="27"/>
  <c r="E590" i="27" s="1"/>
  <c r="I28" i="69" l="1"/>
  <c r="M27" i="69"/>
  <c r="I38" i="79"/>
  <c r="M37" i="79"/>
  <c r="I34" i="75"/>
  <c r="M33" i="75"/>
  <c r="I56" i="87"/>
  <c r="M55" i="87"/>
  <c r="I30" i="72"/>
  <c r="M29" i="72"/>
  <c r="I35" i="74"/>
  <c r="M34" i="74"/>
  <c r="I33" i="73"/>
  <c r="M32" i="73"/>
  <c r="W22" i="53"/>
  <c r="O17" i="56"/>
  <c r="O40" i="56"/>
  <c r="W16" i="56"/>
  <c r="U20" i="56"/>
  <c r="U13" i="53" s="1"/>
  <c r="U24" i="53" s="1"/>
  <c r="S24" i="53" s="1"/>
  <c r="Q24" i="53" s="1"/>
  <c r="Q554" i="27"/>
  <c r="D554" i="27" s="1"/>
  <c r="K562" i="27"/>
  <c r="K587" i="27" s="1"/>
  <c r="Q553" i="27"/>
  <c r="D553" i="27" s="1"/>
  <c r="Q556" i="27"/>
  <c r="D556" i="27" s="1"/>
  <c r="Q567" i="27"/>
  <c r="Q555" i="27"/>
  <c r="D555" i="27" s="1"/>
  <c r="Q557" i="27"/>
  <c r="D557" i="27" s="1"/>
  <c r="P562" i="27"/>
  <c r="G562" i="27" s="1"/>
  <c r="G675" i="27" s="1"/>
  <c r="Q563" i="27"/>
  <c r="Q571" i="27"/>
  <c r="Q572" i="27"/>
  <c r="Q565" i="27"/>
  <c r="Q569" i="27"/>
  <c r="Q574" i="27"/>
  <c r="Q577" i="27"/>
  <c r="Q581" i="27"/>
  <c r="Q585" i="27"/>
  <c r="Q735" i="27" s="1"/>
  <c r="D735" i="27" s="1"/>
  <c r="Q575" i="27"/>
  <c r="Q579" i="27"/>
  <c r="Q583" i="27"/>
  <c r="Q587" i="27"/>
  <c r="P576" i="27"/>
  <c r="P613" i="27"/>
  <c r="Q564" i="27"/>
  <c r="Q566" i="27"/>
  <c r="Q568" i="27"/>
  <c r="Q570" i="27"/>
  <c r="Q573" i="27"/>
  <c r="Q576" i="27"/>
  <c r="Q578" i="27"/>
  <c r="Q580" i="27"/>
  <c r="Q582" i="27"/>
  <c r="Q584" i="27"/>
  <c r="Q586" i="27"/>
  <c r="G611" i="27"/>
  <c r="K339" i="27"/>
  <c r="K337" i="27"/>
  <c r="K335" i="27"/>
  <c r="G330" i="27"/>
  <c r="E330" i="27"/>
  <c r="K329" i="27"/>
  <c r="K330" i="27" s="1"/>
  <c r="G323" i="27"/>
  <c r="E323" i="27"/>
  <c r="K322" i="27"/>
  <c r="K323" i="27" s="1"/>
  <c r="Q682" i="27" l="1"/>
  <c r="G615" i="27"/>
  <c r="G682" i="27"/>
  <c r="I34" i="73"/>
  <c r="M33" i="73"/>
  <c r="I31" i="72"/>
  <c r="M30" i="72"/>
  <c r="I35" i="75"/>
  <c r="M34" i="75"/>
  <c r="I39" i="79"/>
  <c r="M38" i="79"/>
  <c r="O28" i="69"/>
  <c r="I29" i="69"/>
  <c r="M28" i="69"/>
  <c r="I36" i="74"/>
  <c r="M35" i="74"/>
  <c r="I57" i="87"/>
  <c r="M56" i="87"/>
  <c r="Q612" i="27"/>
  <c r="K566" i="27"/>
  <c r="P601" i="27"/>
  <c r="K585" i="27"/>
  <c r="K583" i="27"/>
  <c r="K581" i="27"/>
  <c r="K579" i="27"/>
  <c r="K577" i="27"/>
  <c r="K574" i="27"/>
  <c r="K572" i="27"/>
  <c r="P588" i="27"/>
  <c r="G607" i="27"/>
  <c r="G571" i="27"/>
  <c r="P569" i="27"/>
  <c r="G567" i="27"/>
  <c r="P565" i="27"/>
  <c r="G563" i="27"/>
  <c r="G606" i="27"/>
  <c r="P582" i="27"/>
  <c r="Q604" i="27"/>
  <c r="G570" i="27"/>
  <c r="G564" i="27"/>
  <c r="G609" i="27"/>
  <c r="G605" i="27"/>
  <c r="P603" i="27"/>
  <c r="P587" i="27"/>
  <c r="G586" i="27"/>
  <c r="P571" i="27"/>
  <c r="G569" i="27"/>
  <c r="P567" i="27"/>
  <c r="G565" i="27"/>
  <c r="P563" i="27"/>
  <c r="G626" i="27"/>
  <c r="G610" i="27"/>
  <c r="G602" i="27"/>
  <c r="K586" i="27"/>
  <c r="K580" i="27"/>
  <c r="P570" i="27"/>
  <c r="K573" i="27"/>
  <c r="K568" i="27"/>
  <c r="P564" i="27"/>
  <c r="P625" i="27"/>
  <c r="P614" i="27"/>
  <c r="P611" i="27"/>
  <c r="P609" i="27"/>
  <c r="P607" i="27"/>
  <c r="P605" i="27"/>
  <c r="G603" i="27"/>
  <c r="G588" i="27"/>
  <c r="P585" i="27"/>
  <c r="G585" i="27"/>
  <c r="P583" i="27"/>
  <c r="G583" i="27"/>
  <c r="P581" i="27"/>
  <c r="G581" i="27"/>
  <c r="P579" i="27"/>
  <c r="G579" i="27"/>
  <c r="P577" i="27"/>
  <c r="G577" i="27"/>
  <c r="P574" i="27"/>
  <c r="G574" i="27"/>
  <c r="P572" i="27"/>
  <c r="G572" i="27"/>
  <c r="K571" i="27"/>
  <c r="K569" i="27"/>
  <c r="K567" i="27"/>
  <c r="K565" i="27"/>
  <c r="K563" i="27"/>
  <c r="D552" i="27"/>
  <c r="G625" i="27"/>
  <c r="P612" i="27"/>
  <c r="P608" i="27"/>
  <c r="P604" i="27"/>
  <c r="G601" i="27"/>
  <c r="G587" i="27"/>
  <c r="K584" i="27"/>
  <c r="G582" i="27"/>
  <c r="P578" i="27"/>
  <c r="G576" i="27"/>
  <c r="G568" i="27"/>
  <c r="Q615" i="27"/>
  <c r="Q608" i="27"/>
  <c r="Q621" i="27"/>
  <c r="D621" i="27" s="1"/>
  <c r="Q648" i="27"/>
  <c r="Q613" i="27"/>
  <c r="Q610" i="27"/>
  <c r="Q606" i="27"/>
  <c r="Q602" i="27"/>
  <c r="Q625" i="27"/>
  <c r="Q623" i="27"/>
  <c r="D623" i="27" s="1"/>
  <c r="Q614" i="27"/>
  <c r="Q631" i="27"/>
  <c r="Q655" i="27"/>
  <c r="Q622" i="27"/>
  <c r="D622" i="27" s="1"/>
  <c r="Q620" i="27"/>
  <c r="D620" i="27" s="1"/>
  <c r="Q596" i="27"/>
  <c r="D596" i="27" s="1"/>
  <c r="Q649" i="27"/>
  <c r="Q641" i="27"/>
  <c r="D641" i="27" s="1"/>
  <c r="Q660" i="27"/>
  <c r="D660" i="27" s="1"/>
  <c r="T3" i="89" s="1"/>
  <c r="Q700" i="27"/>
  <c r="Q632" i="27"/>
  <c r="Q675" i="27"/>
  <c r="Q714" i="27"/>
  <c r="P740" i="27"/>
  <c r="P817" i="27" s="1"/>
  <c r="Q740" i="27"/>
  <c r="Q815" i="27" s="1"/>
  <c r="D815" i="27" s="1"/>
  <c r="Q611" i="27"/>
  <c r="Q609" i="27"/>
  <c r="Q607" i="27"/>
  <c r="Q605" i="27"/>
  <c r="Q603" i="27"/>
  <c r="Q601" i="27"/>
  <c r="Q598" i="27"/>
  <c r="D598" i="27" s="1"/>
  <c r="Q594" i="27"/>
  <c r="D594" i="27" s="1"/>
  <c r="Q630" i="27"/>
  <c r="Q626" i="27"/>
  <c r="Q639" i="27"/>
  <c r="D639" i="27" s="1"/>
  <c r="Q644" i="27"/>
  <c r="Q652" i="27"/>
  <c r="Q663" i="27"/>
  <c r="Q647" i="27"/>
  <c r="Q666" i="27"/>
  <c r="Q696" i="27"/>
  <c r="D696" i="27" s="1"/>
  <c r="Q704" i="27"/>
  <c r="Q734" i="27"/>
  <c r="D734" i="27" s="1"/>
  <c r="T5" i="169" s="1"/>
  <c r="Q665" i="27"/>
  <c r="Q694" i="27"/>
  <c r="Q673" i="27"/>
  <c r="Q690" i="27"/>
  <c r="Q733" i="27"/>
  <c r="D733" i="27" s="1"/>
  <c r="T4" i="169" s="1"/>
  <c r="Q597" i="27"/>
  <c r="D597" i="27" s="1"/>
  <c r="T6" i="68" s="1"/>
  <c r="Q595" i="27"/>
  <c r="D595" i="27" s="1"/>
  <c r="Q627" i="27"/>
  <c r="Q634" i="27"/>
  <c r="Q651" i="27"/>
  <c r="Q629" i="27"/>
  <c r="Q633" i="27"/>
  <c r="Q640" i="27"/>
  <c r="D640" i="27" s="1"/>
  <c r="Q642" i="27"/>
  <c r="D642" i="27" s="1"/>
  <c r="Q646" i="27"/>
  <c r="Q650" i="27"/>
  <c r="Q653" i="27"/>
  <c r="Q661" i="27"/>
  <c r="D661" i="27" s="1"/>
  <c r="Q628" i="27"/>
  <c r="Q645" i="27"/>
  <c r="Q654" i="27"/>
  <c r="Q664" i="27"/>
  <c r="Q674" i="27"/>
  <c r="Q683" i="27"/>
  <c r="Q698" i="27"/>
  <c r="Q702" i="27"/>
  <c r="Q706" i="27"/>
  <c r="Q732" i="27"/>
  <c r="D732" i="27" s="1"/>
  <c r="Q736" i="27"/>
  <c r="D736" i="27" s="1"/>
  <c r="Q686" i="27"/>
  <c r="D686" i="27" s="1"/>
  <c r="Q671" i="27"/>
  <c r="D671" i="27" s="1"/>
  <c r="T3" i="138" s="1"/>
  <c r="T3" i="167" s="1"/>
  <c r="R3" i="167" s="1"/>
  <c r="Q680" i="27"/>
  <c r="D680" i="27" s="1"/>
  <c r="Q688" i="27"/>
  <c r="D688" i="27" s="1"/>
  <c r="Q692" i="27"/>
  <c r="Q708" i="27"/>
  <c r="Q720" i="27" s="1"/>
  <c r="U21" i="56"/>
  <c r="O41" i="56"/>
  <c r="O18" i="56"/>
  <c r="W17" i="56"/>
  <c r="P615" i="27"/>
  <c r="G614" i="27"/>
  <c r="G613" i="27"/>
  <c r="G612" i="27"/>
  <c r="P610" i="27"/>
  <c r="G608" i="27"/>
  <c r="P606" i="27"/>
  <c r="G604" i="27"/>
  <c r="P602" i="27"/>
  <c r="K588" i="27"/>
  <c r="P586" i="27"/>
  <c r="P584" i="27"/>
  <c r="G584" i="27"/>
  <c r="K582" i="27"/>
  <c r="P580" i="27"/>
  <c r="G580" i="27"/>
  <c r="K578" i="27"/>
  <c r="K576" i="27"/>
  <c r="K575" i="27"/>
  <c r="K570" i="27"/>
  <c r="K564" i="27"/>
  <c r="P573" i="27"/>
  <c r="G578" i="27"/>
  <c r="P575" i="27"/>
  <c r="G575" i="27"/>
  <c r="G573" i="27"/>
  <c r="G566" i="27"/>
  <c r="P648" i="27"/>
  <c r="P646" i="27"/>
  <c r="G627" i="27"/>
  <c r="P649" i="27"/>
  <c r="P666" i="27"/>
  <c r="G651" i="27"/>
  <c r="P568" i="27"/>
  <c r="P566" i="27"/>
  <c r="P632" i="27"/>
  <c r="P664" i="27"/>
  <c r="P663" i="27"/>
  <c r="G629" i="27"/>
  <c r="G644" i="27"/>
  <c r="G650" i="27"/>
  <c r="G664" i="27"/>
  <c r="G674" i="27"/>
  <c r="P631" i="27"/>
  <c r="P628" i="27"/>
  <c r="P645" i="27"/>
  <c r="P654" i="27"/>
  <c r="P629" i="27"/>
  <c r="P652" i="27"/>
  <c r="P682" i="27"/>
  <c r="P675" i="27"/>
  <c r="G646" i="27"/>
  <c r="G632" i="27"/>
  <c r="G647" i="27"/>
  <c r="G655" i="27"/>
  <c r="G628" i="27"/>
  <c r="G654" i="27"/>
  <c r="G673" i="27"/>
  <c r="P633" i="27"/>
  <c r="P627" i="27"/>
  <c r="P630" i="27"/>
  <c r="P634" i="27"/>
  <c r="P647" i="27"/>
  <c r="P651" i="27"/>
  <c r="P655" i="27"/>
  <c r="P626" i="27"/>
  <c r="P644" i="27"/>
  <c r="P650" i="27"/>
  <c r="P653" i="27"/>
  <c r="P673" i="27"/>
  <c r="P665" i="27"/>
  <c r="P674" i="27"/>
  <c r="P683" i="27"/>
  <c r="G634" i="27"/>
  <c r="G648" i="27"/>
  <c r="G630" i="27"/>
  <c r="G633" i="27"/>
  <c r="G645" i="27"/>
  <c r="G649" i="27"/>
  <c r="G653" i="27"/>
  <c r="G663" i="27"/>
  <c r="G665" i="27"/>
  <c r="G631" i="27"/>
  <c r="G652" i="27"/>
  <c r="G666" i="27"/>
  <c r="G683" i="27"/>
  <c r="M329" i="27"/>
  <c r="O329" i="27" s="1"/>
  <c r="O330" i="27" s="1"/>
  <c r="M330" i="27" s="1"/>
  <c r="O335" i="27"/>
  <c r="T5" i="68"/>
  <c r="T2" i="153"/>
  <c r="T2" i="129"/>
  <c r="T2" i="107"/>
  <c r="T2" i="140"/>
  <c r="T2" i="93"/>
  <c r="T2" i="76"/>
  <c r="T2" i="72"/>
  <c r="T5" i="129"/>
  <c r="T5" i="93"/>
  <c r="T5" i="72"/>
  <c r="T6" i="153"/>
  <c r="T6" i="140"/>
  <c r="T6" i="129"/>
  <c r="T6" i="107"/>
  <c r="T6" i="93"/>
  <c r="T6" i="76"/>
  <c r="T6" i="72"/>
  <c r="T4" i="153"/>
  <c r="T4" i="140"/>
  <c r="T4" i="129"/>
  <c r="T4" i="107"/>
  <c r="T4" i="93"/>
  <c r="T4" i="76"/>
  <c r="T4" i="72"/>
  <c r="P813" i="27"/>
  <c r="P787" i="27"/>
  <c r="P776" i="27"/>
  <c r="M776" i="27" s="1"/>
  <c r="P771" i="27"/>
  <c r="P751" i="27"/>
  <c r="P749" i="27"/>
  <c r="M749" i="27" s="1"/>
  <c r="P743" i="27"/>
  <c r="P815" i="27"/>
  <c r="P803" i="27"/>
  <c r="P801" i="27"/>
  <c r="P799" i="27"/>
  <c r="P775" i="27"/>
  <c r="P772" i="27"/>
  <c r="P759" i="27"/>
  <c r="P757" i="27"/>
  <c r="P755" i="27"/>
  <c r="P752" i="27"/>
  <c r="P747" i="27"/>
  <c r="P745" i="27"/>
  <c r="G740" i="27"/>
  <c r="Q810" i="27"/>
  <c r="Q801" i="27"/>
  <c r="Q796" i="27"/>
  <c r="D796" i="27" s="1"/>
  <c r="Q784" i="27"/>
  <c r="D784" i="27" s="1"/>
  <c r="Q775" i="27"/>
  <c r="Q759" i="27"/>
  <c r="Q755" i="27"/>
  <c r="Q747" i="27"/>
  <c r="Q817" i="27"/>
  <c r="D817" i="27" s="1"/>
  <c r="Q786" i="27"/>
  <c r="Q769" i="27"/>
  <c r="D769" i="27" s="1"/>
  <c r="Q765" i="27"/>
  <c r="D765" i="27" s="1"/>
  <c r="Q749" i="27"/>
  <c r="K740" i="27"/>
  <c r="O337" i="27"/>
  <c r="T3" i="68"/>
  <c r="T3" i="169"/>
  <c r="T7" i="169"/>
  <c r="T3" i="139"/>
  <c r="Q718" i="27"/>
  <c r="T6" i="169"/>
  <c r="T7" i="153"/>
  <c r="T7" i="154" s="1"/>
  <c r="T7" i="129"/>
  <c r="T7" i="130" s="1"/>
  <c r="T7" i="107"/>
  <c r="T7" i="108" s="1"/>
  <c r="T7" i="140"/>
  <c r="T7" i="141" s="1"/>
  <c r="T7" i="93"/>
  <c r="T7" i="76"/>
  <c r="T7" i="72"/>
  <c r="T7" i="73" s="1"/>
  <c r="T3" i="153"/>
  <c r="T3" i="154" s="1"/>
  <c r="T3" i="155" s="1"/>
  <c r="T3" i="156" s="1"/>
  <c r="T3" i="129"/>
  <c r="T3" i="130" s="1"/>
  <c r="T3" i="131" s="1"/>
  <c r="T3" i="107"/>
  <c r="T3" i="108" s="1"/>
  <c r="T3" i="140"/>
  <c r="T3" i="141" s="1"/>
  <c r="T3" i="142" s="1"/>
  <c r="T3" i="143" s="1"/>
  <c r="T3" i="93"/>
  <c r="T3" i="95" s="1"/>
  <c r="T3" i="96" s="1"/>
  <c r="T3" i="76"/>
  <c r="T3" i="72"/>
  <c r="T3" i="73" s="1"/>
  <c r="T3" i="74" s="1"/>
  <c r="T3" i="75" s="1"/>
  <c r="M311" i="27"/>
  <c r="K310" i="27"/>
  <c r="I58" i="87" l="1"/>
  <c r="M57" i="87"/>
  <c r="O29" i="69"/>
  <c r="O10" i="69"/>
  <c r="M10" i="69" s="1"/>
  <c r="M29" i="69"/>
  <c r="O11" i="69"/>
  <c r="O12" i="69"/>
  <c r="O13" i="69"/>
  <c r="O14" i="69"/>
  <c r="O15" i="69"/>
  <c r="O16" i="69"/>
  <c r="O17" i="69"/>
  <c r="O18" i="69"/>
  <c r="O19" i="69"/>
  <c r="O20" i="69"/>
  <c r="O21" i="69"/>
  <c r="O22" i="69"/>
  <c r="O23" i="69"/>
  <c r="O24" i="69"/>
  <c r="O25" i="69"/>
  <c r="O26" i="69"/>
  <c r="O27" i="69"/>
  <c r="I40" i="79"/>
  <c r="M39" i="79"/>
  <c r="I36" i="75"/>
  <c r="M35" i="75"/>
  <c r="I35" i="73"/>
  <c r="M34" i="73"/>
  <c r="I37" i="74"/>
  <c r="M36" i="74"/>
  <c r="I32" i="72"/>
  <c r="M31" i="72"/>
  <c r="U24" i="56"/>
  <c r="U14" i="53"/>
  <c r="U17" i="53" s="1"/>
  <c r="T4" i="89"/>
  <c r="T4" i="90" s="1"/>
  <c r="T6" i="108"/>
  <c r="Q712" i="27"/>
  <c r="D708" i="27"/>
  <c r="T7" i="68"/>
  <c r="T7" i="109" s="1"/>
  <c r="T7" i="132" s="1"/>
  <c r="Q743" i="27"/>
  <c r="Q751" i="27"/>
  <c r="Q767" i="27"/>
  <c r="D767" i="27" s="1"/>
  <c r="Q773" i="27"/>
  <c r="Q788" i="27"/>
  <c r="Q745" i="27"/>
  <c r="Q752" i="27"/>
  <c r="Q757" i="27"/>
  <c r="Q772" i="27"/>
  <c r="Q782" i="27"/>
  <c r="D782" i="27" s="1"/>
  <c r="Q794" i="27"/>
  <c r="D794" i="27" s="1"/>
  <c r="Q799" i="27"/>
  <c r="Q803" i="27"/>
  <c r="T4" i="68"/>
  <c r="T4" i="97" s="1"/>
  <c r="Q710" i="27"/>
  <c r="Q722" i="27" s="1"/>
  <c r="Q716" i="27"/>
  <c r="Q741" i="27"/>
  <c r="Q744" i="27"/>
  <c r="Q750" i="27"/>
  <c r="Q754" i="27"/>
  <c r="Q766" i="27"/>
  <c r="D766" i="27" s="1"/>
  <c r="Q768" i="27"/>
  <c r="D768" i="27" s="1"/>
  <c r="T6" i="172" s="1"/>
  <c r="T6" i="174" s="1"/>
  <c r="Q771" i="27"/>
  <c r="Q776" i="27"/>
  <c r="Q787" i="27"/>
  <c r="Q813" i="27"/>
  <c r="D813" i="27" s="1"/>
  <c r="Q742" i="27"/>
  <c r="Q746" i="27"/>
  <c r="Q748" i="27"/>
  <c r="Q753" i="27"/>
  <c r="Q756" i="27"/>
  <c r="Q758" i="27"/>
  <c r="Q760" i="27"/>
  <c r="Q774" i="27"/>
  <c r="Q781" i="27"/>
  <c r="D781" i="27" s="1"/>
  <c r="Q783" i="27"/>
  <c r="D783" i="27" s="1"/>
  <c r="T5" i="178" s="1"/>
  <c r="Q793" i="27"/>
  <c r="D793" i="27" s="1"/>
  <c r="Q795" i="27"/>
  <c r="D795" i="27" s="1"/>
  <c r="Q798" i="27"/>
  <c r="Q800" i="27"/>
  <c r="Q802" i="27"/>
  <c r="Q808" i="27"/>
  <c r="D808" i="27" s="1"/>
  <c r="T3" i="198" s="1"/>
  <c r="T5" i="76"/>
  <c r="T5" i="140"/>
  <c r="T34" i="140" s="1"/>
  <c r="T5" i="107"/>
  <c r="T5" i="108" s="1"/>
  <c r="T4" i="108" s="1"/>
  <c r="T5" i="153"/>
  <c r="P742" i="27"/>
  <c r="P746" i="27"/>
  <c r="P748" i="27"/>
  <c r="P753" i="27"/>
  <c r="P756" i="27"/>
  <c r="P758" i="27"/>
  <c r="P760" i="27"/>
  <c r="P774" i="27"/>
  <c r="P798" i="27"/>
  <c r="P800" i="27"/>
  <c r="P802" i="27"/>
  <c r="P810" i="27"/>
  <c r="P741" i="27"/>
  <c r="P744" i="27"/>
  <c r="P750" i="27"/>
  <c r="P754" i="27"/>
  <c r="P773" i="27"/>
  <c r="P786" i="27"/>
  <c r="P788" i="27"/>
  <c r="O12" i="53"/>
  <c r="O19" i="56"/>
  <c r="O42" i="56"/>
  <c r="W18" i="56"/>
  <c r="W12" i="53" s="1"/>
  <c r="T6" i="141"/>
  <c r="T7" i="142"/>
  <c r="T6" i="154"/>
  <c r="T7" i="155"/>
  <c r="T6" i="73"/>
  <c r="T5" i="73" s="1"/>
  <c r="T4" i="73" s="1"/>
  <c r="T7" i="74"/>
  <c r="T7" i="95"/>
  <c r="T6" i="130"/>
  <c r="T5" i="130" s="1"/>
  <c r="T4" i="130" s="1"/>
  <c r="T7" i="131"/>
  <c r="D710" i="27"/>
  <c r="T7" i="171"/>
  <c r="T7" i="170"/>
  <c r="T3" i="171"/>
  <c r="T3" i="170"/>
  <c r="T6" i="135"/>
  <c r="T6" i="87"/>
  <c r="T4" i="135"/>
  <c r="T4" i="87"/>
  <c r="T3" i="109"/>
  <c r="T3" i="97"/>
  <c r="T3" i="69"/>
  <c r="T7" i="78"/>
  <c r="T6" i="110"/>
  <c r="T6" i="133" s="1"/>
  <c r="T6" i="83"/>
  <c r="T4" i="172"/>
  <c r="T4" i="174" s="1"/>
  <c r="Q10" i="199"/>
  <c r="P10" i="199" s="1"/>
  <c r="T3" i="178"/>
  <c r="T3" i="183"/>
  <c r="T3" i="186" s="1"/>
  <c r="T5" i="183"/>
  <c r="T5" i="186" s="1"/>
  <c r="T5" i="187" s="1"/>
  <c r="Q10" i="200"/>
  <c r="P10" i="200" s="1"/>
  <c r="T4" i="171"/>
  <c r="R4" i="171" s="1"/>
  <c r="T4" i="170"/>
  <c r="T5" i="171"/>
  <c r="R5" i="171" s="1"/>
  <c r="T5" i="170"/>
  <c r="T3" i="137"/>
  <c r="T3" i="90"/>
  <c r="T5" i="135"/>
  <c r="T3" i="135"/>
  <c r="T3" i="87"/>
  <c r="R3" i="87" s="1"/>
  <c r="T6" i="109"/>
  <c r="T6" i="97"/>
  <c r="T6" i="69"/>
  <c r="T3" i="110"/>
  <c r="T5" i="110"/>
  <c r="T2" i="73"/>
  <c r="T70" i="72"/>
  <c r="T67" i="72"/>
  <c r="T68" i="72"/>
  <c r="T66" i="72"/>
  <c r="T64" i="72"/>
  <c r="T62" i="72"/>
  <c r="T69" i="72"/>
  <c r="T65" i="72"/>
  <c r="T63" i="72"/>
  <c r="T61" i="72"/>
  <c r="T59" i="72"/>
  <c r="T57" i="72"/>
  <c r="T55" i="72"/>
  <c r="T53" i="72"/>
  <c r="T51" i="72"/>
  <c r="T49" i="72"/>
  <c r="T47" i="72"/>
  <c r="T45" i="72"/>
  <c r="T43" i="72"/>
  <c r="T41" i="72"/>
  <c r="T39" i="72"/>
  <c r="T37" i="72"/>
  <c r="T60" i="72"/>
  <c r="T58" i="72"/>
  <c r="T56" i="72"/>
  <c r="T54" i="72"/>
  <c r="T52" i="72"/>
  <c r="T50" i="72"/>
  <c r="T48" i="72"/>
  <c r="T46" i="72"/>
  <c r="T44" i="72"/>
  <c r="T42" i="72"/>
  <c r="T40" i="72"/>
  <c r="T38" i="72"/>
  <c r="T36" i="72"/>
  <c r="T35" i="72"/>
  <c r="T33" i="72"/>
  <c r="T34" i="72"/>
  <c r="T32" i="72"/>
  <c r="T30" i="72"/>
  <c r="T28" i="72"/>
  <c r="T26" i="72"/>
  <c r="T24" i="72"/>
  <c r="T22" i="72"/>
  <c r="T20" i="72"/>
  <c r="T18" i="72"/>
  <c r="T16" i="72"/>
  <c r="T14" i="72"/>
  <c r="T10" i="72"/>
  <c r="T31" i="72"/>
  <c r="T29" i="72"/>
  <c r="T27" i="72"/>
  <c r="T25" i="72"/>
  <c r="T23" i="72"/>
  <c r="T21" i="72"/>
  <c r="T19" i="72"/>
  <c r="T17" i="72"/>
  <c r="T15" i="72"/>
  <c r="T13" i="72"/>
  <c r="T12" i="72"/>
  <c r="T11" i="72"/>
  <c r="T45" i="93"/>
  <c r="T43" i="93"/>
  <c r="T41" i="93"/>
  <c r="T39" i="93"/>
  <c r="T37" i="93"/>
  <c r="T35" i="93"/>
  <c r="T33" i="93"/>
  <c r="T31" i="93"/>
  <c r="T29" i="93"/>
  <c r="T27" i="93"/>
  <c r="T25" i="93"/>
  <c r="T23" i="93"/>
  <c r="T21" i="93"/>
  <c r="T19" i="93"/>
  <c r="T17" i="93"/>
  <c r="T15" i="93"/>
  <c r="T13" i="93"/>
  <c r="T12" i="93"/>
  <c r="T11" i="93"/>
  <c r="T44" i="93"/>
  <c r="T42" i="93"/>
  <c r="T40" i="93"/>
  <c r="T38" i="93"/>
  <c r="T36" i="93"/>
  <c r="T34" i="93"/>
  <c r="T32" i="93"/>
  <c r="T30" i="93"/>
  <c r="T28" i="93"/>
  <c r="T26" i="93"/>
  <c r="T24" i="93"/>
  <c r="T22" i="93"/>
  <c r="T20" i="93"/>
  <c r="T18" i="93"/>
  <c r="T16" i="93"/>
  <c r="T14" i="93"/>
  <c r="T10" i="93"/>
  <c r="T23" i="129"/>
  <c r="T21" i="129"/>
  <c r="T19" i="129"/>
  <c r="T17" i="129"/>
  <c r="T15" i="129"/>
  <c r="T13" i="129"/>
  <c r="T11" i="129"/>
  <c r="T2" i="130"/>
  <c r="T22" i="129"/>
  <c r="T20" i="129"/>
  <c r="T18" i="129"/>
  <c r="T16" i="129"/>
  <c r="T14" i="129"/>
  <c r="T12" i="129"/>
  <c r="T10" i="129"/>
  <c r="T5" i="109"/>
  <c r="T5" i="97"/>
  <c r="T5" i="69"/>
  <c r="T4" i="110"/>
  <c r="O310" i="27"/>
  <c r="T6" i="171"/>
  <c r="R6" i="171" s="1"/>
  <c r="T6" i="170"/>
  <c r="M686" i="27"/>
  <c r="T2" i="169"/>
  <c r="K755" i="27"/>
  <c r="K751" i="27"/>
  <c r="K750" i="27"/>
  <c r="K746" i="27"/>
  <c r="K744" i="27"/>
  <c r="K743" i="27"/>
  <c r="K741" i="27"/>
  <c r="D731" i="27"/>
  <c r="M724" i="27" s="1"/>
  <c r="K803" i="27"/>
  <c r="K802" i="27"/>
  <c r="K776" i="27"/>
  <c r="K775" i="27"/>
  <c r="K760" i="27"/>
  <c r="K759" i="27"/>
  <c r="K758" i="27"/>
  <c r="K757" i="27"/>
  <c r="K756" i="27"/>
  <c r="K754" i="27"/>
  <c r="K753" i="27"/>
  <c r="K752" i="27"/>
  <c r="K749" i="27"/>
  <c r="K748" i="27"/>
  <c r="K747" i="27"/>
  <c r="K745" i="27"/>
  <c r="K742" i="27"/>
  <c r="T3" i="172"/>
  <c r="T3" i="174" s="1"/>
  <c r="T5" i="172"/>
  <c r="T5" i="174" s="1"/>
  <c r="T7" i="172"/>
  <c r="T7" i="174" s="1"/>
  <c r="T4" i="178"/>
  <c r="T6" i="178"/>
  <c r="T4" i="183"/>
  <c r="T4" i="186" s="1"/>
  <c r="T6" i="183"/>
  <c r="T6" i="186" s="1"/>
  <c r="T6" i="187" s="1"/>
  <c r="G810" i="27"/>
  <c r="G803" i="27"/>
  <c r="G800" i="27"/>
  <c r="G799" i="27"/>
  <c r="G798" i="27"/>
  <c r="G788" i="27"/>
  <c r="G776" i="27"/>
  <c r="G773" i="27"/>
  <c r="G760" i="27"/>
  <c r="G759" i="27"/>
  <c r="G758" i="27"/>
  <c r="G757" i="27"/>
  <c r="G756" i="27"/>
  <c r="G754" i="27"/>
  <c r="G753" i="27"/>
  <c r="G749" i="27"/>
  <c r="G748" i="27"/>
  <c r="G747" i="27"/>
  <c r="G746" i="27"/>
  <c r="G743" i="27"/>
  <c r="G741" i="27"/>
  <c r="G802" i="27"/>
  <c r="G801" i="27"/>
  <c r="G787" i="27"/>
  <c r="G786" i="27"/>
  <c r="G775" i="27"/>
  <c r="G774" i="27"/>
  <c r="G772" i="27"/>
  <c r="G771" i="27"/>
  <c r="G755" i="27"/>
  <c r="G752" i="27"/>
  <c r="G751" i="27"/>
  <c r="G750" i="27"/>
  <c r="G745" i="27"/>
  <c r="G744" i="27"/>
  <c r="G742" i="27"/>
  <c r="T14" i="76"/>
  <c r="T12" i="76"/>
  <c r="T11" i="76"/>
  <c r="T15" i="76"/>
  <c r="T13" i="76"/>
  <c r="T10" i="76"/>
  <c r="T32" i="140"/>
  <c r="T30" i="140"/>
  <c r="T28" i="140"/>
  <c r="T26" i="140"/>
  <c r="T24" i="140"/>
  <c r="T22" i="140"/>
  <c r="T20" i="140"/>
  <c r="T18" i="140"/>
  <c r="T16" i="140"/>
  <c r="T2" i="141"/>
  <c r="T33" i="140"/>
  <c r="T31" i="140"/>
  <c r="T29" i="140"/>
  <c r="T27" i="140"/>
  <c r="T25" i="140"/>
  <c r="T23" i="140"/>
  <c r="T21" i="140"/>
  <c r="T19" i="140"/>
  <c r="T17" i="140"/>
  <c r="T15" i="140"/>
  <c r="T14" i="140"/>
  <c r="T13" i="140"/>
  <c r="T12" i="140"/>
  <c r="T11" i="140"/>
  <c r="T10" i="140"/>
  <c r="T16" i="107"/>
  <c r="O16" i="107" s="1"/>
  <c r="T15" i="107"/>
  <c r="T12" i="107"/>
  <c r="T11" i="107"/>
  <c r="T2" i="108"/>
  <c r="T14" i="107"/>
  <c r="T13" i="107"/>
  <c r="T10" i="107"/>
  <c r="T21" i="153"/>
  <c r="T20" i="153"/>
  <c r="T19" i="153"/>
  <c r="T18" i="153"/>
  <c r="T17" i="153"/>
  <c r="T16" i="153"/>
  <c r="T15" i="153"/>
  <c r="T14" i="153"/>
  <c r="T13" i="153"/>
  <c r="T12" i="153"/>
  <c r="T11" i="153"/>
  <c r="T2" i="154"/>
  <c r="T10" i="153"/>
  <c r="K309" i="27"/>
  <c r="G311" i="27"/>
  <c r="K308" i="27"/>
  <c r="M299" i="27"/>
  <c r="K298" i="27"/>
  <c r="I38" i="74" l="1"/>
  <c r="M37" i="74"/>
  <c r="I37" i="75"/>
  <c r="M36" i="75"/>
  <c r="I41" i="79"/>
  <c r="M40" i="79"/>
  <c r="I59" i="87"/>
  <c r="M58" i="87"/>
  <c r="I33" i="72"/>
  <c r="M32" i="72"/>
  <c r="I36" i="73"/>
  <c r="M35" i="73"/>
  <c r="T4" i="109"/>
  <c r="T4" i="69"/>
  <c r="T7" i="69"/>
  <c r="T7" i="70" s="1"/>
  <c r="T4" i="137"/>
  <c r="T4" i="165" s="1"/>
  <c r="T4" i="166" s="1"/>
  <c r="T7" i="97"/>
  <c r="T5" i="154"/>
  <c r="T4" i="154" s="1"/>
  <c r="T25" i="154" s="1"/>
  <c r="T5" i="141"/>
  <c r="T4" i="141" s="1"/>
  <c r="T26" i="141" s="1"/>
  <c r="K311" i="27"/>
  <c r="O23" i="53"/>
  <c r="O43" i="56"/>
  <c r="O20" i="56"/>
  <c r="O13" i="53" s="1"/>
  <c r="O24" i="53" s="1"/>
  <c r="W24" i="53" s="1"/>
  <c r="W19" i="56"/>
  <c r="P51" i="215"/>
  <c r="T25" i="129"/>
  <c r="T23" i="153"/>
  <c r="T25" i="153" s="1"/>
  <c r="T26" i="153" s="1"/>
  <c r="T6" i="131"/>
  <c r="T5" i="131" s="1"/>
  <c r="T4" i="131" s="1"/>
  <c r="T22" i="107"/>
  <c r="T24" i="107" s="1"/>
  <c r="T25" i="107" s="1"/>
  <c r="O298" i="27"/>
  <c r="T6" i="70"/>
  <c r="O308" i="27"/>
  <c r="E311" i="27"/>
  <c r="T11" i="154"/>
  <c r="T2" i="155"/>
  <c r="T10" i="154"/>
  <c r="T2" i="171"/>
  <c r="T14" i="169"/>
  <c r="T12" i="169"/>
  <c r="T11" i="169"/>
  <c r="T2" i="170"/>
  <c r="T15" i="169"/>
  <c r="T13" i="169"/>
  <c r="T10" i="169"/>
  <c r="M562" i="27"/>
  <c r="T2" i="131"/>
  <c r="T20" i="130"/>
  <c r="O20" i="130" s="1"/>
  <c r="T19" i="130"/>
  <c r="T17" i="130"/>
  <c r="T15" i="130"/>
  <c r="T13" i="130"/>
  <c r="T11" i="130"/>
  <c r="T21" i="130"/>
  <c r="T18" i="130"/>
  <c r="T16" i="130"/>
  <c r="T14" i="130"/>
  <c r="T12" i="130"/>
  <c r="T10" i="130"/>
  <c r="T2" i="95"/>
  <c r="T45" i="73"/>
  <c r="T2" i="74"/>
  <c r="T46" i="73"/>
  <c r="T44" i="73"/>
  <c r="T47" i="73"/>
  <c r="T43" i="73"/>
  <c r="T41" i="73"/>
  <c r="T39" i="73"/>
  <c r="T37" i="73"/>
  <c r="T35" i="73"/>
  <c r="T33" i="73"/>
  <c r="T31" i="73"/>
  <c r="T29" i="73"/>
  <c r="T27" i="73"/>
  <c r="T25" i="73"/>
  <c r="T23" i="73"/>
  <c r="T21" i="73"/>
  <c r="T19" i="73"/>
  <c r="T17" i="73"/>
  <c r="T15" i="73"/>
  <c r="T13" i="73"/>
  <c r="T12" i="73"/>
  <c r="T11" i="73"/>
  <c r="T42" i="73"/>
  <c r="T40" i="73"/>
  <c r="T38" i="73"/>
  <c r="T36" i="73"/>
  <c r="T34" i="73"/>
  <c r="T32" i="73"/>
  <c r="T30" i="73"/>
  <c r="T28" i="73"/>
  <c r="T26" i="73"/>
  <c r="T24" i="73"/>
  <c r="T22" i="73"/>
  <c r="T20" i="73"/>
  <c r="T18" i="73"/>
  <c r="T16" i="73"/>
  <c r="T14" i="73"/>
  <c r="T10" i="73"/>
  <c r="R6" i="133"/>
  <c r="T6" i="158"/>
  <c r="T6" i="159" s="1"/>
  <c r="T6" i="134"/>
  <c r="R7" i="78"/>
  <c r="T6" i="78" s="1"/>
  <c r="R6" i="78" s="1"/>
  <c r="T5" i="78" s="1"/>
  <c r="R5" i="78" s="1"/>
  <c r="T4" i="78" s="1"/>
  <c r="R4" i="78" s="1"/>
  <c r="T3" i="78" s="1"/>
  <c r="R3" i="78" s="1"/>
  <c r="T7" i="79"/>
  <c r="R7" i="132"/>
  <c r="T6" i="132" s="1"/>
  <c r="R6" i="132" s="1"/>
  <c r="T5" i="132" s="1"/>
  <c r="R5" i="132" s="1"/>
  <c r="T4" i="132" s="1"/>
  <c r="R4" i="132" s="1"/>
  <c r="T3" i="132" s="1"/>
  <c r="R3" i="132" s="1"/>
  <c r="T7" i="144"/>
  <c r="T4" i="148"/>
  <c r="T4" i="136"/>
  <c r="T6" i="148"/>
  <c r="T6" i="136"/>
  <c r="R6" i="136" s="1"/>
  <c r="R4" i="165"/>
  <c r="T3" i="165" s="1"/>
  <c r="R3" i="165" s="1"/>
  <c r="R3" i="171"/>
  <c r="T3" i="173"/>
  <c r="R7" i="171"/>
  <c r="T7" i="173"/>
  <c r="T37" i="140"/>
  <c r="T17" i="76"/>
  <c r="E802" i="27"/>
  <c r="T47" i="93"/>
  <c r="M576" i="27"/>
  <c r="T2" i="142"/>
  <c r="T18" i="141"/>
  <c r="T16" i="141"/>
  <c r="T14" i="141"/>
  <c r="T11" i="141"/>
  <c r="T17" i="141"/>
  <c r="T15" i="141"/>
  <c r="T13" i="141"/>
  <c r="T12" i="141"/>
  <c r="T10" i="141"/>
  <c r="T6" i="203"/>
  <c r="T6" i="196"/>
  <c r="T6" i="189"/>
  <c r="M817" i="27"/>
  <c r="T27" i="129"/>
  <c r="T28" i="129" s="1"/>
  <c r="M578" i="27"/>
  <c r="T3" i="148"/>
  <c r="T3" i="136"/>
  <c r="R3" i="136" s="1"/>
  <c r="T5" i="148"/>
  <c r="T5" i="136"/>
  <c r="R5" i="136" s="1"/>
  <c r="P12" i="200"/>
  <c r="A10" i="200"/>
  <c r="M815" i="27"/>
  <c r="R5" i="187"/>
  <c r="T5" i="203"/>
  <c r="T5" i="196"/>
  <c r="T5" i="189"/>
  <c r="P12" i="199"/>
  <c r="A10" i="199"/>
  <c r="M813" i="27"/>
  <c r="R6" i="83"/>
  <c r="T5" i="83" s="1"/>
  <c r="R5" i="83" s="1"/>
  <c r="T4" i="83" s="1"/>
  <c r="R4" i="83" s="1"/>
  <c r="T3" i="83" s="1"/>
  <c r="R3" i="83" s="1"/>
  <c r="T6" i="84"/>
  <c r="R4" i="87"/>
  <c r="R6" i="87"/>
  <c r="T5" i="87" s="1"/>
  <c r="R5" i="87" s="1"/>
  <c r="Q10" i="114"/>
  <c r="P10" i="114" s="1"/>
  <c r="T6" i="95"/>
  <c r="T5" i="95" s="1"/>
  <c r="T4" i="95" s="1"/>
  <c r="T7" i="96"/>
  <c r="T6" i="74"/>
  <c r="T5" i="74" s="1"/>
  <c r="T4" i="74" s="1"/>
  <c r="T7" i="75"/>
  <c r="T6" i="155"/>
  <c r="T7" i="156"/>
  <c r="T6" i="142"/>
  <c r="T7" i="143"/>
  <c r="T72" i="72"/>
  <c r="T5" i="70"/>
  <c r="K297" i="27"/>
  <c r="X281" i="27"/>
  <c r="K296" i="27"/>
  <c r="M287" i="27"/>
  <c r="K286" i="27"/>
  <c r="K285" i="27"/>
  <c r="M276" i="27"/>
  <c r="I788" i="27"/>
  <c r="K275" i="27"/>
  <c r="K274" i="27"/>
  <c r="I786" i="27"/>
  <c r="E786" i="27"/>
  <c r="X268" i="27"/>
  <c r="M264" i="27"/>
  <c r="I34" i="72" l="1"/>
  <c r="M33" i="72"/>
  <c r="I39" i="74"/>
  <c r="M38" i="74"/>
  <c r="I37" i="73"/>
  <c r="M36" i="73"/>
  <c r="I60" i="87"/>
  <c r="M59" i="87"/>
  <c r="I42" i="79"/>
  <c r="M41" i="79"/>
  <c r="I38" i="75"/>
  <c r="M37" i="75"/>
  <c r="K299" i="27"/>
  <c r="T20" i="154"/>
  <c r="T12" i="154"/>
  <c r="T5" i="155"/>
  <c r="T4" i="155" s="1"/>
  <c r="T16" i="155" s="1"/>
  <c r="T16" i="154"/>
  <c r="T25" i="141"/>
  <c r="T4" i="70"/>
  <c r="T3" i="70" s="1"/>
  <c r="T15" i="154"/>
  <c r="T19" i="154"/>
  <c r="T14" i="154"/>
  <c r="T18" i="154"/>
  <c r="T23" i="154"/>
  <c r="T24" i="154"/>
  <c r="T13" i="154"/>
  <c r="T17" i="154"/>
  <c r="T21" i="154"/>
  <c r="T21" i="141"/>
  <c r="T27" i="141"/>
  <c r="O27" i="141" s="1"/>
  <c r="T24" i="141"/>
  <c r="T20" i="141"/>
  <c r="T5" i="142"/>
  <c r="T4" i="142" s="1"/>
  <c r="T15" i="142" s="1"/>
  <c r="T19" i="141"/>
  <c r="T23" i="141"/>
  <c r="T28" i="141"/>
  <c r="T22" i="141"/>
  <c r="R6" i="84"/>
  <c r="T22" i="154"/>
  <c r="T4" i="187"/>
  <c r="T4" i="196" s="1"/>
  <c r="R5" i="196"/>
  <c r="R5" i="203"/>
  <c r="T5" i="133"/>
  <c r="T5" i="134" s="1"/>
  <c r="R6" i="158"/>
  <c r="R6" i="159" s="1"/>
  <c r="R6" i="134"/>
  <c r="O44" i="56"/>
  <c r="O21" i="56"/>
  <c r="O14" i="53" s="1"/>
  <c r="O17" i="53" s="1"/>
  <c r="W20" i="56"/>
  <c r="R5" i="189"/>
  <c r="R7" i="173"/>
  <c r="T6" i="173" s="1"/>
  <c r="R6" i="173" s="1"/>
  <c r="T5" i="173" s="1"/>
  <c r="R5" i="173" s="1"/>
  <c r="T4" i="173" s="1"/>
  <c r="R4" i="173" s="1"/>
  <c r="R3" i="173"/>
  <c r="R4" i="166"/>
  <c r="M43" i="56"/>
  <c r="K287" i="27"/>
  <c r="M585" i="27"/>
  <c r="I789" i="27"/>
  <c r="T49" i="73"/>
  <c r="M567" i="27" s="1"/>
  <c r="T30" i="141"/>
  <c r="T32" i="141" s="1"/>
  <c r="T33" i="141" s="1"/>
  <c r="G276" i="27"/>
  <c r="K276" i="27"/>
  <c r="O275" i="27"/>
  <c r="P13" i="199"/>
  <c r="T3" i="166"/>
  <c r="R3" i="166" s="1"/>
  <c r="X292" i="27"/>
  <c r="O296" i="27"/>
  <c r="E299" i="27"/>
  <c r="T2" i="143"/>
  <c r="T11" i="142"/>
  <c r="T10" i="142"/>
  <c r="T14" i="142"/>
  <c r="T13" i="142"/>
  <c r="T12" i="142"/>
  <c r="M563" i="27"/>
  <c r="T39" i="140"/>
  <c r="T40" i="140" s="1"/>
  <c r="M581" i="27"/>
  <c r="T6" i="161"/>
  <c r="T6" i="162" s="1"/>
  <c r="T6" i="149"/>
  <c r="R4" i="148"/>
  <c r="T4" i="161"/>
  <c r="T4" i="162" s="1"/>
  <c r="T4" i="149"/>
  <c r="T6" i="160"/>
  <c r="T2" i="75"/>
  <c r="T64" i="74"/>
  <c r="T62" i="74"/>
  <c r="T60" i="74"/>
  <c r="T58" i="74"/>
  <c r="T56" i="74"/>
  <c r="T54" i="74"/>
  <c r="T52" i="74"/>
  <c r="T50" i="74"/>
  <c r="T48" i="74"/>
  <c r="T46" i="74"/>
  <c r="T44" i="74"/>
  <c r="T42" i="74"/>
  <c r="T40" i="74"/>
  <c r="T65" i="74"/>
  <c r="T63" i="74"/>
  <c r="T61" i="74"/>
  <c r="T59" i="74"/>
  <c r="T57" i="74"/>
  <c r="T55" i="74"/>
  <c r="T53" i="74"/>
  <c r="T51" i="74"/>
  <c r="T49" i="74"/>
  <c r="T47" i="74"/>
  <c r="T45" i="74"/>
  <c r="T43" i="74"/>
  <c r="T41" i="74"/>
  <c r="T39" i="74"/>
  <c r="T37" i="74"/>
  <c r="T35" i="74"/>
  <c r="T33" i="74"/>
  <c r="T31" i="74"/>
  <c r="T29" i="74"/>
  <c r="T27" i="74"/>
  <c r="T25" i="74"/>
  <c r="T21" i="74"/>
  <c r="T19" i="74"/>
  <c r="T15" i="74"/>
  <c r="T12" i="74"/>
  <c r="T38" i="74"/>
  <c r="T36" i="74"/>
  <c r="T34" i="74"/>
  <c r="T32" i="74"/>
  <c r="T30" i="74"/>
  <c r="T28" i="74"/>
  <c r="T26" i="74"/>
  <c r="T24" i="74"/>
  <c r="T22" i="74"/>
  <c r="T20" i="74"/>
  <c r="T18" i="74"/>
  <c r="T16" i="74"/>
  <c r="T14" i="74"/>
  <c r="T10" i="74"/>
  <c r="T23" i="74"/>
  <c r="T17" i="74"/>
  <c r="T13" i="74"/>
  <c r="T11" i="74"/>
  <c r="T52" i="95"/>
  <c r="T53" i="95"/>
  <c r="T51" i="95"/>
  <c r="T2" i="96"/>
  <c r="T49" i="95"/>
  <c r="T50" i="95"/>
  <c r="T47" i="95"/>
  <c r="T48" i="95"/>
  <c r="T46" i="95"/>
  <c r="T44" i="95"/>
  <c r="T42" i="95"/>
  <c r="T40" i="95"/>
  <c r="T38" i="95"/>
  <c r="T36" i="95"/>
  <c r="T34" i="95"/>
  <c r="T32" i="95"/>
  <c r="T30" i="95"/>
  <c r="T28" i="95"/>
  <c r="T26" i="95"/>
  <c r="T24" i="95"/>
  <c r="T22" i="95"/>
  <c r="T20" i="95"/>
  <c r="T18" i="95"/>
  <c r="T45" i="95"/>
  <c r="T43" i="95"/>
  <c r="T41" i="95"/>
  <c r="T39" i="95"/>
  <c r="T37" i="95"/>
  <c r="T35" i="95"/>
  <c r="T33" i="95"/>
  <c r="T31" i="95"/>
  <c r="T29" i="95"/>
  <c r="T27" i="95"/>
  <c r="T25" i="95"/>
  <c r="T23" i="95"/>
  <c r="T21" i="95"/>
  <c r="T19" i="95"/>
  <c r="T17" i="95"/>
  <c r="T16" i="95"/>
  <c r="T15" i="95"/>
  <c r="T14" i="95"/>
  <c r="T13" i="95"/>
  <c r="T12" i="95"/>
  <c r="T11" i="95"/>
  <c r="T10" i="95"/>
  <c r="T15" i="131"/>
  <c r="T13" i="131"/>
  <c r="T11" i="131"/>
  <c r="T10" i="131"/>
  <c r="T14" i="131"/>
  <c r="T12" i="131"/>
  <c r="T2" i="156"/>
  <c r="T10" i="155"/>
  <c r="T14" i="155"/>
  <c r="T13" i="155"/>
  <c r="T12" i="155"/>
  <c r="T11" i="155"/>
  <c r="Q309" i="27"/>
  <c r="O309" i="27" s="1"/>
  <c r="O311" i="27" s="1"/>
  <c r="O274" i="27"/>
  <c r="E276" i="27"/>
  <c r="O285" i="27"/>
  <c r="O286" i="27"/>
  <c r="G287" i="27"/>
  <c r="E287" i="27" s="1"/>
  <c r="E801" i="27"/>
  <c r="T6" i="143"/>
  <c r="T6" i="156"/>
  <c r="T5" i="156" s="1"/>
  <c r="T4" i="156" s="1"/>
  <c r="T6" i="75"/>
  <c r="T5" i="75" s="1"/>
  <c r="T4" i="75" s="1"/>
  <c r="T6" i="96"/>
  <c r="T5" i="96" s="1"/>
  <c r="T4" i="96" s="1"/>
  <c r="T5" i="84"/>
  <c r="R5" i="84" s="1"/>
  <c r="T4" i="84" s="1"/>
  <c r="R4" i="84" s="1"/>
  <c r="T3" i="84" s="1"/>
  <c r="R3" i="84" s="1"/>
  <c r="E788" i="27"/>
  <c r="E789" i="27" s="1"/>
  <c r="T23" i="130"/>
  <c r="T16" i="169"/>
  <c r="T29" i="154"/>
  <c r="I801" i="27"/>
  <c r="G299" i="27"/>
  <c r="T74" i="72"/>
  <c r="T75" i="72" s="1"/>
  <c r="M566" i="27"/>
  <c r="P12" i="114"/>
  <c r="A10" i="114"/>
  <c r="M710" i="27"/>
  <c r="R4" i="187"/>
  <c r="T4" i="189"/>
  <c r="T5" i="161"/>
  <c r="R5" i="161" s="1"/>
  <c r="T5" i="149"/>
  <c r="T3" i="161"/>
  <c r="T3" i="149"/>
  <c r="T49" i="93"/>
  <c r="T50" i="93" s="1"/>
  <c r="M571" i="27"/>
  <c r="T19" i="76"/>
  <c r="T20" i="76" s="1"/>
  <c r="M570" i="27"/>
  <c r="R7" i="144"/>
  <c r="T6" i="144" s="1"/>
  <c r="T7" i="157"/>
  <c r="T7" i="145"/>
  <c r="R7" i="79"/>
  <c r="T6" i="79" s="1"/>
  <c r="R6" i="79" s="1"/>
  <c r="T5" i="79" s="1"/>
  <c r="R5" i="79" s="1"/>
  <c r="T4" i="79" s="1"/>
  <c r="R4" i="79" s="1"/>
  <c r="T3" i="79" s="1"/>
  <c r="R3" i="79" s="1"/>
  <c r="R5" i="133"/>
  <c r="T26" i="170"/>
  <c r="O26" i="170" s="1"/>
  <c r="T25" i="170"/>
  <c r="T23" i="170"/>
  <c r="T21" i="170"/>
  <c r="T19" i="170"/>
  <c r="T17" i="170"/>
  <c r="T15" i="170"/>
  <c r="T13" i="170"/>
  <c r="T11" i="170"/>
  <c r="T10" i="170"/>
  <c r="T27" i="170"/>
  <c r="T24" i="170"/>
  <c r="T22" i="170"/>
  <c r="T20" i="170"/>
  <c r="T18" i="170"/>
  <c r="T16" i="170"/>
  <c r="T14" i="170"/>
  <c r="T12" i="170"/>
  <c r="R2" i="171"/>
  <c r="T12" i="171"/>
  <c r="T10" i="171"/>
  <c r="T2" i="173"/>
  <c r="T11" i="171"/>
  <c r="O11" i="171" s="1"/>
  <c r="M11" i="171" s="1"/>
  <c r="K263" i="27"/>
  <c r="O263" i="27" s="1"/>
  <c r="K262" i="27"/>
  <c r="K261" i="27"/>
  <c r="X256" i="27"/>
  <c r="M252" i="27"/>
  <c r="K251" i="27"/>
  <c r="K250" i="27"/>
  <c r="K249" i="27"/>
  <c r="I773" i="27"/>
  <c r="E773" i="27"/>
  <c r="X244" i="27"/>
  <c r="M238" i="27"/>
  <c r="G238" i="27"/>
  <c r="E238" i="27"/>
  <c r="K237" i="27"/>
  <c r="K236" i="27"/>
  <c r="K235" i="27"/>
  <c r="K234" i="27"/>
  <c r="K233" i="27"/>
  <c r="K232" i="27"/>
  <c r="X228" i="27" s="1"/>
  <c r="M222" i="27"/>
  <c r="G222" i="27"/>
  <c r="E222" i="27"/>
  <c r="K221" i="27"/>
  <c r="O221" i="27" s="1"/>
  <c r="K220" i="27"/>
  <c r="K219" i="27"/>
  <c r="K218" i="27"/>
  <c r="O218" i="27" s="1"/>
  <c r="K217" i="27"/>
  <c r="K216" i="27"/>
  <c r="K211" i="27"/>
  <c r="I38" i="73" l="1"/>
  <c r="M37" i="73"/>
  <c r="I35" i="72"/>
  <c r="M34" i="72"/>
  <c r="I39" i="75"/>
  <c r="M38" i="75"/>
  <c r="I43" i="79"/>
  <c r="M42" i="79"/>
  <c r="I61" i="87"/>
  <c r="M60" i="87"/>
  <c r="I40" i="74"/>
  <c r="M39" i="74"/>
  <c r="W13" i="53"/>
  <c r="T15" i="155"/>
  <c r="T5" i="158"/>
  <c r="T4" i="203"/>
  <c r="T51" i="73"/>
  <c r="T52" i="73" s="1"/>
  <c r="M582" i="27"/>
  <c r="T5" i="143"/>
  <c r="T4" i="143" s="1"/>
  <c r="T20" i="143" s="1"/>
  <c r="T3" i="187"/>
  <c r="T3" i="196" s="1"/>
  <c r="R4" i="203"/>
  <c r="R4" i="196"/>
  <c r="R4" i="189"/>
  <c r="R4" i="149"/>
  <c r="R4" i="161"/>
  <c r="R4" i="162" s="1"/>
  <c r="T3" i="162" s="1"/>
  <c r="R3" i="162" s="1"/>
  <c r="O45" i="56"/>
  <c r="W21" i="56"/>
  <c r="W14" i="53" s="1"/>
  <c r="O24" i="56"/>
  <c r="R6" i="160"/>
  <c r="T4" i="133"/>
  <c r="T4" i="134" s="1"/>
  <c r="R5" i="158"/>
  <c r="R5" i="134"/>
  <c r="T55" i="95"/>
  <c r="T57" i="95" s="1"/>
  <c r="T58" i="95" s="1"/>
  <c r="O236" i="27"/>
  <c r="O232" i="27"/>
  <c r="O233" i="27"/>
  <c r="K264" i="27"/>
  <c r="O216" i="27"/>
  <c r="O219" i="27"/>
  <c r="K252" i="27"/>
  <c r="O261" i="27"/>
  <c r="R7" i="145"/>
  <c r="T7" i="146"/>
  <c r="R6" i="144"/>
  <c r="T5" i="144" s="1"/>
  <c r="T6" i="157"/>
  <c r="T6" i="145"/>
  <c r="R3" i="187"/>
  <c r="T3" i="203"/>
  <c r="T18" i="169"/>
  <c r="T19" i="169" s="1"/>
  <c r="M740" i="27"/>
  <c r="T25" i="130"/>
  <c r="T26" i="130" s="1"/>
  <c r="M579" i="27"/>
  <c r="M564" i="27"/>
  <c r="T41" i="96"/>
  <c r="T42" i="96"/>
  <c r="T40" i="96"/>
  <c r="T39" i="96"/>
  <c r="T38" i="96"/>
  <c r="T37" i="96"/>
  <c r="T36" i="96"/>
  <c r="T35" i="96"/>
  <c r="T33" i="96"/>
  <c r="T32" i="96"/>
  <c r="T30" i="96"/>
  <c r="T28" i="96"/>
  <c r="T26" i="96"/>
  <c r="T24" i="96"/>
  <c r="T21" i="96"/>
  <c r="T19" i="96"/>
  <c r="T17" i="96"/>
  <c r="T15" i="96"/>
  <c r="T12" i="96"/>
  <c r="T14" i="96"/>
  <c r="T10" i="96"/>
  <c r="T34" i="96"/>
  <c r="T31" i="96"/>
  <c r="T29" i="96"/>
  <c r="T27" i="96"/>
  <c r="T25" i="96"/>
  <c r="T23" i="96"/>
  <c r="T22" i="96"/>
  <c r="T20" i="96"/>
  <c r="T18" i="96"/>
  <c r="T16" i="96"/>
  <c r="T13" i="96"/>
  <c r="T11" i="96"/>
  <c r="T4" i="163"/>
  <c r="T18" i="143"/>
  <c r="T16" i="143"/>
  <c r="T19" i="143"/>
  <c r="T17" i="143"/>
  <c r="T15" i="143"/>
  <c r="T14" i="143"/>
  <c r="T13" i="143"/>
  <c r="T12" i="143"/>
  <c r="T11" i="143"/>
  <c r="T10" i="143"/>
  <c r="Q297" i="27"/>
  <c r="O297" i="27" s="1"/>
  <c r="O299" i="27" s="1"/>
  <c r="K222" i="27"/>
  <c r="O217" i="27"/>
  <c r="O220" i="27"/>
  <c r="O234" i="27"/>
  <c r="O235" i="27"/>
  <c r="O237" i="27"/>
  <c r="K238" i="27"/>
  <c r="O249" i="27"/>
  <c r="O251" i="27"/>
  <c r="G252" i="27"/>
  <c r="G264" i="27"/>
  <c r="E264" i="27" s="1"/>
  <c r="T14" i="171"/>
  <c r="M742" i="27" s="1"/>
  <c r="O287" i="27"/>
  <c r="O276" i="27"/>
  <c r="T19" i="155"/>
  <c r="T17" i="131"/>
  <c r="T5" i="159"/>
  <c r="T5" i="160" s="1"/>
  <c r="T17" i="142"/>
  <c r="E775" i="27"/>
  <c r="R2" i="173"/>
  <c r="T34" i="173"/>
  <c r="T32" i="173"/>
  <c r="T30" i="173"/>
  <c r="T28" i="173"/>
  <c r="T26" i="173"/>
  <c r="T24" i="173"/>
  <c r="T22" i="173"/>
  <c r="T20" i="173"/>
  <c r="T18" i="173"/>
  <c r="T16" i="173"/>
  <c r="T14" i="173"/>
  <c r="T12" i="173"/>
  <c r="T33" i="173"/>
  <c r="T31" i="173"/>
  <c r="T29" i="173"/>
  <c r="T27" i="173"/>
  <c r="T25" i="173"/>
  <c r="T23" i="173"/>
  <c r="T21" i="173"/>
  <c r="T19" i="173"/>
  <c r="T17" i="173"/>
  <c r="T15" i="173"/>
  <c r="T13" i="173"/>
  <c r="T11" i="173"/>
  <c r="T10" i="173"/>
  <c r="R4" i="133"/>
  <c r="T4" i="158"/>
  <c r="T31" i="154"/>
  <c r="M586" i="27"/>
  <c r="M572" i="27"/>
  <c r="T17" i="156"/>
  <c r="T16" i="156"/>
  <c r="T15" i="156"/>
  <c r="T14" i="156"/>
  <c r="T13" i="156"/>
  <c r="T12" i="156"/>
  <c r="T11" i="156"/>
  <c r="T10" i="156"/>
  <c r="M573" i="27"/>
  <c r="T43" i="75"/>
  <c r="T41" i="75"/>
  <c r="T39" i="75"/>
  <c r="T37" i="75"/>
  <c r="T35" i="75"/>
  <c r="T33" i="75"/>
  <c r="T31" i="75"/>
  <c r="T29" i="75"/>
  <c r="T27" i="75"/>
  <c r="T25" i="75"/>
  <c r="T23" i="75"/>
  <c r="T21" i="75"/>
  <c r="T19" i="75"/>
  <c r="T17" i="75"/>
  <c r="T15" i="75"/>
  <c r="T13" i="75"/>
  <c r="T11" i="75"/>
  <c r="T10" i="75"/>
  <c r="T44" i="75"/>
  <c r="T42" i="75"/>
  <c r="T40" i="75"/>
  <c r="T38" i="75"/>
  <c r="T36" i="75"/>
  <c r="T34" i="75"/>
  <c r="T32" i="75"/>
  <c r="T30" i="75"/>
  <c r="T28" i="75"/>
  <c r="T26" i="75"/>
  <c r="T24" i="75"/>
  <c r="T22" i="75"/>
  <c r="T20" i="75"/>
  <c r="T18" i="75"/>
  <c r="T16" i="75"/>
  <c r="T14" i="75"/>
  <c r="T12" i="75"/>
  <c r="R6" i="162"/>
  <c r="T5" i="162" s="1"/>
  <c r="R5" i="162" s="1"/>
  <c r="T6" i="163"/>
  <c r="E252" i="27"/>
  <c r="T30" i="170"/>
  <c r="T67" i="74"/>
  <c r="K209" i="27"/>
  <c r="K207" i="27"/>
  <c r="K205" i="27"/>
  <c r="K203" i="27"/>
  <c r="K201" i="27"/>
  <c r="K199" i="27"/>
  <c r="K197" i="27"/>
  <c r="K195" i="27"/>
  <c r="K193" i="27"/>
  <c r="K191" i="27"/>
  <c r="K189" i="27"/>
  <c r="K187" i="27"/>
  <c r="K185" i="27"/>
  <c r="K183" i="27"/>
  <c r="G183" i="27"/>
  <c r="K181" i="27"/>
  <c r="K179" i="27"/>
  <c r="K177" i="27"/>
  <c r="K175" i="27"/>
  <c r="G175" i="27"/>
  <c r="M166" i="27"/>
  <c r="I62" i="87" l="1"/>
  <c r="M61" i="87"/>
  <c r="I44" i="79"/>
  <c r="M43" i="79"/>
  <c r="I40" i="75"/>
  <c r="M39" i="75"/>
  <c r="I39" i="73"/>
  <c r="M38" i="73"/>
  <c r="I41" i="74"/>
  <c r="M40" i="74"/>
  <c r="I36" i="72"/>
  <c r="M35" i="72"/>
  <c r="W17" i="53"/>
  <c r="R5" i="159"/>
  <c r="R5" i="160" s="1"/>
  <c r="R6" i="145"/>
  <c r="T3" i="189"/>
  <c r="R3" i="189" s="1"/>
  <c r="R3" i="196"/>
  <c r="R3" i="203"/>
  <c r="W24" i="56"/>
  <c r="O30" i="56"/>
  <c r="R4" i="158"/>
  <c r="T3" i="133"/>
  <c r="T3" i="158" s="1"/>
  <c r="R4" i="134"/>
  <c r="O238" i="27"/>
  <c r="O222" i="27"/>
  <c r="O177" i="27"/>
  <c r="O181" i="27"/>
  <c r="O183" i="27"/>
  <c r="O187" i="27"/>
  <c r="O191" i="27"/>
  <c r="O195" i="27"/>
  <c r="O199" i="27"/>
  <c r="O203" i="27"/>
  <c r="O207" i="27"/>
  <c r="T69" i="74"/>
  <c r="T70" i="74" s="1"/>
  <c r="M568" i="27"/>
  <c r="T32" i="170"/>
  <c r="T33" i="170" s="1"/>
  <c r="M741" i="27"/>
  <c r="R6" i="163"/>
  <c r="T5" i="163" s="1"/>
  <c r="R5" i="163" s="1"/>
  <c r="T6" i="164"/>
  <c r="T19" i="142"/>
  <c r="M583" i="27"/>
  <c r="T19" i="131"/>
  <c r="T20" i="131" s="1"/>
  <c r="M580" i="27"/>
  <c r="R7" i="146"/>
  <c r="T6" i="146" s="1"/>
  <c r="T7" i="147"/>
  <c r="O175" i="27"/>
  <c r="O179" i="27"/>
  <c r="O185" i="27"/>
  <c r="O189" i="27"/>
  <c r="O193" i="27"/>
  <c r="O197" i="27"/>
  <c r="O201" i="27"/>
  <c r="O205" i="27"/>
  <c r="G211" i="27"/>
  <c r="O209" i="27" s="1"/>
  <c r="T19" i="156"/>
  <c r="T39" i="173"/>
  <c r="T22" i="143"/>
  <c r="M565" i="27"/>
  <c r="R3" i="133"/>
  <c r="T21" i="155"/>
  <c r="T22" i="155" s="1"/>
  <c r="M587" i="27"/>
  <c r="Q262" i="27"/>
  <c r="O262" i="27" s="1"/>
  <c r="R4" i="163"/>
  <c r="T3" i="163" s="1"/>
  <c r="R3" i="163" s="1"/>
  <c r="T4" i="164"/>
  <c r="R5" i="144"/>
  <c r="T4" i="144" s="1"/>
  <c r="T5" i="157"/>
  <c r="T5" i="145"/>
  <c r="T46" i="75"/>
  <c r="Q250" i="27"/>
  <c r="O250" i="27" s="1"/>
  <c r="O252" i="27" s="1"/>
  <c r="T4" i="159"/>
  <c r="T44" i="96"/>
  <c r="M158" i="27"/>
  <c r="M150" i="27"/>
  <c r="M141" i="27"/>
  <c r="M120" i="27"/>
  <c r="E665" i="27"/>
  <c r="M108" i="27"/>
  <c r="M96" i="27"/>
  <c r="E654" i="27"/>
  <c r="M84" i="27"/>
  <c r="M72" i="27"/>
  <c r="E633" i="27"/>
  <c r="M59" i="27"/>
  <c r="I42" i="74" l="1"/>
  <c r="M41" i="74"/>
  <c r="I41" i="75"/>
  <c r="M40" i="75"/>
  <c r="I45" i="79"/>
  <c r="M44" i="79"/>
  <c r="I63" i="87"/>
  <c r="M62" i="87"/>
  <c r="I37" i="72"/>
  <c r="M36" i="72"/>
  <c r="I40" i="73"/>
  <c r="M39" i="73"/>
  <c r="R6" i="146"/>
  <c r="R5" i="145"/>
  <c r="R4" i="159"/>
  <c r="T3" i="134"/>
  <c r="R7" i="147"/>
  <c r="R6" i="164"/>
  <c r="R3" i="158"/>
  <c r="R3" i="134"/>
  <c r="R4" i="164"/>
  <c r="T6" i="147"/>
  <c r="T5" i="164"/>
  <c r="R5" i="164" s="1"/>
  <c r="T3" i="159"/>
  <c r="T3" i="164"/>
  <c r="R3" i="164" s="1"/>
  <c r="O264" i="27"/>
  <c r="E655" i="27"/>
  <c r="E666" i="27"/>
  <c r="T46" i="96"/>
  <c r="T47" i="96" s="1"/>
  <c r="M574" i="27"/>
  <c r="T48" i="75"/>
  <c r="T49" i="75" s="1"/>
  <c r="M569" i="27"/>
  <c r="R4" i="144"/>
  <c r="T3" i="144" s="1"/>
  <c r="T4" i="157"/>
  <c r="T4" i="145"/>
  <c r="T24" i="143"/>
  <c r="M584" i="27"/>
  <c r="T41" i="173"/>
  <c r="M743" i="27"/>
  <c r="K106" i="27"/>
  <c r="O106" i="27" s="1"/>
  <c r="T5" i="146"/>
  <c r="E634" i="27"/>
  <c r="T21" i="156"/>
  <c r="T22" i="156" s="1"/>
  <c r="M588" i="27"/>
  <c r="T4" i="160"/>
  <c r="R4" i="160" s="1"/>
  <c r="M45" i="27"/>
  <c r="I38" i="72" l="1"/>
  <c r="M37" i="72"/>
  <c r="I43" i="74"/>
  <c r="M42" i="74"/>
  <c r="I41" i="73"/>
  <c r="M40" i="73"/>
  <c r="I64" i="87"/>
  <c r="M63" i="87"/>
  <c r="I46" i="79"/>
  <c r="M45" i="79"/>
  <c r="I42" i="75"/>
  <c r="M41" i="75"/>
  <c r="R6" i="147"/>
  <c r="R5" i="146"/>
  <c r="R4" i="145"/>
  <c r="T5" i="147"/>
  <c r="R3" i="159"/>
  <c r="T3" i="160"/>
  <c r="T4" i="146"/>
  <c r="R4" i="146" s="1"/>
  <c r="R3" i="144"/>
  <c r="T3" i="157"/>
  <c r="T3" i="145"/>
  <c r="K43" i="27"/>
  <c r="K42" i="27"/>
  <c r="E613" i="27"/>
  <c r="I42" i="73" l="1"/>
  <c r="M41" i="73"/>
  <c r="I39" i="72"/>
  <c r="M38" i="72"/>
  <c r="I43" i="75"/>
  <c r="M42" i="75"/>
  <c r="I47" i="79"/>
  <c r="M46" i="79"/>
  <c r="O64" i="87"/>
  <c r="I65" i="87"/>
  <c r="M64" i="87"/>
  <c r="I44" i="74"/>
  <c r="M43" i="74"/>
  <c r="R5" i="147"/>
  <c r="R3" i="145"/>
  <c r="R3" i="160"/>
  <c r="T4" i="147"/>
  <c r="R4" i="147" s="1"/>
  <c r="O42" i="27"/>
  <c r="E614" i="27"/>
  <c r="O43" i="27"/>
  <c r="E615" i="27"/>
  <c r="T3" i="146"/>
  <c r="M31" i="27"/>
  <c r="M16" i="27"/>
  <c r="I587" i="27"/>
  <c r="O65" i="87" l="1"/>
  <c r="M65" i="87"/>
  <c r="O10" i="87"/>
  <c r="O11" i="87"/>
  <c r="O12" i="87"/>
  <c r="O13" i="87"/>
  <c r="O14" i="87"/>
  <c r="O15" i="87"/>
  <c r="O16" i="87"/>
  <c r="O17" i="87"/>
  <c r="O18" i="87"/>
  <c r="O19" i="87"/>
  <c r="O20" i="87"/>
  <c r="O21" i="87"/>
  <c r="O22" i="87"/>
  <c r="O23" i="87"/>
  <c r="O24" i="87"/>
  <c r="O25" i="87"/>
  <c r="O26" i="87"/>
  <c r="O27" i="87"/>
  <c r="O28" i="87"/>
  <c r="O29" i="87"/>
  <c r="O30" i="87"/>
  <c r="O31" i="87"/>
  <c r="O32" i="87"/>
  <c r="O33" i="87"/>
  <c r="O34" i="87"/>
  <c r="O35" i="87"/>
  <c r="O36" i="87"/>
  <c r="O37" i="87"/>
  <c r="O38" i="87"/>
  <c r="O39" i="87"/>
  <c r="O40" i="87"/>
  <c r="O41" i="87"/>
  <c r="O42" i="87"/>
  <c r="O43" i="87"/>
  <c r="O44" i="87"/>
  <c r="O45" i="87"/>
  <c r="O46" i="87"/>
  <c r="O47" i="87"/>
  <c r="O48" i="87"/>
  <c r="O49" i="87"/>
  <c r="O50" i="87"/>
  <c r="O51" i="87"/>
  <c r="O52" i="87"/>
  <c r="O53" i="87"/>
  <c r="O54" i="87"/>
  <c r="O55" i="87"/>
  <c r="O56" i="87"/>
  <c r="O57" i="87"/>
  <c r="O58" i="87"/>
  <c r="O59" i="87"/>
  <c r="O60" i="87"/>
  <c r="O61" i="87"/>
  <c r="O62" i="87"/>
  <c r="O63" i="87"/>
  <c r="I48" i="79"/>
  <c r="M47" i="79"/>
  <c r="I44" i="75"/>
  <c r="O43" i="75" s="1"/>
  <c r="M43" i="75"/>
  <c r="I43" i="73"/>
  <c r="M42" i="73"/>
  <c r="I45" i="74"/>
  <c r="M44" i="74"/>
  <c r="I40" i="72"/>
  <c r="M39" i="72"/>
  <c r="E588" i="27"/>
  <c r="R3" i="146"/>
  <c r="T3" i="147"/>
  <c r="I41" i="72" l="1"/>
  <c r="M40" i="72"/>
  <c r="I44" i="73"/>
  <c r="M43" i="73"/>
  <c r="I46" i="74"/>
  <c r="M45" i="74"/>
  <c r="O44" i="75"/>
  <c r="M44" i="75"/>
  <c r="O10" i="75"/>
  <c r="O11" i="75"/>
  <c r="O12" i="75"/>
  <c r="O13" i="75"/>
  <c r="O14" i="75"/>
  <c r="O15" i="75"/>
  <c r="O16" i="75"/>
  <c r="O17" i="75"/>
  <c r="O18" i="75"/>
  <c r="O19" i="75"/>
  <c r="O20" i="75"/>
  <c r="O21" i="75"/>
  <c r="O22" i="75"/>
  <c r="O23" i="75"/>
  <c r="O24" i="75"/>
  <c r="O25" i="75"/>
  <c r="O26" i="75"/>
  <c r="O27" i="75"/>
  <c r="O28" i="75"/>
  <c r="O29" i="75"/>
  <c r="O30" i="75"/>
  <c r="O31" i="75"/>
  <c r="O32" i="75"/>
  <c r="O33" i="75"/>
  <c r="O34" i="75"/>
  <c r="O35" i="75"/>
  <c r="O36" i="75"/>
  <c r="O37" i="75"/>
  <c r="O38" i="75"/>
  <c r="O39" i="75"/>
  <c r="O40" i="75"/>
  <c r="O41" i="75"/>
  <c r="O42" i="75"/>
  <c r="I49" i="79"/>
  <c r="M48" i="79"/>
  <c r="R3" i="147"/>
  <c r="E587" i="27"/>
  <c r="I586" i="27"/>
  <c r="K11" i="27"/>
  <c r="A3" i="27"/>
  <c r="A1" i="27"/>
  <c r="A547" i="27" s="1"/>
  <c r="C67" i="12"/>
  <c r="C66" i="12"/>
  <c r="F64" i="12"/>
  <c r="I47" i="74" l="1"/>
  <c r="M46" i="74"/>
  <c r="I42" i="72"/>
  <c r="M41" i="72"/>
  <c r="I50" i="79"/>
  <c r="M49" i="79"/>
  <c r="I45" i="73"/>
  <c r="M44" i="73"/>
  <c r="E586" i="27"/>
  <c r="C68" i="12"/>
  <c r="O11" i="27"/>
  <c r="I48" i="74" l="1"/>
  <c r="M47" i="74"/>
  <c r="I46" i="73"/>
  <c r="M45" i="73"/>
  <c r="I51" i="79"/>
  <c r="M50" i="79"/>
  <c r="I43" i="72"/>
  <c r="M42" i="72"/>
  <c r="I565" i="27"/>
  <c r="L16" i="12"/>
  <c r="L24" i="12" s="1"/>
  <c r="I49" i="74" l="1"/>
  <c r="M48" i="74"/>
  <c r="I44" i="72"/>
  <c r="M43" i="72"/>
  <c r="I52" i="79"/>
  <c r="M51" i="79"/>
  <c r="I47" i="73"/>
  <c r="M46" i="73"/>
  <c r="E565" i="27"/>
  <c r="O47" i="73" l="1"/>
  <c r="O10" i="73"/>
  <c r="M10" i="73" s="1"/>
  <c r="O11" i="73"/>
  <c r="M11" i="73" s="1"/>
  <c r="M47" i="73"/>
  <c r="O12" i="73"/>
  <c r="M12" i="73" s="1"/>
  <c r="O13" i="73"/>
  <c r="M13" i="73" s="1"/>
  <c r="O14" i="73"/>
  <c r="O15" i="73"/>
  <c r="O16" i="73"/>
  <c r="O17" i="73"/>
  <c r="O18" i="73"/>
  <c r="O19" i="73"/>
  <c r="O20" i="73"/>
  <c r="O21" i="73"/>
  <c r="O22" i="73"/>
  <c r="O23" i="73"/>
  <c r="O24" i="73"/>
  <c r="O25" i="73"/>
  <c r="O26" i="73"/>
  <c r="O27" i="73"/>
  <c r="O28" i="73"/>
  <c r="O29" i="73"/>
  <c r="O30" i="73"/>
  <c r="O31" i="73"/>
  <c r="O32" i="73"/>
  <c r="O33" i="73"/>
  <c r="O34" i="73"/>
  <c r="O35" i="73"/>
  <c r="O36" i="73"/>
  <c r="O37" i="73"/>
  <c r="O38" i="73"/>
  <c r="O39" i="73"/>
  <c r="O40" i="73"/>
  <c r="O41" i="73"/>
  <c r="O42" i="73"/>
  <c r="O43" i="73"/>
  <c r="O44" i="73"/>
  <c r="O45" i="73"/>
  <c r="I53" i="79"/>
  <c r="M52" i="79"/>
  <c r="O46" i="73"/>
  <c r="I50" i="74"/>
  <c r="M49" i="74"/>
  <c r="I45" i="72"/>
  <c r="M44" i="72"/>
  <c r="I8" i="30"/>
  <c r="E690" i="212"/>
  <c r="G690" i="212" s="1"/>
  <c r="F690" i="212" s="1"/>
  <c r="H690" i="212" s="1"/>
  <c r="D684" i="212"/>
  <c r="C684" i="212"/>
  <c r="E664" i="212"/>
  <c r="B664" i="212" s="1"/>
  <c r="E660" i="212"/>
  <c r="B660" i="212" s="1"/>
  <c r="E656" i="212"/>
  <c r="B656" i="212" s="1"/>
  <c r="D651" i="212"/>
  <c r="C651" i="212"/>
  <c r="E649" i="212"/>
  <c r="B649" i="212" s="1"/>
  <c r="E648" i="212"/>
  <c r="B648" i="212" s="1"/>
  <c r="E647" i="212"/>
  <c r="B647" i="212" s="1"/>
  <c r="D645" i="212"/>
  <c r="D654" i="212" s="1"/>
  <c r="C645" i="212"/>
  <c r="E643" i="212"/>
  <c r="B643" i="212" s="1"/>
  <c r="E642" i="212"/>
  <c r="B642" i="212" s="1"/>
  <c r="D636" i="212"/>
  <c r="C636" i="212"/>
  <c r="E634" i="212"/>
  <c r="B634" i="212" s="1"/>
  <c r="E632" i="212"/>
  <c r="B632" i="212" s="1"/>
  <c r="E631" i="212"/>
  <c r="B631" i="212" s="1"/>
  <c r="E630" i="212"/>
  <c r="B630" i="212" s="1"/>
  <c r="D628" i="212"/>
  <c r="C628" i="212"/>
  <c r="E626" i="212"/>
  <c r="B626" i="212" s="1"/>
  <c r="E625" i="212"/>
  <c r="D13" i="10" s="1"/>
  <c r="B625" i="212"/>
  <c r="E624" i="212"/>
  <c r="E623" i="212"/>
  <c r="E622" i="212"/>
  <c r="E621" i="212"/>
  <c r="D619" i="212"/>
  <c r="E617" i="212"/>
  <c r="B617" i="212" s="1"/>
  <c r="E616" i="212"/>
  <c r="B616" i="212" s="1"/>
  <c r="E615" i="212"/>
  <c r="B615" i="212" s="1"/>
  <c r="F611" i="212"/>
  <c r="E611" i="212"/>
  <c r="D611" i="212" s="1"/>
  <c r="B611" i="212" s="1"/>
  <c r="F610" i="212"/>
  <c r="E610" i="212"/>
  <c r="D610" i="212" s="1"/>
  <c r="B610" i="212" s="1"/>
  <c r="F609" i="212"/>
  <c r="E609" i="212"/>
  <c r="D609" i="212" s="1"/>
  <c r="B609" i="212" s="1"/>
  <c r="F608" i="212"/>
  <c r="E608" i="212"/>
  <c r="D608" i="212" s="1"/>
  <c r="B608" i="212" s="1"/>
  <c r="E607" i="212"/>
  <c r="C607" i="212" s="1"/>
  <c r="B607" i="212" s="1"/>
  <c r="E606" i="212"/>
  <c r="C606" i="212" s="1"/>
  <c r="B606" i="212" s="1"/>
  <c r="E605" i="212"/>
  <c r="C605" i="212" s="1"/>
  <c r="B605" i="212" s="1"/>
  <c r="C603" i="212"/>
  <c r="F601" i="212"/>
  <c r="F603" i="212" s="1"/>
  <c r="E601" i="212"/>
  <c r="E603" i="212" s="1"/>
  <c r="C599" i="212"/>
  <c r="F597" i="212"/>
  <c r="F599" i="212" s="1"/>
  <c r="E597" i="212"/>
  <c r="E599" i="212" s="1"/>
  <c r="C595" i="212"/>
  <c r="F593" i="212"/>
  <c r="E593" i="212"/>
  <c r="E595" i="212" s="1"/>
  <c r="F589" i="212"/>
  <c r="E589" i="212"/>
  <c r="D589" i="212" s="1"/>
  <c r="B589" i="212" s="1"/>
  <c r="F588" i="212"/>
  <c r="E588" i="212"/>
  <c r="D588" i="212" s="1"/>
  <c r="B588" i="212" s="1"/>
  <c r="F587" i="212"/>
  <c r="E587" i="212"/>
  <c r="D587" i="212" s="1"/>
  <c r="B587" i="212" s="1"/>
  <c r="F586" i="212"/>
  <c r="E586" i="212"/>
  <c r="D586" i="212" s="1"/>
  <c r="B586" i="212" s="1"/>
  <c r="F585" i="212"/>
  <c r="E585" i="212"/>
  <c r="D585" i="212" s="1"/>
  <c r="B585" i="212" s="1"/>
  <c r="F584" i="212"/>
  <c r="E584" i="212"/>
  <c r="D584" i="212" s="1"/>
  <c r="B584" i="212" s="1"/>
  <c r="F583" i="212"/>
  <c r="E583" i="212"/>
  <c r="D583" i="212" s="1"/>
  <c r="B583" i="212" s="1"/>
  <c r="F582" i="212"/>
  <c r="E582" i="212"/>
  <c r="D582" i="212" s="1"/>
  <c r="B582" i="212" s="1"/>
  <c r="F581" i="212"/>
  <c r="E581" i="212"/>
  <c r="D581" i="212" s="1"/>
  <c r="B581" i="212" s="1"/>
  <c r="F580" i="212"/>
  <c r="E580" i="212"/>
  <c r="D580" i="212" s="1"/>
  <c r="B580" i="212" s="1"/>
  <c r="F579" i="212"/>
  <c r="E579" i="212"/>
  <c r="D579" i="212" s="1"/>
  <c r="B579" i="212" s="1"/>
  <c r="F578" i="212"/>
  <c r="E578" i="212"/>
  <c r="D578" i="212" s="1"/>
  <c r="B578" i="212" s="1"/>
  <c r="F577" i="212"/>
  <c r="E577" i="212"/>
  <c r="D577" i="212" s="1"/>
  <c r="B577" i="212" s="1"/>
  <c r="F576" i="212"/>
  <c r="E576" i="212"/>
  <c r="F575" i="212"/>
  <c r="E575" i="212"/>
  <c r="D575" i="212" s="1"/>
  <c r="B575" i="212" s="1"/>
  <c r="F574" i="212"/>
  <c r="E574" i="212"/>
  <c r="D574" i="212" s="1"/>
  <c r="B574" i="212" s="1"/>
  <c r="F573" i="212"/>
  <c r="E573" i="212"/>
  <c r="D573" i="212" s="1"/>
  <c r="B573" i="212" s="1"/>
  <c r="F572" i="212"/>
  <c r="E572" i="212"/>
  <c r="D572" i="212" s="1"/>
  <c r="B572" i="212" s="1"/>
  <c r="F571" i="212"/>
  <c r="E571" i="212"/>
  <c r="D571" i="212" s="1"/>
  <c r="B571" i="212" s="1"/>
  <c r="F570" i="212"/>
  <c r="E570" i="212"/>
  <c r="D570" i="212" s="1"/>
  <c r="B570" i="212" s="1"/>
  <c r="F569" i="212"/>
  <c r="E569" i="212"/>
  <c r="D569" i="212" s="1"/>
  <c r="B569" i="212" s="1"/>
  <c r="F568" i="212"/>
  <c r="E568" i="212"/>
  <c r="D568" i="212" s="1"/>
  <c r="B568" i="212" s="1"/>
  <c r="F567" i="212"/>
  <c r="E567" i="212"/>
  <c r="D567" i="212" s="1"/>
  <c r="B567" i="212" s="1"/>
  <c r="F566" i="212"/>
  <c r="E566" i="212"/>
  <c r="D566" i="212" s="1"/>
  <c r="B566" i="212" s="1"/>
  <c r="E565" i="212"/>
  <c r="C565" i="212" s="1"/>
  <c r="B565" i="212" s="1"/>
  <c r="E564" i="212"/>
  <c r="C564" i="212" s="1"/>
  <c r="B564" i="212" s="1"/>
  <c r="E563" i="212"/>
  <c r="C563" i="212" s="1"/>
  <c r="B563" i="212" s="1"/>
  <c r="E561" i="212"/>
  <c r="C561" i="212" s="1"/>
  <c r="B561" i="212" s="1"/>
  <c r="E560" i="212"/>
  <c r="C560" i="212" s="1"/>
  <c r="B560" i="212" s="1"/>
  <c r="E559" i="212"/>
  <c r="C559" i="212" s="1"/>
  <c r="B559" i="212" s="1"/>
  <c r="E558" i="212"/>
  <c r="C558" i="212" s="1"/>
  <c r="B558" i="212" s="1"/>
  <c r="E557" i="212"/>
  <c r="C557" i="212" s="1"/>
  <c r="B557" i="212" s="1"/>
  <c r="E556" i="212"/>
  <c r="C556" i="212" s="1"/>
  <c r="B556" i="212" s="1"/>
  <c r="E555" i="212"/>
  <c r="C555" i="212" s="1"/>
  <c r="B555" i="212" s="1"/>
  <c r="E554" i="212"/>
  <c r="C554" i="212" s="1"/>
  <c r="B554" i="212" s="1"/>
  <c r="E553" i="212"/>
  <c r="C553" i="212" s="1"/>
  <c r="B553" i="212" s="1"/>
  <c r="E552" i="212"/>
  <c r="C552" i="212" s="1"/>
  <c r="B552" i="212" s="1"/>
  <c r="E551" i="212"/>
  <c r="C551" i="212" s="1"/>
  <c r="B551" i="212" s="1"/>
  <c r="E550" i="212"/>
  <c r="C550" i="212" s="1"/>
  <c r="B550" i="212" s="1"/>
  <c r="E549" i="212"/>
  <c r="C549" i="212" s="1"/>
  <c r="B549" i="212" s="1"/>
  <c r="E548" i="212"/>
  <c r="C548" i="212" s="1"/>
  <c r="B548" i="212" s="1"/>
  <c r="E547" i="212"/>
  <c r="C547" i="212" s="1"/>
  <c r="B547" i="212" s="1"/>
  <c r="E546" i="212"/>
  <c r="C546" i="212" s="1"/>
  <c r="B546" i="212" s="1"/>
  <c r="E545" i="212"/>
  <c r="C545" i="212" s="1"/>
  <c r="B545" i="212" s="1"/>
  <c r="E544" i="212"/>
  <c r="C544" i="212" s="1"/>
  <c r="B544" i="212" s="1"/>
  <c r="E543" i="212"/>
  <c r="C543" i="212" s="1"/>
  <c r="B543" i="212" s="1"/>
  <c r="E542" i="212"/>
  <c r="C542" i="212" s="1"/>
  <c r="B542" i="212" s="1"/>
  <c r="E541" i="212"/>
  <c r="C541" i="212" s="1"/>
  <c r="B541" i="212" s="1"/>
  <c r="E540" i="212"/>
  <c r="C540" i="212" s="1"/>
  <c r="B540" i="212" s="1"/>
  <c r="E539" i="212"/>
  <c r="E535" i="212"/>
  <c r="E534" i="212"/>
  <c r="E533" i="212"/>
  <c r="E532" i="212"/>
  <c r="E531" i="212"/>
  <c r="E530" i="212"/>
  <c r="E529" i="212"/>
  <c r="E528" i="212"/>
  <c r="F527" i="212"/>
  <c r="E527" i="212"/>
  <c r="D527" i="212" s="1"/>
  <c r="B527" i="212" s="1"/>
  <c r="F526" i="212"/>
  <c r="E526" i="212"/>
  <c r="D526" i="212" s="1"/>
  <c r="B526" i="212" s="1"/>
  <c r="F525" i="212"/>
  <c r="E525" i="212"/>
  <c r="D525" i="212" s="1"/>
  <c r="B525" i="212" s="1"/>
  <c r="F524" i="212"/>
  <c r="E524" i="212"/>
  <c r="D524" i="212" s="1"/>
  <c r="B524" i="212" s="1"/>
  <c r="F523" i="212"/>
  <c r="E523" i="212"/>
  <c r="D523" i="212" s="1"/>
  <c r="B523" i="212" s="1"/>
  <c r="F522" i="212"/>
  <c r="E522" i="212"/>
  <c r="D522" i="212" s="1"/>
  <c r="E521" i="212"/>
  <c r="C521" i="212" s="1"/>
  <c r="B521" i="212" s="1"/>
  <c r="E520" i="212"/>
  <c r="C520" i="212" s="1"/>
  <c r="B520" i="212" s="1"/>
  <c r="E519" i="212"/>
  <c r="C519" i="212" s="1"/>
  <c r="B519" i="212" s="1"/>
  <c r="E518" i="212"/>
  <c r="C518" i="212" s="1"/>
  <c r="B518" i="212" s="1"/>
  <c r="E517" i="212"/>
  <c r="C517" i="212" s="1"/>
  <c r="B517" i="212" s="1"/>
  <c r="F513" i="212"/>
  <c r="E513" i="212"/>
  <c r="D513" i="212" s="1"/>
  <c r="B513" i="212" s="1"/>
  <c r="E512" i="212"/>
  <c r="E511" i="212"/>
  <c r="E510" i="212"/>
  <c r="D508" i="212"/>
  <c r="C508" i="212"/>
  <c r="E506" i="212"/>
  <c r="B506" i="212" s="1"/>
  <c r="E505" i="212"/>
  <c r="B505" i="212" s="1"/>
  <c r="E504" i="212"/>
  <c r="B504" i="212" s="1"/>
  <c r="E503" i="212"/>
  <c r="D501" i="212"/>
  <c r="E499" i="212"/>
  <c r="B499" i="212" s="1"/>
  <c r="E498" i="212"/>
  <c r="B498" i="212" s="1"/>
  <c r="E497" i="212"/>
  <c r="B497" i="212" s="1"/>
  <c r="E496" i="212"/>
  <c r="B496" i="212" s="1"/>
  <c r="E495" i="212"/>
  <c r="B495" i="212" s="1"/>
  <c r="E494" i="212"/>
  <c r="B494" i="212" s="1"/>
  <c r="D492" i="212"/>
  <c r="C492" i="212"/>
  <c r="E490" i="212"/>
  <c r="B490" i="212" s="1"/>
  <c r="E489" i="212"/>
  <c r="B489" i="212" s="1"/>
  <c r="E488" i="212"/>
  <c r="B488" i="212" s="1"/>
  <c r="E487" i="212"/>
  <c r="B487" i="212" s="1"/>
  <c r="E486" i="212"/>
  <c r="B486" i="212" s="1"/>
  <c r="E485" i="212"/>
  <c r="B485" i="212" s="1"/>
  <c r="E484" i="212"/>
  <c r="B484" i="212" s="1"/>
  <c r="E483" i="212"/>
  <c r="E482" i="212"/>
  <c r="B482" i="212" s="1"/>
  <c r="E481" i="212"/>
  <c r="B481" i="212" s="1"/>
  <c r="E480" i="212"/>
  <c r="B480" i="212" s="1"/>
  <c r="E478" i="212"/>
  <c r="D476" i="212"/>
  <c r="C476" i="212"/>
  <c r="E474" i="212"/>
  <c r="B474" i="212" s="1"/>
  <c r="E470" i="212"/>
  <c r="D467" i="212"/>
  <c r="E465" i="212"/>
  <c r="B465" i="212" s="1"/>
  <c r="E464" i="212"/>
  <c r="B464" i="212" s="1"/>
  <c r="E463" i="212"/>
  <c r="B463" i="212" s="1"/>
  <c r="E462" i="212"/>
  <c r="B462" i="212" s="1"/>
  <c r="E461" i="212"/>
  <c r="B461" i="212" s="1"/>
  <c r="E460" i="212"/>
  <c r="B460" i="212" s="1"/>
  <c r="E459" i="212"/>
  <c r="B459" i="212" s="1"/>
  <c r="E458" i="212"/>
  <c r="B458" i="212" s="1"/>
  <c r="D456" i="212"/>
  <c r="E454" i="212"/>
  <c r="E453" i="212"/>
  <c r="B453" i="212" s="1"/>
  <c r="E452" i="212"/>
  <c r="B452" i="212" s="1"/>
  <c r="E451" i="212"/>
  <c r="B451" i="212" s="1"/>
  <c r="E450" i="212"/>
  <c r="B450" i="212" s="1"/>
  <c r="E449" i="212"/>
  <c r="B449" i="212" s="1"/>
  <c r="E448" i="212"/>
  <c r="B448" i="212" s="1"/>
  <c r="E447" i="212"/>
  <c r="B447" i="212" s="1"/>
  <c r="E446" i="212"/>
  <c r="B446" i="212" s="1"/>
  <c r="E445" i="212"/>
  <c r="B445" i="212" s="1"/>
  <c r="E444" i="212"/>
  <c r="B444" i="212" s="1"/>
  <c r="E443" i="212"/>
  <c r="B443" i="212" s="1"/>
  <c r="D441" i="212"/>
  <c r="E439" i="212"/>
  <c r="B439" i="212" s="1"/>
  <c r="E438" i="212"/>
  <c r="B438" i="212" s="1"/>
  <c r="E437" i="212"/>
  <c r="B437" i="212" s="1"/>
  <c r="E436" i="212"/>
  <c r="B436" i="212" s="1"/>
  <c r="E435" i="212"/>
  <c r="B435" i="212" s="1"/>
  <c r="E434" i="212"/>
  <c r="B434" i="212" s="1"/>
  <c r="E433" i="212"/>
  <c r="B433" i="212" s="1"/>
  <c r="E432" i="212"/>
  <c r="B432" i="212" s="1"/>
  <c r="E431" i="212"/>
  <c r="B431" i="212" s="1"/>
  <c r="E430" i="212"/>
  <c r="B430" i="212" s="1"/>
  <c r="D428" i="212"/>
  <c r="E426" i="212"/>
  <c r="B426" i="212" s="1"/>
  <c r="E425" i="212"/>
  <c r="B425" i="212" s="1"/>
  <c r="E424" i="212"/>
  <c r="B424" i="212" s="1"/>
  <c r="E423" i="212"/>
  <c r="B423" i="212" s="1"/>
  <c r="E422" i="212"/>
  <c r="B422" i="212" s="1"/>
  <c r="E421" i="212"/>
  <c r="B421" i="212" s="1"/>
  <c r="E419" i="212"/>
  <c r="B419" i="212" s="1"/>
  <c r="E418" i="212"/>
  <c r="B418" i="212" s="1"/>
  <c r="D416" i="212"/>
  <c r="E414" i="212"/>
  <c r="E413" i="212"/>
  <c r="B413" i="212" s="1"/>
  <c r="E412" i="212"/>
  <c r="B412" i="212" s="1"/>
  <c r="E411" i="212"/>
  <c r="B411" i="212" s="1"/>
  <c r="E410" i="212"/>
  <c r="B410" i="212" s="1"/>
  <c r="D408" i="212"/>
  <c r="C408" i="212"/>
  <c r="E406" i="212"/>
  <c r="B406" i="212" s="1"/>
  <c r="D404" i="212"/>
  <c r="C404" i="212"/>
  <c r="E402" i="212"/>
  <c r="B402" i="212" s="1"/>
  <c r="E401" i="212"/>
  <c r="B401" i="212" s="1"/>
  <c r="E400" i="212"/>
  <c r="B400" i="212" s="1"/>
  <c r="E399" i="212"/>
  <c r="B399" i="212" s="1"/>
  <c r="E398" i="212"/>
  <c r="B398" i="212" s="1"/>
  <c r="E397" i="212"/>
  <c r="B397" i="212" s="1"/>
  <c r="E396" i="212"/>
  <c r="B396" i="212" s="1"/>
  <c r="E395" i="212"/>
  <c r="B395" i="212" s="1"/>
  <c r="E394" i="212"/>
  <c r="B394" i="212" s="1"/>
  <c r="E393" i="212"/>
  <c r="B393" i="212" s="1"/>
  <c r="E392" i="212"/>
  <c r="B392" i="212" s="1"/>
  <c r="E391" i="212"/>
  <c r="B391" i="212" s="1"/>
  <c r="D389" i="212"/>
  <c r="E387" i="212"/>
  <c r="B387" i="212" s="1"/>
  <c r="E386" i="212"/>
  <c r="B386" i="212" s="1"/>
  <c r="E385" i="212"/>
  <c r="B385" i="212" s="1"/>
  <c r="E384" i="212"/>
  <c r="B384" i="212" s="1"/>
  <c r="E383" i="212"/>
  <c r="B383" i="212" s="1"/>
  <c r="D381" i="212"/>
  <c r="E379" i="212"/>
  <c r="B379" i="212" s="1"/>
  <c r="E378" i="212"/>
  <c r="E377" i="212"/>
  <c r="B377" i="212" s="1"/>
  <c r="D375" i="212"/>
  <c r="E373" i="212"/>
  <c r="C373" i="212" s="1"/>
  <c r="B373" i="212" s="1"/>
  <c r="D371" i="212"/>
  <c r="E369" i="212"/>
  <c r="E368" i="212"/>
  <c r="F364" i="212"/>
  <c r="E364" i="212"/>
  <c r="D364" i="212" s="1"/>
  <c r="B364" i="212" s="1"/>
  <c r="E363" i="212"/>
  <c r="C361" i="212"/>
  <c r="F359" i="212"/>
  <c r="E359" i="212"/>
  <c r="D359" i="212" s="1"/>
  <c r="B359" i="212" s="1"/>
  <c r="F358" i="212"/>
  <c r="E358" i="212"/>
  <c r="D358" i="212" s="1"/>
  <c r="B358" i="212" s="1"/>
  <c r="E346" i="212"/>
  <c r="C346" i="212" s="1"/>
  <c r="B346" i="212" s="1"/>
  <c r="E345" i="212"/>
  <c r="E344" i="212"/>
  <c r="C344" i="212" s="1"/>
  <c r="B344" i="212"/>
  <c r="E343" i="212"/>
  <c r="C343" i="212" s="1"/>
  <c r="E342" i="212"/>
  <c r="E341" i="212"/>
  <c r="E340" i="212"/>
  <c r="E339" i="212"/>
  <c r="E338" i="212"/>
  <c r="C338" i="212" s="1"/>
  <c r="B338" i="212" s="1"/>
  <c r="E337" i="212"/>
  <c r="C337" i="212" s="1"/>
  <c r="B337" i="212" s="1"/>
  <c r="E336" i="212"/>
  <c r="C336" i="212" s="1"/>
  <c r="B336" i="212" s="1"/>
  <c r="E335" i="212"/>
  <c r="C335" i="212" s="1"/>
  <c r="B335" i="212" s="1"/>
  <c r="E334" i="212"/>
  <c r="E333" i="212"/>
  <c r="C333" i="212" s="1"/>
  <c r="D326" i="212"/>
  <c r="C326" i="212"/>
  <c r="E324" i="212"/>
  <c r="E323" i="212"/>
  <c r="B323" i="212" s="1"/>
  <c r="E322" i="212"/>
  <c r="B322" i="212" s="1"/>
  <c r="E321" i="212"/>
  <c r="B321" i="212" s="1"/>
  <c r="G316" i="212"/>
  <c r="F316" i="212"/>
  <c r="E316" i="212"/>
  <c r="D316" i="212"/>
  <c r="C316" i="212"/>
  <c r="E313" i="212"/>
  <c r="D313" i="212"/>
  <c r="C313" i="212"/>
  <c r="D309" i="212"/>
  <c r="C309" i="212"/>
  <c r="E307" i="212"/>
  <c r="D305" i="212"/>
  <c r="C305" i="212"/>
  <c r="B303" i="212"/>
  <c r="E301" i="212"/>
  <c r="B301" i="212" s="1"/>
  <c r="E300" i="212"/>
  <c r="B300" i="212" s="1"/>
  <c r="E299" i="212"/>
  <c r="B299" i="212" s="1"/>
  <c r="E298" i="212"/>
  <c r="B298" i="212" s="1"/>
  <c r="E297" i="212"/>
  <c r="B297" i="212" s="1"/>
  <c r="E296" i="212"/>
  <c r="B296" i="212" s="1"/>
  <c r="E294" i="212"/>
  <c r="B294" i="212" s="1"/>
  <c r="D292" i="212"/>
  <c r="E290" i="212"/>
  <c r="B290" i="212" s="1"/>
  <c r="E288" i="212"/>
  <c r="D286" i="212"/>
  <c r="E284" i="212"/>
  <c r="B284" i="212" s="1"/>
  <c r="E283" i="212"/>
  <c r="D281" i="212"/>
  <c r="C281" i="212"/>
  <c r="E279" i="212"/>
  <c r="B279" i="212" s="1"/>
  <c r="D277" i="212"/>
  <c r="C277" i="212"/>
  <c r="E275" i="212"/>
  <c r="B275" i="212" s="1"/>
  <c r="E274" i="212"/>
  <c r="E273" i="212"/>
  <c r="B273" i="212" s="1"/>
  <c r="E272" i="212"/>
  <c r="B272" i="212" s="1"/>
  <c r="E271" i="212"/>
  <c r="B271" i="212" s="1"/>
  <c r="E270" i="212"/>
  <c r="D268" i="212"/>
  <c r="C268" i="212"/>
  <c r="E266" i="212"/>
  <c r="B266" i="212" s="1"/>
  <c r="E265" i="212"/>
  <c r="B265" i="212" s="1"/>
  <c r="E264" i="212"/>
  <c r="B264" i="212" s="1"/>
  <c r="E263" i="212"/>
  <c r="B263" i="212" s="1"/>
  <c r="E262" i="212"/>
  <c r="B262" i="212" s="1"/>
  <c r="E261" i="212"/>
  <c r="B261" i="212" s="1"/>
  <c r="D259" i="212"/>
  <c r="C259" i="212"/>
  <c r="E257" i="212"/>
  <c r="B257" i="212" s="1"/>
  <c r="E256" i="212"/>
  <c r="B256" i="212" s="1"/>
  <c r="E255" i="212"/>
  <c r="B255" i="212" s="1"/>
  <c r="E254" i="212"/>
  <c r="B254" i="212" s="1"/>
  <c r="E253" i="212"/>
  <c r="B253" i="212" s="1"/>
  <c r="E252" i="212"/>
  <c r="B252" i="212" s="1"/>
  <c r="F248" i="212"/>
  <c r="E248" i="212"/>
  <c r="F247" i="212"/>
  <c r="E247" i="212"/>
  <c r="D247" i="212" s="1"/>
  <c r="B247" i="212" s="1"/>
  <c r="F246" i="212"/>
  <c r="E246" i="212"/>
  <c r="D246" i="212" s="1"/>
  <c r="B246" i="212" s="1"/>
  <c r="F245" i="212"/>
  <c r="E245" i="212"/>
  <c r="D245" i="212" s="1"/>
  <c r="B245" i="212" s="1"/>
  <c r="F244" i="212"/>
  <c r="E244" i="212"/>
  <c r="E243" i="212"/>
  <c r="C243" i="212" s="1"/>
  <c r="B243" i="212" s="1"/>
  <c r="E242" i="212"/>
  <c r="C242" i="212" s="1"/>
  <c r="B242" i="212" s="1"/>
  <c r="E241" i="212"/>
  <c r="C241" i="212" s="1"/>
  <c r="B241" i="212" s="1"/>
  <c r="F240" i="212"/>
  <c r="E240" i="212"/>
  <c r="D240" i="212" s="1"/>
  <c r="B240" i="212" s="1"/>
  <c r="F239" i="212"/>
  <c r="E239" i="212"/>
  <c r="D239" i="212" s="1"/>
  <c r="B239" i="212" s="1"/>
  <c r="F238" i="212"/>
  <c r="E238" i="212"/>
  <c r="F237" i="212"/>
  <c r="E237" i="212"/>
  <c r="D237" i="212" s="1"/>
  <c r="E236" i="212"/>
  <c r="C236" i="212" s="1"/>
  <c r="B236" i="212" s="1"/>
  <c r="E235" i="212"/>
  <c r="C235" i="212" s="1"/>
  <c r="B235" i="212" s="1"/>
  <c r="E234" i="212"/>
  <c r="D231" i="212"/>
  <c r="E229" i="212"/>
  <c r="C229" i="212" s="1"/>
  <c r="B229" i="212" s="1"/>
  <c r="D223" i="212"/>
  <c r="E221" i="212"/>
  <c r="E220" i="212"/>
  <c r="B220" i="212" s="1"/>
  <c r="E219" i="212"/>
  <c r="B219" i="212" s="1"/>
  <c r="E218" i="212"/>
  <c r="B218" i="212" s="1"/>
  <c r="E217" i="212"/>
  <c r="B217" i="212" s="1"/>
  <c r="E216" i="212"/>
  <c r="B216" i="212" s="1"/>
  <c r="E215" i="212"/>
  <c r="B215" i="212" s="1"/>
  <c r="E214" i="212"/>
  <c r="B214" i="212" s="1"/>
  <c r="E213" i="212"/>
  <c r="B213" i="212" s="1"/>
  <c r="E212" i="212"/>
  <c r="B212" i="212" s="1"/>
  <c r="E211" i="212"/>
  <c r="B211" i="212" s="1"/>
  <c r="E210" i="212"/>
  <c r="B210" i="212" s="1"/>
  <c r="E206" i="212"/>
  <c r="E205" i="212"/>
  <c r="E204" i="212"/>
  <c r="D197" i="212"/>
  <c r="C197" i="212"/>
  <c r="E195" i="212"/>
  <c r="B195" i="212" s="1"/>
  <c r="D193" i="212"/>
  <c r="C193" i="212"/>
  <c r="E191" i="212"/>
  <c r="B191" i="212" s="1"/>
  <c r="D189" i="212"/>
  <c r="C189" i="212"/>
  <c r="E187" i="212"/>
  <c r="B187" i="212" s="1"/>
  <c r="D185" i="212"/>
  <c r="C185" i="212"/>
  <c r="E183" i="212"/>
  <c r="B183" i="212" s="1"/>
  <c r="D180" i="212"/>
  <c r="C180" i="212"/>
  <c r="E178" i="212"/>
  <c r="B178" i="212" s="1"/>
  <c r="E177" i="212"/>
  <c r="B177" i="212" s="1"/>
  <c r="E176" i="212"/>
  <c r="B176" i="212" s="1"/>
  <c r="E175" i="212"/>
  <c r="B175" i="212" s="1"/>
  <c r="E174" i="212"/>
  <c r="B174" i="212" s="1"/>
  <c r="E173" i="212"/>
  <c r="B173" i="212" s="1"/>
  <c r="D171" i="212"/>
  <c r="E169" i="212"/>
  <c r="B169" i="212" s="1"/>
  <c r="E168" i="212"/>
  <c r="B168" i="212" s="1"/>
  <c r="D166" i="212"/>
  <c r="E164" i="212"/>
  <c r="C164" i="212" s="1"/>
  <c r="B164" i="212" s="1"/>
  <c r="E163" i="212"/>
  <c r="C163" i="212" s="1"/>
  <c r="B163" i="212" s="1"/>
  <c r="E159" i="212"/>
  <c r="C159" i="212" s="1"/>
  <c r="B159" i="212" s="1"/>
  <c r="E158" i="212"/>
  <c r="C158" i="212" s="1"/>
  <c r="B158" i="212" s="1"/>
  <c r="E157" i="212"/>
  <c r="C157" i="212" s="1"/>
  <c r="B157" i="212" s="1"/>
  <c r="F156" i="212"/>
  <c r="E156" i="212"/>
  <c r="F155" i="212"/>
  <c r="E155" i="212"/>
  <c r="F154" i="212"/>
  <c r="E154" i="212"/>
  <c r="D154" i="212" s="1"/>
  <c r="B154" i="212" s="1"/>
  <c r="F153" i="212"/>
  <c r="E153" i="212"/>
  <c r="D153" i="212" s="1"/>
  <c r="B153" i="212" s="1"/>
  <c r="F152" i="212"/>
  <c r="E152" i="212"/>
  <c r="D152" i="212" s="1"/>
  <c r="B152" i="212" s="1"/>
  <c r="F151" i="212"/>
  <c r="E151" i="212"/>
  <c r="D151" i="212" s="1"/>
  <c r="B151" i="212" s="1"/>
  <c r="F150" i="212"/>
  <c r="E150" i="212"/>
  <c r="D150" i="212" s="1"/>
  <c r="B150" i="212" s="1"/>
  <c r="F149" i="212"/>
  <c r="E149" i="212"/>
  <c r="D149" i="212" s="1"/>
  <c r="B149" i="212" s="1"/>
  <c r="F148" i="212"/>
  <c r="E148" i="212"/>
  <c r="D148" i="212" s="1"/>
  <c r="B148" i="212" s="1"/>
  <c r="F147" i="212"/>
  <c r="E147" i="212"/>
  <c r="D147" i="212" s="1"/>
  <c r="B147" i="212" s="1"/>
  <c r="F146" i="212"/>
  <c r="E146" i="212"/>
  <c r="D146" i="212" s="1"/>
  <c r="B146" i="212" s="1"/>
  <c r="F145" i="212"/>
  <c r="E145" i="212"/>
  <c r="D145" i="212" s="1"/>
  <c r="B145" i="212" s="1"/>
  <c r="F144" i="212"/>
  <c r="E144" i="212"/>
  <c r="D144" i="212" s="1"/>
  <c r="B144" i="212" s="1"/>
  <c r="F143" i="212"/>
  <c r="E143" i="212"/>
  <c r="D143" i="212" s="1"/>
  <c r="B143" i="212" s="1"/>
  <c r="F142" i="212"/>
  <c r="E142" i="212"/>
  <c r="D142" i="212" s="1"/>
  <c r="B142" i="212" s="1"/>
  <c r="F141" i="212"/>
  <c r="E141" i="212"/>
  <c r="D141" i="212" s="1"/>
  <c r="B141" i="212" s="1"/>
  <c r="F140" i="212"/>
  <c r="E140" i="212"/>
  <c r="D140" i="212" s="1"/>
  <c r="B140" i="212" s="1"/>
  <c r="F139" i="212"/>
  <c r="E139" i="212"/>
  <c r="F138" i="212"/>
  <c r="E138" i="212"/>
  <c r="D138" i="212" s="1"/>
  <c r="B138" i="212" s="1"/>
  <c r="F137" i="212"/>
  <c r="E137" i="212"/>
  <c r="F136" i="212"/>
  <c r="E136" i="212"/>
  <c r="D136" i="212" s="1"/>
  <c r="B136" i="212" s="1"/>
  <c r="F135" i="212"/>
  <c r="E135" i="212"/>
  <c r="D135" i="212" s="1"/>
  <c r="B135" i="212" s="1"/>
  <c r="F134" i="212"/>
  <c r="E134" i="212"/>
  <c r="D134" i="212" s="1"/>
  <c r="B134" i="212" s="1"/>
  <c r="F133" i="212"/>
  <c r="E133" i="212"/>
  <c r="D133" i="212" s="1"/>
  <c r="B133" i="212" s="1"/>
  <c r="F132" i="212"/>
  <c r="E132" i="212"/>
  <c r="D132" i="212" s="1"/>
  <c r="B132" i="212" s="1"/>
  <c r="F131" i="212"/>
  <c r="E131" i="212"/>
  <c r="F130" i="212"/>
  <c r="E130" i="212"/>
  <c r="D130" i="212" s="1"/>
  <c r="B130" i="212" s="1"/>
  <c r="F129" i="212"/>
  <c r="E129" i="212"/>
  <c r="F128" i="212"/>
  <c r="E128" i="212"/>
  <c r="D128" i="212" s="1"/>
  <c r="B128" i="212" s="1"/>
  <c r="E127" i="212"/>
  <c r="C127" i="212" s="1"/>
  <c r="B127" i="212" s="1"/>
  <c r="E126" i="212"/>
  <c r="C126" i="212" s="1"/>
  <c r="B126" i="212" s="1"/>
  <c r="E125" i="212"/>
  <c r="C125" i="212" s="1"/>
  <c r="B125" i="212" s="1"/>
  <c r="E123" i="212"/>
  <c r="C123" i="212" s="1"/>
  <c r="B123" i="212" s="1"/>
  <c r="E122" i="212"/>
  <c r="C122" i="212" s="1"/>
  <c r="B122" i="212" s="1"/>
  <c r="E121" i="212"/>
  <c r="C121" i="212" s="1"/>
  <c r="B121" i="212" s="1"/>
  <c r="E120" i="212"/>
  <c r="C120" i="212" s="1"/>
  <c r="B120" i="212" s="1"/>
  <c r="E119" i="212"/>
  <c r="C119" i="212" s="1"/>
  <c r="B119" i="212" s="1"/>
  <c r="E118" i="212"/>
  <c r="C118" i="212" s="1"/>
  <c r="B118" i="212" s="1"/>
  <c r="E117" i="212"/>
  <c r="C117" i="212" s="1"/>
  <c r="B117" i="212" s="1"/>
  <c r="E116" i="212"/>
  <c r="C116" i="212" s="1"/>
  <c r="B116" i="212" s="1"/>
  <c r="E115" i="212"/>
  <c r="C115" i="212" s="1"/>
  <c r="B115" i="212" s="1"/>
  <c r="E114" i="212"/>
  <c r="C114" i="212" s="1"/>
  <c r="B114" i="212" s="1"/>
  <c r="E113" i="212"/>
  <c r="C113" i="212" s="1"/>
  <c r="B113" i="212" s="1"/>
  <c r="E112" i="212"/>
  <c r="C112" i="212" s="1"/>
  <c r="B112" i="212" s="1"/>
  <c r="E111" i="212"/>
  <c r="C111" i="212" s="1"/>
  <c r="B111" i="212" s="1"/>
  <c r="E110" i="212"/>
  <c r="C110" i="212" s="1"/>
  <c r="B110" i="212" s="1"/>
  <c r="E109" i="212"/>
  <c r="C109" i="212" s="1"/>
  <c r="B109" i="212" s="1"/>
  <c r="E108" i="212"/>
  <c r="C108" i="212" s="1"/>
  <c r="B108" i="212" s="1"/>
  <c r="E107" i="212"/>
  <c r="C107" i="212" s="1"/>
  <c r="B107" i="212" s="1"/>
  <c r="E106" i="212"/>
  <c r="C106" i="212" s="1"/>
  <c r="B106" i="212" s="1"/>
  <c r="E105" i="212"/>
  <c r="C105" i="212" s="1"/>
  <c r="B105" i="212" s="1"/>
  <c r="E104" i="212"/>
  <c r="C104" i="212" s="1"/>
  <c r="B104" i="212" s="1"/>
  <c r="E103" i="212"/>
  <c r="C103" i="212" s="1"/>
  <c r="B103" i="212" s="1"/>
  <c r="E102" i="212"/>
  <c r="C102" i="212" s="1"/>
  <c r="B102" i="212" s="1"/>
  <c r="E101" i="212"/>
  <c r="C101" i="212" s="1"/>
  <c r="B101" i="212" s="1"/>
  <c r="E100" i="212"/>
  <c r="C100" i="212" s="1"/>
  <c r="B100" i="212" s="1"/>
  <c r="F96" i="212"/>
  <c r="E96" i="212"/>
  <c r="E93" i="212"/>
  <c r="F92" i="212"/>
  <c r="D92" i="212"/>
  <c r="D80" i="212"/>
  <c r="E78" i="212"/>
  <c r="C78" i="212" s="1"/>
  <c r="B78" i="212" s="1"/>
  <c r="E77" i="212"/>
  <c r="C77" i="212" s="1"/>
  <c r="B77" i="212" s="1"/>
  <c r="E76" i="212"/>
  <c r="C76" i="212" s="1"/>
  <c r="B76" i="212" s="1"/>
  <c r="E75" i="212"/>
  <c r="C75" i="212" s="1"/>
  <c r="B75" i="212" s="1"/>
  <c r="D73" i="212"/>
  <c r="E71" i="212"/>
  <c r="F67" i="212"/>
  <c r="E67" i="212"/>
  <c r="F66" i="212"/>
  <c r="E66" i="212"/>
  <c r="F65" i="212"/>
  <c r="E65" i="212"/>
  <c r="F64" i="212"/>
  <c r="E64" i="212"/>
  <c r="F63" i="212"/>
  <c r="E63" i="212"/>
  <c r="F62" i="212"/>
  <c r="E62" i="212"/>
  <c r="F61" i="212"/>
  <c r="E61" i="212"/>
  <c r="F60" i="212"/>
  <c r="E60" i="212"/>
  <c r="F59" i="212"/>
  <c r="E59" i="212"/>
  <c r="F58" i="212"/>
  <c r="E58" i="212"/>
  <c r="F57" i="212"/>
  <c r="E57" i="212"/>
  <c r="F56" i="212"/>
  <c r="E56" i="212"/>
  <c r="F55" i="212"/>
  <c r="E55" i="212"/>
  <c r="D55" i="212" s="1"/>
  <c r="F54" i="212"/>
  <c r="E54" i="212"/>
  <c r="F53" i="212"/>
  <c r="E53" i="212"/>
  <c r="F52" i="212"/>
  <c r="E52" i="212"/>
  <c r="F51" i="212"/>
  <c r="E51" i="212"/>
  <c r="F50" i="212"/>
  <c r="E50" i="212"/>
  <c r="F49" i="212"/>
  <c r="E49" i="212"/>
  <c r="F48" i="212"/>
  <c r="E48" i="212"/>
  <c r="F47" i="212"/>
  <c r="E47" i="212"/>
  <c r="D47" i="212" s="1"/>
  <c r="F46" i="212"/>
  <c r="E46" i="212"/>
  <c r="F45" i="212"/>
  <c r="E45" i="212"/>
  <c r="D45" i="212" s="1"/>
  <c r="B45" i="212" s="1"/>
  <c r="F44" i="212"/>
  <c r="E44" i="212"/>
  <c r="D44" i="212" s="1"/>
  <c r="B44" i="212" s="1"/>
  <c r="F43" i="212"/>
  <c r="E43" i="212"/>
  <c r="D43" i="212" s="1"/>
  <c r="B43" i="212" s="1"/>
  <c r="F42" i="212"/>
  <c r="E42" i="212"/>
  <c r="D42" i="212" s="1"/>
  <c r="B42" i="212" s="1"/>
  <c r="F41" i="212"/>
  <c r="E41" i="212"/>
  <c r="D41" i="212" s="1"/>
  <c r="B41" i="212" s="1"/>
  <c r="F40" i="212"/>
  <c r="E40" i="212"/>
  <c r="D40" i="212" s="1"/>
  <c r="B40" i="212" s="1"/>
  <c r="E39" i="212"/>
  <c r="E38" i="212"/>
  <c r="C38" i="212" s="1"/>
  <c r="B38" i="212" s="1"/>
  <c r="E37" i="212"/>
  <c r="C37" i="212" s="1"/>
  <c r="B37" i="212" s="1"/>
  <c r="E36" i="212"/>
  <c r="C36" i="212" s="1"/>
  <c r="B36" i="212" s="1"/>
  <c r="E34" i="212"/>
  <c r="C34" i="212" s="1"/>
  <c r="B34" i="212" s="1"/>
  <c r="E33" i="212"/>
  <c r="C33" i="212" s="1"/>
  <c r="B33" i="212" s="1"/>
  <c r="E32" i="212"/>
  <c r="C32" i="212" s="1"/>
  <c r="B32" i="212" s="1"/>
  <c r="E31" i="212"/>
  <c r="C31" i="212" s="1"/>
  <c r="B31" i="212" s="1"/>
  <c r="E30" i="212"/>
  <c r="C30" i="212" s="1"/>
  <c r="B30" i="212" s="1"/>
  <c r="E29" i="212"/>
  <c r="C29" i="212" s="1"/>
  <c r="B29" i="212" s="1"/>
  <c r="E28" i="212"/>
  <c r="C28" i="212" s="1"/>
  <c r="B28" i="212" s="1"/>
  <c r="E27" i="212"/>
  <c r="C27" i="212" s="1"/>
  <c r="B27" i="212" s="1"/>
  <c r="E26" i="212"/>
  <c r="C26" i="212" s="1"/>
  <c r="B26" i="212" s="1"/>
  <c r="E25" i="212"/>
  <c r="C25" i="212" s="1"/>
  <c r="B25" i="212" s="1"/>
  <c r="E24" i="212"/>
  <c r="C24" i="212" s="1"/>
  <c r="B24" i="212" s="1"/>
  <c r="E23" i="212"/>
  <c r="C23" i="212" s="1"/>
  <c r="B23" i="212" s="1"/>
  <c r="E22" i="212"/>
  <c r="C22" i="212" s="1"/>
  <c r="B22" i="212" s="1"/>
  <c r="E21" i="212"/>
  <c r="C21" i="212" s="1"/>
  <c r="B21" i="212" s="1"/>
  <c r="E20" i="212"/>
  <c r="C20" i="212" s="1"/>
  <c r="B20" i="212" s="1"/>
  <c r="E18" i="212"/>
  <c r="C18" i="212" s="1"/>
  <c r="B18" i="212" s="1"/>
  <c r="E17" i="212"/>
  <c r="C17" i="212" s="1"/>
  <c r="B17" i="212" s="1"/>
  <c r="E16" i="212"/>
  <c r="C16" i="212" s="1"/>
  <c r="B16" i="212" s="1"/>
  <c r="E15" i="212"/>
  <c r="C15" i="212" s="1"/>
  <c r="B15" i="212" s="1"/>
  <c r="E14" i="212"/>
  <c r="C14" i="212" s="1"/>
  <c r="B14" i="212" s="1"/>
  <c r="E13" i="212"/>
  <c r="C13" i="212" s="1"/>
  <c r="B13" i="212" s="1"/>
  <c r="E12" i="212"/>
  <c r="C12" i="212" s="1"/>
  <c r="E11" i="212"/>
  <c r="C11" i="212" s="1"/>
  <c r="B11" i="212" s="1"/>
  <c r="E10" i="212"/>
  <c r="C10" i="212" s="1"/>
  <c r="B10" i="212" s="1"/>
  <c r="E9" i="212"/>
  <c r="G13" i="26" s="1"/>
  <c r="N183" i="9"/>
  <c r="A183" i="9"/>
  <c r="N178" i="9"/>
  <c r="H177" i="9"/>
  <c r="J176" i="9"/>
  <c r="L170" i="9"/>
  <c r="H170" i="9"/>
  <c r="F170" i="9"/>
  <c r="N168" i="9"/>
  <c r="J167" i="9"/>
  <c r="N167" i="9" s="1"/>
  <c r="M166" i="9"/>
  <c r="I165" i="9"/>
  <c r="J164" i="9"/>
  <c r="M163" i="9"/>
  <c r="J163" i="9"/>
  <c r="J162" i="9"/>
  <c r="N161" i="9"/>
  <c r="L159" i="9"/>
  <c r="H159" i="9"/>
  <c r="F159" i="9"/>
  <c r="J157" i="9"/>
  <c r="J156" i="9"/>
  <c r="J155" i="9"/>
  <c r="N155" i="9" s="1"/>
  <c r="J154" i="9"/>
  <c r="N154" i="9" s="1"/>
  <c r="J153" i="9"/>
  <c r="N153" i="9" s="1"/>
  <c r="N152" i="9"/>
  <c r="J151" i="9"/>
  <c r="J150" i="9"/>
  <c r="L147" i="9"/>
  <c r="H147" i="9"/>
  <c r="F147" i="9"/>
  <c r="J145" i="9"/>
  <c r="I145" i="9"/>
  <c r="I151" i="9" s="1"/>
  <c r="I156" i="9" s="1"/>
  <c r="N144" i="9"/>
  <c r="J143" i="9"/>
  <c r="J142" i="9"/>
  <c r="J141" i="9"/>
  <c r="J140" i="9"/>
  <c r="J139" i="9"/>
  <c r="N138" i="9" s="1"/>
  <c r="J138" i="9"/>
  <c r="J137" i="9"/>
  <c r="J136" i="9"/>
  <c r="L133" i="9"/>
  <c r="H133" i="9"/>
  <c r="F133" i="9"/>
  <c r="J131" i="9"/>
  <c r="J130" i="9"/>
  <c r="F11" i="29" s="1"/>
  <c r="J129" i="9"/>
  <c r="J128" i="9"/>
  <c r="F9" i="29" s="1"/>
  <c r="A123" i="9"/>
  <c r="N121" i="9"/>
  <c r="A121" i="9"/>
  <c r="N140" i="9" l="1"/>
  <c r="J159" i="9"/>
  <c r="N151" i="9"/>
  <c r="J170" i="9"/>
  <c r="I51" i="74"/>
  <c r="M50" i="74"/>
  <c r="I46" i="72"/>
  <c r="M45" i="72"/>
  <c r="I54" i="79"/>
  <c r="M53" i="79"/>
  <c r="C26" i="54"/>
  <c r="L23" i="229"/>
  <c r="D156" i="212"/>
  <c r="B156" i="212" s="1"/>
  <c r="L22" i="229"/>
  <c r="N142" i="9"/>
  <c r="B221" i="212"/>
  <c r="C221" i="212"/>
  <c r="C223" i="212" s="1"/>
  <c r="B288" i="212"/>
  <c r="C288" i="212"/>
  <c r="C292" i="212" s="1"/>
  <c r="D341" i="212"/>
  <c r="B341" i="212" s="1"/>
  <c r="C341" i="212"/>
  <c r="F341" i="212" s="1"/>
  <c r="B345" i="212"/>
  <c r="C345" i="212"/>
  <c r="B368" i="212"/>
  <c r="C368" i="212"/>
  <c r="B414" i="212"/>
  <c r="C414" i="212"/>
  <c r="C416" i="212" s="1"/>
  <c r="B512" i="212"/>
  <c r="C512" i="212"/>
  <c r="B283" i="212"/>
  <c r="C283" i="212"/>
  <c r="C286" i="212" s="1"/>
  <c r="D340" i="212"/>
  <c r="C340" i="212"/>
  <c r="F340" i="212" s="1"/>
  <c r="B342" i="212"/>
  <c r="C342" i="212"/>
  <c r="B454" i="212"/>
  <c r="C454" i="212"/>
  <c r="C456" i="212" s="1"/>
  <c r="B510" i="212"/>
  <c r="C510" i="212"/>
  <c r="B528" i="212"/>
  <c r="C528" i="212"/>
  <c r="B530" i="212"/>
  <c r="C530" i="212"/>
  <c r="B532" i="212"/>
  <c r="C532" i="212"/>
  <c r="D534" i="212"/>
  <c r="B534" i="212" s="1"/>
  <c r="C534" i="212"/>
  <c r="F534" i="212" s="1"/>
  <c r="D535" i="212"/>
  <c r="B535" i="212" s="1"/>
  <c r="C535" i="212"/>
  <c r="F535" i="212" s="1"/>
  <c r="B369" i="212"/>
  <c r="C369" i="212"/>
  <c r="B511" i="212"/>
  <c r="C511" i="212"/>
  <c r="B529" i="212"/>
  <c r="C529" i="212"/>
  <c r="B531" i="212"/>
  <c r="C531" i="212"/>
  <c r="B533" i="212"/>
  <c r="C533" i="212"/>
  <c r="F90" i="9"/>
  <c r="D82" i="56"/>
  <c r="B470" i="212"/>
  <c r="E472" i="212"/>
  <c r="B237" i="212"/>
  <c r="C234" i="212"/>
  <c r="E250" i="212"/>
  <c r="M33" i="30" s="1"/>
  <c r="B206" i="212"/>
  <c r="B205" i="212"/>
  <c r="E208" i="212"/>
  <c r="C654" i="212"/>
  <c r="B39" i="212"/>
  <c r="C39" i="212"/>
  <c r="B96" i="212"/>
  <c r="D96" i="212"/>
  <c r="B49" i="212"/>
  <c r="D49" i="212"/>
  <c r="B51" i="212"/>
  <c r="D51" i="212"/>
  <c r="B53" i="212"/>
  <c r="D53" i="212"/>
  <c r="B57" i="212"/>
  <c r="D57" i="212"/>
  <c r="B59" i="212"/>
  <c r="D59" i="212"/>
  <c r="B61" i="212"/>
  <c r="D61" i="212"/>
  <c r="B63" i="212"/>
  <c r="D63" i="212"/>
  <c r="B65" i="212"/>
  <c r="D65" i="212"/>
  <c r="B67" i="212"/>
  <c r="D67" i="212"/>
  <c r="D93" i="212"/>
  <c r="B93" i="212" s="1"/>
  <c r="C93" i="212"/>
  <c r="E98" i="212"/>
  <c r="F31" i="30" s="1"/>
  <c r="G19" i="233" s="1"/>
  <c r="B46" i="212"/>
  <c r="D46" i="212"/>
  <c r="B48" i="212"/>
  <c r="D48" i="212"/>
  <c r="B50" i="212"/>
  <c r="D50" i="212"/>
  <c r="B52" i="212"/>
  <c r="D52" i="212"/>
  <c r="B54" i="212"/>
  <c r="D54" i="212"/>
  <c r="B56" i="212"/>
  <c r="D56" i="212"/>
  <c r="B58" i="212"/>
  <c r="D58" i="212"/>
  <c r="B60" i="212"/>
  <c r="D60" i="212"/>
  <c r="B62" i="212"/>
  <c r="D62" i="212"/>
  <c r="B64" i="212"/>
  <c r="D64" i="212"/>
  <c r="B66" i="212"/>
  <c r="D66" i="212"/>
  <c r="G47" i="212"/>
  <c r="D12" i="10"/>
  <c r="B378" i="212"/>
  <c r="G137" i="212"/>
  <c r="F17" i="29"/>
  <c r="F32" i="29" s="1"/>
  <c r="G129" i="212"/>
  <c r="G576" i="212"/>
  <c r="J147" i="9"/>
  <c r="J172" i="9" s="1"/>
  <c r="H172" i="9" s="1"/>
  <c r="B621" i="212"/>
  <c r="F18" i="213"/>
  <c r="B343" i="212"/>
  <c r="D601" i="212"/>
  <c r="B601" i="212" s="1"/>
  <c r="B623" i="212"/>
  <c r="G55" i="212"/>
  <c r="G131" i="212"/>
  <c r="G139" i="212"/>
  <c r="F660" i="212"/>
  <c r="N136" i="9"/>
  <c r="F172" i="9"/>
  <c r="F174" i="9" s="1"/>
  <c r="F180" i="9" s="1"/>
  <c r="P180" i="9" s="1"/>
  <c r="L172" i="9"/>
  <c r="N176" i="9"/>
  <c r="N145" i="9"/>
  <c r="N150" i="9"/>
  <c r="N156" i="9"/>
  <c r="N162" i="9"/>
  <c r="N163" i="9"/>
  <c r="J177" i="9"/>
  <c r="N177" i="9" s="1"/>
  <c r="J133" i="9"/>
  <c r="N137" i="9"/>
  <c r="N139" i="9"/>
  <c r="N141" i="9"/>
  <c r="N143" i="9"/>
  <c r="N157" i="9"/>
  <c r="C9" i="212"/>
  <c r="B9" i="212" s="1"/>
  <c r="B47" i="212"/>
  <c r="B55" i="212"/>
  <c r="F100" i="212"/>
  <c r="G100" i="212" s="1"/>
  <c r="D129" i="212"/>
  <c r="B129" i="212" s="1"/>
  <c r="D131" i="212"/>
  <c r="B131" i="212" s="1"/>
  <c r="D137" i="212"/>
  <c r="B137" i="212" s="1"/>
  <c r="D139" i="212"/>
  <c r="B139" i="212" s="1"/>
  <c r="G144" i="212"/>
  <c r="G150" i="212"/>
  <c r="G152" i="212"/>
  <c r="D155" i="212"/>
  <c r="B155" i="212" s="1"/>
  <c r="G156" i="212"/>
  <c r="F163" i="212"/>
  <c r="G163" i="212" s="1"/>
  <c r="C166" i="212"/>
  <c r="E166" i="212"/>
  <c r="F25" i="30" s="1"/>
  <c r="E197" i="212"/>
  <c r="C231" i="212"/>
  <c r="E231" i="212"/>
  <c r="M27" i="30" s="1"/>
  <c r="M30" i="30" s="1"/>
  <c r="E286" i="212"/>
  <c r="E361" i="212"/>
  <c r="K361" i="212" s="1"/>
  <c r="E591" i="212"/>
  <c r="K591" i="212" s="1"/>
  <c r="F544" i="212"/>
  <c r="G544" i="212" s="1"/>
  <c r="G609" i="212"/>
  <c r="E658" i="212"/>
  <c r="Q31" i="27"/>
  <c r="E189" i="212"/>
  <c r="F229" i="212"/>
  <c r="F361" i="212"/>
  <c r="E476" i="212"/>
  <c r="F510" i="212"/>
  <c r="G510" i="212" s="1"/>
  <c r="D576" i="212"/>
  <c r="B576" i="212" s="1"/>
  <c r="D593" i="212"/>
  <c r="B593" i="212" s="1"/>
  <c r="D597" i="212"/>
  <c r="B597" i="212" s="1"/>
  <c r="E613" i="212"/>
  <c r="F656" i="212"/>
  <c r="E662" i="212"/>
  <c r="O39" i="30"/>
  <c r="O34" i="30"/>
  <c r="O28" i="30"/>
  <c r="O22" i="30"/>
  <c r="G43" i="212"/>
  <c r="G51" i="212"/>
  <c r="G59" i="212"/>
  <c r="G128" i="212"/>
  <c r="G130" i="212"/>
  <c r="G132" i="212"/>
  <c r="G134" i="212"/>
  <c r="G136" i="212"/>
  <c r="G138" i="212"/>
  <c r="G140" i="212"/>
  <c r="G142" i="212"/>
  <c r="G146" i="212"/>
  <c r="G148" i="212"/>
  <c r="G154" i="212"/>
  <c r="G238" i="212"/>
  <c r="G244" i="212"/>
  <c r="G358" i="212"/>
  <c r="P39" i="30"/>
  <c r="P34" i="30"/>
  <c r="P28" i="30"/>
  <c r="P22" i="30"/>
  <c r="G133" i="212"/>
  <c r="G135" i="212"/>
  <c r="G141" i="212"/>
  <c r="G143" i="212"/>
  <c r="G145" i="212"/>
  <c r="G147" i="212"/>
  <c r="G149" i="212"/>
  <c r="G151" i="212"/>
  <c r="G153" i="212"/>
  <c r="G240" i="212"/>
  <c r="G246" i="212"/>
  <c r="G248" i="212"/>
  <c r="G340" i="212"/>
  <c r="G534" i="212"/>
  <c r="G568" i="212"/>
  <c r="G584" i="212"/>
  <c r="G608" i="212"/>
  <c r="B92" i="212"/>
  <c r="B12" i="212"/>
  <c r="F12" i="212"/>
  <c r="G12" i="212" s="1"/>
  <c r="B270" i="212"/>
  <c r="M17" i="30"/>
  <c r="B307" i="212"/>
  <c r="E309" i="212"/>
  <c r="M20" i="30" s="1"/>
  <c r="B324" i="212"/>
  <c r="B333" i="212"/>
  <c r="C334" i="212"/>
  <c r="B334" i="212" s="1"/>
  <c r="E348" i="212"/>
  <c r="K348" i="212" s="1"/>
  <c r="B340" i="212"/>
  <c r="D348" i="212"/>
  <c r="B522" i="212"/>
  <c r="G40" i="212"/>
  <c r="G44" i="212"/>
  <c r="G48" i="212"/>
  <c r="G52" i="212"/>
  <c r="G56" i="212"/>
  <c r="G60" i="212"/>
  <c r="G61" i="212"/>
  <c r="G62" i="212"/>
  <c r="G63" i="212"/>
  <c r="G64" i="212"/>
  <c r="G65" i="212"/>
  <c r="G66" i="212"/>
  <c r="G67" i="212"/>
  <c r="E73" i="212"/>
  <c r="L13" i="229" s="1"/>
  <c r="F75" i="212"/>
  <c r="E80" i="212"/>
  <c r="G92" i="212"/>
  <c r="C161" i="212"/>
  <c r="E161" i="212"/>
  <c r="E180" i="212"/>
  <c r="F38" i="30" s="1"/>
  <c r="G21" i="233" s="1"/>
  <c r="E223" i="212"/>
  <c r="F234" i="212"/>
  <c r="D238" i="212"/>
  <c r="B238" i="212" s="1"/>
  <c r="G239" i="212"/>
  <c r="D244" i="212"/>
  <c r="B244" i="212" s="1"/>
  <c r="G245" i="212"/>
  <c r="D248" i="212"/>
  <c r="B248" i="212" s="1"/>
  <c r="E268" i="212"/>
  <c r="M41" i="30" s="1"/>
  <c r="B274" i="212"/>
  <c r="K603" i="212"/>
  <c r="G41" i="212"/>
  <c r="G45" i="212"/>
  <c r="G49" i="212"/>
  <c r="G53" i="212"/>
  <c r="G57" i="212"/>
  <c r="G12" i="26"/>
  <c r="G42" i="212"/>
  <c r="G46" i="212"/>
  <c r="G50" i="212"/>
  <c r="G54" i="212"/>
  <c r="G58" i="212"/>
  <c r="E69" i="212"/>
  <c r="G9" i="26" s="1"/>
  <c r="C71" i="212"/>
  <c r="C80" i="212"/>
  <c r="G96" i="212"/>
  <c r="F105" i="212"/>
  <c r="G105" i="212" s="1"/>
  <c r="G155" i="212"/>
  <c r="E171" i="212"/>
  <c r="F37" i="30" s="1"/>
  <c r="G20" i="233" s="1"/>
  <c r="E185" i="212"/>
  <c r="E193" i="212"/>
  <c r="G237" i="212"/>
  <c r="G247" i="212"/>
  <c r="E259" i="212"/>
  <c r="E277" i="212"/>
  <c r="E292" i="212"/>
  <c r="E326" i="212"/>
  <c r="C339" i="212"/>
  <c r="B339" i="212" s="1"/>
  <c r="B478" i="212"/>
  <c r="G82" i="56"/>
  <c r="B503" i="212"/>
  <c r="C13" i="54"/>
  <c r="B622" i="212"/>
  <c r="D16" i="10"/>
  <c r="B624" i="212"/>
  <c r="D15" i="10"/>
  <c r="D14" i="10" s="1"/>
  <c r="G359" i="212"/>
  <c r="C363" i="212"/>
  <c r="G364" i="212"/>
  <c r="E366" i="212"/>
  <c r="E371" i="212"/>
  <c r="K371" i="212" s="1"/>
  <c r="C375" i="212"/>
  <c r="E416" i="212"/>
  <c r="K416" i="212" s="1"/>
  <c r="E428" i="212"/>
  <c r="K428" i="212" s="1"/>
  <c r="E441" i="212"/>
  <c r="K441" i="212" s="1"/>
  <c r="E501" i="212"/>
  <c r="E515" i="212"/>
  <c r="G522" i="212"/>
  <c r="G523" i="212"/>
  <c r="G525" i="212"/>
  <c r="G526" i="212"/>
  <c r="G566" i="212"/>
  <c r="G569" i="212"/>
  <c r="G571" i="212"/>
  <c r="G572" i="212"/>
  <c r="G574" i="212"/>
  <c r="G577" i="212"/>
  <c r="G579" i="212"/>
  <c r="G580" i="212"/>
  <c r="G582" i="212"/>
  <c r="G585" i="212"/>
  <c r="G587" i="212"/>
  <c r="G588" i="212"/>
  <c r="K595" i="212"/>
  <c r="K599" i="212"/>
  <c r="G610" i="212"/>
  <c r="D613" i="212"/>
  <c r="E619" i="212"/>
  <c r="E636" i="212"/>
  <c r="E645" i="212"/>
  <c r="E684" i="212"/>
  <c r="F684" i="212" s="1"/>
  <c r="B483" i="212"/>
  <c r="G341" i="212"/>
  <c r="D361" i="212"/>
  <c r="F373" i="212"/>
  <c r="F375" i="212" s="1"/>
  <c r="E375" i="212" s="1"/>
  <c r="K375" i="212" s="1"/>
  <c r="E381" i="212"/>
  <c r="K381" i="212" s="1"/>
  <c r="E389" i="212"/>
  <c r="K389" i="212" s="1"/>
  <c r="E404" i="212"/>
  <c r="E456" i="212"/>
  <c r="K456" i="212" s="1"/>
  <c r="E467" i="212"/>
  <c r="K467" i="212" s="1"/>
  <c r="E492" i="212"/>
  <c r="K492" i="212" s="1"/>
  <c r="E508" i="212"/>
  <c r="K508" i="212" s="1"/>
  <c r="C515" i="212"/>
  <c r="G513" i="212" s="1"/>
  <c r="F517" i="212"/>
  <c r="G524" i="212"/>
  <c r="G527" i="212"/>
  <c r="C537" i="212"/>
  <c r="G535" i="212" s="1"/>
  <c r="E537" i="212"/>
  <c r="K537" i="212" s="1"/>
  <c r="C539" i="212"/>
  <c r="G567" i="212"/>
  <c r="G570" i="212"/>
  <c r="G573" i="212"/>
  <c r="G575" i="212"/>
  <c r="G578" i="212"/>
  <c r="G581" i="212"/>
  <c r="G583" i="212"/>
  <c r="G586" i="212"/>
  <c r="G589" i="212"/>
  <c r="G593" i="212"/>
  <c r="G597" i="212"/>
  <c r="G601" i="212"/>
  <c r="C613" i="212"/>
  <c r="G611" i="212" s="1"/>
  <c r="E628" i="212"/>
  <c r="E651" i="212"/>
  <c r="M11" i="30"/>
  <c r="L26" i="229" l="1"/>
  <c r="I55" i="79"/>
  <c r="M54" i="79"/>
  <c r="I47" i="72"/>
  <c r="M46" i="72"/>
  <c r="I52" i="74"/>
  <c r="M51" i="74"/>
  <c r="F28" i="30"/>
  <c r="G18" i="233"/>
  <c r="D537" i="212"/>
  <c r="F15" i="30"/>
  <c r="F15" i="12"/>
  <c r="G14" i="26"/>
  <c r="L12" i="229"/>
  <c r="L16" i="229" s="1"/>
  <c r="F14" i="12"/>
  <c r="F231" i="212"/>
  <c r="M34" i="229" s="1"/>
  <c r="H19" i="12" s="1"/>
  <c r="F19" i="12"/>
  <c r="M40" i="30"/>
  <c r="M44" i="30" s="1"/>
  <c r="F20" i="12"/>
  <c r="J20" i="12" s="1"/>
  <c r="G15" i="233" s="1"/>
  <c r="M19" i="30"/>
  <c r="O19" i="30" s="1"/>
  <c r="F21" i="12"/>
  <c r="J21" i="12" s="1"/>
  <c r="G16" i="233" s="1"/>
  <c r="D42" i="10"/>
  <c r="C371" i="212"/>
  <c r="G660" i="212"/>
  <c r="C662" i="212"/>
  <c r="G656" i="212"/>
  <c r="C658" i="212"/>
  <c r="F469" i="212"/>
  <c r="G469" i="212" s="1"/>
  <c r="F479" i="212"/>
  <c r="G479" i="212" s="1"/>
  <c r="F302" i="212"/>
  <c r="G302" i="212" s="1"/>
  <c r="F420" i="212"/>
  <c r="G420" i="212" s="1"/>
  <c r="F289" i="212"/>
  <c r="G289" i="212" s="1"/>
  <c r="F295" i="212"/>
  <c r="G295" i="212" s="1"/>
  <c r="C208" i="212"/>
  <c r="B234" i="212"/>
  <c r="C250" i="212"/>
  <c r="D250" i="212"/>
  <c r="G234" i="212"/>
  <c r="F201" i="212"/>
  <c r="G201" i="212" s="1"/>
  <c r="F200" i="212"/>
  <c r="G200" i="212" s="1"/>
  <c r="F199" i="212"/>
  <c r="G199" i="212" s="1"/>
  <c r="F203" i="212"/>
  <c r="G203" i="212" s="1"/>
  <c r="F202" i="212"/>
  <c r="G202" i="212" s="1"/>
  <c r="D98" i="212"/>
  <c r="C98" i="212"/>
  <c r="F93" i="212"/>
  <c r="D603" i="212"/>
  <c r="P19" i="30"/>
  <c r="Q19" i="30" s="1"/>
  <c r="D591" i="212"/>
  <c r="C69" i="212"/>
  <c r="C686" i="212" s="1"/>
  <c r="F39" i="30"/>
  <c r="P27" i="30"/>
  <c r="P30" i="30" s="1"/>
  <c r="D599" i="212"/>
  <c r="O27" i="30"/>
  <c r="O30" i="30" s="1"/>
  <c r="D69" i="212"/>
  <c r="D161" i="212"/>
  <c r="G229" i="212"/>
  <c r="G231" i="212" s="1"/>
  <c r="O82" i="56"/>
  <c r="Q28" i="30"/>
  <c r="K628" i="212"/>
  <c r="B14" i="222"/>
  <c r="K404" i="212"/>
  <c r="N170" i="9"/>
  <c r="N147" i="9"/>
  <c r="N159" i="9"/>
  <c r="G7" i="45"/>
  <c r="G6" i="45" s="1"/>
  <c r="K613" i="212"/>
  <c r="F105" i="9"/>
  <c r="Q22" i="30"/>
  <c r="D595" i="212"/>
  <c r="Q39" i="30"/>
  <c r="G373" i="212"/>
  <c r="G375" i="212" s="1"/>
  <c r="O11" i="30"/>
  <c r="F624" i="212"/>
  <c r="G624" i="212" s="1"/>
  <c r="F623" i="212"/>
  <c r="G623" i="212" s="1"/>
  <c r="F622" i="212"/>
  <c r="G622" i="212" s="1"/>
  <c r="F533" i="212"/>
  <c r="G533" i="212" s="1"/>
  <c r="F532" i="212"/>
  <c r="G532" i="212" s="1"/>
  <c r="F531" i="212"/>
  <c r="G531" i="212" s="1"/>
  <c r="F530" i="212"/>
  <c r="G530" i="212" s="1"/>
  <c r="F529" i="212"/>
  <c r="G529" i="212" s="1"/>
  <c r="F528" i="212"/>
  <c r="G528" i="212" s="1"/>
  <c r="F512" i="212"/>
  <c r="G512" i="212" s="1"/>
  <c r="F511" i="212"/>
  <c r="F503" i="212"/>
  <c r="F499" i="212"/>
  <c r="G499" i="212" s="1"/>
  <c r="F498" i="212"/>
  <c r="G498" i="212" s="1"/>
  <c r="F497" i="212"/>
  <c r="G497" i="212" s="1"/>
  <c r="F496" i="212"/>
  <c r="G496" i="212" s="1"/>
  <c r="F495" i="212"/>
  <c r="G495" i="212" s="1"/>
  <c r="F478" i="212"/>
  <c r="F470" i="212"/>
  <c r="F458" i="212"/>
  <c r="F443" i="212"/>
  <c r="F439" i="212"/>
  <c r="G439" i="212" s="1"/>
  <c r="F438" i="212"/>
  <c r="G438" i="212" s="1"/>
  <c r="F437" i="212"/>
  <c r="G437" i="212" s="1"/>
  <c r="F436" i="212"/>
  <c r="G436" i="212" s="1"/>
  <c r="F435" i="212"/>
  <c r="G435" i="212" s="1"/>
  <c r="F434" i="212"/>
  <c r="G434" i="212" s="1"/>
  <c r="F433" i="212"/>
  <c r="G433" i="212" s="1"/>
  <c r="F432" i="212"/>
  <c r="G432" i="212" s="1"/>
  <c r="F431" i="212"/>
  <c r="G431" i="212" s="1"/>
  <c r="F426" i="212"/>
  <c r="G426" i="212" s="1"/>
  <c r="F425" i="212"/>
  <c r="G425" i="212" s="1"/>
  <c r="F424" i="212"/>
  <c r="G424" i="212" s="1"/>
  <c r="F423" i="212"/>
  <c r="G423" i="212" s="1"/>
  <c r="F422" i="212"/>
  <c r="G422" i="212" s="1"/>
  <c r="F421" i="212"/>
  <c r="G421" i="212" s="1"/>
  <c r="F419" i="212"/>
  <c r="G419" i="212" s="1"/>
  <c r="F414" i="212"/>
  <c r="G414" i="212" s="1"/>
  <c r="F413" i="212"/>
  <c r="G413" i="212" s="1"/>
  <c r="F412" i="212"/>
  <c r="G412" i="212" s="1"/>
  <c r="F411" i="212"/>
  <c r="G411" i="212" s="1"/>
  <c r="F391" i="212"/>
  <c r="F383" i="212"/>
  <c r="F369" i="212"/>
  <c r="G369" i="212" s="1"/>
  <c r="F625" i="212"/>
  <c r="G625" i="212" s="1"/>
  <c r="F506" i="212"/>
  <c r="G506" i="212" s="1"/>
  <c r="F505" i="212"/>
  <c r="G505" i="212" s="1"/>
  <c r="F504" i="212"/>
  <c r="G504" i="212" s="1"/>
  <c r="F494" i="212"/>
  <c r="F490" i="212"/>
  <c r="G490" i="212" s="1"/>
  <c r="F489" i="212"/>
  <c r="G489" i="212" s="1"/>
  <c r="F488" i="212"/>
  <c r="G488" i="212" s="1"/>
  <c r="F487" i="212"/>
  <c r="G487" i="212" s="1"/>
  <c r="F486" i="212"/>
  <c r="G486" i="212" s="1"/>
  <c r="F485" i="212"/>
  <c r="G485" i="212" s="1"/>
  <c r="F484" i="212"/>
  <c r="G484" i="212" s="1"/>
  <c r="F483" i="212"/>
  <c r="G483" i="212" s="1"/>
  <c r="F482" i="212"/>
  <c r="G482" i="212" s="1"/>
  <c r="F481" i="212"/>
  <c r="G481" i="212" s="1"/>
  <c r="F480" i="212"/>
  <c r="G480" i="212" s="1"/>
  <c r="F474" i="212"/>
  <c r="F465" i="212"/>
  <c r="G465" i="212" s="1"/>
  <c r="F464" i="212"/>
  <c r="G464" i="212" s="1"/>
  <c r="F463" i="212"/>
  <c r="G463" i="212" s="1"/>
  <c r="F462" i="212"/>
  <c r="G462" i="212" s="1"/>
  <c r="F461" i="212"/>
  <c r="G461" i="212" s="1"/>
  <c r="F460" i="212"/>
  <c r="G460" i="212" s="1"/>
  <c r="F459" i="212"/>
  <c r="G459" i="212" s="1"/>
  <c r="F454" i="212"/>
  <c r="G454" i="212" s="1"/>
  <c r="F453" i="212"/>
  <c r="G453" i="212" s="1"/>
  <c r="F452" i="212"/>
  <c r="G452" i="212" s="1"/>
  <c r="F451" i="212"/>
  <c r="G451" i="212" s="1"/>
  <c r="F450" i="212"/>
  <c r="G450" i="212" s="1"/>
  <c r="F449" i="212"/>
  <c r="G449" i="212" s="1"/>
  <c r="F448" i="212"/>
  <c r="G448" i="212" s="1"/>
  <c r="F447" i="212"/>
  <c r="G447" i="212" s="1"/>
  <c r="F446" i="212"/>
  <c r="G446" i="212" s="1"/>
  <c r="F445" i="212"/>
  <c r="G445" i="212" s="1"/>
  <c r="F444" i="212"/>
  <c r="G444" i="212" s="1"/>
  <c r="F430" i="212"/>
  <c r="F418" i="212"/>
  <c r="F410" i="212"/>
  <c r="F406" i="212"/>
  <c r="F402" i="212"/>
  <c r="G402" i="212" s="1"/>
  <c r="F401" i="212"/>
  <c r="G401" i="212" s="1"/>
  <c r="F400" i="212"/>
  <c r="G400" i="212" s="1"/>
  <c r="F399" i="212"/>
  <c r="G399" i="212" s="1"/>
  <c r="F398" i="212"/>
  <c r="G398" i="212" s="1"/>
  <c r="F397" i="212"/>
  <c r="G397" i="212" s="1"/>
  <c r="F396" i="212"/>
  <c r="G396" i="212" s="1"/>
  <c r="F395" i="212"/>
  <c r="G395" i="212" s="1"/>
  <c r="F394" i="212"/>
  <c r="G394" i="212" s="1"/>
  <c r="F393" i="212"/>
  <c r="G393" i="212" s="1"/>
  <c r="F392" i="212"/>
  <c r="G392" i="212" s="1"/>
  <c r="F387" i="212"/>
  <c r="G387" i="212" s="1"/>
  <c r="F386" i="212"/>
  <c r="G386" i="212" s="1"/>
  <c r="F385" i="212"/>
  <c r="G385" i="212" s="1"/>
  <c r="F384" i="212"/>
  <c r="G384" i="212" s="1"/>
  <c r="F368" i="212"/>
  <c r="F324" i="212"/>
  <c r="G324" i="212" s="1"/>
  <c r="F323" i="212"/>
  <c r="G323" i="212" s="1"/>
  <c r="F311" i="212"/>
  <c r="F307" i="212"/>
  <c r="F301" i="212"/>
  <c r="G301" i="212" s="1"/>
  <c r="F300" i="212"/>
  <c r="G300" i="212" s="1"/>
  <c r="F299" i="212"/>
  <c r="G299" i="212" s="1"/>
  <c r="F298" i="212"/>
  <c r="G298" i="212" s="1"/>
  <c r="F297" i="212"/>
  <c r="G297" i="212" s="1"/>
  <c r="F296" i="212"/>
  <c r="G296" i="212" s="1"/>
  <c r="F290" i="212"/>
  <c r="G290" i="212" s="1"/>
  <c r="F288" i="212"/>
  <c r="F270" i="212"/>
  <c r="F266" i="212"/>
  <c r="G266" i="212" s="1"/>
  <c r="F265" i="212"/>
  <c r="G265" i="212" s="1"/>
  <c r="F264" i="212"/>
  <c r="G264" i="212" s="1"/>
  <c r="F263" i="212"/>
  <c r="G263" i="212" s="1"/>
  <c r="F221" i="212"/>
  <c r="G221" i="212" s="1"/>
  <c r="F220" i="212"/>
  <c r="G220" i="212" s="1"/>
  <c r="F219" i="212"/>
  <c r="G219" i="212" s="1"/>
  <c r="F218" i="212"/>
  <c r="G218" i="212" s="1"/>
  <c r="F217" i="212"/>
  <c r="G217" i="212" s="1"/>
  <c r="F216" i="212"/>
  <c r="G216" i="212" s="1"/>
  <c r="F215" i="212"/>
  <c r="G215" i="212" s="1"/>
  <c r="F214" i="212"/>
  <c r="G214" i="212" s="1"/>
  <c r="F213" i="212"/>
  <c r="G213" i="212" s="1"/>
  <c r="F212" i="212"/>
  <c r="G212" i="212" s="1"/>
  <c r="F211" i="212"/>
  <c r="G211" i="212" s="1"/>
  <c r="F204" i="212"/>
  <c r="F191" i="212"/>
  <c r="F183" i="212"/>
  <c r="F178" i="212"/>
  <c r="G178" i="212" s="1"/>
  <c r="F177" i="212"/>
  <c r="G177" i="212" s="1"/>
  <c r="F176" i="212"/>
  <c r="G176" i="212" s="1"/>
  <c r="F175" i="212"/>
  <c r="G175" i="212" s="1"/>
  <c r="F174" i="212"/>
  <c r="G174" i="212" s="1"/>
  <c r="F168" i="212"/>
  <c r="F322" i="212"/>
  <c r="G322" i="212" s="1"/>
  <c r="F321" i="212"/>
  <c r="F294" i="212"/>
  <c r="F284" i="212"/>
  <c r="F283" i="212"/>
  <c r="G283" i="212" s="1"/>
  <c r="F279" i="212"/>
  <c r="F275" i="212"/>
  <c r="G275" i="212" s="1"/>
  <c r="F274" i="212"/>
  <c r="G274" i="212" s="1"/>
  <c r="F273" i="212"/>
  <c r="G273" i="212" s="1"/>
  <c r="F272" i="212"/>
  <c r="G272" i="212" s="1"/>
  <c r="F271" i="212"/>
  <c r="G271" i="212" s="1"/>
  <c r="F257" i="212"/>
  <c r="G257" i="212" s="1"/>
  <c r="F256" i="212"/>
  <c r="G256" i="212" s="1"/>
  <c r="F255" i="212"/>
  <c r="G255" i="212" s="1"/>
  <c r="F254" i="212"/>
  <c r="G254" i="212" s="1"/>
  <c r="F253" i="212"/>
  <c r="G253" i="212" s="1"/>
  <c r="F210" i="212"/>
  <c r="F206" i="212"/>
  <c r="G206" i="212" s="1"/>
  <c r="F205" i="212"/>
  <c r="G205" i="212" s="1"/>
  <c r="F195" i="212"/>
  <c r="F187" i="212"/>
  <c r="F173" i="212"/>
  <c r="F169" i="212"/>
  <c r="G169" i="212" s="1"/>
  <c r="D18" i="10"/>
  <c r="D17" i="10" s="1"/>
  <c r="D20" i="10" s="1"/>
  <c r="K82" i="56"/>
  <c r="K619" i="212"/>
  <c r="D515" i="212"/>
  <c r="K515" i="212"/>
  <c r="F10" i="30"/>
  <c r="F13" i="30" s="1"/>
  <c r="E226" i="212"/>
  <c r="M36" i="30"/>
  <c r="Q34" i="30" s="1"/>
  <c r="P33" i="30"/>
  <c r="P36" i="30" s="1"/>
  <c r="O33" i="30"/>
  <c r="F34" i="30"/>
  <c r="P17" i="30"/>
  <c r="O17" i="30"/>
  <c r="E654" i="212"/>
  <c r="F69" i="9" s="1"/>
  <c r="B539" i="212"/>
  <c r="F539" i="212"/>
  <c r="C591" i="212"/>
  <c r="D366" i="212"/>
  <c r="K366" i="212"/>
  <c r="B363" i="212"/>
  <c r="C366" i="212"/>
  <c r="F363" i="212"/>
  <c r="P40" i="30"/>
  <c r="B71" i="212"/>
  <c r="C73" i="212"/>
  <c r="P41" i="30"/>
  <c r="O41" i="30"/>
  <c r="P20" i="30"/>
  <c r="O20" i="30"/>
  <c r="K501" i="212"/>
  <c r="G361" i="212"/>
  <c r="K645" i="212"/>
  <c r="G599" i="212"/>
  <c r="G595" i="212"/>
  <c r="F595" i="212" s="1"/>
  <c r="G517" i="212"/>
  <c r="F44" i="30"/>
  <c r="G23" i="233" s="1"/>
  <c r="G603" i="212"/>
  <c r="C348" i="212"/>
  <c r="G75" i="212"/>
  <c r="F103" i="9"/>
  <c r="F102" i="9"/>
  <c r="H102" i="9" s="1"/>
  <c r="F101" i="9"/>
  <c r="L99" i="9"/>
  <c r="F97" i="9"/>
  <c r="F96" i="9"/>
  <c r="J96" i="9" s="1"/>
  <c r="F93" i="9"/>
  <c r="F91" i="9"/>
  <c r="J91" i="9" s="1"/>
  <c r="I53" i="74" l="1"/>
  <c r="M52" i="74"/>
  <c r="I48" i="72"/>
  <c r="M47" i="72"/>
  <c r="I56" i="79"/>
  <c r="M55" i="79"/>
  <c r="O40" i="30"/>
  <c r="F41" i="30"/>
  <c r="G22" i="233"/>
  <c r="P44" i="30"/>
  <c r="O44" i="30"/>
  <c r="G662" i="212"/>
  <c r="F662" i="212" s="1"/>
  <c r="D660" i="212"/>
  <c r="D662" i="212" s="1"/>
  <c r="G658" i="212"/>
  <c r="F658" i="212" s="1"/>
  <c r="D656" i="212"/>
  <c r="D658" i="212" s="1"/>
  <c r="F472" i="212"/>
  <c r="F208" i="212"/>
  <c r="F98" i="212"/>
  <c r="G93" i="212"/>
  <c r="G98" i="212" s="1"/>
  <c r="C226" i="212"/>
  <c r="C687" i="212"/>
  <c r="D226" i="212"/>
  <c r="D687" i="212"/>
  <c r="Q30" i="30"/>
  <c r="Q27" i="30"/>
  <c r="O36" i="30"/>
  <c r="Q36" i="30" s="1"/>
  <c r="N172" i="9"/>
  <c r="N174" i="9" s="1"/>
  <c r="L174" i="9" s="1"/>
  <c r="J174" i="9" s="1"/>
  <c r="H174" i="9" s="1"/>
  <c r="N96" i="9"/>
  <c r="N91" i="9"/>
  <c r="Q41" i="30"/>
  <c r="F366" i="212"/>
  <c r="G363" i="212"/>
  <c r="G366" i="212" s="1"/>
  <c r="F189" i="212"/>
  <c r="G187" i="212"/>
  <c r="G189" i="212" s="1"/>
  <c r="F223" i="212"/>
  <c r="G210" i="212"/>
  <c r="G223" i="212" s="1"/>
  <c r="G294" i="212"/>
  <c r="F193" i="212"/>
  <c r="G191" i="212"/>
  <c r="G193" i="212" s="1"/>
  <c r="F292" i="212"/>
  <c r="G288" i="212"/>
  <c r="G292" i="212" s="1"/>
  <c r="F309" i="212"/>
  <c r="G307" i="212"/>
  <c r="G309" i="212" s="1"/>
  <c r="F371" i="212"/>
  <c r="G368" i="212"/>
  <c r="G371" i="212" s="1"/>
  <c r="F408" i="212"/>
  <c r="E408" i="212" s="1"/>
  <c r="G406" i="212"/>
  <c r="F428" i="212"/>
  <c r="G418" i="212"/>
  <c r="G428" i="212" s="1"/>
  <c r="F476" i="212"/>
  <c r="G474" i="212"/>
  <c r="G476" i="212" s="1"/>
  <c r="F501" i="212"/>
  <c r="G494" i="212"/>
  <c r="G501" i="212" s="1"/>
  <c r="F404" i="212"/>
  <c r="G391" i="212"/>
  <c r="G404" i="212" s="1"/>
  <c r="F467" i="212"/>
  <c r="G458" i="212"/>
  <c r="G467" i="212" s="1"/>
  <c r="F492" i="212"/>
  <c r="G478" i="212"/>
  <c r="G492" i="212" s="1"/>
  <c r="F508" i="212"/>
  <c r="G503" i="212"/>
  <c r="G508" i="212" s="1"/>
  <c r="J102" i="9"/>
  <c r="Q33" i="30"/>
  <c r="F18" i="30"/>
  <c r="F21" i="30" s="1"/>
  <c r="Q20" i="30" s="1"/>
  <c r="G539" i="212"/>
  <c r="Q17" i="30"/>
  <c r="F180" i="212"/>
  <c r="G173" i="212"/>
  <c r="G180" i="212" s="1"/>
  <c r="F197" i="212"/>
  <c r="G195" i="212"/>
  <c r="G197" i="212" s="1"/>
  <c r="F281" i="212"/>
  <c r="E281" i="212" s="1"/>
  <c r="G279" i="212"/>
  <c r="G281" i="212" s="1"/>
  <c r="F286" i="212"/>
  <c r="G284" i="212"/>
  <c r="G286" i="212" s="1"/>
  <c r="F326" i="212"/>
  <c r="G321" i="212"/>
  <c r="F171" i="212"/>
  <c r="G168" i="212"/>
  <c r="G171" i="212" s="1"/>
  <c r="F185" i="212"/>
  <c r="G183" i="212"/>
  <c r="G185" i="212" s="1"/>
  <c r="G204" i="212"/>
  <c r="G208" i="212" s="1"/>
  <c r="F277" i="212"/>
  <c r="G270" i="212"/>
  <c r="G277" i="212" s="1"/>
  <c r="F313" i="212"/>
  <c r="G311" i="212"/>
  <c r="G313" i="212" s="1"/>
  <c r="F416" i="212"/>
  <c r="G410" i="212"/>
  <c r="G416" i="212" s="1"/>
  <c r="F441" i="212"/>
  <c r="G430" i="212"/>
  <c r="G441" i="212" s="1"/>
  <c r="F389" i="212"/>
  <c r="G383" i="212"/>
  <c r="G389" i="212" s="1"/>
  <c r="F456" i="212"/>
  <c r="G443" i="212"/>
  <c r="G456" i="212" s="1"/>
  <c r="G470" i="212"/>
  <c r="G472" i="212" s="1"/>
  <c r="F515" i="212"/>
  <c r="G511" i="212"/>
  <c r="G515" i="212" s="1"/>
  <c r="Q40" i="30"/>
  <c r="L87" i="9"/>
  <c r="I54" i="74" l="1"/>
  <c r="M53" i="74"/>
  <c r="I57" i="79"/>
  <c r="M56" i="79"/>
  <c r="I49" i="72"/>
  <c r="M48" i="72"/>
  <c r="E687" i="212"/>
  <c r="F687" i="212" s="1"/>
  <c r="F664" i="212" s="1"/>
  <c r="C666" i="212" s="1"/>
  <c r="C669" i="212" s="1"/>
  <c r="C688" i="212"/>
  <c r="N102" i="9"/>
  <c r="M21" i="30"/>
  <c r="K472" i="212"/>
  <c r="F92" i="9"/>
  <c r="K408" i="212"/>
  <c r="G408" i="212" s="1"/>
  <c r="E639" i="212"/>
  <c r="F95" i="9"/>
  <c r="J95" i="9" s="1"/>
  <c r="D688" i="212"/>
  <c r="F84" i="9"/>
  <c r="F83" i="9"/>
  <c r="F82" i="9"/>
  <c r="J82" i="9" s="1"/>
  <c r="F81" i="9"/>
  <c r="J81" i="9" s="1"/>
  <c r="F80" i="9"/>
  <c r="J80" i="9" s="1"/>
  <c r="F79" i="9"/>
  <c r="J79" i="9" s="1"/>
  <c r="F78" i="9"/>
  <c r="J78" i="9" s="1"/>
  <c r="B77" i="9"/>
  <c r="B137" i="9" s="1"/>
  <c r="F76" i="9"/>
  <c r="J69" i="9"/>
  <c r="J68" i="9"/>
  <c r="I50" i="72" l="1"/>
  <c r="M49" i="72"/>
  <c r="I58" i="79"/>
  <c r="M57" i="79"/>
  <c r="I55" i="74"/>
  <c r="M54" i="74"/>
  <c r="E688" i="212"/>
  <c r="F688" i="212" s="1"/>
  <c r="N68" i="9"/>
  <c r="N80" i="9"/>
  <c r="N69" i="9"/>
  <c r="N78" i="9"/>
  <c r="N81" i="9"/>
  <c r="N82" i="9"/>
  <c r="N79" i="9"/>
  <c r="N95" i="9"/>
  <c r="D639" i="212"/>
  <c r="K639" i="212"/>
  <c r="F666" i="212"/>
  <c r="E666" i="212" s="1"/>
  <c r="E669" i="212" s="1"/>
  <c r="E672" i="212" s="1"/>
  <c r="G664" i="212"/>
  <c r="P21" i="30"/>
  <c r="O21" i="30"/>
  <c r="F67" i="9"/>
  <c r="A63" i="9"/>
  <c r="N61" i="9"/>
  <c r="A61" i="9"/>
  <c r="I56" i="74" l="1"/>
  <c r="M55" i="74"/>
  <c r="I59" i="79"/>
  <c r="M58" i="79"/>
  <c r="I51" i="72"/>
  <c r="M50" i="72"/>
  <c r="H67" i="9"/>
  <c r="L375" i="221"/>
  <c r="L376" i="221" s="1"/>
  <c r="L377" i="221" s="1"/>
  <c r="G666" i="212"/>
  <c r="D664" i="212"/>
  <c r="D666" i="212" s="1"/>
  <c r="D669" i="212" s="1"/>
  <c r="D672" i="212" s="1"/>
  <c r="Q21" i="30"/>
  <c r="M343" i="27"/>
  <c r="E677" i="212"/>
  <c r="L57" i="9"/>
  <c r="L56" i="9"/>
  <c r="L55" i="9"/>
  <c r="I52" i="72" l="1"/>
  <c r="M51" i="72"/>
  <c r="I60" i="79"/>
  <c r="M59" i="79"/>
  <c r="I57" i="74"/>
  <c r="M56" i="74"/>
  <c r="M12" i="30"/>
  <c r="I58" i="74" l="1"/>
  <c r="M57" i="74"/>
  <c r="I61" i="79"/>
  <c r="M60" i="79"/>
  <c r="I53" i="72"/>
  <c r="M52" i="72"/>
  <c r="O12" i="30"/>
  <c r="P12" i="30"/>
  <c r="M14" i="30"/>
  <c r="L47" i="9"/>
  <c r="F47" i="9"/>
  <c r="L44" i="9"/>
  <c r="I54" i="72" l="1"/>
  <c r="M53" i="72"/>
  <c r="I62" i="79"/>
  <c r="M61" i="79"/>
  <c r="I59" i="74"/>
  <c r="M58" i="74"/>
  <c r="Q12" i="30"/>
  <c r="F43" i="9"/>
  <c r="L42" i="9"/>
  <c r="J42" i="9"/>
  <c r="H42" i="9" s="1"/>
  <c r="F42" i="9"/>
  <c r="L41" i="9"/>
  <c r="F41" i="9"/>
  <c r="L37" i="9"/>
  <c r="F37" i="9"/>
  <c r="N36" i="9" s="1"/>
  <c r="L36" i="9"/>
  <c r="J36" i="9"/>
  <c r="H36" i="9"/>
  <c r="F36" i="9"/>
  <c r="N35" i="9" s="1"/>
  <c r="L35" i="9"/>
  <c r="J35" i="9"/>
  <c r="H35" i="9"/>
  <c r="F35" i="9" s="1"/>
  <c r="L34" i="9"/>
  <c r="H34" i="9"/>
  <c r="L33" i="9"/>
  <c r="L32" i="9"/>
  <c r="L31" i="9"/>
  <c r="J31" i="9"/>
  <c r="H31" i="9"/>
  <c r="F31" i="9"/>
  <c r="L30" i="9"/>
  <c r="F30" i="9"/>
  <c r="L25" i="9"/>
  <c r="H25" i="9"/>
  <c r="L24" i="9"/>
  <c r="L23" i="9"/>
  <c r="F23" i="9"/>
  <c r="N22" i="9" s="1"/>
  <c r="L22" i="9"/>
  <c r="J22" i="9"/>
  <c r="H22" i="9"/>
  <c r="F22" i="9"/>
  <c r="N21" i="9" s="1"/>
  <c r="L21" i="9"/>
  <c r="J21" i="9"/>
  <c r="H21" i="9"/>
  <c r="F21" i="9"/>
  <c r="N20" i="9" s="1"/>
  <c r="L20" i="9"/>
  <c r="J20" i="9"/>
  <c r="H20" i="9"/>
  <c r="F20" i="9"/>
  <c r="N19" i="9" s="1"/>
  <c r="L19" i="9"/>
  <c r="J19" i="9"/>
  <c r="H19" i="9"/>
  <c r="F19" i="9"/>
  <c r="N18" i="9" s="1"/>
  <c r="L18" i="9"/>
  <c r="J18" i="9"/>
  <c r="H18" i="9"/>
  <c r="F18" i="9"/>
  <c r="L17" i="9"/>
  <c r="H17" i="9"/>
  <c r="L16" i="9"/>
  <c r="F16" i="9"/>
  <c r="I60" i="74" l="1"/>
  <c r="M59" i="74"/>
  <c r="I63" i="79"/>
  <c r="M62" i="79"/>
  <c r="I55" i="72"/>
  <c r="M54" i="72"/>
  <c r="N42" i="9"/>
  <c r="G12" i="22"/>
  <c r="L39" i="9"/>
  <c r="L10" i="9"/>
  <c r="J10" i="9"/>
  <c r="H10" i="9"/>
  <c r="F10" i="9"/>
  <c r="L9" i="9"/>
  <c r="J9" i="9"/>
  <c r="H9" i="9"/>
  <c r="F9" i="9"/>
  <c r="I56" i="72" l="1"/>
  <c r="M55" i="72"/>
  <c r="I64" i="79"/>
  <c r="M63" i="79"/>
  <c r="I61" i="74"/>
  <c r="M60" i="74"/>
  <c r="F8" i="9"/>
  <c r="D9" i="29" s="1"/>
  <c r="I62" i="74" l="1"/>
  <c r="M61" i="74"/>
  <c r="I65" i="79"/>
  <c r="M64" i="79"/>
  <c r="I57" i="72"/>
  <c r="M56" i="72"/>
  <c r="H8" i="9"/>
  <c r="I58" i="72" l="1"/>
  <c r="M57" i="72"/>
  <c r="I66" i="79"/>
  <c r="M65" i="79"/>
  <c r="I63" i="74"/>
  <c r="M62" i="74"/>
  <c r="J8" i="9"/>
  <c r="D21" i="29" s="1"/>
  <c r="H9" i="29"/>
  <c r="I64" i="74" l="1"/>
  <c r="M63" i="74"/>
  <c r="I67" i="79"/>
  <c r="M66" i="79"/>
  <c r="I59" i="72"/>
  <c r="M58" i="72"/>
  <c r="D15" i="39"/>
  <c r="C11" i="224" s="1"/>
  <c r="D11" i="224" s="1"/>
  <c r="C12" i="39"/>
  <c r="C9" i="39"/>
  <c r="D454" i="211"/>
  <c r="D455" i="211" s="1"/>
  <c r="D451" i="211"/>
  <c r="C13" i="39" l="1"/>
  <c r="I60" i="72"/>
  <c r="M59" i="72"/>
  <c r="I68" i="79"/>
  <c r="M67" i="79"/>
  <c r="I65" i="74"/>
  <c r="O64" i="74" s="1"/>
  <c r="M64" i="74"/>
  <c r="D7" i="39"/>
  <c r="B119" i="226" s="1"/>
  <c r="D10" i="39"/>
  <c r="D16" i="39"/>
  <c r="C8" i="224" s="1"/>
  <c r="D8" i="224" s="1"/>
  <c r="Y25" i="56"/>
  <c r="E43" i="227" s="1"/>
  <c r="Y28" i="56"/>
  <c r="E46" i="227" s="1"/>
  <c r="Y27" i="56"/>
  <c r="E45" i="227" s="1"/>
  <c r="Y26" i="56"/>
  <c r="E44" i="227" s="1"/>
  <c r="K810" i="27"/>
  <c r="K786" i="27"/>
  <c r="D714" i="27"/>
  <c r="D720" i="27"/>
  <c r="D706" i="27"/>
  <c r="D702" i="27"/>
  <c r="K682" i="27"/>
  <c r="K663" i="27"/>
  <c r="K625" i="27"/>
  <c r="K798" i="27"/>
  <c r="T2" i="183" s="1"/>
  <c r="T10" i="183" s="1"/>
  <c r="K771" i="27"/>
  <c r="D716" i="27"/>
  <c r="D712" i="27"/>
  <c r="D694" i="27"/>
  <c r="D17" i="39"/>
  <c r="D722" i="27"/>
  <c r="D718" i="27"/>
  <c r="D704" i="27"/>
  <c r="D698" i="27"/>
  <c r="K673" i="27"/>
  <c r="K644" i="27"/>
  <c r="K601" i="27"/>
  <c r="K15" i="27"/>
  <c r="O15" i="27" s="1"/>
  <c r="E16" i="27"/>
  <c r="K14" i="27"/>
  <c r="O14" i="27" s="1"/>
  <c r="K12" i="27"/>
  <c r="O12" i="27" s="1"/>
  <c r="K13" i="27"/>
  <c r="K41" i="27"/>
  <c r="K44" i="27"/>
  <c r="O44" i="27" s="1"/>
  <c r="K69" i="27"/>
  <c r="K70" i="27"/>
  <c r="O70" i="27" s="1"/>
  <c r="K71" i="27"/>
  <c r="O71" i="27" s="1"/>
  <c r="K93" i="27"/>
  <c r="K94" i="27"/>
  <c r="O94" i="27" s="1"/>
  <c r="K95" i="27"/>
  <c r="O95" i="27" s="1"/>
  <c r="K117" i="27"/>
  <c r="O117" i="27" s="1"/>
  <c r="K118" i="27"/>
  <c r="O118" i="27" s="1"/>
  <c r="K119" i="27"/>
  <c r="K138" i="27"/>
  <c r="K139" i="27"/>
  <c r="O139" i="27" s="1"/>
  <c r="K140" i="27"/>
  <c r="O140" i="27" s="1"/>
  <c r="K165" i="27"/>
  <c r="O165" i="27" s="1"/>
  <c r="K27" i="27"/>
  <c r="O27" i="27" s="1"/>
  <c r="K29" i="27"/>
  <c r="O29" i="27" s="1"/>
  <c r="K28" i="27"/>
  <c r="O28" i="27" s="1"/>
  <c r="I31" i="27"/>
  <c r="G31" i="27"/>
  <c r="E31" i="27"/>
  <c r="T10" i="108"/>
  <c r="T12" i="108" s="1"/>
  <c r="M577" i="27" s="1"/>
  <c r="I590" i="27"/>
  <c r="I612" i="27"/>
  <c r="K57" i="27"/>
  <c r="O57" i="27" s="1"/>
  <c r="K82" i="27"/>
  <c r="O82" i="27" s="1"/>
  <c r="K56" i="27"/>
  <c r="O56" i="27" s="1"/>
  <c r="G59" i="27"/>
  <c r="E59" i="27"/>
  <c r="K58" i="27"/>
  <c r="O58" i="27" s="1"/>
  <c r="X107" i="27"/>
  <c r="G72" i="27"/>
  <c r="X83" i="27"/>
  <c r="E84" i="27"/>
  <c r="K83" i="27"/>
  <c r="O83" i="27" s="1"/>
  <c r="I653" i="27"/>
  <c r="E108" i="27"/>
  <c r="K128" i="27"/>
  <c r="O128" i="27" s="1"/>
  <c r="K129" i="27"/>
  <c r="O129" i="27" s="1"/>
  <c r="K149" i="27"/>
  <c r="O149" i="27" s="1"/>
  <c r="K148" i="27"/>
  <c r="O148" i="27" s="1"/>
  <c r="K156" i="27"/>
  <c r="K157" i="27"/>
  <c r="O157" i="27" s="1"/>
  <c r="K107" i="27"/>
  <c r="O107" i="27" s="1"/>
  <c r="G120" i="27"/>
  <c r="I673" i="27"/>
  <c r="I682" i="27"/>
  <c r="G213" i="27"/>
  <c r="I213" i="27" s="1"/>
  <c r="K213" i="27" s="1"/>
  <c r="O211" i="27"/>
  <c r="G10" i="114"/>
  <c r="I10" i="114" s="1"/>
  <c r="K10" i="114"/>
  <c r="G10" i="200"/>
  <c r="I10" i="200" s="1"/>
  <c r="M10" i="200" s="1"/>
  <c r="G10" i="199"/>
  <c r="I10" i="199" s="1"/>
  <c r="M10" i="199" s="1"/>
  <c r="Q10" i="105"/>
  <c r="P10" i="105" s="1"/>
  <c r="E683" i="27"/>
  <c r="M322" i="27"/>
  <c r="O322" i="27" s="1"/>
  <c r="O323" i="27" s="1"/>
  <c r="E675" i="27"/>
  <c r="I674" i="27"/>
  <c r="E674" i="27"/>
  <c r="I675" i="27"/>
  <c r="I683" i="27"/>
  <c r="E45" i="27"/>
  <c r="E72" i="27"/>
  <c r="E96" i="27"/>
  <c r="E120" i="27"/>
  <c r="E673" i="27"/>
  <c r="O339" i="27"/>
  <c r="X44" i="27"/>
  <c r="T2" i="89"/>
  <c r="T2" i="137" s="1"/>
  <c r="O119" i="27"/>
  <c r="S10" i="98"/>
  <c r="Q10" i="98" s="1"/>
  <c r="D690" i="27"/>
  <c r="Q10" i="99" s="1"/>
  <c r="P10" i="99" s="1"/>
  <c r="D692" i="27"/>
  <c r="S10" i="100" s="1"/>
  <c r="Q10" i="100" s="1"/>
  <c r="M692" i="27" s="1"/>
  <c r="D700" i="27"/>
  <c r="Q10" i="104" s="1"/>
  <c r="P10" i="104" s="1"/>
  <c r="Q10" i="111"/>
  <c r="P10" i="111" s="1"/>
  <c r="M704" i="27" s="1"/>
  <c r="Q10" i="113"/>
  <c r="P10" i="113" s="1"/>
  <c r="M708" i="27" s="1"/>
  <c r="Q10" i="115"/>
  <c r="P10" i="115" s="1"/>
  <c r="Q10" i="119"/>
  <c r="P10" i="119" s="1"/>
  <c r="M714" i="27" s="1"/>
  <c r="Q10" i="128"/>
  <c r="P10" i="128" s="1"/>
  <c r="Q10" i="150"/>
  <c r="P10" i="150" s="1"/>
  <c r="M718" i="27" s="1"/>
  <c r="Q10" i="151"/>
  <c r="P10" i="151" s="1"/>
  <c r="Q10" i="168"/>
  <c r="P10" i="168" s="1"/>
  <c r="M722" i="27" s="1"/>
  <c r="D593" i="27"/>
  <c r="K604" i="27"/>
  <c r="K608" i="27"/>
  <c r="K612" i="27"/>
  <c r="I615" i="27"/>
  <c r="K605" i="27"/>
  <c r="K609" i="27"/>
  <c r="K613" i="27"/>
  <c r="I613" i="27"/>
  <c r="K614" i="27"/>
  <c r="I614" i="27"/>
  <c r="O24" i="70"/>
  <c r="O27" i="78"/>
  <c r="R2" i="78"/>
  <c r="R2" i="79" s="1"/>
  <c r="D619" i="27"/>
  <c r="K626" i="27"/>
  <c r="K628" i="27"/>
  <c r="K629" i="27"/>
  <c r="K631" i="27"/>
  <c r="K633" i="27"/>
  <c r="I633" i="27"/>
  <c r="K627" i="27"/>
  <c r="K630" i="27"/>
  <c r="K632" i="27"/>
  <c r="K634" i="27"/>
  <c r="I634" i="27"/>
  <c r="R2" i="83"/>
  <c r="R2" i="84" s="1"/>
  <c r="K650" i="27"/>
  <c r="D638" i="27"/>
  <c r="K647" i="27"/>
  <c r="K651" i="27"/>
  <c r="K654" i="27"/>
  <c r="I654" i="27"/>
  <c r="K646" i="27"/>
  <c r="I655" i="27"/>
  <c r="R2" i="87"/>
  <c r="D659" i="27"/>
  <c r="K664" i="27"/>
  <c r="K665" i="27"/>
  <c r="I665" i="27"/>
  <c r="K666" i="27"/>
  <c r="I666" i="27"/>
  <c r="D670" i="27"/>
  <c r="K674" i="27"/>
  <c r="K675" i="27"/>
  <c r="D679" i="27"/>
  <c r="K683" i="27"/>
  <c r="K10" i="99"/>
  <c r="K10" i="103"/>
  <c r="M10" i="98"/>
  <c r="K10" i="101"/>
  <c r="K10" i="104"/>
  <c r="K10" i="105"/>
  <c r="O10" i="108"/>
  <c r="K10" i="111"/>
  <c r="K10" i="113"/>
  <c r="K10" i="115"/>
  <c r="K10" i="119"/>
  <c r="K10" i="128"/>
  <c r="O17" i="109"/>
  <c r="R2" i="136"/>
  <c r="O16" i="89"/>
  <c r="O19" i="133"/>
  <c r="R2" i="133"/>
  <c r="R2" i="134" s="1"/>
  <c r="O11" i="160"/>
  <c r="O20" i="145"/>
  <c r="O41" i="149"/>
  <c r="K10" i="150"/>
  <c r="K10" i="151"/>
  <c r="O29" i="144"/>
  <c r="R2" i="144"/>
  <c r="R2" i="157" s="1"/>
  <c r="T25" i="143"/>
  <c r="O19" i="159"/>
  <c r="R2" i="162"/>
  <c r="R2" i="163" s="1"/>
  <c r="R2" i="164" s="1"/>
  <c r="O20" i="137"/>
  <c r="O21" i="165"/>
  <c r="R2" i="165"/>
  <c r="R2" i="166" s="1"/>
  <c r="O40" i="166"/>
  <c r="R2" i="167"/>
  <c r="K772" i="27"/>
  <c r="K773" i="27"/>
  <c r="T16" i="171"/>
  <c r="T17" i="171" s="1"/>
  <c r="K787" i="27"/>
  <c r="K788" i="27"/>
  <c r="T12" i="177"/>
  <c r="M746" i="27" s="1"/>
  <c r="K801" i="27"/>
  <c r="D792" i="27"/>
  <c r="K799" i="27"/>
  <c r="K800" i="27"/>
  <c r="T38" i="182"/>
  <c r="D807" i="27"/>
  <c r="T38" i="197"/>
  <c r="O10" i="198"/>
  <c r="K10" i="198"/>
  <c r="M10" i="198" s="1"/>
  <c r="O18" i="187"/>
  <c r="R2" i="187"/>
  <c r="O65" i="74" l="1"/>
  <c r="O10" i="74"/>
  <c r="M10" i="74" s="1"/>
  <c r="O11" i="74"/>
  <c r="M11" i="74" s="1"/>
  <c r="M65" i="74"/>
  <c r="O12" i="74"/>
  <c r="M12" i="74" s="1"/>
  <c r="O13" i="74"/>
  <c r="M13" i="74" s="1"/>
  <c r="O14" i="74"/>
  <c r="O15" i="74"/>
  <c r="O16" i="74"/>
  <c r="O17" i="74"/>
  <c r="O18" i="74"/>
  <c r="O19" i="74"/>
  <c r="O20" i="74"/>
  <c r="O21" i="74"/>
  <c r="O22" i="74"/>
  <c r="O23" i="74"/>
  <c r="O24" i="74"/>
  <c r="O25" i="74"/>
  <c r="O26" i="74"/>
  <c r="O27" i="74"/>
  <c r="O28" i="74"/>
  <c r="O29" i="74"/>
  <c r="O30" i="74"/>
  <c r="O31" i="74"/>
  <c r="O32" i="74"/>
  <c r="O33" i="74"/>
  <c r="O34" i="74"/>
  <c r="O35" i="74"/>
  <c r="O36" i="74"/>
  <c r="O37" i="74"/>
  <c r="O38" i="74"/>
  <c r="O39" i="74"/>
  <c r="O40" i="74"/>
  <c r="O41" i="74"/>
  <c r="O42" i="74"/>
  <c r="O43" i="74"/>
  <c r="O44" i="74"/>
  <c r="O45" i="74"/>
  <c r="O46" i="74"/>
  <c r="O47" i="74"/>
  <c r="O48" i="74"/>
  <c r="O49" i="74"/>
  <c r="O50" i="74"/>
  <c r="O51" i="74"/>
  <c r="O52" i="74"/>
  <c r="O53" i="74"/>
  <c r="O54" i="74"/>
  <c r="O55" i="74"/>
  <c r="O56" i="74"/>
  <c r="O57" i="74"/>
  <c r="O58" i="74"/>
  <c r="O59" i="74"/>
  <c r="O60" i="74"/>
  <c r="O61" i="74"/>
  <c r="O62" i="74"/>
  <c r="O63" i="74"/>
  <c r="I69" i="79"/>
  <c r="M68" i="79"/>
  <c r="I61" i="72"/>
  <c r="M60" i="72"/>
  <c r="M10" i="114"/>
  <c r="C12" i="224"/>
  <c r="D12" i="224" s="1"/>
  <c r="C26" i="226"/>
  <c r="E67" i="227"/>
  <c r="I67" i="227" s="1"/>
  <c r="E35" i="228"/>
  <c r="I35" i="228" s="1"/>
  <c r="I44" i="227"/>
  <c r="M44" i="227"/>
  <c r="E69" i="227"/>
  <c r="I69" i="227" s="1"/>
  <c r="E37" i="228"/>
  <c r="I37" i="228" s="1"/>
  <c r="I46" i="227"/>
  <c r="M46" i="227"/>
  <c r="E36" i="228"/>
  <c r="I36" i="228" s="1"/>
  <c r="M45" i="227"/>
  <c r="E68" i="227"/>
  <c r="I68" i="227" s="1"/>
  <c r="I45" i="227"/>
  <c r="I43" i="227"/>
  <c r="E66" i="227"/>
  <c r="I66" i="227" s="1"/>
  <c r="E34" i="228"/>
  <c r="I34" i="228" s="1"/>
  <c r="M43" i="227"/>
  <c r="G45" i="27"/>
  <c r="C9" i="224"/>
  <c r="D9" i="224" s="1"/>
  <c r="C7" i="224"/>
  <c r="D7" i="224" s="1"/>
  <c r="G96" i="27"/>
  <c r="X95" i="27"/>
  <c r="G130" i="27"/>
  <c r="T10" i="89"/>
  <c r="T14" i="108"/>
  <c r="T15" i="108" s="1"/>
  <c r="Q14" i="27"/>
  <c r="G16" i="27"/>
  <c r="E130" i="27"/>
  <c r="I632" i="27"/>
  <c r="H43" i="19"/>
  <c r="H47" i="19" s="1"/>
  <c r="H53" i="19" s="1"/>
  <c r="J92" i="9" s="1"/>
  <c r="N92" i="9" s="1"/>
  <c r="P12" i="113"/>
  <c r="Y24" i="56"/>
  <c r="E42" i="227" s="1"/>
  <c r="T2" i="90"/>
  <c r="T10" i="90" s="1"/>
  <c r="T14" i="89"/>
  <c r="T16" i="89"/>
  <c r="T12" i="89"/>
  <c r="R2" i="158"/>
  <c r="R2" i="159" s="1"/>
  <c r="R2" i="160" s="1"/>
  <c r="T2" i="198"/>
  <c r="T10" i="198" s="1"/>
  <c r="M810" i="27" s="1"/>
  <c r="M811" i="27" s="1"/>
  <c r="T17" i="89"/>
  <c r="T15" i="89"/>
  <c r="T13" i="89"/>
  <c r="T11" i="89"/>
  <c r="T38" i="183"/>
  <c r="T42" i="183"/>
  <c r="T32" i="183"/>
  <c r="T2" i="178"/>
  <c r="T10" i="178" s="1"/>
  <c r="A10" i="150"/>
  <c r="G10" i="150" s="1"/>
  <c r="I10" i="150" s="1"/>
  <c r="M10" i="150" s="1"/>
  <c r="A10" i="119"/>
  <c r="G10" i="119" s="1"/>
  <c r="I10" i="119" s="1"/>
  <c r="M10" i="119" s="1"/>
  <c r="T2" i="68"/>
  <c r="T2" i="109" s="1"/>
  <c r="T10" i="109" s="1"/>
  <c r="T44" i="183"/>
  <c r="T40" i="183"/>
  <c r="T36" i="183"/>
  <c r="T28" i="183"/>
  <c r="T34" i="183"/>
  <c r="T30" i="183"/>
  <c r="T23" i="183"/>
  <c r="D780" i="27"/>
  <c r="K774" i="27"/>
  <c r="D764" i="27"/>
  <c r="K655" i="27"/>
  <c r="K653" i="27"/>
  <c r="K649" i="27"/>
  <c r="K645" i="27"/>
  <c r="K652" i="27"/>
  <c r="K648" i="27"/>
  <c r="K611" i="27"/>
  <c r="K607" i="27"/>
  <c r="K603" i="27"/>
  <c r="K615" i="27"/>
  <c r="K610" i="27"/>
  <c r="K606" i="27"/>
  <c r="K602" i="27"/>
  <c r="Q10" i="103"/>
  <c r="P10" i="103" s="1"/>
  <c r="P12" i="103" s="1"/>
  <c r="P13" i="103" s="1"/>
  <c r="Q10" i="101"/>
  <c r="P10" i="101" s="1"/>
  <c r="A10" i="101" s="1"/>
  <c r="K127" i="27"/>
  <c r="O127" i="27" s="1"/>
  <c r="O130" i="27" s="1"/>
  <c r="I130" i="27"/>
  <c r="K81" i="27"/>
  <c r="K84" i="27" s="1"/>
  <c r="I84" i="27"/>
  <c r="K105" i="27"/>
  <c r="K108" i="27" s="1"/>
  <c r="I108" i="27"/>
  <c r="K55" i="27"/>
  <c r="K59" i="27" s="1"/>
  <c r="I59" i="27"/>
  <c r="K26" i="27"/>
  <c r="K31" i="27" s="1"/>
  <c r="K164" i="27"/>
  <c r="O164" i="27" s="1"/>
  <c r="O166" i="27" s="1"/>
  <c r="I166" i="27"/>
  <c r="Q83" i="27"/>
  <c r="G84" i="27"/>
  <c r="K147" i="27"/>
  <c r="K150" i="27" s="1"/>
  <c r="I150" i="27"/>
  <c r="D12" i="214"/>
  <c r="F53" i="215"/>
  <c r="F104" i="216"/>
  <c r="F102" i="216"/>
  <c r="F100" i="216"/>
  <c r="F98" i="216"/>
  <c r="F96" i="216"/>
  <c r="F94" i="216"/>
  <c r="F92" i="216"/>
  <c r="F88" i="216"/>
  <c r="F86" i="216"/>
  <c r="F84" i="216"/>
  <c r="F80" i="216"/>
  <c r="F76" i="216"/>
  <c r="F72" i="216"/>
  <c r="F68" i="216"/>
  <c r="F60" i="216"/>
  <c r="F58" i="216"/>
  <c r="F54" i="216"/>
  <c r="F50" i="216"/>
  <c r="F46" i="216"/>
  <c r="F40" i="216"/>
  <c r="F36" i="216"/>
  <c r="F103" i="216"/>
  <c r="F101" i="216"/>
  <c r="F99" i="216"/>
  <c r="F97" i="216"/>
  <c r="F95" i="216"/>
  <c r="F93" i="216"/>
  <c r="F91" i="216"/>
  <c r="F89" i="216"/>
  <c r="F87" i="216"/>
  <c r="F85" i="216"/>
  <c r="F83" i="216"/>
  <c r="F81" i="216"/>
  <c r="F79" i="216"/>
  <c r="F77" i="216"/>
  <c r="F75" i="216"/>
  <c r="F73" i="216"/>
  <c r="F71" i="216"/>
  <c r="F69" i="216"/>
  <c r="F67" i="216"/>
  <c r="F61" i="216"/>
  <c r="F59" i="216"/>
  <c r="F57" i="216"/>
  <c r="F55" i="216"/>
  <c r="F53" i="216"/>
  <c r="F51" i="216"/>
  <c r="F49" i="216"/>
  <c r="F47" i="216"/>
  <c r="F45" i="216"/>
  <c r="F43" i="216"/>
  <c r="F41" i="216"/>
  <c r="F39" i="216"/>
  <c r="F37" i="216"/>
  <c r="F35" i="216"/>
  <c r="F90" i="216"/>
  <c r="F82" i="216"/>
  <c r="F78" i="216"/>
  <c r="F74" i="216"/>
  <c r="F70" i="216"/>
  <c r="F56" i="216"/>
  <c r="F52" i="216"/>
  <c r="F48" i="216"/>
  <c r="F44" i="216"/>
  <c r="F42" i="216"/>
  <c r="F38" i="216"/>
  <c r="S51" i="56"/>
  <c r="O51" i="56"/>
  <c r="I51" i="56"/>
  <c r="E51" i="56"/>
  <c r="Q51" i="56"/>
  <c r="K51" i="56"/>
  <c r="G51" i="56"/>
  <c r="Q49" i="56"/>
  <c r="I49" i="56"/>
  <c r="S49" i="56"/>
  <c r="O49" i="56"/>
  <c r="K49" i="56"/>
  <c r="G49" i="56"/>
  <c r="U49" i="56"/>
  <c r="E49" i="56"/>
  <c r="R2" i="145"/>
  <c r="R2" i="146" s="1"/>
  <c r="R2" i="147" s="1"/>
  <c r="R2" i="203"/>
  <c r="R2" i="196"/>
  <c r="R2" i="189"/>
  <c r="Q50" i="56"/>
  <c r="S50" i="56"/>
  <c r="O50" i="56"/>
  <c r="I50" i="56"/>
  <c r="E50" i="56"/>
  <c r="K50" i="56"/>
  <c r="G50" i="56"/>
  <c r="E52" i="56"/>
  <c r="S52" i="56"/>
  <c r="O52" i="56"/>
  <c r="K52" i="56"/>
  <c r="G52" i="56"/>
  <c r="U52" i="56"/>
  <c r="Q52" i="56"/>
  <c r="I52" i="56"/>
  <c r="G158" i="27"/>
  <c r="A10" i="168"/>
  <c r="G10" i="168" s="1"/>
  <c r="I10" i="168" s="1"/>
  <c r="P12" i="150"/>
  <c r="P12" i="119"/>
  <c r="A10" i="113"/>
  <c r="G10" i="113" s="1"/>
  <c r="I10" i="113" s="1"/>
  <c r="M10" i="113" s="1"/>
  <c r="A10" i="111"/>
  <c r="G10" i="111" s="1"/>
  <c r="I10" i="111" s="1"/>
  <c r="T2" i="110"/>
  <c r="T15" i="110" s="1"/>
  <c r="T2" i="139"/>
  <c r="T10" i="139" s="1"/>
  <c r="Q157" i="27"/>
  <c r="E632" i="27"/>
  <c r="G141" i="27"/>
  <c r="T27" i="90"/>
  <c r="T16" i="68"/>
  <c r="I664" i="27"/>
  <c r="E653" i="27"/>
  <c r="Q44" i="27"/>
  <c r="I676" i="27"/>
  <c r="T17" i="139"/>
  <c r="T13" i="139"/>
  <c r="M706" i="27"/>
  <c r="E664" i="27"/>
  <c r="Q120" i="27"/>
  <c r="X140" i="27"/>
  <c r="T21" i="139"/>
  <c r="T19" i="139"/>
  <c r="T15" i="139"/>
  <c r="T11" i="139"/>
  <c r="X157" i="27"/>
  <c r="M720" i="27"/>
  <c r="P12" i="151"/>
  <c r="A10" i="151"/>
  <c r="G10" i="151" s="1"/>
  <c r="I10" i="151" s="1"/>
  <c r="M696" i="27"/>
  <c r="P12" i="111"/>
  <c r="Q12" i="100"/>
  <c r="T23" i="68"/>
  <c r="Q165" i="27"/>
  <c r="Q140" i="27"/>
  <c r="Q95" i="27"/>
  <c r="X71" i="27"/>
  <c r="Q71" i="27"/>
  <c r="E612" i="27"/>
  <c r="E166" i="27"/>
  <c r="G166" i="27"/>
  <c r="M323" i="27"/>
  <c r="Q107" i="27"/>
  <c r="T2" i="186"/>
  <c r="T11" i="186" s="1"/>
  <c r="T43" i="183"/>
  <c r="T41" i="183"/>
  <c r="T39" i="183"/>
  <c r="T37" i="183"/>
  <c r="T35" i="183"/>
  <c r="T33" i="183"/>
  <c r="T31" i="183"/>
  <c r="T29" i="183"/>
  <c r="T26" i="183"/>
  <c r="T19" i="183"/>
  <c r="M700" i="27"/>
  <c r="P12" i="104"/>
  <c r="P13" i="104" s="1"/>
  <c r="A10" i="104"/>
  <c r="G10" i="104" s="1"/>
  <c r="I10" i="104" s="1"/>
  <c r="M10" i="104" s="1"/>
  <c r="M716" i="27"/>
  <c r="A10" i="128"/>
  <c r="G10" i="128" s="1"/>
  <c r="I10" i="128" s="1"/>
  <c r="M10" i="128" s="1"/>
  <c r="P12" i="128"/>
  <c r="M688" i="27"/>
  <c r="Q12" i="98"/>
  <c r="Q13" i="98" s="1"/>
  <c r="I684" i="27"/>
  <c r="T14" i="109"/>
  <c r="T15" i="183"/>
  <c r="T10" i="137"/>
  <c r="T13" i="137"/>
  <c r="T15" i="137"/>
  <c r="T17" i="137"/>
  <c r="T19" i="137"/>
  <c r="T21" i="137"/>
  <c r="T14" i="137"/>
  <c r="T16" i="137"/>
  <c r="T18" i="137"/>
  <c r="T20" i="137"/>
  <c r="T2" i="165"/>
  <c r="E141" i="27"/>
  <c r="T18" i="139"/>
  <c r="T16" i="139"/>
  <c r="T14" i="139"/>
  <c r="T12" i="139"/>
  <c r="G108" i="27"/>
  <c r="O120" i="27"/>
  <c r="T27" i="183"/>
  <c r="T25" i="183"/>
  <c r="T21" i="183"/>
  <c r="T17" i="183"/>
  <c r="T13" i="183"/>
  <c r="T2" i="172"/>
  <c r="T11" i="172" s="1"/>
  <c r="T19" i="89"/>
  <c r="M663" i="27" s="1"/>
  <c r="T12" i="137"/>
  <c r="E158" i="27"/>
  <c r="G150" i="27"/>
  <c r="K16" i="27"/>
  <c r="E150" i="27"/>
  <c r="M712" i="27"/>
  <c r="P12" i="115"/>
  <c r="A10" i="115"/>
  <c r="G10" i="115" s="1"/>
  <c r="I10" i="115" s="1"/>
  <c r="M10" i="115" s="1"/>
  <c r="O105" i="27"/>
  <c r="O108" i="27" s="1"/>
  <c r="T2" i="83"/>
  <c r="P12" i="105"/>
  <c r="P13" i="105" s="1"/>
  <c r="M702" i="27"/>
  <c r="A10" i="105"/>
  <c r="G10" i="105" s="1"/>
  <c r="I10" i="105" s="1"/>
  <c r="M10" i="105" s="1"/>
  <c r="O156" i="27"/>
  <c r="O158" i="27" s="1"/>
  <c r="K158" i="27"/>
  <c r="K72" i="27"/>
  <c r="O69" i="27"/>
  <c r="K45" i="27"/>
  <c r="O41" i="27"/>
  <c r="O45" i="27" s="1"/>
  <c r="E676" i="27"/>
  <c r="Q149" i="27"/>
  <c r="O13" i="27"/>
  <c r="O16" i="27" s="1"/>
  <c r="X14" i="27"/>
  <c r="T24" i="183"/>
  <c r="T22" i="183"/>
  <c r="T20" i="183"/>
  <c r="T18" i="183"/>
  <c r="T16" i="183"/>
  <c r="T14" i="183"/>
  <c r="T11" i="183"/>
  <c r="T11" i="137"/>
  <c r="E682" i="27"/>
  <c r="E684" i="27" s="1"/>
  <c r="O72" i="27"/>
  <c r="K120" i="27"/>
  <c r="M690" i="27"/>
  <c r="P12" i="99"/>
  <c r="P13" i="99" s="1"/>
  <c r="A10" i="99"/>
  <c r="M10" i="168"/>
  <c r="M10" i="111"/>
  <c r="M575" i="27"/>
  <c r="M590" i="27" s="1"/>
  <c r="K141" i="27"/>
  <c r="O138" i="27"/>
  <c r="O141" i="27" s="1"/>
  <c r="O93" i="27"/>
  <c r="O96" i="27" s="1"/>
  <c r="K96" i="27"/>
  <c r="T2" i="138"/>
  <c r="T12" i="183"/>
  <c r="T46" i="183" s="1"/>
  <c r="T12" i="110" l="1"/>
  <c r="I62" i="72"/>
  <c r="M61" i="72"/>
  <c r="I70" i="79"/>
  <c r="M69" i="79"/>
  <c r="T16" i="90"/>
  <c r="T13" i="109"/>
  <c r="T15" i="68"/>
  <c r="T17" i="90"/>
  <c r="D13" i="224"/>
  <c r="H97" i="9" s="1"/>
  <c r="H37" i="9" s="1"/>
  <c r="E33" i="228"/>
  <c r="I33" i="228" s="1"/>
  <c r="I39" i="228" s="1"/>
  <c r="I42" i="227"/>
  <c r="I48" i="227" s="1"/>
  <c r="M42" i="227"/>
  <c r="M48" i="227" s="1"/>
  <c r="E65" i="227"/>
  <c r="I65" i="227" s="1"/>
  <c r="I71" i="227" s="1"/>
  <c r="H51" i="216"/>
  <c r="C49" i="226"/>
  <c r="H26" i="226"/>
  <c r="J26" i="226"/>
  <c r="C28" i="226"/>
  <c r="E343" i="27"/>
  <c r="O55" i="27"/>
  <c r="O59" i="27" s="1"/>
  <c r="K166" i="27"/>
  <c r="O26" i="27"/>
  <c r="O31" i="27" s="1"/>
  <c r="G343" i="27"/>
  <c r="K130" i="27"/>
  <c r="O147" i="27"/>
  <c r="O150" i="27" s="1"/>
  <c r="T15" i="109"/>
  <c r="T21" i="68"/>
  <c r="T24" i="90"/>
  <c r="T20" i="90"/>
  <c r="T23" i="137"/>
  <c r="T25" i="137" s="1"/>
  <c r="T26" i="137" s="1"/>
  <c r="T11" i="109"/>
  <c r="T12" i="109"/>
  <c r="T17" i="68"/>
  <c r="T2" i="69"/>
  <c r="T12" i="69" s="1"/>
  <c r="T24" i="68"/>
  <c r="T22" i="68"/>
  <c r="T12" i="90"/>
  <c r="T28" i="90"/>
  <c r="M698" i="27"/>
  <c r="T16" i="109"/>
  <c r="T2" i="132"/>
  <c r="T10" i="132" s="1"/>
  <c r="T13" i="68"/>
  <c r="T12" i="68"/>
  <c r="T19" i="90"/>
  <c r="T10" i="68"/>
  <c r="T26" i="68" s="1"/>
  <c r="T28" i="68" s="1"/>
  <c r="T29" i="68" s="1"/>
  <c r="H88" i="216"/>
  <c r="T15" i="90"/>
  <c r="T17" i="109"/>
  <c r="T18" i="109"/>
  <c r="T11" i="68"/>
  <c r="T19" i="68"/>
  <c r="T29" i="90"/>
  <c r="T18" i="68"/>
  <c r="T2" i="97"/>
  <c r="T14" i="97" s="1"/>
  <c r="O81" i="27"/>
  <c r="O84" i="27" s="1"/>
  <c r="E821" i="27"/>
  <c r="H68" i="216"/>
  <c r="H84" i="216"/>
  <c r="H36" i="216"/>
  <c r="H73" i="216"/>
  <c r="H50" i="216"/>
  <c r="H86" i="216"/>
  <c r="T24" i="178"/>
  <c r="T12" i="186"/>
  <c r="T23" i="178"/>
  <c r="T13" i="178"/>
  <c r="M10" i="151"/>
  <c r="T16" i="178"/>
  <c r="T21" i="178"/>
  <c r="T12" i="178"/>
  <c r="T20" i="178"/>
  <c r="T15" i="178"/>
  <c r="T17" i="178"/>
  <c r="T14" i="178"/>
  <c r="T22" i="178"/>
  <c r="T19" i="178"/>
  <c r="A10" i="103"/>
  <c r="T20" i="172"/>
  <c r="T18" i="178"/>
  <c r="T2" i="187"/>
  <c r="T2" i="203" s="1"/>
  <c r="T11" i="178"/>
  <c r="T12" i="198"/>
  <c r="H58" i="216"/>
  <c r="G10" i="101"/>
  <c r="I10" i="101" s="1"/>
  <c r="M10" i="101" s="1"/>
  <c r="J32" i="9"/>
  <c r="T12" i="172"/>
  <c r="H43" i="216"/>
  <c r="H81" i="216"/>
  <c r="H76" i="216"/>
  <c r="H92" i="9"/>
  <c r="H32" i="9" s="1"/>
  <c r="F32" i="9" s="1"/>
  <c r="N31" i="9" s="1"/>
  <c r="T2" i="144"/>
  <c r="T13" i="144" s="1"/>
  <c r="T15" i="172"/>
  <c r="H41" i="216"/>
  <c r="H60" i="216"/>
  <c r="F24" i="216"/>
  <c r="O48" i="56"/>
  <c r="O53" i="56" s="1"/>
  <c r="E48" i="56"/>
  <c r="K48" i="56"/>
  <c r="U48" i="56"/>
  <c r="S48" i="56" s="1"/>
  <c r="I48" i="56"/>
  <c r="Q48" i="56"/>
  <c r="G48" i="56"/>
  <c r="T20" i="68"/>
  <c r="T16" i="97"/>
  <c r="T16" i="110"/>
  <c r="T11" i="110"/>
  <c r="T14" i="68"/>
  <c r="T14" i="90"/>
  <c r="T18" i="90"/>
  <c r="T22" i="90"/>
  <c r="T26" i="90"/>
  <c r="T30" i="90"/>
  <c r="T13" i="132"/>
  <c r="T12" i="132"/>
  <c r="T16" i="172"/>
  <c r="T24" i="172"/>
  <c r="T14" i="186"/>
  <c r="T11" i="90"/>
  <c r="T14" i="110"/>
  <c r="T13" i="90"/>
  <c r="T23" i="90"/>
  <c r="T31" i="90"/>
  <c r="T25" i="90"/>
  <c r="T21" i="90"/>
  <c r="T11" i="132"/>
  <c r="T14" i="132"/>
  <c r="T14" i="172"/>
  <c r="T18" i="172"/>
  <c r="T22" i="172"/>
  <c r="T17" i="97"/>
  <c r="M52" i="56"/>
  <c r="H47" i="216"/>
  <c r="H55" i="216"/>
  <c r="H69" i="216"/>
  <c r="H77" i="216"/>
  <c r="H89" i="216"/>
  <c r="H40" i="216"/>
  <c r="H94" i="216"/>
  <c r="H98" i="216"/>
  <c r="H44" i="216"/>
  <c r="H52" i="216"/>
  <c r="H74" i="216"/>
  <c r="H82" i="216"/>
  <c r="H102" i="216"/>
  <c r="H35" i="216"/>
  <c r="H59" i="216"/>
  <c r="H85" i="216"/>
  <c r="M694" i="27"/>
  <c r="P12" i="101"/>
  <c r="P13" i="101" s="1"/>
  <c r="T20" i="139"/>
  <c r="M601" i="27"/>
  <c r="I343" i="27"/>
  <c r="W52" i="56"/>
  <c r="M51" i="56"/>
  <c r="Y12" i="214"/>
  <c r="U12" i="214"/>
  <c r="Q12" i="214"/>
  <c r="M12" i="214"/>
  <c r="I12" i="214"/>
  <c r="AD12" i="214"/>
  <c r="W12" i="214"/>
  <c r="O79" i="56" s="1"/>
  <c r="S12" i="214"/>
  <c r="O12" i="214"/>
  <c r="K12" i="214"/>
  <c r="G12" i="214"/>
  <c r="E12" i="214" s="1"/>
  <c r="M49" i="56"/>
  <c r="W49" i="56"/>
  <c r="H37" i="216"/>
  <c r="H61" i="216"/>
  <c r="H38" i="216"/>
  <c r="H42" i="216"/>
  <c r="H46" i="216"/>
  <c r="H54" i="216"/>
  <c r="H72" i="216"/>
  <c r="H80" i="216"/>
  <c r="H92" i="216"/>
  <c r="H96" i="216"/>
  <c r="H100" i="216"/>
  <c r="H104" i="216"/>
  <c r="H39" i="216"/>
  <c r="H49" i="216"/>
  <c r="H57" i="216"/>
  <c r="H67" i="216"/>
  <c r="H75" i="216"/>
  <c r="H83" i="216"/>
  <c r="H87" i="216"/>
  <c r="H93" i="216"/>
  <c r="H97" i="216"/>
  <c r="H101" i="216"/>
  <c r="M50" i="56"/>
  <c r="P53" i="215"/>
  <c r="P55" i="215" s="1"/>
  <c r="V53" i="215"/>
  <c r="V55" i="215" s="1"/>
  <c r="R53" i="215"/>
  <c r="N53" i="215"/>
  <c r="J53" i="215"/>
  <c r="H53" i="215" s="1"/>
  <c r="X53" i="215"/>
  <c r="T53" i="215"/>
  <c r="L53" i="215"/>
  <c r="H48" i="216"/>
  <c r="H56" i="216"/>
  <c r="H70" i="216"/>
  <c r="H78" i="216"/>
  <c r="H90" i="216"/>
  <c r="H45" i="216"/>
  <c r="H53" i="216"/>
  <c r="H71" i="216"/>
  <c r="H79" i="216"/>
  <c r="H91" i="216"/>
  <c r="H95" i="216"/>
  <c r="H99" i="216"/>
  <c r="H103" i="216"/>
  <c r="T10" i="110"/>
  <c r="T2" i="133"/>
  <c r="T13" i="110"/>
  <c r="T2" i="135"/>
  <c r="T2" i="78"/>
  <c r="T10" i="186"/>
  <c r="T13" i="186"/>
  <c r="T15" i="186"/>
  <c r="T10" i="69"/>
  <c r="T14" i="69"/>
  <c r="T18" i="69"/>
  <c r="T22" i="69"/>
  <c r="T26" i="69"/>
  <c r="T2" i="70"/>
  <c r="T15" i="69"/>
  <c r="T19" i="69"/>
  <c r="T23" i="69"/>
  <c r="T27" i="69"/>
  <c r="T23" i="139"/>
  <c r="T25" i="139" s="1"/>
  <c r="T26" i="139" s="1"/>
  <c r="T22" i="109"/>
  <c r="M683" i="27"/>
  <c r="T2" i="166"/>
  <c r="T11" i="165"/>
  <c r="T13" i="165"/>
  <c r="T15" i="165"/>
  <c r="T17" i="165"/>
  <c r="T19" i="165"/>
  <c r="T21" i="165"/>
  <c r="T10" i="165"/>
  <c r="T12" i="165"/>
  <c r="T14" i="165"/>
  <c r="T16" i="165"/>
  <c r="T18" i="165"/>
  <c r="T20" i="165"/>
  <c r="T22" i="165"/>
  <c r="T21" i="89"/>
  <c r="T22" i="89" s="1"/>
  <c r="T10" i="172"/>
  <c r="T13" i="172"/>
  <c r="T19" i="172"/>
  <c r="T23" i="172"/>
  <c r="T2" i="174"/>
  <c r="T17" i="172"/>
  <c r="T21" i="172"/>
  <c r="T25" i="172"/>
  <c r="M665" i="27"/>
  <c r="M682" i="27"/>
  <c r="M684" i="27" s="1"/>
  <c r="M626" i="27"/>
  <c r="T33" i="90"/>
  <c r="M664" i="27" s="1"/>
  <c r="T26" i="178"/>
  <c r="T11" i="83"/>
  <c r="T13" i="83"/>
  <c r="T15" i="83"/>
  <c r="T17" i="83"/>
  <c r="T19" i="83"/>
  <c r="T21" i="83"/>
  <c r="T23" i="83"/>
  <c r="T25" i="83"/>
  <c r="T27" i="83"/>
  <c r="T29" i="83"/>
  <c r="T31" i="83"/>
  <c r="T33" i="83"/>
  <c r="T35" i="83"/>
  <c r="T37" i="83"/>
  <c r="T39" i="83"/>
  <c r="T10" i="83"/>
  <c r="T12" i="83"/>
  <c r="T14" i="83"/>
  <c r="T16" i="83"/>
  <c r="T18" i="83"/>
  <c r="T20" i="83"/>
  <c r="T22" i="83"/>
  <c r="T24" i="83"/>
  <c r="T26" i="83"/>
  <c r="T28" i="83"/>
  <c r="T30" i="83"/>
  <c r="T32" i="83"/>
  <c r="T34" i="83"/>
  <c r="T36" i="83"/>
  <c r="T38" i="83"/>
  <c r="T2" i="84"/>
  <c r="P31" i="27"/>
  <c r="M673" i="27"/>
  <c r="T11" i="138"/>
  <c r="T13" i="138"/>
  <c r="T15" i="138"/>
  <c r="T17" i="138"/>
  <c r="T19" i="138"/>
  <c r="T21" i="138"/>
  <c r="T10" i="138"/>
  <c r="T12" i="138"/>
  <c r="T14" i="138"/>
  <c r="T16" i="138"/>
  <c r="T18" i="138"/>
  <c r="T20" i="138"/>
  <c r="T2" i="167"/>
  <c r="G10" i="103"/>
  <c r="I10" i="103" s="1"/>
  <c r="M10" i="103" s="1"/>
  <c r="G10" i="99"/>
  <c r="I10" i="99" s="1"/>
  <c r="M10" i="99" s="1"/>
  <c r="M798" i="27"/>
  <c r="T48" i="183"/>
  <c r="T49" i="183" s="1"/>
  <c r="T17" i="132"/>
  <c r="I71" i="79" l="1"/>
  <c r="M70" i="79"/>
  <c r="I63" i="72"/>
  <c r="M62" i="72"/>
  <c r="T2" i="189"/>
  <c r="T12" i="189" s="1"/>
  <c r="T29" i="69"/>
  <c r="T25" i="69"/>
  <c r="T21" i="69"/>
  <c r="T17" i="69"/>
  <c r="T13" i="69"/>
  <c r="T28" i="69"/>
  <c r="T24" i="69"/>
  <c r="T20" i="69"/>
  <c r="T16" i="69"/>
  <c r="T11" i="69"/>
  <c r="T13" i="97"/>
  <c r="T15" i="97"/>
  <c r="T12" i="97"/>
  <c r="C30" i="226"/>
  <c r="C31" i="226"/>
  <c r="H49" i="226"/>
  <c r="H28" i="226"/>
  <c r="M50" i="227"/>
  <c r="H23" i="229" s="1"/>
  <c r="M51" i="227"/>
  <c r="J83" i="9"/>
  <c r="I42" i="228"/>
  <c r="I41" i="228"/>
  <c r="J49" i="226"/>
  <c r="J28" i="226"/>
  <c r="C114" i="226"/>
  <c r="C116" i="226" s="1"/>
  <c r="C72" i="226"/>
  <c r="C51" i="226"/>
  <c r="G25" i="26"/>
  <c r="I73" i="227"/>
  <c r="I74" i="227"/>
  <c r="I50" i="227"/>
  <c r="H13" i="229" s="1"/>
  <c r="I51" i="227"/>
  <c r="M48" i="56"/>
  <c r="K343" i="27"/>
  <c r="O343" i="27" s="1"/>
  <c r="O344" i="27" s="1"/>
  <c r="T10" i="97"/>
  <c r="T20" i="97" s="1"/>
  <c r="T11" i="97"/>
  <c r="T2" i="196"/>
  <c r="T11" i="196" s="1"/>
  <c r="T10" i="187"/>
  <c r="T21" i="187" s="1"/>
  <c r="T2" i="157"/>
  <c r="T17" i="157" s="1"/>
  <c r="T12" i="187"/>
  <c r="T18" i="187"/>
  <c r="T13" i="187"/>
  <c r="T15" i="187"/>
  <c r="T16" i="144"/>
  <c r="T23" i="144"/>
  <c r="T16" i="187"/>
  <c r="T19" i="187"/>
  <c r="T11" i="187"/>
  <c r="T24" i="144"/>
  <c r="T15" i="144"/>
  <c r="T14" i="187"/>
  <c r="T17" i="187"/>
  <c r="T18" i="144"/>
  <c r="T10" i="144"/>
  <c r="T35" i="144" s="1"/>
  <c r="T17" i="144"/>
  <c r="T2" i="145"/>
  <c r="T14" i="145" s="1"/>
  <c r="T28" i="144"/>
  <c r="T20" i="144"/>
  <c r="T12" i="144"/>
  <c r="T27" i="144"/>
  <c r="T19" i="144"/>
  <c r="T11" i="144"/>
  <c r="T35" i="90"/>
  <c r="T36" i="90" s="1"/>
  <c r="W48" i="56"/>
  <c r="T26" i="144"/>
  <c r="T25" i="144"/>
  <c r="T30" i="144"/>
  <c r="T22" i="144"/>
  <c r="T14" i="144"/>
  <c r="T29" i="144"/>
  <c r="T21" i="144"/>
  <c r="M625" i="27"/>
  <c r="J55" i="215"/>
  <c r="T31" i="69"/>
  <c r="T33" i="69" s="1"/>
  <c r="T34" i="69" s="1"/>
  <c r="T23" i="110"/>
  <c r="M629" i="27" s="1"/>
  <c r="K79" i="56"/>
  <c r="G79" i="56" s="1"/>
  <c r="H107" i="216"/>
  <c r="T10" i="133"/>
  <c r="T13" i="133"/>
  <c r="T17" i="133"/>
  <c r="T20" i="133"/>
  <c r="T11" i="133"/>
  <c r="T15" i="133"/>
  <c r="T19" i="133"/>
  <c r="T2" i="134"/>
  <c r="T2" i="158"/>
  <c r="T18" i="133"/>
  <c r="T14" i="133"/>
  <c r="T16" i="133"/>
  <c r="T12" i="133"/>
  <c r="M602" i="27"/>
  <c r="T25" i="110"/>
  <c r="T26" i="110" s="1"/>
  <c r="T11" i="70"/>
  <c r="T13" i="70"/>
  <c r="T15" i="70"/>
  <c r="T17" i="70"/>
  <c r="T19" i="70"/>
  <c r="T21" i="70"/>
  <c r="T23" i="70"/>
  <c r="T25" i="70"/>
  <c r="T10" i="70"/>
  <c r="T12" i="70"/>
  <c r="T14" i="70"/>
  <c r="T16" i="70"/>
  <c r="T18" i="70"/>
  <c r="T20" i="70"/>
  <c r="T22" i="70"/>
  <c r="T24" i="70"/>
  <c r="T12" i="135"/>
  <c r="T16" i="135"/>
  <c r="T20" i="135"/>
  <c r="T24" i="135"/>
  <c r="T2" i="148"/>
  <c r="T13" i="135"/>
  <c r="T17" i="135"/>
  <c r="T21" i="135"/>
  <c r="T25" i="135"/>
  <c r="T10" i="135"/>
  <c r="T14" i="135"/>
  <c r="T18" i="135"/>
  <c r="T22" i="135"/>
  <c r="T2" i="136"/>
  <c r="T11" i="135"/>
  <c r="T15" i="135"/>
  <c r="T19" i="135"/>
  <c r="T23" i="135"/>
  <c r="T10" i="78"/>
  <c r="T11" i="78"/>
  <c r="T13" i="78"/>
  <c r="T15" i="78"/>
  <c r="T17" i="78"/>
  <c r="T19" i="78"/>
  <c r="T21" i="78"/>
  <c r="T23" i="78"/>
  <c r="T25" i="78"/>
  <c r="T27" i="78"/>
  <c r="T2" i="79"/>
  <c r="T12" i="78"/>
  <c r="T14" i="78"/>
  <c r="T16" i="78"/>
  <c r="T18" i="78"/>
  <c r="T20" i="78"/>
  <c r="T22" i="78"/>
  <c r="T24" i="78"/>
  <c r="T26" i="78"/>
  <c r="T28" i="78"/>
  <c r="T2" i="87"/>
  <c r="T17" i="186"/>
  <c r="M799" i="27" s="1"/>
  <c r="M609" i="27"/>
  <c r="T24" i="109"/>
  <c r="T25" i="109" s="1"/>
  <c r="T24" i="165"/>
  <c r="T29" i="172"/>
  <c r="T31" i="172" s="1"/>
  <c r="T32" i="172" s="1"/>
  <c r="T10" i="166"/>
  <c r="T13" i="166"/>
  <c r="T17" i="166"/>
  <c r="T21" i="166"/>
  <c r="T25" i="166"/>
  <c r="T29" i="166"/>
  <c r="T33" i="166"/>
  <c r="T37" i="166"/>
  <c r="T41" i="166"/>
  <c r="T11" i="166"/>
  <c r="T15" i="166"/>
  <c r="T19" i="166"/>
  <c r="T23" i="166"/>
  <c r="T27" i="166"/>
  <c r="T31" i="166"/>
  <c r="T35" i="166"/>
  <c r="T39" i="166"/>
  <c r="T38" i="166"/>
  <c r="T30" i="166"/>
  <c r="T18" i="166"/>
  <c r="T40" i="166"/>
  <c r="T36" i="166"/>
  <c r="T32" i="166"/>
  <c r="T28" i="166"/>
  <c r="T24" i="166"/>
  <c r="T20" i="166"/>
  <c r="T16" i="166"/>
  <c r="T12" i="166"/>
  <c r="T34" i="166"/>
  <c r="T26" i="166"/>
  <c r="T22" i="166"/>
  <c r="T14" i="166"/>
  <c r="T10" i="174"/>
  <c r="T13" i="174"/>
  <c r="T11" i="174"/>
  <c r="T15" i="174"/>
  <c r="T16" i="174"/>
  <c r="T12" i="174"/>
  <c r="T14" i="174"/>
  <c r="T10" i="84"/>
  <c r="T12" i="84"/>
  <c r="T14" i="84"/>
  <c r="T16" i="84"/>
  <c r="T18" i="84"/>
  <c r="T20" i="84"/>
  <c r="T22" i="84"/>
  <c r="T24" i="84"/>
  <c r="T26" i="84"/>
  <c r="T28" i="84"/>
  <c r="T30" i="84"/>
  <c r="T32" i="84"/>
  <c r="T34" i="84"/>
  <c r="T36" i="84"/>
  <c r="T38" i="84"/>
  <c r="T11" i="84"/>
  <c r="T13" i="84"/>
  <c r="T15" i="84"/>
  <c r="T17" i="84"/>
  <c r="T19" i="84"/>
  <c r="T21" i="84"/>
  <c r="T23" i="84"/>
  <c r="T25" i="84"/>
  <c r="T27" i="84"/>
  <c r="T29" i="84"/>
  <c r="T31" i="84"/>
  <c r="T33" i="84"/>
  <c r="T35" i="84"/>
  <c r="T37" i="84"/>
  <c r="T39" i="84"/>
  <c r="M786" i="27"/>
  <c r="M789" i="27" s="1"/>
  <c r="T28" i="178"/>
  <c r="T11" i="203"/>
  <c r="T13" i="203"/>
  <c r="T10" i="203"/>
  <c r="T12" i="203"/>
  <c r="T14" i="203"/>
  <c r="T10" i="189"/>
  <c r="T14" i="189"/>
  <c r="T18" i="189"/>
  <c r="T22" i="189"/>
  <c r="T13" i="189"/>
  <c r="T17" i="189"/>
  <c r="T21" i="189"/>
  <c r="T41" i="83"/>
  <c r="T10" i="196"/>
  <c r="T12" i="196"/>
  <c r="T10" i="145"/>
  <c r="T18" i="145"/>
  <c r="T13" i="145"/>
  <c r="T21" i="145"/>
  <c r="T10" i="167"/>
  <c r="T12" i="167"/>
  <c r="T14" i="167"/>
  <c r="T16" i="167"/>
  <c r="T18" i="167"/>
  <c r="T20" i="167"/>
  <c r="T11" i="167"/>
  <c r="T13" i="167"/>
  <c r="T15" i="167"/>
  <c r="T17" i="167"/>
  <c r="T19" i="167"/>
  <c r="T22" i="138"/>
  <c r="M610" i="27"/>
  <c r="T19" i="132"/>
  <c r="T20" i="132" s="1"/>
  <c r="T13" i="157"/>
  <c r="T12" i="157"/>
  <c r="I64" i="72" l="1"/>
  <c r="M63" i="72"/>
  <c r="I72" i="79"/>
  <c r="M71" i="79"/>
  <c r="T15" i="145"/>
  <c r="T20" i="145"/>
  <c r="T12" i="145"/>
  <c r="T23" i="189"/>
  <c r="T19" i="189"/>
  <c r="T15" i="189"/>
  <c r="T11" i="189"/>
  <c r="T20" i="189"/>
  <c r="T16" i="189"/>
  <c r="M608" i="27"/>
  <c r="T22" i="97"/>
  <c r="T23" i="97" s="1"/>
  <c r="C95" i="226"/>
  <c r="C97" i="226" s="1"/>
  <c r="C74" i="226"/>
  <c r="J30" i="226"/>
  <c r="J31" i="226"/>
  <c r="J23" i="9"/>
  <c r="H83" i="9"/>
  <c r="H23" i="9" s="1"/>
  <c r="N83" i="9"/>
  <c r="J23" i="229"/>
  <c r="M23" i="229"/>
  <c r="I23" i="229"/>
  <c r="H72" i="226"/>
  <c r="H51" i="226"/>
  <c r="J13" i="229"/>
  <c r="I13" i="229"/>
  <c r="M13" i="229"/>
  <c r="C54" i="226"/>
  <c r="C53" i="226"/>
  <c r="J72" i="226"/>
  <c r="J51" i="226"/>
  <c r="H30" i="226"/>
  <c r="H31" i="226"/>
  <c r="O825" i="27"/>
  <c r="O829" i="27" s="1"/>
  <c r="T18" i="157"/>
  <c r="T26" i="157"/>
  <c r="T10" i="157"/>
  <c r="T11" i="157"/>
  <c r="T19" i="145"/>
  <c r="T11" i="145"/>
  <c r="T16" i="145"/>
  <c r="T13" i="196"/>
  <c r="T19" i="157"/>
  <c r="T20" i="157"/>
  <c r="T21" i="157"/>
  <c r="T17" i="145"/>
  <c r="T2" i="146"/>
  <c r="T14" i="196"/>
  <c r="T22" i="157"/>
  <c r="T14" i="157"/>
  <c r="T23" i="157"/>
  <c r="T15" i="157"/>
  <c r="T24" i="157"/>
  <c r="T16" i="157"/>
  <c r="T25" i="157"/>
  <c r="T10" i="158"/>
  <c r="T23" i="158"/>
  <c r="T27" i="158"/>
  <c r="T25" i="158"/>
  <c r="T29" i="158"/>
  <c r="T15" i="158"/>
  <c r="T2" i="159"/>
  <c r="T26" i="158"/>
  <c r="T22" i="158"/>
  <c r="T18" i="158"/>
  <c r="T14" i="158"/>
  <c r="T12" i="158"/>
  <c r="T21" i="158"/>
  <c r="T17" i="158"/>
  <c r="T19" i="158"/>
  <c r="T28" i="158"/>
  <c r="T24" i="158"/>
  <c r="T20" i="158"/>
  <c r="T16" i="158"/>
  <c r="T13" i="158"/>
  <c r="T11" i="158"/>
  <c r="T26" i="133"/>
  <c r="T10" i="134"/>
  <c r="T11" i="134"/>
  <c r="T15" i="134"/>
  <c r="T19" i="134"/>
  <c r="T21" i="134"/>
  <c r="T13" i="134"/>
  <c r="T17" i="134"/>
  <c r="T20" i="134"/>
  <c r="T18" i="134"/>
  <c r="T14" i="134"/>
  <c r="T16" i="134"/>
  <c r="T12" i="134"/>
  <c r="M644" i="27"/>
  <c r="T13" i="136"/>
  <c r="T17" i="136"/>
  <c r="T12" i="136"/>
  <c r="T16" i="136"/>
  <c r="T18" i="136"/>
  <c r="T11" i="136"/>
  <c r="T15" i="136"/>
  <c r="T10" i="136"/>
  <c r="T14" i="136"/>
  <c r="T19" i="136"/>
  <c r="T27" i="135"/>
  <c r="M604" i="27"/>
  <c r="T13" i="87"/>
  <c r="T20" i="87"/>
  <c r="T24" i="87"/>
  <c r="T28" i="87"/>
  <c r="T32" i="87"/>
  <c r="T36" i="87"/>
  <c r="T40" i="87"/>
  <c r="T44" i="87"/>
  <c r="T48" i="87"/>
  <c r="T52" i="87"/>
  <c r="T56" i="87"/>
  <c r="T60" i="87"/>
  <c r="T64" i="87"/>
  <c r="T17" i="87"/>
  <c r="T21" i="87"/>
  <c r="T25" i="87"/>
  <c r="T29" i="87"/>
  <c r="T33" i="87"/>
  <c r="T37" i="87"/>
  <c r="T41" i="87"/>
  <c r="T45" i="87"/>
  <c r="T49" i="87"/>
  <c r="T53" i="87"/>
  <c r="T57" i="87"/>
  <c r="T61" i="87"/>
  <c r="T65" i="87"/>
  <c r="T15" i="87"/>
  <c r="T14" i="87"/>
  <c r="T10" i="87"/>
  <c r="T18" i="87"/>
  <c r="T22" i="87"/>
  <c r="T26" i="87"/>
  <c r="T30" i="87"/>
  <c r="T34" i="87"/>
  <c r="T38" i="87"/>
  <c r="T42" i="87"/>
  <c r="T46" i="87"/>
  <c r="T50" i="87"/>
  <c r="T54" i="87"/>
  <c r="T58" i="87"/>
  <c r="T62" i="87"/>
  <c r="T19" i="87"/>
  <c r="T23" i="87"/>
  <c r="T27" i="87"/>
  <c r="T31" i="87"/>
  <c r="T35" i="87"/>
  <c r="T39" i="87"/>
  <c r="T43" i="87"/>
  <c r="T47" i="87"/>
  <c r="T51" i="87"/>
  <c r="T55" i="87"/>
  <c r="T59" i="87"/>
  <c r="T63" i="87"/>
  <c r="T11" i="87"/>
  <c r="T16" i="87"/>
  <c r="T12" i="87"/>
  <c r="T10" i="79"/>
  <c r="T12" i="79"/>
  <c r="T14" i="79"/>
  <c r="T16" i="79"/>
  <c r="T18" i="79"/>
  <c r="T20" i="79"/>
  <c r="T22" i="79"/>
  <c r="T24" i="79"/>
  <c r="T26" i="79"/>
  <c r="T28" i="79"/>
  <c r="T30" i="79"/>
  <c r="T32" i="79"/>
  <c r="T34" i="79"/>
  <c r="T36" i="79"/>
  <c r="T38" i="79"/>
  <c r="T40" i="79"/>
  <c r="T42" i="79"/>
  <c r="T44" i="79"/>
  <c r="T46" i="79"/>
  <c r="T48" i="79"/>
  <c r="T50" i="79"/>
  <c r="T52" i="79"/>
  <c r="T54" i="79"/>
  <c r="T56" i="79"/>
  <c r="T58" i="79"/>
  <c r="T60" i="79"/>
  <c r="T62" i="79"/>
  <c r="T64" i="79"/>
  <c r="T66" i="79"/>
  <c r="T68" i="79"/>
  <c r="T70" i="79"/>
  <c r="T72" i="79"/>
  <c r="T74" i="79"/>
  <c r="T76" i="79"/>
  <c r="T78" i="79"/>
  <c r="T80" i="79"/>
  <c r="T82" i="79"/>
  <c r="T84" i="79"/>
  <c r="T86" i="79"/>
  <c r="T88" i="79"/>
  <c r="T90" i="79"/>
  <c r="T11" i="79"/>
  <c r="T13" i="79"/>
  <c r="T15" i="79"/>
  <c r="T17" i="79"/>
  <c r="T19" i="79"/>
  <c r="T21" i="79"/>
  <c r="T23" i="79"/>
  <c r="T25" i="79"/>
  <c r="T27" i="79"/>
  <c r="T29" i="79"/>
  <c r="T31" i="79"/>
  <c r="T33" i="79"/>
  <c r="T35" i="79"/>
  <c r="T37" i="79"/>
  <c r="T39" i="79"/>
  <c r="T41" i="79"/>
  <c r="T43" i="79"/>
  <c r="T45" i="79"/>
  <c r="T47" i="79"/>
  <c r="T49" i="79"/>
  <c r="T51" i="79"/>
  <c r="T53" i="79"/>
  <c r="T55" i="79"/>
  <c r="T57" i="79"/>
  <c r="T59" i="79"/>
  <c r="T61" i="79"/>
  <c r="T63" i="79"/>
  <c r="T65" i="79"/>
  <c r="T67" i="79"/>
  <c r="T69" i="79"/>
  <c r="T71" i="79"/>
  <c r="T73" i="79"/>
  <c r="T75" i="79"/>
  <c r="T77" i="79"/>
  <c r="T79" i="79"/>
  <c r="T81" i="79"/>
  <c r="T83" i="79"/>
  <c r="T85" i="79"/>
  <c r="T87" i="79"/>
  <c r="T89" i="79"/>
  <c r="T11" i="148"/>
  <c r="T15" i="148"/>
  <c r="T10" i="148"/>
  <c r="T14" i="148"/>
  <c r="T2" i="161"/>
  <c r="T13" i="148"/>
  <c r="T2" i="149"/>
  <c r="T12" i="148"/>
  <c r="T16" i="148"/>
  <c r="T30" i="78"/>
  <c r="T27" i="70"/>
  <c r="M771" i="27"/>
  <c r="T16" i="196"/>
  <c r="M802" i="27" s="1"/>
  <c r="T43" i="166"/>
  <c r="T18" i="174"/>
  <c r="T16" i="203"/>
  <c r="T47" i="84"/>
  <c r="M627" i="27"/>
  <c r="T43" i="83"/>
  <c r="T44" i="83" s="1"/>
  <c r="T25" i="189"/>
  <c r="M674" i="27"/>
  <c r="T24" i="138"/>
  <c r="T25" i="138" s="1"/>
  <c r="M611" i="27"/>
  <c r="T37" i="144"/>
  <c r="T38" i="144" s="1"/>
  <c r="T10" i="146"/>
  <c r="T12" i="146"/>
  <c r="T2" i="147"/>
  <c r="T11" i="146"/>
  <c r="T25" i="145"/>
  <c r="T28" i="157"/>
  <c r="T22" i="167"/>
  <c r="I73" i="79" l="1"/>
  <c r="M72" i="79"/>
  <c r="I65" i="72"/>
  <c r="M64" i="72"/>
  <c r="J95" i="226"/>
  <c r="J97" i="226" s="1"/>
  <c r="J74" i="226"/>
  <c r="H95" i="226"/>
  <c r="H97" i="226" s="1"/>
  <c r="H74" i="226"/>
  <c r="C99" i="226"/>
  <c r="C100" i="226"/>
  <c r="J53" i="226"/>
  <c r="J54" i="226"/>
  <c r="H54" i="226"/>
  <c r="H53" i="226"/>
  <c r="C77" i="226"/>
  <c r="C76" i="226"/>
  <c r="T18" i="196"/>
  <c r="T19" i="196" s="1"/>
  <c r="T10" i="159"/>
  <c r="T18" i="159"/>
  <c r="T13" i="159"/>
  <c r="T17" i="159"/>
  <c r="T2" i="160"/>
  <c r="T16" i="159"/>
  <c r="T14" i="159"/>
  <c r="T11" i="159"/>
  <c r="T15" i="159"/>
  <c r="T19" i="159"/>
  <c r="T12" i="159"/>
  <c r="T20" i="159"/>
  <c r="T24" i="134"/>
  <c r="T32" i="158"/>
  <c r="T28" i="133"/>
  <c r="T29" i="133" s="1"/>
  <c r="M630" i="27"/>
  <c r="T32" i="78"/>
  <c r="T33" i="78" s="1"/>
  <c r="M605" i="27"/>
  <c r="T11" i="149"/>
  <c r="T15" i="149"/>
  <c r="T19" i="149"/>
  <c r="T23" i="149"/>
  <c r="T27" i="149"/>
  <c r="T31" i="149"/>
  <c r="T35" i="149"/>
  <c r="T39" i="149"/>
  <c r="T10" i="149"/>
  <c r="T14" i="149"/>
  <c r="T18" i="149"/>
  <c r="T22" i="149"/>
  <c r="T26" i="149"/>
  <c r="T30" i="149"/>
  <c r="T34" i="149"/>
  <c r="T38" i="149"/>
  <c r="T42" i="149"/>
  <c r="T13" i="149"/>
  <c r="T17" i="149"/>
  <c r="T21" i="149"/>
  <c r="T25" i="149"/>
  <c r="T29" i="149"/>
  <c r="T33" i="149"/>
  <c r="T37" i="149"/>
  <c r="T41" i="149"/>
  <c r="T12" i="149"/>
  <c r="T16" i="149"/>
  <c r="T20" i="149"/>
  <c r="T24" i="149"/>
  <c r="T28" i="149"/>
  <c r="T32" i="149"/>
  <c r="T36" i="149"/>
  <c r="T40" i="149"/>
  <c r="T10" i="161"/>
  <c r="T14" i="161"/>
  <c r="T18" i="161"/>
  <c r="T22" i="161"/>
  <c r="T26" i="161"/>
  <c r="T30" i="161"/>
  <c r="T34" i="161"/>
  <c r="T38" i="161"/>
  <c r="T42" i="161"/>
  <c r="T46" i="161"/>
  <c r="T13" i="161"/>
  <c r="T17" i="161"/>
  <c r="T21" i="161"/>
  <c r="T25" i="161"/>
  <c r="T29" i="161"/>
  <c r="T33" i="161"/>
  <c r="T37" i="161"/>
  <c r="T41" i="161"/>
  <c r="T45" i="161"/>
  <c r="T2" i="162"/>
  <c r="T12" i="161"/>
  <c r="T16" i="161"/>
  <c r="T20" i="161"/>
  <c r="T24" i="161"/>
  <c r="T28" i="161"/>
  <c r="T32" i="161"/>
  <c r="T36" i="161"/>
  <c r="T40" i="161"/>
  <c r="T44" i="161"/>
  <c r="T11" i="161"/>
  <c r="T15" i="161"/>
  <c r="T19" i="161"/>
  <c r="T23" i="161"/>
  <c r="T27" i="161"/>
  <c r="T31" i="161"/>
  <c r="T35" i="161"/>
  <c r="T39" i="161"/>
  <c r="T43" i="161"/>
  <c r="T47" i="161"/>
  <c r="M648" i="27"/>
  <c r="T29" i="135"/>
  <c r="T30" i="135" s="1"/>
  <c r="T18" i="148"/>
  <c r="T92" i="79"/>
  <c r="M603" i="27"/>
  <c r="T29" i="70"/>
  <c r="T30" i="70" s="1"/>
  <c r="M645" i="27"/>
  <c r="T66" i="87"/>
  <c r="T21" i="136"/>
  <c r="M666" i="27"/>
  <c r="M667" i="27" s="1"/>
  <c r="T45" i="166"/>
  <c r="T46" i="166" s="1"/>
  <c r="T20" i="174"/>
  <c r="T21" i="174" s="1"/>
  <c r="M772" i="27"/>
  <c r="M777" i="27" s="1"/>
  <c r="M801" i="27"/>
  <c r="T27" i="189"/>
  <c r="M803" i="27"/>
  <c r="T18" i="203"/>
  <c r="T19" i="203" s="1"/>
  <c r="T49" i="84"/>
  <c r="T50" i="84" s="1"/>
  <c r="M628" i="27"/>
  <c r="M615" i="27"/>
  <c r="T30" i="157"/>
  <c r="T31" i="157" s="1"/>
  <c r="M675" i="27"/>
  <c r="T24" i="167"/>
  <c r="M612" i="27"/>
  <c r="T27" i="145"/>
  <c r="T28" i="145" s="1"/>
  <c r="T11" i="147"/>
  <c r="T10" i="147"/>
  <c r="T12" i="147"/>
  <c r="T14" i="146"/>
  <c r="M613" i="27" s="1"/>
  <c r="M676" i="27"/>
  <c r="I66" i="72" l="1"/>
  <c r="M65" i="72"/>
  <c r="I74" i="79"/>
  <c r="M73" i="79"/>
  <c r="C103" i="226"/>
  <c r="G11" i="229" s="1"/>
  <c r="H76" i="226"/>
  <c r="H77" i="226"/>
  <c r="J77" i="226"/>
  <c r="J76" i="226"/>
  <c r="C104" i="226"/>
  <c r="H100" i="226"/>
  <c r="H104" i="226" s="1"/>
  <c r="H99" i="226"/>
  <c r="H103" i="226" s="1"/>
  <c r="G32" i="26" s="1"/>
  <c r="J99" i="226"/>
  <c r="J103" i="226" s="1"/>
  <c r="G21" i="229" s="1"/>
  <c r="J100" i="226"/>
  <c r="T26" i="134"/>
  <c r="T27" i="134" s="1"/>
  <c r="M631" i="27"/>
  <c r="T11" i="160"/>
  <c r="T10" i="160"/>
  <c r="T22" i="159"/>
  <c r="M632" i="27"/>
  <c r="T34" i="158"/>
  <c r="T35" i="158" s="1"/>
  <c r="T23" i="136"/>
  <c r="T24" i="136" s="1"/>
  <c r="M649" i="27"/>
  <c r="M650" i="27"/>
  <c r="T20" i="148"/>
  <c r="T21" i="148" s="1"/>
  <c r="T2" i="163"/>
  <c r="T12" i="162"/>
  <c r="T16" i="162"/>
  <c r="T20" i="162"/>
  <c r="T13" i="162"/>
  <c r="T17" i="162"/>
  <c r="T21" i="162"/>
  <c r="T10" i="162"/>
  <c r="T14" i="162"/>
  <c r="T18" i="162"/>
  <c r="T11" i="162"/>
  <c r="T15" i="162"/>
  <c r="T19" i="162"/>
  <c r="T44" i="149"/>
  <c r="M646" i="27"/>
  <c r="T68" i="87"/>
  <c r="T69" i="87" s="1"/>
  <c r="M606" i="27"/>
  <c r="T94" i="79"/>
  <c r="T95" i="79" s="1"/>
  <c r="T49" i="161"/>
  <c r="T14" i="147"/>
  <c r="T16" i="147" s="1"/>
  <c r="T17" i="147" s="1"/>
  <c r="M804" i="27"/>
  <c r="J104" i="226" l="1"/>
  <c r="I75" i="79"/>
  <c r="M74" i="79"/>
  <c r="I67" i="72"/>
  <c r="M66" i="72"/>
  <c r="M614" i="27"/>
  <c r="T13" i="160"/>
  <c r="M634" i="27" s="1"/>
  <c r="T24" i="159"/>
  <c r="T25" i="159" s="1"/>
  <c r="M633" i="27"/>
  <c r="M652" i="27"/>
  <c r="T51" i="161"/>
  <c r="T52" i="161" s="1"/>
  <c r="M607" i="27"/>
  <c r="T2" i="164"/>
  <c r="T12" i="163"/>
  <c r="T16" i="163"/>
  <c r="T20" i="163"/>
  <c r="T24" i="163"/>
  <c r="T28" i="163"/>
  <c r="T32" i="163"/>
  <c r="T11" i="163"/>
  <c r="T15" i="163"/>
  <c r="T19" i="163"/>
  <c r="T23" i="163"/>
  <c r="T27" i="163"/>
  <c r="T31" i="163"/>
  <c r="T35" i="163"/>
  <c r="T10" i="163"/>
  <c r="T14" i="163"/>
  <c r="T18" i="163"/>
  <c r="T22" i="163"/>
  <c r="T26" i="163"/>
  <c r="T30" i="163"/>
  <c r="T34" i="163"/>
  <c r="T13" i="163"/>
  <c r="T17" i="163"/>
  <c r="T21" i="163"/>
  <c r="T25" i="163"/>
  <c r="T29" i="163"/>
  <c r="T33" i="163"/>
  <c r="M647" i="27"/>
  <c r="M651" i="27"/>
  <c r="T46" i="149"/>
  <c r="T47" i="149" s="1"/>
  <c r="M616" i="27"/>
  <c r="T25" i="162"/>
  <c r="M653" i="27" s="1"/>
  <c r="I68" i="72" l="1"/>
  <c r="M67" i="72"/>
  <c r="I76" i="79"/>
  <c r="M75" i="79"/>
  <c r="T15" i="160"/>
  <c r="T16" i="160" s="1"/>
  <c r="M635" i="27"/>
  <c r="T12" i="164"/>
  <c r="T16" i="164"/>
  <c r="T20" i="164"/>
  <c r="T24" i="164"/>
  <c r="T28" i="164"/>
  <c r="T32" i="164"/>
  <c r="T36" i="164"/>
  <c r="T40" i="164"/>
  <c r="T44" i="164"/>
  <c r="T48" i="164"/>
  <c r="T52" i="164"/>
  <c r="T13" i="164"/>
  <c r="T17" i="164"/>
  <c r="T21" i="164"/>
  <c r="T25" i="164"/>
  <c r="T29" i="164"/>
  <c r="T33" i="164"/>
  <c r="T37" i="164"/>
  <c r="T41" i="164"/>
  <c r="T45" i="164"/>
  <c r="T49" i="164"/>
  <c r="T10" i="164"/>
  <c r="T14" i="164"/>
  <c r="T18" i="164"/>
  <c r="T22" i="164"/>
  <c r="T26" i="164"/>
  <c r="T30" i="164"/>
  <c r="T34" i="164"/>
  <c r="T38" i="164"/>
  <c r="T42" i="164"/>
  <c r="T46" i="164"/>
  <c r="T50" i="164"/>
  <c r="T11" i="164"/>
  <c r="T15" i="164"/>
  <c r="T19" i="164"/>
  <c r="T23" i="164"/>
  <c r="T27" i="164"/>
  <c r="T31" i="164"/>
  <c r="T35" i="164"/>
  <c r="T39" i="164"/>
  <c r="T43" i="164"/>
  <c r="T47" i="164"/>
  <c r="T51" i="164"/>
  <c r="T37" i="163"/>
  <c r="I77" i="79" l="1"/>
  <c r="M76" i="79"/>
  <c r="I69" i="72"/>
  <c r="M68" i="72"/>
  <c r="M654" i="27"/>
  <c r="T39" i="163"/>
  <c r="T40" i="163" s="1"/>
  <c r="T55" i="164"/>
  <c r="M655" i="27" s="1"/>
  <c r="I70" i="72" l="1"/>
  <c r="O69" i="72" s="1"/>
  <c r="M69" i="72"/>
  <c r="I78" i="79"/>
  <c r="M77" i="79"/>
  <c r="M656" i="27"/>
  <c r="F107" i="9"/>
  <c r="F46" i="9" s="1"/>
  <c r="F106" i="9"/>
  <c r="F45" i="9" s="1"/>
  <c r="J56" i="19"/>
  <c r="L56" i="19" s="1"/>
  <c r="O70" i="72" l="1"/>
  <c r="O10" i="72"/>
  <c r="M10" i="72" s="1"/>
  <c r="M70" i="72"/>
  <c r="O11" i="72"/>
  <c r="M11" i="72" s="1"/>
  <c r="O12" i="72"/>
  <c r="M12" i="72" s="1"/>
  <c r="O13" i="72"/>
  <c r="M13" i="72" s="1"/>
  <c r="O14" i="72"/>
  <c r="O15" i="72"/>
  <c r="O16" i="72"/>
  <c r="O17" i="72"/>
  <c r="O18" i="72"/>
  <c r="O19" i="72"/>
  <c r="O20" i="72"/>
  <c r="O21" i="72"/>
  <c r="O22" i="72"/>
  <c r="O23" i="72"/>
  <c r="O24" i="72"/>
  <c r="O25" i="72"/>
  <c r="O26" i="72"/>
  <c r="O27" i="72"/>
  <c r="O28" i="72"/>
  <c r="O29" i="72"/>
  <c r="O30" i="72"/>
  <c r="O31" i="72"/>
  <c r="O32" i="72"/>
  <c r="O33" i="72"/>
  <c r="O34" i="72"/>
  <c r="O35" i="72"/>
  <c r="O36" i="72"/>
  <c r="O37" i="72"/>
  <c r="O38" i="72"/>
  <c r="O39" i="72"/>
  <c r="O40" i="72"/>
  <c r="O41" i="72"/>
  <c r="O42" i="72"/>
  <c r="O43" i="72"/>
  <c r="O44" i="72"/>
  <c r="O45" i="72"/>
  <c r="O46" i="72"/>
  <c r="O47" i="72"/>
  <c r="O48" i="72"/>
  <c r="O49" i="72"/>
  <c r="O50" i="72"/>
  <c r="O51" i="72"/>
  <c r="O52" i="72"/>
  <c r="O53" i="72"/>
  <c r="O54" i="72"/>
  <c r="O55" i="72"/>
  <c r="O56" i="72"/>
  <c r="O57" i="72"/>
  <c r="O58" i="72"/>
  <c r="O59" i="72"/>
  <c r="O60" i="72"/>
  <c r="O61" i="72"/>
  <c r="O62" i="72"/>
  <c r="O63" i="72"/>
  <c r="O64" i="72"/>
  <c r="O65" i="72"/>
  <c r="O66" i="72"/>
  <c r="O67" i="72"/>
  <c r="O68" i="72"/>
  <c r="I79" i="79"/>
  <c r="M78" i="79"/>
  <c r="F8" i="213"/>
  <c r="G15" i="26"/>
  <c r="G17" i="26" s="1"/>
  <c r="G19" i="26" s="1"/>
  <c r="F77" i="9"/>
  <c r="J77" i="9" s="1"/>
  <c r="H24" i="216"/>
  <c r="F25" i="216"/>
  <c r="H25" i="216" s="1"/>
  <c r="F26" i="216"/>
  <c r="H26" i="216" s="1"/>
  <c r="F27" i="216"/>
  <c r="H27" i="216" s="1"/>
  <c r="F28" i="216"/>
  <c r="H28" i="216" s="1"/>
  <c r="H63" i="216"/>
  <c r="H114" i="216" s="1"/>
  <c r="H115" i="216"/>
  <c r="F85" i="9"/>
  <c r="J85" i="9" s="1"/>
  <c r="U37" i="56"/>
  <c r="U38" i="56"/>
  <c r="U39" i="56"/>
  <c r="U40" i="56"/>
  <c r="U41" i="56"/>
  <c r="U42" i="56"/>
  <c r="U43" i="56"/>
  <c r="W43" i="56" s="1"/>
  <c r="U44" i="56"/>
  <c r="U45" i="56"/>
  <c r="U50" i="56"/>
  <c r="W50" i="56" s="1"/>
  <c r="F94" i="9"/>
  <c r="J94" i="9" s="1"/>
  <c r="J97" i="9"/>
  <c r="F70" i="9"/>
  <c r="I23" i="53"/>
  <c r="K23" i="53"/>
  <c r="G24" i="53"/>
  <c r="I24" i="53"/>
  <c r="K24" i="53"/>
  <c r="G25" i="53"/>
  <c r="I25" i="53"/>
  <c r="K25" i="53"/>
  <c r="S23" i="53"/>
  <c r="U23" i="53"/>
  <c r="O25" i="53"/>
  <c r="O27" i="53" s="1"/>
  <c r="Q25" i="53"/>
  <c r="Q27" i="53" s="1"/>
  <c r="S25" i="53"/>
  <c r="U25" i="53"/>
  <c r="N20" i="12"/>
  <c r="N21" i="12"/>
  <c r="N10" i="9"/>
  <c r="C47" i="222" s="1"/>
  <c r="N23" i="9"/>
  <c r="N32" i="9"/>
  <c r="T10" i="202"/>
  <c r="T12" i="202" s="1"/>
  <c r="M755" i="27" s="1"/>
  <c r="M761" i="27" s="1"/>
  <c r="F116" i="9"/>
  <c r="J116" i="9" s="1"/>
  <c r="J115" i="9"/>
  <c r="F104" i="9"/>
  <c r="F44" i="9" s="1"/>
  <c r="F49" i="9" s="1"/>
  <c r="F117" i="9"/>
  <c r="F57" i="9" s="1"/>
  <c r="F24" i="9"/>
  <c r="F35" i="29"/>
  <c r="I761" i="27"/>
  <c r="I821" i="27" s="1"/>
  <c r="G9" i="45"/>
  <c r="G13" i="45" s="1"/>
  <c r="O10" i="202"/>
  <c r="F33" i="9"/>
  <c r="I84" i="56"/>
  <c r="E303" i="212"/>
  <c r="D319" i="212"/>
  <c r="D329" i="212" s="1"/>
  <c r="C319" i="212"/>
  <c r="C329" i="212" s="1"/>
  <c r="G326" i="212"/>
  <c r="C685" i="212"/>
  <c r="D685" i="212"/>
  <c r="F518" i="212"/>
  <c r="F519" i="212"/>
  <c r="F520" i="212"/>
  <c r="G520" i="212" s="1"/>
  <c r="F521" i="212"/>
  <c r="G521" i="212" s="1"/>
  <c r="F540" i="212"/>
  <c r="G540" i="212" s="1"/>
  <c r="F541" i="212"/>
  <c r="G541" i="212" s="1"/>
  <c r="F542" i="212"/>
  <c r="G542" i="212" s="1"/>
  <c r="F543" i="212"/>
  <c r="G543" i="212" s="1"/>
  <c r="F545" i="212"/>
  <c r="G545" i="212" s="1"/>
  <c r="F546" i="212"/>
  <c r="G546" i="212" s="1"/>
  <c r="F547" i="212"/>
  <c r="G547" i="212" s="1"/>
  <c r="F548" i="212"/>
  <c r="G548" i="212" s="1"/>
  <c r="F549" i="212"/>
  <c r="G549" i="212" s="1"/>
  <c r="F550" i="212"/>
  <c r="G550" i="212" s="1"/>
  <c r="F551" i="212"/>
  <c r="G551" i="212" s="1"/>
  <c r="F552" i="212"/>
  <c r="G552" i="212" s="1"/>
  <c r="F553" i="212"/>
  <c r="G553" i="212" s="1"/>
  <c r="F554" i="212"/>
  <c r="G554" i="212" s="1"/>
  <c r="F555" i="212"/>
  <c r="G555" i="212" s="1"/>
  <c r="F556" i="212"/>
  <c r="G556" i="212" s="1"/>
  <c r="F557" i="212"/>
  <c r="G557" i="212" s="1"/>
  <c r="F558" i="212"/>
  <c r="G558" i="212" s="1"/>
  <c r="F559" i="212"/>
  <c r="G559" i="212" s="1"/>
  <c r="F560" i="212"/>
  <c r="G560" i="212" s="1"/>
  <c r="F561" i="212"/>
  <c r="G561" i="212" s="1"/>
  <c r="F563" i="212"/>
  <c r="G563" i="212" s="1"/>
  <c r="F564" i="212"/>
  <c r="G564" i="212" s="1"/>
  <c r="F565" i="212"/>
  <c r="G565" i="212" s="1"/>
  <c r="F605" i="212"/>
  <c r="G605" i="212" s="1"/>
  <c r="F606" i="212"/>
  <c r="G606" i="212" s="1"/>
  <c r="F607" i="212"/>
  <c r="G607" i="212" s="1"/>
  <c r="F333" i="212"/>
  <c r="G333" i="212" s="1"/>
  <c r="F334" i="212"/>
  <c r="G334" i="212" s="1"/>
  <c r="F335" i="212"/>
  <c r="G335" i="212" s="1"/>
  <c r="F336" i="212"/>
  <c r="G336" i="212" s="1"/>
  <c r="F337" i="212"/>
  <c r="G337" i="212" s="1"/>
  <c r="F338" i="212"/>
  <c r="G338" i="212" s="1"/>
  <c r="F339" i="212"/>
  <c r="G339" i="212" s="1"/>
  <c r="F345" i="212"/>
  <c r="G345" i="212" s="1"/>
  <c r="F346" i="212"/>
  <c r="G346" i="212" s="1"/>
  <c r="G518" i="212"/>
  <c r="F46" i="30"/>
  <c r="G7" i="233" s="1"/>
  <c r="G687" i="212"/>
  <c r="H687" i="212" s="1"/>
  <c r="F9" i="212"/>
  <c r="G9" i="212" s="1"/>
  <c r="F10" i="212"/>
  <c r="G10" i="212" s="1"/>
  <c r="F11" i="212"/>
  <c r="G11" i="212" s="1"/>
  <c r="F13" i="212"/>
  <c r="G13" i="212" s="1"/>
  <c r="F14" i="212"/>
  <c r="G14" i="212" s="1"/>
  <c r="F15" i="212"/>
  <c r="G15" i="212" s="1"/>
  <c r="F16" i="212"/>
  <c r="G16" i="212" s="1"/>
  <c r="F17" i="212"/>
  <c r="G17" i="212" s="1"/>
  <c r="F18" i="212"/>
  <c r="G18" i="212" s="1"/>
  <c r="F20" i="212"/>
  <c r="G20" i="212" s="1"/>
  <c r="F21" i="212"/>
  <c r="G21" i="212" s="1"/>
  <c r="F22" i="212"/>
  <c r="G22" i="212" s="1"/>
  <c r="F23" i="212"/>
  <c r="G23" i="212" s="1"/>
  <c r="F24" i="212"/>
  <c r="G24" i="212" s="1"/>
  <c r="F25" i="212"/>
  <c r="G25" i="212" s="1"/>
  <c r="F26" i="212"/>
  <c r="G26" i="212" s="1"/>
  <c r="F27" i="212"/>
  <c r="G27" i="212" s="1"/>
  <c r="F28" i="212"/>
  <c r="G28" i="212" s="1"/>
  <c r="F29" i="212"/>
  <c r="G29" i="212" s="1"/>
  <c r="F30" i="212"/>
  <c r="G30" i="212" s="1"/>
  <c r="F31" i="212"/>
  <c r="G31" i="212" s="1"/>
  <c r="F32" i="212"/>
  <c r="G32" i="212" s="1"/>
  <c r="F33" i="212"/>
  <c r="G33" i="212" s="1"/>
  <c r="F34" i="212"/>
  <c r="G34" i="212" s="1"/>
  <c r="F36" i="212"/>
  <c r="G36" i="212" s="1"/>
  <c r="F37" i="212"/>
  <c r="G37" i="212" s="1"/>
  <c r="F38" i="212"/>
  <c r="G38" i="212" s="1"/>
  <c r="F39" i="212"/>
  <c r="G39" i="212" s="1"/>
  <c r="D686" i="212"/>
  <c r="E686" i="212" s="1"/>
  <c r="F76" i="212"/>
  <c r="G76" i="212" s="1"/>
  <c r="F77" i="212"/>
  <c r="G77" i="212" s="1"/>
  <c r="F78" i="212"/>
  <c r="G78" i="212" s="1"/>
  <c r="F101" i="212"/>
  <c r="G101" i="212" s="1"/>
  <c r="F102" i="212"/>
  <c r="G102" i="212" s="1"/>
  <c r="F103" i="212"/>
  <c r="G103" i="212" s="1"/>
  <c r="F104" i="212"/>
  <c r="G104" i="212" s="1"/>
  <c r="F106" i="212"/>
  <c r="G106" i="212" s="1"/>
  <c r="F107" i="212"/>
  <c r="G107" i="212" s="1"/>
  <c r="F108" i="212"/>
  <c r="G108" i="212" s="1"/>
  <c r="F109" i="212"/>
  <c r="G109" i="212" s="1"/>
  <c r="F110" i="212"/>
  <c r="G110" i="212" s="1"/>
  <c r="F111" i="212"/>
  <c r="G111" i="212" s="1"/>
  <c r="F112" i="212"/>
  <c r="G112" i="212" s="1"/>
  <c r="F113" i="212"/>
  <c r="G113" i="212" s="1"/>
  <c r="F114" i="212"/>
  <c r="G114" i="212" s="1"/>
  <c r="F115" i="212"/>
  <c r="G115" i="212" s="1"/>
  <c r="F116" i="212"/>
  <c r="G116" i="212" s="1"/>
  <c r="F117" i="212"/>
  <c r="G117" i="212" s="1"/>
  <c r="F118" i="212"/>
  <c r="G118" i="212" s="1"/>
  <c r="F119" i="212"/>
  <c r="G119" i="212" s="1"/>
  <c r="F120" i="212"/>
  <c r="G120" i="212" s="1"/>
  <c r="F121" i="212"/>
  <c r="G121" i="212" s="1"/>
  <c r="F122" i="212"/>
  <c r="G122" i="212" s="1"/>
  <c r="F123" i="212"/>
  <c r="G123" i="212" s="1"/>
  <c r="F125" i="212"/>
  <c r="G125" i="212" s="1"/>
  <c r="F126" i="212"/>
  <c r="G126" i="212" s="1"/>
  <c r="F127" i="212"/>
  <c r="G127" i="212" s="1"/>
  <c r="F157" i="212"/>
  <c r="G157" i="212" s="1"/>
  <c r="F158" i="212"/>
  <c r="G158" i="212" s="1"/>
  <c r="F159" i="212"/>
  <c r="G159" i="212" s="1"/>
  <c r="F235" i="212"/>
  <c r="F236" i="212"/>
  <c r="G236" i="212" s="1"/>
  <c r="F241" i="212"/>
  <c r="G241" i="212" s="1"/>
  <c r="F242" i="212"/>
  <c r="G242" i="212" s="1"/>
  <c r="F243" i="212"/>
  <c r="G243" i="212" s="1"/>
  <c r="F164" i="212"/>
  <c r="G164" i="212" s="1"/>
  <c r="G166" i="212" s="1"/>
  <c r="F71" i="212"/>
  <c r="G71" i="212" s="1"/>
  <c r="G73" i="212" s="1"/>
  <c r="G684" i="212"/>
  <c r="H684" i="212" s="1"/>
  <c r="C22" i="54"/>
  <c r="H56" i="9"/>
  <c r="G688" i="212"/>
  <c r="H688" i="212" s="1"/>
  <c r="P11" i="30"/>
  <c r="Q11" i="30" s="1"/>
  <c r="O14" i="30"/>
  <c r="Q44" i="30"/>
  <c r="D66" i="12"/>
  <c r="F66" i="12" s="1"/>
  <c r="F67" i="12" s="1"/>
  <c r="S45" i="56"/>
  <c r="Q45" i="56"/>
  <c r="S44" i="56"/>
  <c r="Q44" i="56"/>
  <c r="S42" i="56"/>
  <c r="Q42" i="56"/>
  <c r="S41" i="56"/>
  <c r="Q41" i="56"/>
  <c r="S40" i="56"/>
  <c r="Q40" i="56"/>
  <c r="S39" i="56"/>
  <c r="Q39" i="56"/>
  <c r="S38" i="56"/>
  <c r="Q38" i="56"/>
  <c r="S37" i="56"/>
  <c r="S82" i="56"/>
  <c r="L27" i="9"/>
  <c r="N82" i="48"/>
  <c r="P82" i="48" s="1"/>
  <c r="N85" i="48"/>
  <c r="P85" i="48" s="1"/>
  <c r="N88" i="48"/>
  <c r="P88" i="48" s="1"/>
  <c r="N100" i="48"/>
  <c r="P100" i="48" s="1"/>
  <c r="P102" i="48" s="1"/>
  <c r="N12" i="48"/>
  <c r="R12" i="48" s="1"/>
  <c r="N9" i="48"/>
  <c r="P9" i="48" s="1"/>
  <c r="N14" i="48"/>
  <c r="P14" i="48" s="1"/>
  <c r="N16" i="48"/>
  <c r="P16" i="48" s="1"/>
  <c r="N65" i="48"/>
  <c r="P65" i="48" s="1"/>
  <c r="N66" i="48"/>
  <c r="P66" i="48" s="1"/>
  <c r="N68" i="48"/>
  <c r="P68" i="48" s="1"/>
  <c r="N70" i="48"/>
  <c r="P70" i="48" s="1"/>
  <c r="N72" i="48"/>
  <c r="P72" i="48" s="1"/>
  <c r="I80" i="79" l="1"/>
  <c r="M79" i="79"/>
  <c r="H220" i="49"/>
  <c r="H221" i="49" s="1"/>
  <c r="G39" i="26"/>
  <c r="G41" i="26" s="1"/>
  <c r="J105" i="9" s="1"/>
  <c r="J47" i="9" s="1"/>
  <c r="G27" i="53"/>
  <c r="W40" i="56"/>
  <c r="W44" i="56"/>
  <c r="W45" i="56"/>
  <c r="W37" i="56"/>
  <c r="S53" i="56"/>
  <c r="W42" i="56"/>
  <c r="W41" i="56"/>
  <c r="Q53" i="56"/>
  <c r="W39" i="56"/>
  <c r="R14" i="48"/>
  <c r="W26" i="56"/>
  <c r="E305" i="212"/>
  <c r="M18" i="30" s="1"/>
  <c r="N74" i="48"/>
  <c r="F250" i="212"/>
  <c r="E685" i="212"/>
  <c r="F685" i="212" s="1"/>
  <c r="F633" i="212" s="1"/>
  <c r="G633" i="212" s="1"/>
  <c r="F303" i="212"/>
  <c r="F305" i="212" s="1"/>
  <c r="N89" i="48"/>
  <c r="R68" i="48"/>
  <c r="R72" i="48"/>
  <c r="R65" i="48"/>
  <c r="S27" i="53"/>
  <c r="N102" i="48"/>
  <c r="U27" i="53"/>
  <c r="W38" i="56"/>
  <c r="I27" i="53"/>
  <c r="K27" i="53"/>
  <c r="F99" i="9"/>
  <c r="F17" i="9"/>
  <c r="G591" i="212"/>
  <c r="F80" i="212"/>
  <c r="F73" i="9"/>
  <c r="W23" i="53"/>
  <c r="M23" i="53"/>
  <c r="E27" i="53"/>
  <c r="C10" i="54" s="1"/>
  <c r="N115" i="9"/>
  <c r="R9" i="48"/>
  <c r="R70" i="48"/>
  <c r="R66" i="48"/>
  <c r="R16" i="48"/>
  <c r="R100" i="48"/>
  <c r="R85" i="48"/>
  <c r="P89" i="48"/>
  <c r="D67" i="12"/>
  <c r="P14" i="30"/>
  <c r="F166" i="212"/>
  <c r="F87" i="9"/>
  <c r="F34" i="9"/>
  <c r="F39" i="9" s="1"/>
  <c r="F109" i="9"/>
  <c r="W25" i="53"/>
  <c r="M24" i="53"/>
  <c r="U27" i="56"/>
  <c r="F537" i="212"/>
  <c r="M25" i="53"/>
  <c r="J25" i="9"/>
  <c r="N85" i="9"/>
  <c r="N25" i="9" s="1"/>
  <c r="F25" i="9"/>
  <c r="F11" i="9"/>
  <c r="J55" i="9"/>
  <c r="N97" i="9"/>
  <c r="J34" i="9"/>
  <c r="J37" i="9"/>
  <c r="G686" i="212"/>
  <c r="F686" i="212"/>
  <c r="G69" i="212"/>
  <c r="E319" i="212"/>
  <c r="E329" i="212" s="1"/>
  <c r="E676" i="212" s="1"/>
  <c r="E678" i="212" s="1"/>
  <c r="J17" i="9"/>
  <c r="N77" i="9"/>
  <c r="G613" i="212"/>
  <c r="P12" i="48"/>
  <c r="P74" i="48" s="1"/>
  <c r="R88" i="48"/>
  <c r="R82" i="48"/>
  <c r="F161" i="212"/>
  <c r="F69" i="212"/>
  <c r="G519" i="212"/>
  <c r="G537" i="212" s="1"/>
  <c r="F591" i="212"/>
  <c r="F56" i="9"/>
  <c r="N94" i="9"/>
  <c r="F613" i="212"/>
  <c r="H30" i="216"/>
  <c r="H113" i="216" s="1"/>
  <c r="H116" i="216" s="1"/>
  <c r="J84" i="9" s="1"/>
  <c r="J56" i="9"/>
  <c r="N116" i="9"/>
  <c r="G161" i="212"/>
  <c r="G80" i="212"/>
  <c r="F73" i="212"/>
  <c r="G235" i="212"/>
  <c r="G250" i="212" s="1"/>
  <c r="M821" i="27"/>
  <c r="O826" i="27" s="1"/>
  <c r="O827" i="27" s="1"/>
  <c r="I81" i="79" l="1"/>
  <c r="M80" i="79"/>
  <c r="H105" i="9"/>
  <c r="H18" i="12" s="1"/>
  <c r="N105" i="9"/>
  <c r="F16" i="213" s="1"/>
  <c r="C689" i="212"/>
  <c r="F18" i="12"/>
  <c r="H47" i="9"/>
  <c r="F27" i="9"/>
  <c r="G303" i="212"/>
  <c r="G305" i="212" s="1"/>
  <c r="F621" i="212"/>
  <c r="G621" i="212" s="1"/>
  <c r="F377" i="212"/>
  <c r="G377" i="212" s="1"/>
  <c r="G685" i="212"/>
  <c r="H685" i="212" s="1"/>
  <c r="F226" i="212"/>
  <c r="F378" i="212"/>
  <c r="G378" i="212" s="1"/>
  <c r="F630" i="212"/>
  <c r="G630" i="212" s="1"/>
  <c r="F648" i="212"/>
  <c r="G648" i="212" s="1"/>
  <c r="F631" i="212"/>
  <c r="G631" i="212" s="1"/>
  <c r="F643" i="212"/>
  <c r="G643" i="212" s="1"/>
  <c r="F632" i="212"/>
  <c r="G632" i="212" s="1"/>
  <c r="F647" i="212"/>
  <c r="G647" i="212" s="1"/>
  <c r="F379" i="212"/>
  <c r="G379" i="212" s="1"/>
  <c r="F343" i="212"/>
  <c r="G343" i="212" s="1"/>
  <c r="F617" i="212"/>
  <c r="F649" i="212"/>
  <c r="G649" i="212" s="1"/>
  <c r="F342" i="212"/>
  <c r="G342" i="212" s="1"/>
  <c r="F616" i="212"/>
  <c r="C9" i="50"/>
  <c r="F615" i="212"/>
  <c r="F634" i="212"/>
  <c r="G634" i="212" s="1"/>
  <c r="F642" i="212"/>
  <c r="G642" i="212" s="1"/>
  <c r="F626" i="212"/>
  <c r="G626" i="212" s="1"/>
  <c r="F344" i="212"/>
  <c r="G344" i="212" s="1"/>
  <c r="Q14" i="30"/>
  <c r="F40" i="9"/>
  <c r="G11" i="22"/>
  <c r="F13" i="9"/>
  <c r="F14" i="9" s="1"/>
  <c r="D11" i="29"/>
  <c r="D15" i="29" s="1"/>
  <c r="D17" i="29" s="1"/>
  <c r="F111" i="9"/>
  <c r="F113" i="9" s="1"/>
  <c r="F119" i="9" s="1"/>
  <c r="P119" i="9" s="1"/>
  <c r="M27" i="53"/>
  <c r="C10" i="50" s="1"/>
  <c r="W27" i="53"/>
  <c r="C11" i="50" s="1"/>
  <c r="H686" i="212"/>
  <c r="U51" i="56"/>
  <c r="W27" i="56"/>
  <c r="W30" i="56" s="1"/>
  <c r="U30" i="56"/>
  <c r="N37" i="9"/>
  <c r="N34" i="9"/>
  <c r="N17" i="9"/>
  <c r="O18" i="30"/>
  <c r="O24" i="30" s="1"/>
  <c r="O46" i="30" s="1"/>
  <c r="M24" i="30"/>
  <c r="P18" i="30"/>
  <c r="P24" i="30" s="1"/>
  <c r="P46" i="30" s="1"/>
  <c r="G226" i="212"/>
  <c r="N84" i="9"/>
  <c r="H84" i="9"/>
  <c r="J24" i="9"/>
  <c r="N56" i="9"/>
  <c r="N55" i="9"/>
  <c r="D689" i="212"/>
  <c r="E689" i="212" s="1"/>
  <c r="F689" i="212" s="1"/>
  <c r="I82" i="79" l="1"/>
  <c r="M81" i="79"/>
  <c r="J18" i="12"/>
  <c r="G13" i="233" s="1"/>
  <c r="N47" i="9"/>
  <c r="B12" i="222" s="1"/>
  <c r="G616" i="212"/>
  <c r="G617" i="212"/>
  <c r="G615" i="212"/>
  <c r="F645" i="212"/>
  <c r="F636" i="212"/>
  <c r="G636" i="212"/>
  <c r="F348" i="212"/>
  <c r="G645" i="212"/>
  <c r="G651" i="212"/>
  <c r="G628" i="212"/>
  <c r="F651" i="212"/>
  <c r="G381" i="212"/>
  <c r="F619" i="212"/>
  <c r="F381" i="212"/>
  <c r="G348" i="212"/>
  <c r="F628" i="212"/>
  <c r="F28" i="9"/>
  <c r="G10" i="22"/>
  <c r="Q18" i="30"/>
  <c r="F51" i="9"/>
  <c r="U53" i="56"/>
  <c r="W51" i="56"/>
  <c r="W53" i="56" s="1"/>
  <c r="M46" i="30"/>
  <c r="Q24" i="30"/>
  <c r="N24" i="9"/>
  <c r="H24" i="9"/>
  <c r="F261" i="212"/>
  <c r="F262" i="212"/>
  <c r="G262" i="212" s="1"/>
  <c r="F252" i="212"/>
  <c r="G689" i="212"/>
  <c r="H689" i="212" s="1"/>
  <c r="I83" i="79" l="1"/>
  <c r="M82" i="79"/>
  <c r="N18" i="12"/>
  <c r="G14" i="22"/>
  <c r="G16" i="22" s="1"/>
  <c r="F17" i="12" s="1"/>
  <c r="C619" i="212"/>
  <c r="C639" i="212" s="1"/>
  <c r="C672" i="212" s="1"/>
  <c r="G669" i="212" s="1"/>
  <c r="F669" i="212" s="1"/>
  <c r="G619" i="212"/>
  <c r="K636" i="212"/>
  <c r="F639" i="212"/>
  <c r="F654" i="212"/>
  <c r="G639" i="212"/>
  <c r="G654" i="212"/>
  <c r="F53" i="9"/>
  <c r="M47" i="30"/>
  <c r="M49" i="30"/>
  <c r="Q46" i="30"/>
  <c r="G252" i="212"/>
  <c r="G259" i="212" s="1"/>
  <c r="F259" i="212"/>
  <c r="F268" i="212"/>
  <c r="G261" i="212"/>
  <c r="G268" i="212" s="1"/>
  <c r="I84" i="79" l="1"/>
  <c r="M83" i="79"/>
  <c r="F59" i="9"/>
  <c r="F12" i="12"/>
  <c r="G672" i="212"/>
  <c r="F672" i="212"/>
  <c r="H639" i="212"/>
  <c r="F319" i="212"/>
  <c r="F329" i="212" s="1"/>
  <c r="G319" i="212"/>
  <c r="G329" i="212" s="1"/>
  <c r="I85" i="79" l="1"/>
  <c r="M84" i="79"/>
  <c r="H672" i="212"/>
  <c r="O821" i="27"/>
  <c r="I86" i="79" l="1"/>
  <c r="M85" i="79"/>
  <c r="H12" i="213"/>
  <c r="I87" i="79" l="1"/>
  <c r="M86" i="79"/>
  <c r="O830" i="27"/>
  <c r="O831" i="27" s="1"/>
  <c r="I88" i="79" l="1"/>
  <c r="M87" i="79"/>
  <c r="N180" i="9"/>
  <c r="O180" i="9" s="1"/>
  <c r="L180" i="9"/>
  <c r="J180" i="9"/>
  <c r="H180" i="9"/>
  <c r="I89" i="79" l="1"/>
  <c r="M88" i="79"/>
  <c r="H11" i="29"/>
  <c r="H17" i="29" s="1"/>
  <c r="D32" i="29"/>
  <c r="O89" i="79" l="1"/>
  <c r="I90" i="79"/>
  <c r="M89" i="79"/>
  <c r="C40" i="222"/>
  <c r="C43" i="222" s="1"/>
  <c r="C44" i="222" s="1"/>
  <c r="C49" i="222" s="1"/>
  <c r="H32" i="29"/>
  <c r="D23" i="29"/>
  <c r="D26" i="29" s="1"/>
  <c r="J70" i="9" s="1"/>
  <c r="H70" i="9" s="1"/>
  <c r="O90" i="79" l="1"/>
  <c r="O10" i="79"/>
  <c r="M10" i="79" s="1"/>
  <c r="O11" i="79"/>
  <c r="M11" i="79" s="1"/>
  <c r="O12" i="79"/>
  <c r="M90" i="79"/>
  <c r="O13" i="79"/>
  <c r="O14" i="79"/>
  <c r="O15" i="79"/>
  <c r="O16" i="79"/>
  <c r="O17" i="79"/>
  <c r="O18" i="79"/>
  <c r="O19" i="79"/>
  <c r="O20" i="79"/>
  <c r="O21" i="79"/>
  <c r="O22" i="79"/>
  <c r="O23" i="79"/>
  <c r="O24" i="79"/>
  <c r="O25" i="79"/>
  <c r="O26" i="79"/>
  <c r="O27" i="79"/>
  <c r="O28" i="79"/>
  <c r="O29" i="79"/>
  <c r="O30" i="79"/>
  <c r="O31" i="79"/>
  <c r="O32" i="79"/>
  <c r="O33" i="79"/>
  <c r="O34" i="79"/>
  <c r="O35" i="79"/>
  <c r="O36" i="79"/>
  <c r="O37" i="79"/>
  <c r="O38" i="79"/>
  <c r="O39" i="79"/>
  <c r="O40" i="79"/>
  <c r="O41" i="79"/>
  <c r="O42" i="79"/>
  <c r="O43" i="79"/>
  <c r="O44" i="79"/>
  <c r="O45" i="79"/>
  <c r="O46" i="79"/>
  <c r="O47" i="79"/>
  <c r="O48" i="79"/>
  <c r="O49" i="79"/>
  <c r="O50" i="79"/>
  <c r="O51" i="79"/>
  <c r="O52" i="79"/>
  <c r="O53" i="79"/>
  <c r="O54" i="79"/>
  <c r="O55" i="79"/>
  <c r="O56" i="79"/>
  <c r="O57" i="79"/>
  <c r="O58" i="79"/>
  <c r="O59" i="79"/>
  <c r="O60" i="79"/>
  <c r="O61" i="79"/>
  <c r="O62" i="79"/>
  <c r="O63" i="79"/>
  <c r="O64" i="79"/>
  <c r="O65" i="79"/>
  <c r="O66" i="79"/>
  <c r="O67" i="79"/>
  <c r="O68" i="79"/>
  <c r="O69" i="79"/>
  <c r="O70" i="79"/>
  <c r="O71" i="79"/>
  <c r="O72" i="79"/>
  <c r="O73" i="79"/>
  <c r="O74" i="79"/>
  <c r="O75" i="79"/>
  <c r="O76" i="79"/>
  <c r="O77" i="79"/>
  <c r="O78" i="79"/>
  <c r="O79" i="79"/>
  <c r="O80" i="79"/>
  <c r="O81" i="79"/>
  <c r="O82" i="79"/>
  <c r="O83" i="79"/>
  <c r="O84" i="79"/>
  <c r="O85" i="79"/>
  <c r="O86" i="79"/>
  <c r="O87" i="79"/>
  <c r="O88" i="79"/>
  <c r="H11" i="9"/>
  <c r="H13" i="9" s="1"/>
  <c r="H73" i="9"/>
  <c r="J11" i="9"/>
  <c r="J73" i="9"/>
  <c r="J13" i="9" l="1"/>
  <c r="C11" i="11" l="1"/>
  <c r="H11" i="11" l="1"/>
  <c r="G38" i="56" l="1"/>
  <c r="I38" i="56"/>
  <c r="K38" i="56"/>
  <c r="M38" i="56" l="1"/>
  <c r="N109" i="49"/>
  <c r="R109" i="49" s="1"/>
  <c r="R117" i="49"/>
  <c r="R116" i="49"/>
  <c r="N11" i="215"/>
  <c r="N107" i="49"/>
  <c r="N110" i="49"/>
  <c r="P110" i="49" s="1"/>
  <c r="P117" i="49" l="1"/>
  <c r="P116" i="49"/>
  <c r="R110" i="49"/>
  <c r="P107" i="49"/>
  <c r="N120" i="49"/>
  <c r="R107" i="49"/>
  <c r="P109" i="49"/>
  <c r="E29" i="21"/>
  <c r="I16" i="21" s="1"/>
  <c r="P120" i="49" l="1"/>
  <c r="M30" i="21"/>
  <c r="I22" i="21"/>
  <c r="I29" i="21" s="1"/>
  <c r="K36" i="56"/>
  <c r="K37" i="56"/>
  <c r="K39" i="56"/>
  <c r="K40" i="56"/>
  <c r="K41" i="56"/>
  <c r="K42" i="56"/>
  <c r="K44" i="56"/>
  <c r="K45" i="56"/>
  <c r="I45" i="56"/>
  <c r="G45" i="56"/>
  <c r="I41" i="56"/>
  <c r="I40" i="56"/>
  <c r="I39" i="56"/>
  <c r="I37" i="56"/>
  <c r="I36" i="56"/>
  <c r="G36" i="56"/>
  <c r="E53" i="56"/>
  <c r="I42" i="56"/>
  <c r="G42" i="56"/>
  <c r="I44" i="56"/>
  <c r="G44" i="56"/>
  <c r="M41" i="56" l="1"/>
  <c r="M45" i="56"/>
  <c r="M42" i="56"/>
  <c r="K53" i="56"/>
  <c r="I53" i="56"/>
  <c r="M37" i="56"/>
  <c r="M40" i="56"/>
  <c r="M44" i="56"/>
  <c r="M39" i="56"/>
  <c r="E47" i="21"/>
  <c r="M29" i="21"/>
  <c r="D54" i="12"/>
  <c r="G53" i="56"/>
  <c r="M36" i="56"/>
  <c r="M53" i="56" l="1"/>
  <c r="Q29" i="21"/>
  <c r="M31" i="21"/>
  <c r="D55" i="12"/>
  <c r="F51" i="215" l="1"/>
  <c r="F55" i="215" s="1"/>
  <c r="L51" i="215" l="1"/>
  <c r="L55" i="215" s="1"/>
  <c r="T51" i="215"/>
  <c r="T55" i="215" s="1"/>
  <c r="G78" i="56"/>
  <c r="G80" i="56" s="1"/>
  <c r="H51" i="215"/>
  <c r="H55" i="215" s="1"/>
  <c r="R51" i="215"/>
  <c r="R55" i="215" s="1"/>
  <c r="G84" i="56" l="1"/>
  <c r="N51" i="215"/>
  <c r="N55" i="215" s="1"/>
  <c r="X51" i="215"/>
  <c r="X55" i="215" s="1"/>
  <c r="O78" i="56" l="1"/>
  <c r="H90" i="9"/>
  <c r="K78" i="56"/>
  <c r="H30" i="9" l="1"/>
  <c r="J90" i="9"/>
  <c r="N90" i="9" l="1"/>
  <c r="J30" i="9"/>
  <c r="N30" i="9" l="1"/>
  <c r="N63" i="49" l="1"/>
  <c r="R63" i="49" s="1"/>
  <c r="N65" i="49"/>
  <c r="R65" i="49" s="1"/>
  <c r="N67" i="49"/>
  <c r="R67" i="49" s="1"/>
  <c r="N71" i="49"/>
  <c r="R71" i="49" s="1"/>
  <c r="N77" i="49"/>
  <c r="R77" i="49" s="1"/>
  <c r="N79" i="49"/>
  <c r="R79" i="49"/>
  <c r="N11" i="49"/>
  <c r="R11" i="49" s="1"/>
  <c r="N13" i="49"/>
  <c r="P13" i="49" s="1"/>
  <c r="N15" i="49"/>
  <c r="N17" i="49"/>
  <c r="P17" i="49" s="1"/>
  <c r="N18" i="49"/>
  <c r="N19" i="49"/>
  <c r="P19" i="49" s="1"/>
  <c r="N20" i="49"/>
  <c r="N21" i="49"/>
  <c r="P21" i="49" s="1"/>
  <c r="N22" i="49"/>
  <c r="N23" i="49"/>
  <c r="P23" i="49" s="1"/>
  <c r="N24" i="49"/>
  <c r="N25" i="49"/>
  <c r="P25" i="49" s="1"/>
  <c r="N26" i="49"/>
  <c r="N27" i="49"/>
  <c r="P27" i="49" s="1"/>
  <c r="N28" i="49"/>
  <c r="N29" i="49"/>
  <c r="P29" i="49" s="1"/>
  <c r="N30" i="49"/>
  <c r="N31" i="49"/>
  <c r="P31" i="49" s="1"/>
  <c r="N32" i="49"/>
  <c r="N33" i="49"/>
  <c r="P33" i="49" s="1"/>
  <c r="N34" i="49"/>
  <c r="N35" i="49"/>
  <c r="P35" i="49" s="1"/>
  <c r="N36" i="49"/>
  <c r="N37" i="49"/>
  <c r="P37" i="49" s="1"/>
  <c r="N38" i="49"/>
  <c r="N39" i="49"/>
  <c r="P39" i="49" s="1"/>
  <c r="N40" i="49"/>
  <c r="N41" i="49"/>
  <c r="P41" i="49" s="1"/>
  <c r="N42" i="49"/>
  <c r="N43" i="49"/>
  <c r="P43" i="49" s="1"/>
  <c r="N44" i="49"/>
  <c r="N45" i="49"/>
  <c r="P45" i="49" s="1"/>
  <c r="N46" i="49"/>
  <c r="N47" i="49"/>
  <c r="P47" i="49" s="1"/>
  <c r="N48" i="49"/>
  <c r="N49" i="49"/>
  <c r="P49" i="49" s="1"/>
  <c r="N50" i="49"/>
  <c r="N51" i="49"/>
  <c r="P51" i="49" s="1"/>
  <c r="N53" i="49"/>
  <c r="N55" i="49"/>
  <c r="P55" i="49" s="1"/>
  <c r="N57" i="49"/>
  <c r="N59" i="49"/>
  <c r="P59" i="49" s="1"/>
  <c r="N61" i="49"/>
  <c r="N69" i="49"/>
  <c r="P69" i="49" s="1"/>
  <c r="N73" i="49"/>
  <c r="N96" i="49"/>
  <c r="P160" i="49"/>
  <c r="P162" i="49" s="1"/>
  <c r="J19" i="12" s="1"/>
  <c r="P11" i="49"/>
  <c r="P15" i="49"/>
  <c r="P18" i="49"/>
  <c r="P20" i="49"/>
  <c r="P22" i="49"/>
  <c r="P24" i="49"/>
  <c r="P26" i="49"/>
  <c r="P28" i="49"/>
  <c r="P30" i="49"/>
  <c r="P32" i="49"/>
  <c r="P34" i="49"/>
  <c r="P36" i="49"/>
  <c r="P38" i="49"/>
  <c r="P40" i="49"/>
  <c r="P42" i="49"/>
  <c r="P44" i="49"/>
  <c r="P46" i="49"/>
  <c r="P48" i="49"/>
  <c r="P50" i="49"/>
  <c r="P53" i="49"/>
  <c r="P57" i="49"/>
  <c r="P61" i="49"/>
  <c r="P63" i="49"/>
  <c r="P65" i="49"/>
  <c r="P67" i="49"/>
  <c r="P71" i="49"/>
  <c r="P73" i="49"/>
  <c r="P77" i="49"/>
  <c r="P79" i="49"/>
  <c r="R15" i="49"/>
  <c r="R18" i="49"/>
  <c r="R20" i="49"/>
  <c r="R22" i="49"/>
  <c r="R24" i="49"/>
  <c r="R26" i="49"/>
  <c r="R28" i="49"/>
  <c r="R30" i="49"/>
  <c r="R32" i="49"/>
  <c r="R34" i="49"/>
  <c r="R36" i="49"/>
  <c r="R38" i="49"/>
  <c r="R40" i="49"/>
  <c r="R42" i="49"/>
  <c r="R44" i="49"/>
  <c r="R46" i="49"/>
  <c r="R48" i="49"/>
  <c r="R50" i="49"/>
  <c r="R53" i="49"/>
  <c r="R57" i="49"/>
  <c r="R61" i="49"/>
  <c r="R73" i="49"/>
  <c r="N162" i="49"/>
  <c r="H162" i="49"/>
  <c r="N19" i="12" l="1"/>
  <c r="G14" i="233"/>
  <c r="R69" i="49"/>
  <c r="R59" i="49"/>
  <c r="R55" i="49"/>
  <c r="R51" i="49"/>
  <c r="R49" i="49"/>
  <c r="R47" i="49"/>
  <c r="R45" i="49"/>
  <c r="R43" i="49"/>
  <c r="R41" i="49"/>
  <c r="R39" i="49"/>
  <c r="R37" i="49"/>
  <c r="R35" i="49"/>
  <c r="R33" i="49"/>
  <c r="R31" i="49"/>
  <c r="R29" i="49"/>
  <c r="R27" i="49"/>
  <c r="R25" i="49"/>
  <c r="R23" i="49"/>
  <c r="R21" i="49"/>
  <c r="R19" i="49"/>
  <c r="P96" i="49"/>
  <c r="R17" i="49"/>
  <c r="R13" i="49"/>
  <c r="C17" i="54" l="1"/>
  <c r="N108" i="49"/>
  <c r="R108" i="49" s="1"/>
  <c r="N112" i="49" l="1"/>
  <c r="N142" i="49" s="1"/>
  <c r="F16" i="12" s="1"/>
  <c r="F24" i="12" s="1"/>
  <c r="P108" i="49"/>
  <c r="P112" i="49" s="1"/>
  <c r="P142" i="49" s="1"/>
  <c r="F55" i="12" l="1"/>
  <c r="F27" i="12"/>
  <c r="F54" i="12"/>
  <c r="I39" i="225" l="1"/>
  <c r="C39" i="225"/>
  <c r="C42" i="225" s="1"/>
  <c r="C44" i="225" s="1"/>
  <c r="C70" i="225" s="1"/>
  <c r="C71" i="225"/>
  <c r="I71" i="225"/>
  <c r="G28" i="26" l="1"/>
  <c r="G10" i="229"/>
  <c r="H12" i="229" s="1"/>
  <c r="H16" i="229" s="1"/>
  <c r="C78" i="225"/>
  <c r="C81" i="225" s="1"/>
  <c r="I42" i="225"/>
  <c r="I44" i="225" s="1"/>
  <c r="I70" i="225" s="1"/>
  <c r="G29" i="26" l="1"/>
  <c r="G30" i="26" s="1"/>
  <c r="G20" i="229"/>
  <c r="H22" i="229" s="1"/>
  <c r="H26" i="229" s="1"/>
  <c r="M12" i="229"/>
  <c r="I12" i="229"/>
  <c r="I16" i="229" s="1"/>
  <c r="J12" i="229"/>
  <c r="J16" i="229" s="1"/>
  <c r="G36" i="26"/>
  <c r="J101" i="9" s="1"/>
  <c r="I32" i="26"/>
  <c r="J32" i="26" s="1"/>
  <c r="M16" i="229" l="1"/>
  <c r="H14" i="12" s="1"/>
  <c r="M22" i="229"/>
  <c r="J22" i="229"/>
  <c r="J26" i="229" s="1"/>
  <c r="I22" i="229"/>
  <c r="I26" i="229" s="1"/>
  <c r="N101" i="9"/>
  <c r="H101" i="9"/>
  <c r="H41" i="9" s="1"/>
  <c r="J41" i="9"/>
  <c r="J14" i="12" l="1"/>
  <c r="N14" i="12" s="1"/>
  <c r="G10" i="233"/>
  <c r="M26" i="229"/>
  <c r="H15" i="12" s="1"/>
  <c r="C15" i="11"/>
  <c r="B11" i="222"/>
  <c r="N41" i="9"/>
  <c r="E15" i="11" s="1"/>
  <c r="F15" i="213"/>
  <c r="J15" i="12" l="1"/>
  <c r="J16" i="12" s="1"/>
  <c r="G11" i="233"/>
  <c r="N15" i="12"/>
  <c r="N16" i="12" s="1"/>
  <c r="H16" i="12"/>
  <c r="S94" i="56"/>
  <c r="O76" i="56"/>
  <c r="S95" i="56"/>
  <c r="Q76" i="56"/>
  <c r="M76" i="56" s="1"/>
  <c r="I76" i="56" s="1"/>
  <c r="E76" i="56" s="1"/>
  <c r="E3" i="59"/>
  <c r="T17" i="180"/>
  <c r="M773" i="27"/>
  <c r="I14" i="63"/>
  <c r="I16" i="63"/>
  <c r="E6" i="59"/>
  <c r="F6" i="59" s="1"/>
  <c r="E13" i="59"/>
  <c r="E22" i="59"/>
  <c r="F22" i="59" s="1"/>
  <c r="E26" i="59"/>
  <c r="F26" i="59" s="1"/>
  <c r="E30" i="59"/>
  <c r="F30" i="59" s="1"/>
  <c r="E35" i="59"/>
  <c r="E44" i="59"/>
  <c r="F44" i="59" s="1"/>
  <c r="E51" i="59"/>
  <c r="E52" i="59"/>
  <c r="F52" i="59" s="1"/>
  <c r="E55" i="59"/>
  <c r="E56" i="59"/>
  <c r="F56" i="59" s="1"/>
  <c r="E59" i="59"/>
  <c r="E60" i="59"/>
  <c r="F60" i="59" s="1"/>
  <c r="E63" i="59"/>
  <c r="E64" i="59"/>
  <c r="F64" i="59" s="1"/>
  <c r="E67" i="59"/>
  <c r="E68" i="59"/>
  <c r="F68" i="59" s="1"/>
  <c r="E71" i="59"/>
  <c r="E72" i="59"/>
  <c r="F72" i="59" s="1"/>
  <c r="E75" i="59"/>
  <c r="E76" i="59"/>
  <c r="F76" i="59" s="1"/>
  <c r="E79" i="59"/>
  <c r="E80" i="59"/>
  <c r="F80" i="59" s="1"/>
  <c r="E83" i="59"/>
  <c r="E84" i="59"/>
  <c r="F84" i="59" s="1"/>
  <c r="E87" i="59"/>
  <c r="E88" i="59"/>
  <c r="F88" i="59" s="1"/>
  <c r="E91" i="59"/>
  <c r="E92" i="59"/>
  <c r="F92" i="59" s="1"/>
  <c r="E95" i="59"/>
  <c r="E96" i="59"/>
  <c r="F96" i="59" s="1"/>
  <c r="E99" i="59"/>
  <c r="E100" i="59"/>
  <c r="F100" i="59" s="1"/>
  <c r="E103" i="59"/>
  <c r="E104" i="59"/>
  <c r="F104" i="59" s="1"/>
  <c r="E107" i="59"/>
  <c r="E108" i="59"/>
  <c r="F108" i="59" s="1"/>
  <c r="E111" i="59"/>
  <c r="E112" i="59"/>
  <c r="F112" i="59" s="1"/>
  <c r="E115" i="59"/>
  <c r="E116" i="59"/>
  <c r="F116" i="59" s="1"/>
  <c r="E119" i="59"/>
  <c r="E120" i="59"/>
  <c r="F120" i="59" s="1"/>
  <c r="E123" i="59"/>
  <c r="E124" i="59"/>
  <c r="F124" i="59" s="1"/>
  <c r="E127" i="59"/>
  <c r="E128" i="59"/>
  <c r="F128" i="59" s="1"/>
  <c r="E131" i="59"/>
  <c r="E132" i="59"/>
  <c r="F132" i="59" s="1"/>
  <c r="E135" i="59"/>
  <c r="E136" i="59"/>
  <c r="F136" i="59" s="1"/>
  <c r="E139" i="59"/>
  <c r="E140" i="59"/>
  <c r="F140" i="59" s="1"/>
  <c r="E143" i="59"/>
  <c r="E144" i="59"/>
  <c r="F144" i="59" s="1"/>
  <c r="E147" i="59"/>
  <c r="E148" i="59"/>
  <c r="F148" i="59" s="1"/>
  <c r="E151" i="59"/>
  <c r="E152" i="59"/>
  <c r="F152" i="59" s="1"/>
  <c r="E155" i="59"/>
  <c r="E156" i="59"/>
  <c r="F156" i="59" s="1"/>
  <c r="E159" i="59"/>
  <c r="E160" i="59"/>
  <c r="F160" i="59" s="1"/>
  <c r="E163" i="59"/>
  <c r="E164" i="59"/>
  <c r="F164" i="59" s="1"/>
  <c r="E167" i="59"/>
  <c r="E168" i="59"/>
  <c r="F168" i="59" s="1"/>
  <c r="E171" i="59"/>
  <c r="E172" i="59"/>
  <c r="F172" i="59" s="1"/>
  <c r="E175" i="59"/>
  <c r="E176" i="59"/>
  <c r="F176" i="59" s="1"/>
  <c r="E179" i="59"/>
  <c r="E180" i="59"/>
  <c r="F180" i="59" s="1"/>
  <c r="E183" i="59"/>
  <c r="E184" i="59"/>
  <c r="F184" i="59" s="1"/>
  <c r="E187" i="59"/>
  <c r="E188" i="59"/>
  <c r="F188" i="59" s="1"/>
  <c r="E191" i="59"/>
  <c r="E193" i="59"/>
  <c r="E192" i="59"/>
  <c r="F192" i="59" s="1"/>
  <c r="E195" i="59"/>
  <c r="E194" i="59"/>
  <c r="F194" i="59" s="1"/>
  <c r="E196" i="59"/>
  <c r="F196" i="59"/>
  <c r="E199" i="59"/>
  <c r="E201" i="59"/>
  <c r="E200" i="59"/>
  <c r="F200" i="59" s="1"/>
  <c r="E203" i="59"/>
  <c r="E202" i="59"/>
  <c r="F202" i="59"/>
  <c r="E205" i="59"/>
  <c r="E204" i="59"/>
  <c r="F204" i="59" s="1"/>
  <c r="E207" i="59"/>
  <c r="E206" i="59"/>
  <c r="F206" i="59" s="1"/>
  <c r="E209" i="59"/>
  <c r="E208" i="59"/>
  <c r="F208" i="59" s="1"/>
  <c r="E211" i="59"/>
  <c r="E210" i="59"/>
  <c r="F210" i="59"/>
  <c r="E213" i="59"/>
  <c r="E212" i="59"/>
  <c r="F212" i="59" s="1"/>
  <c r="E215" i="59"/>
  <c r="E214" i="59"/>
  <c r="F214" i="59" s="1"/>
  <c r="E217" i="59"/>
  <c r="E216" i="59"/>
  <c r="F216" i="59" s="1"/>
  <c r="E219" i="59"/>
  <c r="E218" i="59"/>
  <c r="F218" i="59"/>
  <c r="E221" i="59"/>
  <c r="E220" i="59"/>
  <c r="F220" i="59" s="1"/>
  <c r="E223" i="59"/>
  <c r="E222" i="59"/>
  <c r="F222" i="59" s="1"/>
  <c r="E225" i="59"/>
  <c r="E224" i="59"/>
  <c r="F224" i="59" s="1"/>
  <c r="E227" i="59"/>
  <c r="E226" i="59"/>
  <c r="F226" i="59"/>
  <c r="E229" i="59"/>
  <c r="E228" i="59"/>
  <c r="F228" i="59" s="1"/>
  <c r="E231" i="59"/>
  <c r="E230" i="59"/>
  <c r="F230" i="59" s="1"/>
  <c r="E233" i="59"/>
  <c r="E232" i="59"/>
  <c r="F232" i="59" s="1"/>
  <c r="E235" i="59"/>
  <c r="E234" i="59"/>
  <c r="F234" i="59"/>
  <c r="E237" i="59"/>
  <c r="E236" i="59"/>
  <c r="F236" i="59"/>
  <c r="E239" i="59"/>
  <c r="E238" i="59"/>
  <c r="F238" i="59" s="1"/>
  <c r="E241" i="59"/>
  <c r="E240" i="59"/>
  <c r="F240" i="59" s="1"/>
  <c r="E243" i="59"/>
  <c r="E242" i="59"/>
  <c r="F242" i="59"/>
  <c r="E245" i="59"/>
  <c r="E244" i="59"/>
  <c r="F244" i="59"/>
  <c r="E247" i="59"/>
  <c r="E246" i="59"/>
  <c r="F246" i="59" s="1"/>
  <c r="E249" i="59"/>
  <c r="E248" i="59"/>
  <c r="F248" i="59" s="1"/>
  <c r="E251" i="59"/>
  <c r="E250" i="59"/>
  <c r="F250" i="59"/>
  <c r="E253" i="59"/>
  <c r="E252" i="59"/>
  <c r="F252" i="59"/>
  <c r="E255" i="59"/>
  <c r="E254" i="59"/>
  <c r="F254" i="59" s="1"/>
  <c r="E257" i="59"/>
  <c r="E256" i="59"/>
  <c r="F256" i="59" s="1"/>
  <c r="E259" i="59"/>
  <c r="E258" i="59"/>
  <c r="F258" i="59"/>
  <c r="E261" i="59"/>
  <c r="E260" i="59"/>
  <c r="F260" i="59"/>
  <c r="E263" i="59"/>
  <c r="E262" i="59"/>
  <c r="F262" i="59" s="1"/>
  <c r="E265" i="59"/>
  <c r="E264" i="59"/>
  <c r="F264" i="59" s="1"/>
  <c r="E267" i="59"/>
  <c r="E266" i="59"/>
  <c r="F266" i="59"/>
  <c r="E269" i="59"/>
  <c r="E268" i="59"/>
  <c r="F268" i="59"/>
  <c r="E271" i="59"/>
  <c r="E270" i="59"/>
  <c r="F270" i="59" s="1"/>
  <c r="E273" i="59"/>
  <c r="E272" i="59"/>
  <c r="F272" i="59" s="1"/>
  <c r="E275" i="59"/>
  <c r="E274" i="59"/>
  <c r="F274" i="59"/>
  <c r="E277" i="59"/>
  <c r="E276" i="59"/>
  <c r="F276" i="59"/>
  <c r="E279" i="59"/>
  <c r="E278" i="59"/>
  <c r="F278" i="59" s="1"/>
  <c r="E281" i="59"/>
  <c r="E280" i="59"/>
  <c r="F280" i="59" s="1"/>
  <c r="E283" i="59"/>
  <c r="E282" i="59"/>
  <c r="F282" i="59"/>
  <c r="E285" i="59"/>
  <c r="E284" i="59"/>
  <c r="F284" i="59"/>
  <c r="E287" i="59"/>
  <c r="E286" i="59"/>
  <c r="F286" i="59" s="1"/>
  <c r="E289" i="59"/>
  <c r="E288" i="59"/>
  <c r="F288" i="59" s="1"/>
  <c r="E291" i="59"/>
  <c r="E290" i="59"/>
  <c r="F290" i="59"/>
  <c r="E293" i="59"/>
  <c r="E292" i="59"/>
  <c r="F292" i="59"/>
  <c r="E295" i="59"/>
  <c r="E294" i="59"/>
  <c r="F294" i="59" s="1"/>
  <c r="E297" i="59"/>
  <c r="E296" i="59"/>
  <c r="F296" i="59" s="1"/>
  <c r="E299" i="59"/>
  <c r="E298" i="59"/>
  <c r="F298" i="59"/>
  <c r="E301" i="59"/>
  <c r="E300" i="59"/>
  <c r="F300" i="59"/>
  <c r="E303" i="59"/>
  <c r="E302" i="59"/>
  <c r="F302" i="59" s="1"/>
  <c r="E305" i="59"/>
  <c r="E304" i="59"/>
  <c r="F304" i="59" s="1"/>
  <c r="E307" i="59"/>
  <c r="E306" i="59"/>
  <c r="F306" i="59"/>
  <c r="E309" i="59"/>
  <c r="E308" i="59"/>
  <c r="F308" i="59"/>
  <c r="E311" i="59"/>
  <c r="E310" i="59"/>
  <c r="F310" i="59" s="1"/>
  <c r="E313" i="59"/>
  <c r="E312" i="59"/>
  <c r="F312" i="59" s="1"/>
  <c r="E315" i="59"/>
  <c r="E314" i="59"/>
  <c r="F314" i="59"/>
  <c r="E317" i="59"/>
  <c r="E316" i="59"/>
  <c r="F316" i="59"/>
  <c r="E319" i="59"/>
  <c r="E318" i="59"/>
  <c r="F318" i="59" s="1"/>
  <c r="E321" i="59"/>
  <c r="E320" i="59"/>
  <c r="F320" i="59" s="1"/>
  <c r="E323" i="59"/>
  <c r="E322" i="59"/>
  <c r="F322" i="59"/>
  <c r="E325" i="59"/>
  <c r="E324" i="59"/>
  <c r="F324" i="59"/>
  <c r="E327" i="59"/>
  <c r="E326" i="59"/>
  <c r="F326" i="59" s="1"/>
  <c r="E329" i="59"/>
  <c r="E328" i="59"/>
  <c r="F328" i="59" s="1"/>
  <c r="E331" i="59"/>
  <c r="E330" i="59"/>
  <c r="F330" i="59"/>
  <c r="E333" i="59"/>
  <c r="E332" i="59"/>
  <c r="F332" i="59"/>
  <c r="E335" i="59"/>
  <c r="E334" i="59"/>
  <c r="F334" i="59" s="1"/>
  <c r="E337" i="59"/>
  <c r="E336" i="59"/>
  <c r="F336" i="59" s="1"/>
  <c r="E339" i="59"/>
  <c r="E338" i="59"/>
  <c r="F338" i="59"/>
  <c r="E341" i="59"/>
  <c r="E340" i="59"/>
  <c r="F340" i="59"/>
  <c r="E343" i="59"/>
  <c r="E342" i="59"/>
  <c r="F342" i="59" s="1"/>
  <c r="E345" i="59"/>
  <c r="E344" i="59"/>
  <c r="F344" i="59" s="1"/>
  <c r="E347" i="59"/>
  <c r="E346" i="59"/>
  <c r="F346" i="59"/>
  <c r="E349" i="59"/>
  <c r="E348" i="59"/>
  <c r="F348" i="59"/>
  <c r="E351" i="59"/>
  <c r="E350" i="59"/>
  <c r="F350" i="59" s="1"/>
  <c r="E353" i="59"/>
  <c r="E352" i="59"/>
  <c r="F352" i="59" s="1"/>
  <c r="E355" i="59"/>
  <c r="E354" i="59"/>
  <c r="F354" i="59"/>
  <c r="E357" i="59"/>
  <c r="E356" i="59"/>
  <c r="F356" i="59"/>
  <c r="E359" i="59"/>
  <c r="E358" i="59"/>
  <c r="F358" i="59" s="1"/>
  <c r="E361" i="59"/>
  <c r="E360" i="59"/>
  <c r="F360" i="59" s="1"/>
  <c r="E363" i="59"/>
  <c r="E362" i="59"/>
  <c r="F362" i="59"/>
  <c r="E365" i="59"/>
  <c r="E364" i="59"/>
  <c r="F364" i="59"/>
  <c r="E367" i="59"/>
  <c r="E366" i="59"/>
  <c r="F366" i="59" s="1"/>
  <c r="E369" i="59"/>
  <c r="E368" i="59"/>
  <c r="F368" i="59" s="1"/>
  <c r="E371" i="59"/>
  <c r="E370" i="59"/>
  <c r="F370" i="59"/>
  <c r="E373" i="59"/>
  <c r="E372" i="59"/>
  <c r="F372" i="59"/>
  <c r="E375" i="59"/>
  <c r="E374" i="59"/>
  <c r="F374" i="59" s="1"/>
  <c r="E377" i="59"/>
  <c r="E376" i="59"/>
  <c r="F376" i="59" s="1"/>
  <c r="E379" i="59"/>
  <c r="E378" i="59"/>
  <c r="F378" i="59"/>
  <c r="E381" i="59"/>
  <c r="E380" i="59"/>
  <c r="F380" i="59"/>
  <c r="E383" i="59"/>
  <c r="E382" i="59"/>
  <c r="F382" i="59" s="1"/>
  <c r="E385" i="59"/>
  <c r="E384" i="59"/>
  <c r="F384" i="59" s="1"/>
  <c r="E387" i="59"/>
  <c r="E386" i="59"/>
  <c r="F386" i="59"/>
  <c r="E389" i="59"/>
  <c r="E388" i="59"/>
  <c r="F388" i="59"/>
  <c r="E391" i="59"/>
  <c r="E390" i="59"/>
  <c r="F390" i="59" s="1"/>
  <c r="E393" i="59"/>
  <c r="E392" i="59"/>
  <c r="F392" i="59" s="1"/>
  <c r="E395" i="59"/>
  <c r="E394" i="59"/>
  <c r="F394" i="59"/>
  <c r="E397" i="59"/>
  <c r="E396" i="59"/>
  <c r="F396" i="59"/>
  <c r="E399" i="59"/>
  <c r="E398" i="59"/>
  <c r="F398" i="59" s="1"/>
  <c r="E401" i="59"/>
  <c r="E400" i="59"/>
  <c r="F400" i="59" s="1"/>
  <c r="E403" i="59"/>
  <c r="E402" i="59"/>
  <c r="F402" i="59"/>
  <c r="E405" i="59"/>
  <c r="E404" i="59"/>
  <c r="F404" i="59"/>
  <c r="E407" i="59"/>
  <c r="E406" i="59"/>
  <c r="F406" i="59" s="1"/>
  <c r="E409" i="59"/>
  <c r="E408" i="59"/>
  <c r="F408" i="59" s="1"/>
  <c r="E411" i="59"/>
  <c r="E410" i="59"/>
  <c r="F410" i="59"/>
  <c r="E413" i="59"/>
  <c r="E412" i="59"/>
  <c r="F412" i="59"/>
  <c r="E415" i="59"/>
  <c r="E414" i="59"/>
  <c r="F414" i="59" s="1"/>
  <c r="E417" i="59"/>
  <c r="E416" i="59"/>
  <c r="F416" i="59" s="1"/>
  <c r="E419" i="59"/>
  <c r="E418" i="59"/>
  <c r="F418" i="59"/>
  <c r="E421" i="59"/>
  <c r="E420" i="59"/>
  <c r="F420" i="59"/>
  <c r="E423" i="59"/>
  <c r="E422" i="59"/>
  <c r="F422" i="59" s="1"/>
  <c r="E425" i="59"/>
  <c r="E424" i="59"/>
  <c r="F424" i="59" s="1"/>
  <c r="E427" i="59"/>
  <c r="E426" i="59"/>
  <c r="F426" i="59"/>
  <c r="E429" i="59"/>
  <c r="E428" i="59"/>
  <c r="F428" i="59"/>
  <c r="E431" i="59"/>
  <c r="E430" i="59"/>
  <c r="F430" i="59" s="1"/>
  <c r="E433" i="59"/>
  <c r="E432" i="59"/>
  <c r="F432" i="59" s="1"/>
  <c r="E435" i="59"/>
  <c r="E434" i="59"/>
  <c r="F434" i="59"/>
  <c r="E437" i="59"/>
  <c r="E436" i="59"/>
  <c r="F436" i="59"/>
  <c r="E439" i="59"/>
  <c r="E438" i="59"/>
  <c r="F438" i="59" s="1"/>
  <c r="E441" i="59"/>
  <c r="E440" i="59"/>
  <c r="F440" i="59" s="1"/>
  <c r="E443" i="59"/>
  <c r="E442" i="59"/>
  <c r="F442" i="59"/>
  <c r="E445" i="59"/>
  <c r="E444" i="59"/>
  <c r="F444" i="59"/>
  <c r="E447" i="59"/>
  <c r="E446" i="59"/>
  <c r="F446" i="59" s="1"/>
  <c r="E449" i="59"/>
  <c r="E448" i="59"/>
  <c r="F448" i="59" s="1"/>
  <c r="E451" i="59"/>
  <c r="E450" i="59"/>
  <c r="F450" i="59"/>
  <c r="E453" i="59"/>
  <c r="E452" i="59"/>
  <c r="F452" i="59"/>
  <c r="E455" i="59"/>
  <c r="E454" i="59"/>
  <c r="F454" i="59" s="1"/>
  <c r="E457" i="59"/>
  <c r="E456" i="59"/>
  <c r="F456" i="59" s="1"/>
  <c r="E459" i="59"/>
  <c r="E458" i="59"/>
  <c r="F458" i="59"/>
  <c r="E461" i="59"/>
  <c r="E460" i="59"/>
  <c r="F460" i="59"/>
  <c r="E463" i="59"/>
  <c r="E462" i="59"/>
  <c r="F462" i="59" s="1"/>
  <c r="E465" i="59"/>
  <c r="E464" i="59"/>
  <c r="F464" i="59" s="1"/>
  <c r="E467" i="59"/>
  <c r="E466" i="59"/>
  <c r="F466" i="59"/>
  <c r="E469" i="59"/>
  <c r="E468" i="59"/>
  <c r="F468" i="59"/>
  <c r="E471" i="59"/>
  <c r="E470" i="59"/>
  <c r="F470" i="59" s="1"/>
  <c r="E473" i="59"/>
  <c r="E472" i="59"/>
  <c r="F472" i="59" s="1"/>
  <c r="E475" i="59"/>
  <c r="E474" i="59"/>
  <c r="F474" i="59"/>
  <c r="E477" i="59"/>
  <c r="E476" i="59"/>
  <c r="F476" i="59"/>
  <c r="E479" i="59"/>
  <c r="E478" i="59"/>
  <c r="F478" i="59" s="1"/>
  <c r="E481" i="59"/>
  <c r="E480" i="59"/>
  <c r="F480" i="59" s="1"/>
  <c r="E483" i="59"/>
  <c r="E482" i="59"/>
  <c r="F482" i="59"/>
  <c r="E485" i="59"/>
  <c r="E484" i="59"/>
  <c r="F484" i="59"/>
  <c r="E487" i="59"/>
  <c r="E486" i="59"/>
  <c r="F486" i="59" s="1"/>
  <c r="E489" i="59"/>
  <c r="E488" i="59"/>
  <c r="F488" i="59" s="1"/>
  <c r="E491" i="59"/>
  <c r="E490" i="59"/>
  <c r="F490" i="59"/>
  <c r="E493" i="59"/>
  <c r="E492" i="59"/>
  <c r="F492" i="59"/>
  <c r="E495" i="59"/>
  <c r="E494" i="59"/>
  <c r="F494" i="59" s="1"/>
  <c r="E497" i="59"/>
  <c r="E496" i="59"/>
  <c r="F496" i="59" s="1"/>
  <c r="E499" i="59"/>
  <c r="E498" i="59"/>
  <c r="F498" i="59"/>
  <c r="E501" i="59"/>
  <c r="E500" i="59"/>
  <c r="F500" i="59"/>
  <c r="E503" i="59"/>
  <c r="E502" i="59"/>
  <c r="F502" i="59" s="1"/>
  <c r="E505" i="59"/>
  <c r="E504" i="59"/>
  <c r="F504" i="59" s="1"/>
  <c r="E507" i="59"/>
  <c r="E506" i="59"/>
  <c r="F506" i="59"/>
  <c r="E509" i="59"/>
  <c r="E508" i="59"/>
  <c r="F508" i="59"/>
  <c r="E511" i="59"/>
  <c r="E510" i="59"/>
  <c r="F510" i="59" s="1"/>
  <c r="F13" i="59"/>
  <c r="F35" i="59"/>
  <c r="F51" i="59"/>
  <c r="F55" i="59"/>
  <c r="F59" i="59"/>
  <c r="F63" i="59"/>
  <c r="F67" i="59"/>
  <c r="F71" i="59"/>
  <c r="F75" i="59"/>
  <c r="F79" i="59"/>
  <c r="F83" i="59"/>
  <c r="F87" i="59"/>
  <c r="F91" i="59"/>
  <c r="F95" i="59"/>
  <c r="F99" i="59"/>
  <c r="F103" i="59"/>
  <c r="F107" i="59"/>
  <c r="F111" i="59"/>
  <c r="F115" i="59"/>
  <c r="F119" i="59"/>
  <c r="F123" i="59"/>
  <c r="F127" i="59"/>
  <c r="F131" i="59"/>
  <c r="F135" i="59"/>
  <c r="F139" i="59"/>
  <c r="F143" i="59"/>
  <c r="F147" i="59"/>
  <c r="F151" i="59"/>
  <c r="F155" i="59"/>
  <c r="F159" i="59"/>
  <c r="F163" i="59"/>
  <c r="F167" i="59"/>
  <c r="F171" i="59"/>
  <c r="F175" i="59"/>
  <c r="F179" i="59"/>
  <c r="F183" i="59"/>
  <c r="F187" i="59"/>
  <c r="F191" i="59"/>
  <c r="F193" i="59"/>
  <c r="F195" i="59"/>
  <c r="F199" i="59"/>
  <c r="F201" i="59"/>
  <c r="F203" i="59"/>
  <c r="F205" i="59"/>
  <c r="F207" i="59"/>
  <c r="F209" i="59"/>
  <c r="F211" i="59"/>
  <c r="F213" i="59"/>
  <c r="F215" i="59"/>
  <c r="F217" i="59"/>
  <c r="F219" i="59"/>
  <c r="F221" i="59"/>
  <c r="F223" i="59"/>
  <c r="F225" i="59"/>
  <c r="F227" i="59"/>
  <c r="F229" i="59"/>
  <c r="F231" i="59"/>
  <c r="F233" i="59"/>
  <c r="F235" i="59"/>
  <c r="F237" i="59"/>
  <c r="F239" i="59"/>
  <c r="F241" i="59"/>
  <c r="F243" i="59"/>
  <c r="F245" i="59"/>
  <c r="F247" i="59"/>
  <c r="F249" i="59"/>
  <c r="F251" i="59"/>
  <c r="F253" i="59"/>
  <c r="F255" i="59"/>
  <c r="F257" i="59"/>
  <c r="F259" i="59"/>
  <c r="F261" i="59"/>
  <c r="F263" i="59"/>
  <c r="F265" i="59"/>
  <c r="F267" i="59"/>
  <c r="F269" i="59"/>
  <c r="F271" i="59"/>
  <c r="F273" i="59"/>
  <c r="F275" i="59"/>
  <c r="F277" i="59"/>
  <c r="F279" i="59"/>
  <c r="F281" i="59"/>
  <c r="F283" i="59"/>
  <c r="F285" i="59"/>
  <c r="F287" i="59"/>
  <c r="F289" i="59"/>
  <c r="F291" i="59"/>
  <c r="F293" i="59"/>
  <c r="F295" i="59"/>
  <c r="F297" i="59"/>
  <c r="F299" i="59"/>
  <c r="F301" i="59"/>
  <c r="F303" i="59"/>
  <c r="F305" i="59"/>
  <c r="F307" i="59"/>
  <c r="F309" i="59"/>
  <c r="F311" i="59"/>
  <c r="F313" i="59"/>
  <c r="F315" i="59"/>
  <c r="F317" i="59"/>
  <c r="F319" i="59"/>
  <c r="F321" i="59"/>
  <c r="F323" i="59"/>
  <c r="F325" i="59"/>
  <c r="F327" i="59"/>
  <c r="F329" i="59"/>
  <c r="F331" i="59"/>
  <c r="F333" i="59"/>
  <c r="F335" i="59"/>
  <c r="F337" i="59"/>
  <c r="F339" i="59"/>
  <c r="F341" i="59"/>
  <c r="F343" i="59"/>
  <c r="F345" i="59"/>
  <c r="F347" i="59"/>
  <c r="F349" i="59"/>
  <c r="F351" i="59"/>
  <c r="F353" i="59"/>
  <c r="F355" i="59"/>
  <c r="F357" i="59"/>
  <c r="F359" i="59"/>
  <c r="F361" i="59"/>
  <c r="F363" i="59"/>
  <c r="F365" i="59"/>
  <c r="F367" i="59"/>
  <c r="F369" i="59"/>
  <c r="F371" i="59"/>
  <c r="F373" i="59"/>
  <c r="F375" i="59"/>
  <c r="F377" i="59"/>
  <c r="F379" i="59"/>
  <c r="F381" i="59"/>
  <c r="F383" i="59"/>
  <c r="F385" i="59"/>
  <c r="F387" i="59"/>
  <c r="F389" i="59"/>
  <c r="F391" i="59"/>
  <c r="F393" i="59"/>
  <c r="F395" i="59"/>
  <c r="F397" i="59"/>
  <c r="F399" i="59"/>
  <c r="F401" i="59"/>
  <c r="F403" i="59"/>
  <c r="F405" i="59"/>
  <c r="F407" i="59"/>
  <c r="F409" i="59"/>
  <c r="F411" i="59"/>
  <c r="F413" i="59"/>
  <c r="F415" i="59"/>
  <c r="F417" i="59"/>
  <c r="F419" i="59"/>
  <c r="F421" i="59"/>
  <c r="F423" i="59"/>
  <c r="F425" i="59"/>
  <c r="F427" i="59"/>
  <c r="F429" i="59"/>
  <c r="F431" i="59"/>
  <c r="F433" i="59"/>
  <c r="F435" i="59"/>
  <c r="F437" i="59"/>
  <c r="F439" i="59"/>
  <c r="F441" i="59"/>
  <c r="F443" i="59"/>
  <c r="F445" i="59"/>
  <c r="F447" i="59"/>
  <c r="F449" i="59"/>
  <c r="F451" i="59"/>
  <c r="F453" i="59"/>
  <c r="F455" i="59"/>
  <c r="F457" i="59"/>
  <c r="F459" i="59"/>
  <c r="F461" i="59"/>
  <c r="F463" i="59"/>
  <c r="F465" i="59"/>
  <c r="F467" i="59"/>
  <c r="F469" i="59"/>
  <c r="F471" i="59"/>
  <c r="F473" i="59"/>
  <c r="F475" i="59"/>
  <c r="F477" i="59"/>
  <c r="F479" i="59"/>
  <c r="F481" i="59"/>
  <c r="F483" i="59"/>
  <c r="F485" i="59"/>
  <c r="F487" i="59"/>
  <c r="F489" i="59"/>
  <c r="F491" i="59"/>
  <c r="F493" i="59"/>
  <c r="F495" i="59"/>
  <c r="F497" i="59"/>
  <c r="F499" i="59"/>
  <c r="F501" i="59"/>
  <c r="F503" i="59"/>
  <c r="F505" i="59"/>
  <c r="F507" i="59"/>
  <c r="F509" i="59"/>
  <c r="F511" i="59"/>
  <c r="K10" i="96"/>
  <c r="M10" i="96" s="1"/>
  <c r="K11" i="149"/>
  <c r="M11" i="149"/>
  <c r="K10" i="89"/>
  <c r="M10" i="89" s="1"/>
  <c r="K10" i="156"/>
  <c r="M10" i="156"/>
  <c r="K11" i="142"/>
  <c r="M11" i="142" s="1"/>
  <c r="I11" i="142"/>
  <c r="I12" i="142" s="1"/>
  <c r="I10" i="107"/>
  <c r="O10" i="107"/>
  <c r="K10" i="107"/>
  <c r="M10" i="107" s="1"/>
  <c r="M10" i="142"/>
  <c r="K10" i="155"/>
  <c r="M10" i="155" s="1"/>
  <c r="I10" i="155"/>
  <c r="I10" i="152"/>
  <c r="I11" i="152" s="1"/>
  <c r="K10" i="146"/>
  <c r="M10" i="146" s="1"/>
  <c r="I10" i="146"/>
  <c r="K11" i="153"/>
  <c r="M11" i="153"/>
  <c r="K11" i="147"/>
  <c r="M11" i="147"/>
  <c r="I11" i="146"/>
  <c r="I12" i="146"/>
  <c r="M12" i="146" s="1"/>
  <c r="I10" i="148"/>
  <c r="I11" i="148"/>
  <c r="I12" i="148" s="1"/>
  <c r="K10" i="148"/>
  <c r="M10" i="148"/>
  <c r="K10" i="152"/>
  <c r="M10" i="152" s="1"/>
  <c r="M11" i="146"/>
  <c r="I11" i="155"/>
  <c r="M11" i="155" s="1"/>
  <c r="I12" i="155"/>
  <c r="M12" i="155" s="1"/>
  <c r="T19" i="180"/>
  <c r="T20" i="180"/>
  <c r="K10" i="177"/>
  <c r="M10" i="177" s="1"/>
  <c r="K10" i="175"/>
  <c r="M10" i="175"/>
  <c r="T22" i="175"/>
  <c r="K10" i="180"/>
  <c r="M10" i="180"/>
  <c r="K10" i="185"/>
  <c r="I10" i="185"/>
  <c r="M10" i="185"/>
  <c r="K10" i="184"/>
  <c r="M10" i="184" s="1"/>
  <c r="I10" i="184"/>
  <c r="I11" i="184"/>
  <c r="I12" i="184"/>
  <c r="I11" i="185"/>
  <c r="I12" i="185"/>
  <c r="M11" i="185"/>
  <c r="I11" i="186"/>
  <c r="M11" i="186" s="1"/>
  <c r="K11" i="186"/>
  <c r="M10" i="186"/>
  <c r="K11" i="194"/>
  <c r="M11" i="194" s="1"/>
  <c r="K10" i="202"/>
  <c r="M10" i="202"/>
  <c r="K11" i="201"/>
  <c r="M11" i="201" s="1"/>
  <c r="K11" i="193"/>
  <c r="M11" i="193"/>
  <c r="O11" i="152" l="1"/>
  <c r="M11" i="152"/>
  <c r="O10" i="152"/>
  <c r="I12" i="186"/>
  <c r="I13" i="184"/>
  <c r="M12" i="184"/>
  <c r="I13" i="185"/>
  <c r="M12" i="185"/>
  <c r="M744" i="27"/>
  <c r="T24" i="175"/>
  <c r="M12" i="148"/>
  <c r="I13" i="148"/>
  <c r="M12" i="142"/>
  <c r="I13" i="142"/>
  <c r="O11" i="146"/>
  <c r="M11" i="184"/>
  <c r="I13" i="155"/>
  <c r="O10" i="146"/>
  <c r="M11" i="148"/>
  <c r="O12" i="146"/>
  <c r="E513" i="59"/>
  <c r="F513" i="59" s="1"/>
  <c r="E7" i="59"/>
  <c r="F7" i="59" s="1"/>
  <c r="E8" i="59"/>
  <c r="F8" i="59" s="1"/>
  <c r="E15" i="59"/>
  <c r="F15" i="59" s="1"/>
  <c r="E16" i="59"/>
  <c r="F16" i="59" s="1"/>
  <c r="E23" i="59"/>
  <c r="F23" i="59" s="1"/>
  <c r="E24" i="59"/>
  <c r="F24" i="59" s="1"/>
  <c r="E31" i="59"/>
  <c r="F31" i="59" s="1"/>
  <c r="E32" i="59"/>
  <c r="F32" i="59" s="1"/>
  <c r="E39" i="59"/>
  <c r="F39" i="59" s="1"/>
  <c r="E40" i="59"/>
  <c r="F40" i="59" s="1"/>
  <c r="D20" i="63"/>
  <c r="F20" i="63" s="1"/>
  <c r="E512" i="59"/>
  <c r="F512" i="59" s="1"/>
  <c r="E11" i="59"/>
  <c r="F11" i="59" s="1"/>
  <c r="E12" i="59"/>
  <c r="F12" i="59" s="1"/>
  <c r="E19" i="59"/>
  <c r="F19" i="59" s="1"/>
  <c r="E20" i="59"/>
  <c r="F20" i="59" s="1"/>
  <c r="E10" i="59"/>
  <c r="F10" i="59" s="1"/>
  <c r="E17" i="59"/>
  <c r="F17" i="59" s="1"/>
  <c r="E27" i="59"/>
  <c r="F27" i="59" s="1"/>
  <c r="E36" i="59"/>
  <c r="F36" i="59" s="1"/>
  <c r="E41" i="59"/>
  <c r="F41" i="59" s="1"/>
  <c r="E45" i="59"/>
  <c r="F45" i="59" s="1"/>
  <c r="E46" i="59"/>
  <c r="F46" i="59" s="1"/>
  <c r="E53" i="59"/>
  <c r="F53" i="59" s="1"/>
  <c r="E54" i="59"/>
  <c r="F54" i="59" s="1"/>
  <c r="E61" i="59"/>
  <c r="F61" i="59" s="1"/>
  <c r="E62" i="59"/>
  <c r="F62" i="59" s="1"/>
  <c r="E69" i="59"/>
  <c r="F69" i="59" s="1"/>
  <c r="E70" i="59"/>
  <c r="F70" i="59" s="1"/>
  <c r="E77" i="59"/>
  <c r="F77" i="59" s="1"/>
  <c r="E78" i="59"/>
  <c r="F78" i="59" s="1"/>
  <c r="E85" i="59"/>
  <c r="F85" i="59" s="1"/>
  <c r="E86" i="59"/>
  <c r="F86" i="59" s="1"/>
  <c r="E93" i="59"/>
  <c r="F93" i="59" s="1"/>
  <c r="E94" i="59"/>
  <c r="F94" i="59" s="1"/>
  <c r="E101" i="59"/>
  <c r="F101" i="59" s="1"/>
  <c r="E102" i="59"/>
  <c r="F102" i="59" s="1"/>
  <c r="E109" i="59"/>
  <c r="F109" i="59" s="1"/>
  <c r="E110" i="59"/>
  <c r="F110" i="59" s="1"/>
  <c r="E117" i="59"/>
  <c r="F117" i="59" s="1"/>
  <c r="E118" i="59"/>
  <c r="F118" i="59" s="1"/>
  <c r="E125" i="59"/>
  <c r="F125" i="59" s="1"/>
  <c r="E126" i="59"/>
  <c r="F126" i="59" s="1"/>
  <c r="E133" i="59"/>
  <c r="F133" i="59" s="1"/>
  <c r="E134" i="59"/>
  <c r="F134" i="59" s="1"/>
  <c r="E141" i="59"/>
  <c r="F141" i="59" s="1"/>
  <c r="E142" i="59"/>
  <c r="F142" i="59" s="1"/>
  <c r="E149" i="59"/>
  <c r="F149" i="59" s="1"/>
  <c r="E150" i="59"/>
  <c r="F150" i="59" s="1"/>
  <c r="E157" i="59"/>
  <c r="F157" i="59" s="1"/>
  <c r="E158" i="59"/>
  <c r="F158" i="59" s="1"/>
  <c r="E165" i="59"/>
  <c r="F165" i="59" s="1"/>
  <c r="E166" i="59"/>
  <c r="F166" i="59" s="1"/>
  <c r="E173" i="59"/>
  <c r="F173" i="59" s="1"/>
  <c r="E174" i="59"/>
  <c r="F174" i="59" s="1"/>
  <c r="E181" i="59"/>
  <c r="F181" i="59" s="1"/>
  <c r="E182" i="59"/>
  <c r="F182" i="59" s="1"/>
  <c r="E189" i="59"/>
  <c r="F189" i="59" s="1"/>
  <c r="E190" i="59"/>
  <c r="F190" i="59" s="1"/>
  <c r="E197" i="59"/>
  <c r="F197" i="59" s="1"/>
  <c r="E198" i="59"/>
  <c r="F198" i="59" s="1"/>
  <c r="E9" i="59"/>
  <c r="F9" i="59" s="1"/>
  <c r="E18" i="59"/>
  <c r="F18" i="59" s="1"/>
  <c r="E25" i="59"/>
  <c r="F25" i="59" s="1"/>
  <c r="E29" i="59"/>
  <c r="F29" i="59" s="1"/>
  <c r="E34" i="59"/>
  <c r="F34" i="59" s="1"/>
  <c r="E38" i="59"/>
  <c r="F38" i="59" s="1"/>
  <c r="E43" i="59"/>
  <c r="F43" i="59" s="1"/>
  <c r="E49" i="59"/>
  <c r="F49" i="59" s="1"/>
  <c r="E50" i="59"/>
  <c r="F50" i="59" s="1"/>
  <c r="E57" i="59"/>
  <c r="F57" i="59" s="1"/>
  <c r="E58" i="59"/>
  <c r="F58" i="59" s="1"/>
  <c r="E65" i="59"/>
  <c r="F65" i="59" s="1"/>
  <c r="E66" i="59"/>
  <c r="F66" i="59" s="1"/>
  <c r="E73" i="59"/>
  <c r="F73" i="59" s="1"/>
  <c r="E74" i="59"/>
  <c r="F74" i="59" s="1"/>
  <c r="E81" i="59"/>
  <c r="F81" i="59" s="1"/>
  <c r="E82" i="59"/>
  <c r="F82" i="59" s="1"/>
  <c r="E89" i="59"/>
  <c r="F89" i="59" s="1"/>
  <c r="E90" i="59"/>
  <c r="F90" i="59" s="1"/>
  <c r="E97" i="59"/>
  <c r="F97" i="59" s="1"/>
  <c r="E98" i="59"/>
  <c r="F98" i="59" s="1"/>
  <c r="E105" i="59"/>
  <c r="F105" i="59" s="1"/>
  <c r="E106" i="59"/>
  <c r="F106" i="59" s="1"/>
  <c r="E113" i="59"/>
  <c r="F113" i="59" s="1"/>
  <c r="E114" i="59"/>
  <c r="F114" i="59" s="1"/>
  <c r="E121" i="59"/>
  <c r="F121" i="59" s="1"/>
  <c r="E122" i="59"/>
  <c r="F122" i="59" s="1"/>
  <c r="E129" i="59"/>
  <c r="F129" i="59" s="1"/>
  <c r="E130" i="59"/>
  <c r="F130" i="59" s="1"/>
  <c r="E137" i="59"/>
  <c r="F137" i="59" s="1"/>
  <c r="E138" i="59"/>
  <c r="F138" i="59" s="1"/>
  <c r="E145" i="59"/>
  <c r="F145" i="59" s="1"/>
  <c r="E146" i="59"/>
  <c r="F146" i="59" s="1"/>
  <c r="E153" i="59"/>
  <c r="F153" i="59" s="1"/>
  <c r="E154" i="59"/>
  <c r="F154" i="59" s="1"/>
  <c r="E161" i="59"/>
  <c r="F161" i="59" s="1"/>
  <c r="E162" i="59"/>
  <c r="F162" i="59" s="1"/>
  <c r="E169" i="59"/>
  <c r="F169" i="59" s="1"/>
  <c r="E170" i="59"/>
  <c r="F170" i="59" s="1"/>
  <c r="E177" i="59"/>
  <c r="F177" i="59" s="1"/>
  <c r="E178" i="59"/>
  <c r="F178" i="59" s="1"/>
  <c r="E185" i="59"/>
  <c r="F185" i="59" s="1"/>
  <c r="E186" i="59"/>
  <c r="F186" i="59" s="1"/>
  <c r="E14" i="59"/>
  <c r="F14" i="59" s="1"/>
  <c r="E21" i="59"/>
  <c r="F21" i="59" s="1"/>
  <c r="E28" i="59"/>
  <c r="F28" i="59" s="1"/>
  <c r="E33" i="59"/>
  <c r="F33" i="59" s="1"/>
  <c r="E37" i="59"/>
  <c r="F37" i="59" s="1"/>
  <c r="E42" i="59"/>
  <c r="F42" i="59" s="1"/>
  <c r="E47" i="59"/>
  <c r="F47" i="59" s="1"/>
  <c r="E48" i="59"/>
  <c r="F48" i="59" s="1"/>
  <c r="K76" i="56"/>
  <c r="O77" i="56"/>
  <c r="I14" i="155" l="1"/>
  <c r="M13" i="155"/>
  <c r="I14" i="185"/>
  <c r="M13" i="185"/>
  <c r="I13" i="186"/>
  <c r="M12" i="186"/>
  <c r="G76" i="56"/>
  <c r="D76" i="56" s="1"/>
  <c r="D77" i="56" s="1"/>
  <c r="K77" i="56"/>
  <c r="I14" i="142"/>
  <c r="M13" i="142"/>
  <c r="M13" i="148"/>
  <c r="I14" i="148"/>
  <c r="Q77" i="56"/>
  <c r="Q80" i="56" s="1"/>
  <c r="Q84" i="56" s="1"/>
  <c r="O80" i="56"/>
  <c r="O84" i="56" s="1"/>
  <c r="H93" i="9" s="1"/>
  <c r="M13" i="184"/>
  <c r="I14" i="184"/>
  <c r="I15" i="142" l="1"/>
  <c r="M14" i="142"/>
  <c r="O14" i="142"/>
  <c r="M14" i="148"/>
  <c r="I15" i="148"/>
  <c r="H99" i="9"/>
  <c r="H33" i="9"/>
  <c r="H39" i="9" s="1"/>
  <c r="J93" i="9"/>
  <c r="K80" i="56"/>
  <c r="M77" i="56"/>
  <c r="M80" i="56" s="1"/>
  <c r="M84" i="56" s="1"/>
  <c r="M13" i="186"/>
  <c r="I14" i="186"/>
  <c r="D80" i="56"/>
  <c r="E77" i="56"/>
  <c r="E80" i="56" s="1"/>
  <c r="E84" i="56" s="1"/>
  <c r="M14" i="184"/>
  <c r="I15" i="184"/>
  <c r="M14" i="185"/>
  <c r="I15" i="185"/>
  <c r="M14" i="155"/>
  <c r="I15" i="155"/>
  <c r="S80" i="56" l="1"/>
  <c r="D84" i="56"/>
  <c r="G12" i="45"/>
  <c r="G15" i="45" s="1"/>
  <c r="I15" i="45" s="1"/>
  <c r="I16" i="155"/>
  <c r="M15" i="155"/>
  <c r="M15" i="185"/>
  <c r="I16" i="185"/>
  <c r="M15" i="184"/>
  <c r="I16" i="184"/>
  <c r="F19" i="213"/>
  <c r="K84" i="56"/>
  <c r="D26" i="10" s="1"/>
  <c r="D29" i="10" s="1"/>
  <c r="H103" i="9" s="1"/>
  <c r="B15" i="222"/>
  <c r="M14" i="186"/>
  <c r="O14" i="186"/>
  <c r="I15" i="186"/>
  <c r="J33" i="9"/>
  <c r="J39" i="9" s="1"/>
  <c r="N93" i="9"/>
  <c r="J99" i="9"/>
  <c r="I16" i="148"/>
  <c r="O15" i="148"/>
  <c r="M15" i="148"/>
  <c r="O10" i="142"/>
  <c r="O15" i="142"/>
  <c r="O11" i="142"/>
  <c r="M15" i="142"/>
  <c r="O12" i="142"/>
  <c r="O13" i="142"/>
  <c r="N33" i="9" l="1"/>
  <c r="N39" i="9" s="1"/>
  <c r="N99" i="9"/>
  <c r="F14" i="213" s="1"/>
  <c r="I17" i="184"/>
  <c r="M16" i="184"/>
  <c r="M16" i="155"/>
  <c r="O16" i="155"/>
  <c r="O10" i="155"/>
  <c r="O11" i="155"/>
  <c r="O12" i="155"/>
  <c r="O13" i="155"/>
  <c r="O14" i="155"/>
  <c r="B10" i="222"/>
  <c r="C14" i="11"/>
  <c r="M16" i="148"/>
  <c r="O16" i="148"/>
  <c r="O10" i="148"/>
  <c r="O11" i="148"/>
  <c r="O12" i="148"/>
  <c r="O13" i="148"/>
  <c r="O14" i="148"/>
  <c r="M15" i="186"/>
  <c r="O15" i="186"/>
  <c r="O11" i="186"/>
  <c r="O10" i="186"/>
  <c r="O12" i="186"/>
  <c r="O13" i="186"/>
  <c r="J103" i="9"/>
  <c r="H43" i="9"/>
  <c r="H76" i="9"/>
  <c r="S84" i="56"/>
  <c r="I17" i="185"/>
  <c r="M16" i="185"/>
  <c r="O15" i="155"/>
  <c r="M17" i="184" l="1"/>
  <c r="I18" i="184"/>
  <c r="H87" i="9"/>
  <c r="H16" i="9"/>
  <c r="H27" i="9" s="1"/>
  <c r="J76" i="9"/>
  <c r="I18" i="185"/>
  <c r="M17" i="185"/>
  <c r="J43" i="9"/>
  <c r="G21" i="22"/>
  <c r="E14" i="11"/>
  <c r="G22" i="22" l="1"/>
  <c r="C16" i="11"/>
  <c r="J16" i="9"/>
  <c r="J27" i="9" s="1"/>
  <c r="J87" i="9"/>
  <c r="N76" i="9"/>
  <c r="I19" i="184"/>
  <c r="M18" i="184"/>
  <c r="M18" i="185"/>
  <c r="I19" i="185"/>
  <c r="B9" i="222" l="1"/>
  <c r="G20" i="22"/>
  <c r="G24" i="22" s="1"/>
  <c r="G26" i="22" s="1"/>
  <c r="J17" i="12" s="1"/>
  <c r="C13" i="11"/>
  <c r="M19" i="185"/>
  <c r="I20" i="185"/>
  <c r="M19" i="184"/>
  <c r="I20" i="184"/>
  <c r="N16" i="9"/>
  <c r="N87" i="9"/>
  <c r="F13" i="213" s="1"/>
  <c r="C9" i="54" l="1"/>
  <c r="N27" i="9"/>
  <c r="E13" i="11" s="1"/>
  <c r="I21" i="185"/>
  <c r="M20" i="185"/>
  <c r="I21" i="184"/>
  <c r="M20" i="184"/>
  <c r="H17" i="12"/>
  <c r="N17" i="12"/>
  <c r="G12" i="233"/>
  <c r="M21" i="184" l="1"/>
  <c r="I22" i="184"/>
  <c r="C11" i="54"/>
  <c r="E10" i="54" s="1"/>
  <c r="I22" i="185"/>
  <c r="M21" i="185"/>
  <c r="X57" i="215" l="1"/>
  <c r="X59" i="215" s="1"/>
  <c r="C18" i="50" s="1"/>
  <c r="C18" i="54"/>
  <c r="C19" i="54" s="1"/>
  <c r="C21" i="50" s="1"/>
  <c r="H57" i="215"/>
  <c r="H59" i="215" s="1"/>
  <c r="L57" i="215"/>
  <c r="L59" i="215" s="1"/>
  <c r="T57" i="215"/>
  <c r="T59" i="215" s="1"/>
  <c r="C14" i="54"/>
  <c r="C15" i="54" s="1"/>
  <c r="C12" i="50" s="1"/>
  <c r="C14" i="50" s="1"/>
  <c r="F57" i="215"/>
  <c r="F59" i="215" s="1"/>
  <c r="C16" i="50" s="1"/>
  <c r="C27" i="54"/>
  <c r="C28" i="54" s="1"/>
  <c r="C27" i="50" s="1"/>
  <c r="V57" i="215"/>
  <c r="V59" i="215" s="1"/>
  <c r="P57" i="215"/>
  <c r="P59" i="215" s="1"/>
  <c r="J57" i="215"/>
  <c r="J59" i="215" s="1"/>
  <c r="R57" i="215"/>
  <c r="R59" i="215" s="1"/>
  <c r="C23" i="54"/>
  <c r="C24" i="54" s="1"/>
  <c r="C26" i="50" s="1"/>
  <c r="C28" i="50" s="1"/>
  <c r="H22" i="12" s="1"/>
  <c r="N57" i="215"/>
  <c r="N59" i="215" s="1"/>
  <c r="C17" i="50" s="1"/>
  <c r="I23" i="184"/>
  <c r="M22" i="184"/>
  <c r="M22" i="185"/>
  <c r="I23" i="185"/>
  <c r="E9" i="54"/>
  <c r="E11" i="54" s="1"/>
  <c r="M23" i="185" l="1"/>
  <c r="I24" i="185"/>
  <c r="M23" i="184"/>
  <c r="I24" i="184"/>
  <c r="C19" i="50"/>
  <c r="C22" i="50"/>
  <c r="J104" i="9" s="1"/>
  <c r="J22" i="12"/>
  <c r="H24" i="12"/>
  <c r="I25" i="185" l="1"/>
  <c r="M24" i="185"/>
  <c r="H104" i="9"/>
  <c r="N104" i="9"/>
  <c r="J44" i="9"/>
  <c r="M24" i="184"/>
  <c r="O24" i="184"/>
  <c r="O10" i="184"/>
  <c r="O12" i="184"/>
  <c r="O11" i="184"/>
  <c r="O13" i="184"/>
  <c r="O14" i="184"/>
  <c r="O15" i="184"/>
  <c r="O16" i="184"/>
  <c r="O17" i="184"/>
  <c r="O18" i="184"/>
  <c r="O19" i="184"/>
  <c r="O20" i="184"/>
  <c r="O21" i="184"/>
  <c r="O22" i="184"/>
  <c r="G17" i="233"/>
  <c r="G26" i="233" s="1"/>
  <c r="N22" i="12"/>
  <c r="N24" i="12" s="1"/>
  <c r="J24" i="12"/>
  <c r="E45" i="21" s="1"/>
  <c r="E52" i="21" s="1"/>
  <c r="O23" i="184"/>
  <c r="H44" i="9" l="1"/>
  <c r="C17" i="11"/>
  <c r="B13" i="222"/>
  <c r="B17" i="222" s="1"/>
  <c r="F9" i="213"/>
  <c r="E18" i="11"/>
  <c r="J117" i="9"/>
  <c r="N44" i="9"/>
  <c r="E17" i="11" s="1"/>
  <c r="F17" i="213"/>
  <c r="F20" i="213" s="1"/>
  <c r="F23" i="213" s="1"/>
  <c r="I26" i="185"/>
  <c r="M25" i="185"/>
  <c r="J57" i="9" l="1"/>
  <c r="N117" i="9"/>
  <c r="N57" i="9" s="1"/>
  <c r="N54" i="12" s="1"/>
  <c r="H117" i="9"/>
  <c r="H57" i="9" s="1"/>
  <c r="F17" i="222"/>
  <c r="B34" i="222"/>
  <c r="B30" i="222" s="1"/>
  <c r="B23" i="222" s="1"/>
  <c r="F23" i="222" s="1"/>
  <c r="M26" i="185"/>
  <c r="I27" i="185"/>
  <c r="F24" i="213"/>
  <c r="F25" i="213" s="1"/>
  <c r="F10" i="213"/>
  <c r="M27" i="185" l="1"/>
  <c r="I28" i="185"/>
  <c r="C18" i="11"/>
  <c r="C20" i="11" s="1"/>
  <c r="J54" i="12"/>
  <c r="B21" i="222"/>
  <c r="F21" i="222" s="1"/>
  <c r="F25" i="222" s="1"/>
  <c r="C46" i="222" s="1"/>
  <c r="C48" i="222" s="1"/>
  <c r="C50" i="222" s="1"/>
  <c r="N67" i="9" s="1"/>
  <c r="L67" i="9" l="1"/>
  <c r="M28" i="185"/>
  <c r="O28" i="185"/>
  <c r="O12" i="185"/>
  <c r="O11" i="185"/>
  <c r="O10" i="185"/>
  <c r="O13" i="185"/>
  <c r="O14" i="185"/>
  <c r="O15" i="185"/>
  <c r="O16" i="185"/>
  <c r="O17" i="185"/>
  <c r="O18" i="185"/>
  <c r="O19" i="185"/>
  <c r="O20" i="185"/>
  <c r="O21" i="185"/>
  <c r="O22" i="185"/>
  <c r="O23" i="185"/>
  <c r="O24" i="185"/>
  <c r="O25" i="185"/>
  <c r="O26" i="185"/>
  <c r="O27" i="185"/>
  <c r="C22" i="11"/>
  <c r="C26" i="11" s="1"/>
  <c r="C30" i="11"/>
  <c r="C24" i="11"/>
  <c r="J46" i="9" l="1"/>
  <c r="J107" i="9"/>
  <c r="H107" i="9" s="1"/>
  <c r="H46" i="9" s="1"/>
  <c r="C32" i="11"/>
  <c r="C34" i="11" s="1"/>
  <c r="C37" i="11" s="1"/>
  <c r="J106" i="9" s="1"/>
  <c r="L70" i="9"/>
  <c r="L11" i="9" s="1"/>
  <c r="L73" i="9"/>
  <c r="L8" i="9"/>
  <c r="H106" i="9" l="1"/>
  <c r="J45" i="9"/>
  <c r="J49" i="9" s="1"/>
  <c r="J51" i="9" s="1"/>
  <c r="J53" i="9" s="1"/>
  <c r="J109" i="9"/>
  <c r="J111" i="9" s="1"/>
  <c r="J113" i="9" s="1"/>
  <c r="J119" i="9" s="1"/>
  <c r="L13" i="9"/>
  <c r="P8" i="9"/>
  <c r="O8" i="9"/>
  <c r="N8" i="9"/>
  <c r="J59" i="9" l="1"/>
  <c r="J55" i="12" s="1"/>
  <c r="J12" i="12"/>
  <c r="J27" i="12" s="1"/>
  <c r="W7" i="221"/>
  <c r="D30" i="29"/>
  <c r="H45" i="9"/>
  <c r="H49" i="9" s="1"/>
  <c r="H51" i="9" s="1"/>
  <c r="H53" i="9" s="1"/>
  <c r="H109" i="9"/>
  <c r="H111" i="9" s="1"/>
  <c r="H113" i="9" s="1"/>
  <c r="H119" i="9" s="1"/>
  <c r="H12" i="12" l="1"/>
  <c r="H59" i="9"/>
  <c r="H30" i="29"/>
  <c r="H35" i="29" s="1"/>
  <c r="D35" i="29"/>
  <c r="N70" i="9" s="1"/>
  <c r="N11" i="9" l="1"/>
  <c r="N13" i="9" s="1"/>
  <c r="N73" i="9"/>
  <c r="E11" i="11" l="1"/>
  <c r="D36" i="10"/>
  <c r="D40" i="10" s="1"/>
  <c r="D44" i="10" s="1"/>
  <c r="L103" i="9" s="1"/>
  <c r="N103" i="9" l="1"/>
  <c r="L43" i="9"/>
  <c r="N43" i="9" l="1"/>
  <c r="E16" i="11" l="1"/>
  <c r="E20" i="11" s="1"/>
  <c r="E30" i="11" l="1"/>
  <c r="E23" i="11"/>
  <c r="E24" i="11"/>
  <c r="E22" i="11"/>
  <c r="E26" i="11" s="1"/>
  <c r="N46" i="9" l="1"/>
  <c r="E32" i="11"/>
  <c r="N107" i="9"/>
  <c r="L107" i="9" s="1"/>
  <c r="L46" i="9" s="1"/>
  <c r="E34" i="11"/>
  <c r="E37" i="11" s="1"/>
  <c r="N106" i="9" l="1"/>
  <c r="N45" i="9"/>
  <c r="N49" i="9" s="1"/>
  <c r="N51" i="9" s="1"/>
  <c r="N53" i="9" s="1"/>
  <c r="N12" i="12" l="1"/>
  <c r="N27" i="12" s="1"/>
  <c r="N59" i="9"/>
  <c r="L106" i="9"/>
  <c r="N109" i="9"/>
  <c r="N111" i="9" s="1"/>
  <c r="N113" i="9" s="1"/>
  <c r="N119" i="9" s="1"/>
  <c r="O119" i="9" s="1"/>
  <c r="L45" i="9" l="1"/>
  <c r="L49" i="9" s="1"/>
  <c r="L51" i="9" s="1"/>
  <c r="L53" i="9" s="1"/>
  <c r="L109" i="9"/>
  <c r="L111" i="9" s="1"/>
  <c r="L113" i="9" s="1"/>
  <c r="L119" i="9" s="1"/>
  <c r="N55" i="12"/>
  <c r="O30" i="21" s="1"/>
  <c r="Q30" i="21" s="1"/>
  <c r="Q31" i="21" s="1"/>
  <c r="O59" i="9"/>
  <c r="L59" i="9" l="1"/>
  <c r="L12" i="12"/>
</calcChain>
</file>

<file path=xl/comments1.xml><?xml version="1.0" encoding="utf-8"?>
<comments xmlns="http://schemas.openxmlformats.org/spreadsheetml/2006/main">
  <authors>
    <author>Steve Lubertozzi</author>
  </authors>
  <commentList>
    <comment ref="F64" authorId="0">
      <text>
        <r>
          <rPr>
            <b/>
            <sz val="9"/>
            <color indexed="81"/>
            <rFont val="Geneva"/>
          </rPr>
          <t>Steve Lubertozzi:</t>
        </r>
        <r>
          <rPr>
            <sz val="9"/>
            <color indexed="81"/>
            <rFont val="Geneva"/>
          </rPr>
          <t xml:space="preserve">
Source - Water Service Allocation book - Rate Base Section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H162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No change in June 08
</t>
        </r>
      </text>
    </comment>
  </commentList>
</comments>
</file>

<file path=xl/comments3.xml><?xml version="1.0" encoding="utf-8"?>
<comments xmlns="http://schemas.openxmlformats.org/spreadsheetml/2006/main">
  <authors>
    <author>Steve Lubertozzi</author>
  </authors>
  <commentList>
    <comment ref="D49" authorId="0">
      <text>
        <r>
          <rPr>
            <b/>
            <sz val="9"/>
            <color indexed="81"/>
            <rFont val="Geneva"/>
          </rPr>
          <t>Steve Lubertozzi:</t>
        </r>
        <r>
          <rPr>
            <sz val="9"/>
            <color indexed="81"/>
            <rFont val="Geneva"/>
          </rPr>
          <t xml:space="preserve">
TB 6019040</t>
        </r>
      </text>
    </comment>
    <comment ref="G49" authorId="0">
      <text>
        <r>
          <rPr>
            <b/>
            <sz val="9"/>
            <color indexed="81"/>
            <rFont val="Geneva"/>
          </rPr>
          <t>Steve Lubertozzi:</t>
        </r>
        <r>
          <rPr>
            <sz val="9"/>
            <color indexed="81"/>
            <rFont val="Geneva"/>
          </rPr>
          <t xml:space="preserve">
TB 6019045
TB 6019050
TB 6019054</t>
        </r>
      </text>
    </comment>
    <comment ref="K49" authorId="0">
      <text>
        <r>
          <rPr>
            <b/>
            <sz val="9"/>
            <color indexed="81"/>
            <rFont val="Geneva"/>
          </rPr>
          <t>Steve Lubertozzi:</t>
        </r>
        <r>
          <rPr>
            <sz val="9"/>
            <color indexed="81"/>
            <rFont val="Geneva"/>
          </rPr>
          <t xml:space="preserve">
TB 4081201
TB 4091123
TB 4091060
TB 4091050</t>
        </r>
      </text>
    </comment>
    <comment ref="O49" authorId="0">
      <text>
        <r>
          <rPr>
            <b/>
            <sz val="9"/>
            <color indexed="81"/>
            <rFont val="Geneva"/>
          </rPr>
          <t>Steve Lubertozzi:</t>
        </r>
        <r>
          <rPr>
            <sz val="9"/>
            <color indexed="81"/>
            <rFont val="Geneva"/>
          </rPr>
          <t xml:space="preserve">
TB 904.9</t>
        </r>
      </text>
    </comment>
  </commentList>
</comments>
</file>

<file path=xl/sharedStrings.xml><?xml version="1.0" encoding="utf-8"?>
<sst xmlns="http://schemas.openxmlformats.org/spreadsheetml/2006/main" count="9184" uniqueCount="2319">
  <si>
    <t>6" commercial city w/ school tax and KY state sales tax</t>
  </si>
  <si>
    <t>Cash</t>
  </si>
  <si>
    <t>Pension &amp; Other Benefits</t>
  </si>
  <si>
    <t>Industrial city sprinkler</t>
  </si>
  <si>
    <t>Industrial city special</t>
  </si>
  <si>
    <t>Government city hydrant</t>
  </si>
  <si>
    <t>W/P [l]</t>
  </si>
  <si>
    <t>CPI Increase</t>
  </si>
  <si>
    <t>Date</t>
  </si>
  <si>
    <t>Beginning</t>
  </si>
  <si>
    <t>Ending</t>
  </si>
  <si>
    <t>A ROR</t>
  </si>
  <si>
    <r>
      <t xml:space="preserve">Source: </t>
    </r>
    <r>
      <rPr>
        <b/>
        <u/>
        <sz val="10"/>
        <rFont val="Courier New"/>
        <family val="3"/>
      </rPr>
      <t>www.bls.gov</t>
    </r>
  </si>
  <si>
    <r>
      <t>Series Id:    </t>
    </r>
    <r>
      <rPr>
        <sz val="10"/>
        <color indexed="8"/>
        <rFont val="Courier New"/>
        <family val="3"/>
      </rPr>
      <t>CUSR0000SA0</t>
    </r>
  </si>
  <si>
    <t>Seasonally Adjusted</t>
  </si>
  <si>
    <r>
      <t>Area:         </t>
    </r>
    <r>
      <rPr>
        <sz val="10"/>
        <color indexed="8"/>
        <rFont val="Courier New"/>
        <family val="3"/>
      </rPr>
      <t>U.S. city average</t>
    </r>
  </si>
  <si>
    <r>
      <t>Item:         </t>
    </r>
    <r>
      <rPr>
        <sz val="10"/>
        <color indexed="8"/>
        <rFont val="Courier New"/>
        <family val="3"/>
      </rPr>
      <t>All items</t>
    </r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</si>
  <si>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</si>
  <si>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</si>
  <si>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</si>
  <si>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</si>
  <si>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</si>
  <si>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</si>
  <si>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</si>
  <si>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</si>
  <si>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</si>
  <si>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</si>
  <si>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</si>
  <si>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</si>
  <si>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</si>
  <si>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Test Year Ended 6/30/08</t>
  </si>
  <si>
    <t>http://www.bls.gov/cpi/cpid0806.pdf</t>
  </si>
  <si>
    <t>June CCB Consumption per JDE</t>
  </si>
  <si>
    <t xml:space="preserve">    OUTSIDE LAB FEES-LAB,LAND</t>
  </si>
  <si>
    <t xml:space="preserve">    REPAIRS &amp; MAINT-MAINT,LAND</t>
  </si>
  <si>
    <t xml:space="preserve">    UNIFORMS</t>
  </si>
  <si>
    <t xml:space="preserve">    WEATHER/HURRICANE COSTS</t>
  </si>
  <si>
    <t xml:space="preserve">   SEWER RODDING</t>
  </si>
  <si>
    <t xml:space="preserve">   SLUDGE HAULING</t>
  </si>
  <si>
    <t xml:space="preserve">    DEPREC-ORGANIZATION</t>
  </si>
  <si>
    <t xml:space="preserve">    DEPREC-FRANCHISES</t>
  </si>
  <si>
    <t xml:space="preserve">    DEPREC-STRUCT &amp; IMPRV SRC</t>
  </si>
  <si>
    <t xml:space="preserve">    DEPREC-STRUCT &amp; IMPRV WTP</t>
  </si>
  <si>
    <t xml:space="preserve">    DEPREC-STRUCT &amp; IMPRV DIST</t>
  </si>
  <si>
    <t xml:space="preserve">    DEPREC-STRUCT &amp; IMPRV GEN</t>
  </si>
  <si>
    <t xml:space="preserve">    DEPREC-COLLECTING RESERVOI</t>
  </si>
  <si>
    <t xml:space="preserve">    DEPREC-LAKE, RIVER, OTHER</t>
  </si>
  <si>
    <t xml:space="preserve">    DEPREC-WELLS &amp; SPRINGS</t>
  </si>
  <si>
    <t xml:space="preserve">    DEPREC-INFILTRATION GALLER</t>
  </si>
  <si>
    <t xml:space="preserve">    DEPREC-SUPPLY MAINS</t>
  </si>
  <si>
    <t xml:space="preserve">    DEPREC-POWER GEN EQP</t>
  </si>
  <si>
    <t xml:space="preserve">    DEPREC-ELEC PUMP EQP SRC P</t>
  </si>
  <si>
    <t xml:space="preserve">    DEPREC-ELEC PUMP EQP WTP</t>
  </si>
  <si>
    <t xml:space="preserve">    DEPREC-ELEC PUMP EQP TRANS</t>
  </si>
  <si>
    <t xml:space="preserve">    DEPREC-WATER TREATMENT EQP</t>
  </si>
  <si>
    <t xml:space="preserve">    DEPREC-DIST RESV &amp; STANDPI</t>
  </si>
  <si>
    <t xml:space="preserve">    DEPREC-TRANS &amp; DISTR MAINS</t>
  </si>
  <si>
    <t xml:space="preserve">    DEPREC-SERVICE LINES</t>
  </si>
  <si>
    <t xml:space="preserve">    DEPREC-METERS</t>
  </si>
  <si>
    <t xml:space="preserve">    DEPREC-METER INSTALLS</t>
  </si>
  <si>
    <t>Overtime</t>
  </si>
  <si>
    <t>2" industrial city w/ school tax and KY state sales tax</t>
  </si>
  <si>
    <t>2" multi residential w/ school tax and KY state sales tax</t>
  </si>
  <si>
    <t>2" commercial city w/ school tax and KY state sales tax</t>
  </si>
  <si>
    <t>3" commercial city w/ school tax and KY state sales tax</t>
  </si>
  <si>
    <t>Middlesboro</t>
  </si>
  <si>
    <t>Clinton</t>
  </si>
  <si>
    <t>Basis for Salary Allocation</t>
  </si>
  <si>
    <t>Employee</t>
  </si>
  <si>
    <t>Calculation of Salary and Benefits Allocated to the City of Clinton Sewer Operations</t>
  </si>
  <si>
    <t>WSCK</t>
  </si>
  <si>
    <t>Taxes Other Than Income</t>
  </si>
  <si>
    <t>Uncollectible Accounts</t>
  </si>
  <si>
    <t>Benefits</t>
  </si>
  <si>
    <t>Total Operator Allocation</t>
  </si>
  <si>
    <t>TYE</t>
  </si>
  <si>
    <t xml:space="preserve">    State Tax Rate</t>
  </si>
  <si>
    <t>Annualized</t>
  </si>
  <si>
    <t>S</t>
  </si>
  <si>
    <t>Adjustments</t>
  </si>
  <si>
    <t>Maintenance Testing</t>
  </si>
  <si>
    <t>Total Federal Taxes</t>
  </si>
  <si>
    <t>Outside Services - Other</t>
  </si>
  <si>
    <t xml:space="preserve">Total </t>
  </si>
  <si>
    <t>General Expenses</t>
  </si>
  <si>
    <t>Estimated</t>
  </si>
  <si>
    <t>Project</t>
  </si>
  <si>
    <t>WSC of KY</t>
  </si>
  <si>
    <t>Debt Ratio</t>
  </si>
  <si>
    <t>Embedded Cost of Debt</t>
  </si>
  <si>
    <t>Allocation</t>
  </si>
  <si>
    <t>Method</t>
  </si>
  <si>
    <t>From Allocation book</t>
  </si>
  <si>
    <t xml:space="preserve">  Total State Income Taxes</t>
  </si>
  <si>
    <t>Schedule E</t>
  </si>
  <si>
    <t>3/4" multi commercial w/ school and KY state sales tax</t>
  </si>
  <si>
    <t>Meters</t>
  </si>
  <si>
    <t>Trial Balance Variance</t>
  </si>
  <si>
    <t>Customers:</t>
  </si>
  <si>
    <t>Office</t>
  </si>
  <si>
    <t>Transportation</t>
  </si>
  <si>
    <t>Computers</t>
  </si>
  <si>
    <t>Amortization Expense per year</t>
  </si>
  <si>
    <t>Total Operator Salary</t>
  </si>
  <si>
    <t>Sewer</t>
  </si>
  <si>
    <t xml:space="preserve">Retained earnings </t>
  </si>
  <si>
    <t>6.58%, $9,000,000 due in annual installments</t>
  </si>
  <si>
    <t>beginning in 2017 through 2035</t>
  </si>
  <si>
    <t xml:space="preserve">    AMORT-OTHER TANGIBLE PLT W</t>
  </si>
  <si>
    <t xml:space="preserve">    AMORT-WATER-TAP</t>
  </si>
  <si>
    <t xml:space="preserve">    AMORT-WTR MGMT FEE</t>
  </si>
  <si>
    <t xml:space="preserve">    AMORT-WTR RES CAP FEE</t>
  </si>
  <si>
    <t xml:space="preserve">    AMORT-WTR PLT MOD FEE</t>
  </si>
  <si>
    <t>Structure</t>
  </si>
  <si>
    <t>Adjustments (Water/Sewer)</t>
  </si>
  <si>
    <t>Current Assets</t>
  </si>
  <si>
    <t>Depreciation Expense</t>
  </si>
  <si>
    <t>As</t>
  </si>
  <si>
    <t>State Income Taxes</t>
  </si>
  <si>
    <t>Total Revenue</t>
  </si>
  <si>
    <t>Income Taxes - Federal</t>
  </si>
  <si>
    <t>Distrib. Reservoirs &amp; Standpipes</t>
  </si>
  <si>
    <t>Other</t>
  </si>
  <si>
    <t>1 1/2" public authority w/ school tax</t>
  </si>
  <si>
    <t>Deferred Charges</t>
  </si>
  <si>
    <t>Test Year</t>
  </si>
  <si>
    <t>Interest on Debt</t>
  </si>
  <si>
    <t>3/4" commercial out of city w/ school tax and KY state sales tax</t>
  </si>
  <si>
    <t>Common shares, $.10 par value; authorized and</t>
  </si>
  <si>
    <t>issued 1,000 shares</t>
  </si>
  <si>
    <t>Other Current Assets</t>
  </si>
  <si>
    <t>(Invoiced and Estimated)</t>
  </si>
  <si>
    <t>Calculation of Income Taxes</t>
  </si>
  <si>
    <t xml:space="preserve">   LOSS ON DEBT REFINANCING</t>
  </si>
  <si>
    <t xml:space="preserve">    S/T INT EXP BANK ONE</t>
  </si>
  <si>
    <t xml:space="preserve">    S/T INT EXP CUSTOMERS DEP</t>
  </si>
  <si>
    <t xml:space="preserve">    S/T INT EXP CHARGES</t>
  </si>
  <si>
    <t xml:space="preserve">    S/T INT EXP OTHER</t>
  </si>
  <si>
    <t xml:space="preserve">    S/T INT EXP BK OF AMERICA</t>
  </si>
  <si>
    <t xml:space="preserve">    S/T INT EXP C &amp; S NATL BK</t>
  </si>
  <si>
    <t xml:space="preserve">    S/T INT EXP NATIONS BANK</t>
  </si>
  <si>
    <t xml:space="preserve">    S/T INT EXP FIRST UNION</t>
  </si>
  <si>
    <t xml:space="preserve">    S/T INT EXP UTIL SUP AMER</t>
  </si>
  <si>
    <t xml:space="preserve">    S/T INT EXP MISC</t>
  </si>
  <si>
    <t xml:space="preserve">   INTEREST DURING CONSTRUCTIO</t>
  </si>
  <si>
    <t xml:space="preserve">   SALE OF UTILITY PROPERTY</t>
  </si>
  <si>
    <t xml:space="preserve">    CURRENT TAX-FIT-SOLD CO</t>
  </si>
  <si>
    <t xml:space="preserve">    DEFERRED TAX-FIT-SOLD CO</t>
  </si>
  <si>
    <t xml:space="preserve">    CURRENT TAX-SIT-SOLD CO</t>
  </si>
  <si>
    <t xml:space="preserve">    DEFERRED TAX-SIT-SOLD CO</t>
  </si>
  <si>
    <t xml:space="preserve">    TAX EFFECT OF CAP TRANS</t>
  </si>
  <si>
    <t>SUTA</t>
  </si>
  <si>
    <t>General Expense</t>
  </si>
  <si>
    <t>Proposed</t>
  </si>
  <si>
    <t>3/4" commercial w/ school tax</t>
  </si>
  <si>
    <t>3/4" public authority w/ school tax</t>
  </si>
  <si>
    <t>Capital Stock and Retained Earnings</t>
  </si>
  <si>
    <t>3/4" commercial w/ school tax and KY state sales tax</t>
  </si>
  <si>
    <t>w/p [i]</t>
  </si>
  <si>
    <t>w/p [j]</t>
  </si>
  <si>
    <t>w/p [k]</t>
  </si>
  <si>
    <t>w/p [l]</t>
  </si>
  <si>
    <t>5/8" sprinkler - private</t>
  </si>
  <si>
    <t>Hydrant - municipal</t>
  </si>
  <si>
    <t>Hydrant - private</t>
  </si>
  <si>
    <t>Service Revenues - Water</t>
  </si>
  <si>
    <t>KY</t>
  </si>
  <si>
    <t>Income Statement</t>
  </si>
  <si>
    <t>3/4" residential w/ school tax and KY state sales tax</t>
  </si>
  <si>
    <t>2" commercial w/ school tax and KY state sales tax</t>
  </si>
  <si>
    <t>Long-Term Debt</t>
  </si>
  <si>
    <t>Common Equity</t>
  </si>
  <si>
    <t>Account Name</t>
  </si>
  <si>
    <t>Total Health Insurance</t>
  </si>
  <si>
    <t>Total Other Benefits</t>
  </si>
  <si>
    <t>Wp-c2</t>
  </si>
  <si>
    <t>Utilities Inc</t>
  </si>
  <si>
    <t>WSC KY ERC</t>
  </si>
  <si>
    <t>Income Statement - CSV Output</t>
  </si>
  <si>
    <t xml:space="preserve">WSC KY ERC </t>
  </si>
  <si>
    <t>ERC %</t>
  </si>
  <si>
    <t>For the Three Months Ending March 31, 2008</t>
  </si>
  <si>
    <t>Object Account</t>
  </si>
  <si>
    <t>Year to Date Actual</t>
  </si>
  <si>
    <t>Exp to be allocated</t>
  </si>
  <si>
    <t>KY ERC%</t>
  </si>
  <si>
    <t>TOTAL OPERATING EXPENSES</t>
  </si>
  <si>
    <t xml:space="preserve"> OPERATING EXPENSES</t>
  </si>
  <si>
    <t xml:space="preserve">  OPERATING EXPENSES CONSOL</t>
  </si>
  <si>
    <t xml:space="preserve">   PURCHASED WATER EXPENSE</t>
  </si>
  <si>
    <t xml:space="preserve">   PURCHASED SEWER TREATMENT</t>
  </si>
  <si>
    <t xml:space="preserve">   ELEC PWR - WATER SYSTEM</t>
  </si>
  <si>
    <t xml:space="preserve">   ELEC PWR - SWR SYSTEM</t>
  </si>
  <si>
    <t xml:space="preserve">   CHEMICALS</t>
  </si>
  <si>
    <t xml:space="preserve">   BAD DEBT EXPENSE</t>
  </si>
  <si>
    <t xml:space="preserve">   BILLING &amp; CUSTOMER SERVICE</t>
  </si>
  <si>
    <t xml:space="preserve">   EMPLOYEE PENSION&amp;BENEFITS</t>
  </si>
  <si>
    <t xml:space="preserve">   INSURANCE EXPENSE</t>
  </si>
  <si>
    <t xml:space="preserve">   IT DEPARTMENT</t>
  </si>
  <si>
    <t xml:space="preserve">   MISCELLANEOUS EXPENSE</t>
  </si>
  <si>
    <t xml:space="preserve">   OFFICE EXPENSE</t>
  </si>
  <si>
    <t xml:space="preserve">   OFFICE UTILITIES/MAINTENANC</t>
  </si>
  <si>
    <t xml:space="preserve">   OUTSIDE SERVICE EXPENSE</t>
  </si>
  <si>
    <t xml:space="preserve">   REGULATORY COMMISSION EXP</t>
  </si>
  <si>
    <t xml:space="preserve">   RENT EXPENSE</t>
  </si>
  <si>
    <t xml:space="preserve">   SALARIES &amp; WAGES</t>
  </si>
  <si>
    <t xml:space="preserve">   TRAVEL EXPENSE</t>
  </si>
  <si>
    <t xml:space="preserve">   FLEET TRANSPORTATION EXPENS</t>
  </si>
  <si>
    <t xml:space="preserve">   MAINTENANCE TESTING</t>
  </si>
  <si>
    <t xml:space="preserve">   MAINTENANCE-WATER PLANT</t>
  </si>
  <si>
    <t xml:space="preserve">   MAINTENANCE-SEWER PLANT</t>
  </si>
  <si>
    <t xml:space="preserve">   MAINTENANCE-WTR&amp;SWR PLANT</t>
  </si>
  <si>
    <t xml:space="preserve">  DEPRECIATION &amp; AMORT NET</t>
  </si>
  <si>
    <t xml:space="preserve">   DEPRECIATION EXP-WATER</t>
  </si>
  <si>
    <t xml:space="preserve">   DEPRECIATION EXP-SEWER</t>
  </si>
  <si>
    <t xml:space="preserve">   DEPRECIATION EXP-REUSE</t>
  </si>
  <si>
    <t xml:space="preserve">   DEPREC EXP-AUTO TRANS</t>
  </si>
  <si>
    <t xml:space="preserve">   DEPREC EXP-COMPUTER</t>
  </si>
  <si>
    <t xml:space="preserve">   AMORT EXP-CIA-WATER</t>
  </si>
  <si>
    <t xml:space="preserve">   AMORT EXP-CIA-SEWER</t>
  </si>
  <si>
    <t xml:space="preserve">   AMORT EXP-REUSE</t>
  </si>
  <si>
    <t xml:space="preserve">  TAXES OTHER THAN INCOME</t>
  </si>
  <si>
    <t xml:space="preserve">   PAYROLL TAXES</t>
  </si>
  <si>
    <t xml:space="preserve">   PROPERTY &amp; OTHER TAXES</t>
  </si>
  <si>
    <t xml:space="preserve">  INCOME TAXES</t>
  </si>
  <si>
    <t>TOTAL OTHER INCOME &amp; EXPENSE</t>
  </si>
  <si>
    <t xml:space="preserve"> OTHER INCOME</t>
  </si>
  <si>
    <t xml:space="preserve">  OTHER INCOME</t>
  </si>
  <si>
    <t xml:space="preserve">   MISCELLANEOUS INCOME</t>
  </si>
  <si>
    <t xml:space="preserve">   RENTAL / OTHER INCOME</t>
  </si>
  <si>
    <t xml:space="preserve"> OTHER EXPENSE</t>
  </si>
  <si>
    <t xml:space="preserve">  INTEREST EXPENSE</t>
  </si>
  <si>
    <t xml:space="preserve">   LONG TERM INTEREST EXP</t>
  </si>
  <si>
    <t xml:space="preserve">   SHORT TERM INTEREST EXP</t>
  </si>
  <si>
    <t xml:space="preserve">  ALLOW FUNDS USED CONSTR</t>
  </si>
  <si>
    <t xml:space="preserve">  GAIN/LOSS ON DISPOSITION</t>
  </si>
  <si>
    <t xml:space="preserve">   TAX EFFECT OF CAP TRANS</t>
  </si>
  <si>
    <t xml:space="preserve">    Net Income (Loss)</t>
  </si>
  <si>
    <t>Wp-c3</t>
  </si>
  <si>
    <t>For the Six Months Ending June 30, 2008</t>
  </si>
  <si>
    <t>Total Percentage Allocated to Clinton Sewer Operations Per JDE Salary Allocation Report</t>
  </si>
  <si>
    <t xml:space="preserve">Operator </t>
  </si>
  <si>
    <t>Operator Salaries</t>
  </si>
  <si>
    <t>Operator Payroll taxes</t>
  </si>
  <si>
    <t>Operator Benefits</t>
  </si>
  <si>
    <t>Office Salaries</t>
  </si>
  <si>
    <t>Office Payroll taxes</t>
  </si>
  <si>
    <t>Office Benefits</t>
  </si>
  <si>
    <t>Total O &amp; M Expense Reduction</t>
  </si>
  <si>
    <t>Total General Expense Reduction</t>
  </si>
  <si>
    <t>Reallocation</t>
  </si>
  <si>
    <t>State Allocations</t>
  </si>
  <si>
    <t>Per Books</t>
  </si>
  <si>
    <t>2Q 2008 Regional</t>
  </si>
  <si>
    <t xml:space="preserve">1Q 2008 Regional </t>
  </si>
  <si>
    <t xml:space="preserve">2Q 2008 WSC </t>
  </si>
  <si>
    <t xml:space="preserve">1Q 2008 WSC </t>
  </si>
  <si>
    <t>A</t>
  </si>
  <si>
    <t>B</t>
  </si>
  <si>
    <t>C</t>
  </si>
  <si>
    <t>D</t>
  </si>
  <si>
    <t>E</t>
  </si>
  <si>
    <t>5/8" &amp; 3/4"</t>
  </si>
  <si>
    <t>5/8" - 3/4"</t>
  </si>
  <si>
    <t>6"</t>
  </si>
  <si>
    <t>4"</t>
  </si>
  <si>
    <t>3"</t>
  </si>
  <si>
    <t>2"</t>
  </si>
  <si>
    <t>1 1/2"</t>
  </si>
  <si>
    <t>1"</t>
  </si>
  <si>
    <t>First 250,500</t>
  </si>
  <si>
    <t>Proposed Rate</t>
  </si>
  <si>
    <t>First 1,000 gallons</t>
  </si>
  <si>
    <t xml:space="preserve">              Customer Class: Residential City w/ School Tax</t>
  </si>
  <si>
    <t>Next 9,000 gallons</t>
  </si>
  <si>
    <t>Next 15,000 gallons</t>
  </si>
  <si>
    <t>(1)</t>
  </si>
  <si>
    <t>Next 25,000 gallons</t>
  </si>
  <si>
    <t>Gallons</t>
  </si>
  <si>
    <t>Consolidated</t>
  </si>
  <si>
    <t>Next 50,000 gallons</t>
  </si>
  <si>
    <t>Consumption</t>
  </si>
  <si>
    <t xml:space="preserve">Number </t>
  </si>
  <si>
    <t>Cumulative</t>
  </si>
  <si>
    <t>Consumed</t>
  </si>
  <si>
    <t>Reversed</t>
  </si>
  <si>
    <t>Factor</t>
  </si>
  <si>
    <t>Next 100,000 gallons</t>
  </si>
  <si>
    <t>Level</t>
  </si>
  <si>
    <t>of Bills</t>
  </si>
  <si>
    <t>Bills</t>
  </si>
  <si>
    <t>(1) X (2)</t>
  </si>
  <si>
    <t>[(1)X(6)]+(5)]</t>
  </si>
  <si>
    <t>of Total</t>
  </si>
  <si>
    <t>First 6,000 gallons</t>
  </si>
  <si>
    <t xml:space="preserve">                Meter Size: 1"                                     </t>
  </si>
  <si>
    <t>Next 4,000 gallons</t>
  </si>
  <si>
    <t xml:space="preserve">                Meter Size: N/A                         </t>
  </si>
  <si>
    <t xml:space="preserve">              Customer Class: Commercial City w/ School Tax and KY State Sales Tax</t>
  </si>
  <si>
    <t xml:space="preserve">                    Meter Size: 5/8"                                     </t>
  </si>
  <si>
    <t xml:space="preserve">                Meter Size: 3/4"                            </t>
  </si>
  <si>
    <t xml:space="preserve">                Meter Size: 1"                            </t>
  </si>
  <si>
    <t xml:space="preserve">                    Meter Size: 1 1/2"                                     </t>
  </si>
  <si>
    <t xml:space="preserve">                Meter Size: 2"                                     </t>
  </si>
  <si>
    <t xml:space="preserve">                Meter Size: 3"                                     </t>
  </si>
  <si>
    <t xml:space="preserve">              Customer Class: Residential County w/ School Tax</t>
  </si>
  <si>
    <t xml:space="preserve">                    Meter Size: 1"                                     </t>
  </si>
  <si>
    <t xml:space="preserve">              Customer Class: Commercial City Sprinkler</t>
  </si>
  <si>
    <t xml:space="preserve">              Customer Class: Industrial City Sprinkler Tax Exempt</t>
  </si>
  <si>
    <t xml:space="preserve">              Customer Class: Commercial City Special</t>
  </si>
  <si>
    <t xml:space="preserve">                    Meter Size: N/A                     </t>
  </si>
  <si>
    <t xml:space="preserve">              Customer Class: Commercial County w/ School Tax and KY State Sales Tax</t>
  </si>
  <si>
    <t xml:space="preserve">    OFFICE MACHINE/HEAT&amp;COOL</t>
  </si>
  <si>
    <t xml:space="preserve">    OTHER OFFICE UTILITIES</t>
  </si>
  <si>
    <t xml:space="preserve">    TELEMETERING PHONE EXPENSE</t>
  </si>
  <si>
    <t xml:space="preserve">    ACCOUNTING STUDIES</t>
  </si>
  <si>
    <t xml:space="preserve">    AUDIT FEES</t>
  </si>
  <si>
    <t xml:space="preserve">    EMPLOY FINDER FEES</t>
  </si>
  <si>
    <t xml:space="preserve">    ENGINEERING FEES</t>
  </si>
  <si>
    <t xml:space="preserve">    LEGAL FEES</t>
  </si>
  <si>
    <t xml:space="preserve">    MANAGEMENT FEES</t>
  </si>
  <si>
    <t xml:space="preserve">    PAYROLL SERVICES</t>
  </si>
  <si>
    <t xml:space="preserve">    TAX RETURN REVIEW</t>
  </si>
  <si>
    <t xml:space="preserve">    TEMP EMPLOY - CLERICAL</t>
  </si>
  <si>
    <t xml:space="preserve">    OTHER OUTSIDE SERVICES</t>
  </si>
  <si>
    <t xml:space="preserve">    RATE CASE AMORT EXPENSE</t>
  </si>
  <si>
    <t xml:space="preserve">    MISC REG MATTERS COMM EXP</t>
  </si>
  <si>
    <t xml:space="preserve">    WATER RESOURCE CONSERV EXP</t>
  </si>
  <si>
    <t xml:space="preserve">    RENT</t>
  </si>
  <si>
    <t xml:space="preserve">    TEST-SAFE WATER DRINKING</t>
  </si>
  <si>
    <t xml:space="preserve">    TEST-SEWER</t>
  </si>
  <si>
    <t xml:space="preserve">    WATER-MAINT SUPPLIES</t>
  </si>
  <si>
    <t xml:space="preserve">    WATER-MAINT REPAIRS</t>
  </si>
  <si>
    <t xml:space="preserve">    WATER-MAIN BREAKS</t>
  </si>
  <si>
    <t xml:space="preserve">    WATER-ELEC EQUIPT REPAIR</t>
  </si>
  <si>
    <t xml:space="preserve">    WATER-PERMITS</t>
  </si>
  <si>
    <t xml:space="preserve">    WATER-OTHER MAINT EXP</t>
  </si>
  <si>
    <t xml:space="preserve">    SEWER-MAINT SUPPLIES</t>
  </si>
  <si>
    <t xml:space="preserve">    SEWER-MAINT REPAIRS</t>
  </si>
  <si>
    <t xml:space="preserve">    SEWER-MAIN BREAKS</t>
  </si>
  <si>
    <t xml:space="preserve">    SEWER-ELEC EQUIPT REPAIR</t>
  </si>
  <si>
    <t xml:space="preserve">    SEWER-PERMITS</t>
  </si>
  <si>
    <t xml:space="preserve">    SEWER-OTHER MAINT EXP</t>
  </si>
  <si>
    <t xml:space="preserve">    DEFERRED MAINT EXPENSE</t>
  </si>
  <si>
    <t xml:space="preserve">    COMMUNICATION EXPENSE</t>
  </si>
  <si>
    <t xml:space="preserve">    EQUIPMENT RENTALS</t>
  </si>
  <si>
    <t xml:space="preserve">    OPER CONTRACTED WORKERS</t>
  </si>
  <si>
    <t>Plant Restatement</t>
  </si>
  <si>
    <t>Through Acquisition</t>
  </si>
  <si>
    <t>7,000 @ .8%</t>
  </si>
  <si>
    <t>WATER SERVICE CORPORATION OF KENTUCKY</t>
  </si>
  <si>
    <t>1 1/2" commercial city w/ school tax and KY state sales tax</t>
  </si>
  <si>
    <t>1" residential city w/ school tax</t>
  </si>
  <si>
    <t># of Trips/</t>
  </si>
  <si>
    <t>Over 250,500</t>
  </si>
  <si>
    <t>Service Revenues - Sewer</t>
  </si>
  <si>
    <t>Miscellaneous Revenues</t>
  </si>
  <si>
    <t>1" residential county w/ school tax</t>
  </si>
  <si>
    <t>General Ledger Plant Additions</t>
  </si>
  <si>
    <t>3/4" commercial city w/ school tax and KY state sales tax</t>
  </si>
  <si>
    <t>2" industrial w/ school tax and KY state sales tax</t>
  </si>
  <si>
    <t>Schedule D</t>
  </si>
  <si>
    <t>Income from Management Services</t>
  </si>
  <si>
    <t>Depr. Rate</t>
  </si>
  <si>
    <t>Acc. Depr.</t>
  </si>
  <si>
    <t>Fully Deprec.</t>
  </si>
  <si>
    <t>Type</t>
  </si>
  <si>
    <t>Term</t>
  </si>
  <si>
    <t>Plant</t>
  </si>
  <si>
    <t>Common</t>
  </si>
  <si>
    <t>Vehicle</t>
  </si>
  <si>
    <t>Complete Through 9/05</t>
  </si>
  <si>
    <t>Contributions in Aid of Construction</t>
  </si>
  <si>
    <t>Plant at Acquisition</t>
  </si>
  <si>
    <t>Subtotal</t>
  </si>
  <si>
    <t>Contributions in Aid of Construction 2003 Additions</t>
  </si>
  <si>
    <t>w/p [o]</t>
  </si>
  <si>
    <t>Less:  State I/T</t>
  </si>
  <si>
    <t>Rent</t>
  </si>
  <si>
    <t>Insurance</t>
  </si>
  <si>
    <t xml:space="preserve">Estimated Additions </t>
  </si>
  <si>
    <t>Rental Car</t>
  </si>
  <si>
    <t>1" government city w/ school tax</t>
  </si>
  <si>
    <t>TOTAL CAPITALIZATION</t>
  </si>
  <si>
    <t>%</t>
  </si>
  <si>
    <t>Office Supplies &amp; Other Office Exp.</t>
  </si>
  <si>
    <t>Regulatory Commission Exp.</t>
  </si>
  <si>
    <t>Current and Accrued Liabilities</t>
  </si>
  <si>
    <t>Service Lines</t>
  </si>
  <si>
    <t>Maintenance and Repair</t>
  </si>
  <si>
    <t>Revenue</t>
  </si>
  <si>
    <t>Total</t>
  </si>
  <si>
    <t>Depreciation &amp; Amortization</t>
  </si>
  <si>
    <t>Interest Expense</t>
  </si>
  <si>
    <t>Purchased Power</t>
  </si>
  <si>
    <t>75% Water</t>
  </si>
  <si>
    <t>Net Plant In Service</t>
  </si>
  <si>
    <t>Cash Working Capital</t>
  </si>
  <si>
    <t>Retirement</t>
  </si>
  <si>
    <t>Advances In Aid of Construction</t>
  </si>
  <si>
    <t>w/p [p]</t>
  </si>
  <si>
    <t>Rate Case Expense</t>
  </si>
  <si>
    <t>Percentage</t>
  </si>
  <si>
    <t>FICA</t>
  </si>
  <si>
    <t>FUTA</t>
  </si>
  <si>
    <t>COMMON SHAREHOLDERS' EQUITY:</t>
  </si>
  <si>
    <t>Fed Ex, mailings, postage, and miscellaneous costs</t>
  </si>
  <si>
    <t xml:space="preserve">    AMORT-STRUCT/IMPRV TREAT P</t>
  </si>
  <si>
    <t xml:space="preserve">    AMORT-STRUCT/IMPRV RCLM WT</t>
  </si>
  <si>
    <t xml:space="preserve">    AMORT-STRUCT/IMPRV RCLM DI</t>
  </si>
  <si>
    <t xml:space="preserve">    AMORT-STRUCT/IMPRV GEN PLT</t>
  </si>
  <si>
    <t xml:space="preserve">    AMORT-POWER GEN EQUIP COLL</t>
  </si>
  <si>
    <t xml:space="preserve">    AMORT-POWER GEN EQUIP PUMP</t>
  </si>
  <si>
    <t xml:space="preserve">    AMORT-POWER GEN EQUIP TREA</t>
  </si>
  <si>
    <t xml:space="preserve">    AMORT-POWER GEN EQUIP RCLM</t>
  </si>
  <si>
    <t xml:space="preserve">    AMORT-SEWER FORCE MAIN/SRV</t>
  </si>
  <si>
    <t xml:space="preserve">    AMORT-SEWER GRAVITY MAIN/M</t>
  </si>
  <si>
    <t xml:space="preserve">    AMORT-SPECIAL COLL STRUCTU</t>
  </si>
  <si>
    <t xml:space="preserve">    AMORT-SERVICES TO CUSTOMER</t>
  </si>
  <si>
    <t xml:space="preserve">    AMORT-FLOW MEASURE DEVICES</t>
  </si>
  <si>
    <t xml:space="preserve">    AMORT-FLOW MEASURE INSTALL</t>
  </si>
  <si>
    <t xml:space="preserve">    AMORT-RECEIVING WELLS</t>
  </si>
  <si>
    <t xml:space="preserve">    AMORT-PUMP EQP PUMP PLT</t>
  </si>
  <si>
    <t xml:space="preserve">    AMORT-PUMP EQP RCLM WTP</t>
  </si>
  <si>
    <t xml:space="preserve">    AMORT-PUMP EQP RCLM DIST</t>
  </si>
  <si>
    <t xml:space="preserve">    AMORT-TREAT/DISP EQUIP LAG</t>
  </si>
  <si>
    <t xml:space="preserve">    AMORT-TREAT/DISP EQUIP TRT</t>
  </si>
  <si>
    <t xml:space="preserve">    AMORT-TREAT/DISP EQUIP RCL</t>
  </si>
  <si>
    <t xml:space="preserve">    AMORT-PLANT SEWERS TRTMT P</t>
  </si>
  <si>
    <t xml:space="preserve">    AMORT-PLANT SEWERS RCLM WT</t>
  </si>
  <si>
    <t xml:space="preserve">    AMORT-OUTFALL LINES</t>
  </si>
  <si>
    <t xml:space="preserve">    AMORT-OTHER PLT TANGIBLE</t>
  </si>
  <si>
    <t xml:space="preserve">    AMORT-OTHER PLT COLLECTION</t>
  </si>
  <si>
    <t xml:space="preserve">    AMORT-OTHER PLT PUMP</t>
  </si>
  <si>
    <t xml:space="preserve">    AMORT-OTHER PLT TREATMENT</t>
  </si>
  <si>
    <t xml:space="preserve">    AMORT-OTHER PLT RCLM WTR T</t>
  </si>
  <si>
    <t xml:space="preserve">    AMORT-OTHER PLT RCLM WTR D</t>
  </si>
  <si>
    <t xml:space="preserve">    AMORT-LABORATORY EQPT</t>
  </si>
  <si>
    <t xml:space="preserve">    AMORT-MISC EQUIP SEWER</t>
  </si>
  <si>
    <t xml:space="preserve">    AMORT-OTHER TANGIBLE PLT S</t>
  </si>
  <si>
    <t xml:space="preserve">    AMORT-SEWER-TAP</t>
  </si>
  <si>
    <t xml:space="preserve">    AMORT-SWR MGMT FEE</t>
  </si>
  <si>
    <t xml:space="preserve">    AMORT-SWR RES CAP FEE</t>
  </si>
  <si>
    <t xml:space="preserve">    AMORT-SWR PLT MOD FEE</t>
  </si>
  <si>
    <t xml:space="preserve">    AMORT-SWR PLT MTR FEE</t>
  </si>
  <si>
    <t xml:space="preserve">    AMORT-REUSE SERVICES</t>
  </si>
  <si>
    <t xml:space="preserve">    AMORT-REUSE MTR/INSTALLATI</t>
  </si>
  <si>
    <t xml:space="preserve">    AMORT-REUSE DIST RESERVOIR</t>
  </si>
  <si>
    <t xml:space="preserve">    AMORT-REUSE TRANMISSION &amp;</t>
  </si>
  <si>
    <t xml:space="preserve">   AMORT OF EXCESS BK VALUE</t>
  </si>
  <si>
    <t xml:space="preserve">    FICA EXPENSE</t>
  </si>
  <si>
    <t xml:space="preserve">    FEDERAL UNEMPLOYMENT TAX</t>
  </si>
  <si>
    <t xml:space="preserve">    STATE UNEMPLOYMENT TAX</t>
  </si>
  <si>
    <t xml:space="preserve">    FRANCHISE TAX</t>
  </si>
  <si>
    <t xml:space="preserve">    GROSS RECEIPTS TAX</t>
  </si>
  <si>
    <t xml:space="preserve">    PERSONAL PROPERTY/ICT TAX</t>
  </si>
  <si>
    <t xml:space="preserve">    PROPERTY/OTHER GENERAL TAX</t>
  </si>
  <si>
    <t xml:space="preserve">    REAL ESTATE TAX</t>
  </si>
  <si>
    <t xml:space="preserve">    SALES/USE TAX EXPENSE</t>
  </si>
  <si>
    <t xml:space="preserve">    SPECIAL ASSESSMENTS</t>
  </si>
  <si>
    <t xml:space="preserve">    UTILITY/COMMISSION TAX</t>
  </si>
  <si>
    <t xml:space="preserve">   AMORT OF INVEST TAX CREDIT</t>
  </si>
  <si>
    <t xml:space="preserve">   DEF INCOME TAX-FED ITC</t>
  </si>
  <si>
    <t xml:space="preserve">   DEF INCOME TAX-FEDERAL</t>
  </si>
  <si>
    <t xml:space="preserve">   DEF INCOME TAXES-STATE</t>
  </si>
  <si>
    <t xml:space="preserve">   INCOME TAXES-FEDERAL</t>
  </si>
  <si>
    <t xml:space="preserve">   INCOME TAXES-STATE</t>
  </si>
  <si>
    <t xml:space="preserve">   DIVIDEND INCOME</t>
  </si>
  <si>
    <t xml:space="preserve">   INCOME FROM MGMT SERVICES</t>
  </si>
  <si>
    <t xml:space="preserve">    EMPLOYEE INS DEDUCTIONS</t>
  </si>
  <si>
    <t xml:space="preserve">    HEALTH COSTS &amp; OTHER</t>
  </si>
  <si>
    <t xml:space="preserve">    HEALTH INS REIMBURSEMENTS</t>
  </si>
  <si>
    <t xml:space="preserve">    OTHER EMP PENSION/BENEFITS</t>
  </si>
  <si>
    <t xml:space="preserve">    PENSION CONTRIBUTIONS</t>
  </si>
  <si>
    <t xml:space="preserve">    TERM LIFE INS</t>
  </si>
  <si>
    <t>*</t>
  </si>
  <si>
    <t>* JDE 2009506 General Ledger attachment</t>
  </si>
  <si>
    <t>G/L</t>
  </si>
  <si>
    <t>Collateral trust notes -</t>
  </si>
  <si>
    <t>Retirements Made for Pro Forma Plant</t>
  </si>
  <si>
    <t xml:space="preserve">    Federal Tax Rate</t>
  </si>
  <si>
    <t>Salary</t>
  </si>
  <si>
    <t>Invoiced Additions</t>
  </si>
  <si>
    <t>1" commercial city w/ school tax and KY state sales tax</t>
  </si>
  <si>
    <t>Micro Sys Cost</t>
  </si>
  <si>
    <t>Effect of</t>
  </si>
  <si>
    <t>Per</t>
  </si>
  <si>
    <t>Structures &amp; Improvemetns (Water TP)</t>
  </si>
  <si>
    <t>Structures &amp; Improvements (Sourc Sup)</t>
  </si>
  <si>
    <t xml:space="preserve">Annual </t>
  </si>
  <si>
    <t>Transmission &amp; Distribution Mains</t>
  </si>
  <si>
    <t>Operating Exp. Charged to Plant</t>
  </si>
  <si>
    <t>Miscellaneous</t>
  </si>
  <si>
    <t>Depreciation</t>
  </si>
  <si>
    <t>Maintenance Expenses</t>
  </si>
  <si>
    <t>Salaries and Wages</t>
  </si>
  <si>
    <t>Net Income</t>
  </si>
  <si>
    <t>Income Taxes - State</t>
  </si>
  <si>
    <t>Interest</t>
  </si>
  <si>
    <t>Capital</t>
  </si>
  <si>
    <t>Operator Allocation</t>
  </si>
  <si>
    <t xml:space="preserve">Average # of </t>
  </si>
  <si>
    <t>Payroll Tax Increase</t>
  </si>
  <si>
    <t>Actual</t>
  </si>
  <si>
    <t>Customers</t>
  </si>
  <si>
    <t>Real Estate Tax</t>
  </si>
  <si>
    <t>Personal Property Tax</t>
  </si>
  <si>
    <t>Franchise Tax</t>
  </si>
  <si>
    <t>Vehicles</t>
  </si>
  <si>
    <t>Common Stock and Paid In Capital</t>
  </si>
  <si>
    <t>Pro Forma Salaries, Taxes, and Benefits for Operators (from w/p [b])</t>
  </si>
  <si>
    <t>Industrial city special w/ school tax and KY state sales tax</t>
  </si>
  <si>
    <t>Commercial county special</t>
  </si>
  <si>
    <t xml:space="preserve">                Meter Size: 1 1/2"                                     </t>
  </si>
  <si>
    <t xml:space="preserve">              Customer Class: Commercial County Special Tax Exempt</t>
  </si>
  <si>
    <t xml:space="preserve">                Meter Size: N/A</t>
  </si>
  <si>
    <t xml:space="preserve">              Customer Class: Government City Special</t>
  </si>
  <si>
    <t xml:space="preserve">                   Meter Size: N/A                        </t>
  </si>
  <si>
    <t xml:space="preserve">              Customer Class: Government City Special Tax Exempt</t>
  </si>
  <si>
    <t xml:space="preserve">                   Meter Size: N/A           </t>
  </si>
  <si>
    <t xml:space="preserve">              Customer Class: Commercial City Special Tax Exempt</t>
  </si>
  <si>
    <t xml:space="preserve">              Customer Class: Industrial City w/ School Tax and KY State Sales Tax</t>
  </si>
  <si>
    <t xml:space="preserve">                   Meter Size: 5/8"</t>
  </si>
  <si>
    <t xml:space="preserve">                   Meter Size: 1"</t>
  </si>
  <si>
    <t xml:space="preserve">                   Meter Size: 1 1/2"</t>
  </si>
  <si>
    <t xml:space="preserve">                   Meter Size: 2"</t>
  </si>
  <si>
    <t xml:space="preserve">                   Meter Size: 3"</t>
  </si>
  <si>
    <t xml:space="preserve">                   Meter Size: 4"</t>
  </si>
  <si>
    <t xml:space="preserve">                   Meter Size: 6"</t>
  </si>
  <si>
    <t xml:space="preserve">              Customer Class: Commercial City w/ School Tax</t>
  </si>
  <si>
    <t xml:space="preserve">              Customer Class: Industrial City Special Tax Exempt</t>
  </si>
  <si>
    <t xml:space="preserve">              Customer Class: Commercial Pineville w/ County Tax</t>
  </si>
  <si>
    <t xml:space="preserve">              Customer Class: Government City w/ School Tax</t>
  </si>
  <si>
    <t xml:space="preserve">              Customer Class: Government City Fire Protection Tax Exempt</t>
  </si>
  <si>
    <t xml:space="preserve">              Customer Class: Commercial w/ School Tax and KY State Sales Tax</t>
  </si>
  <si>
    <t xml:space="preserve">              Customer Class: Residential w/ School Tax</t>
  </si>
  <si>
    <t xml:space="preserve">              Customer Class: Public Authority w/ School Tax</t>
  </si>
  <si>
    <t>Next 4,700</t>
  </si>
  <si>
    <t xml:space="preserve">                   Meter Size: 3/4"</t>
  </si>
  <si>
    <t xml:space="preserve">              Customer Class: Commercial Out City w/ School Tax and KY State Sales Tax</t>
  </si>
  <si>
    <t xml:space="preserve">              Customer Class: Public Authority Out City w/ School Tax</t>
  </si>
  <si>
    <t>Over 100,000 gallons</t>
  </si>
  <si>
    <t xml:space="preserve">              Customer Class: Commercial w/ School Tax</t>
  </si>
  <si>
    <t xml:space="preserve">              Customer Class: Multiple w/ School Tax and KY State Sales Tax</t>
  </si>
  <si>
    <t xml:space="preserve">              Customer Class: Residential w/ School Tax and KY State Sales Tax</t>
  </si>
  <si>
    <t xml:space="preserve">              Customer Class: Residential Out City w/ School Tax</t>
  </si>
  <si>
    <t xml:space="preserve">              Customer Class: Multiple w/ School Tax</t>
  </si>
  <si>
    <t xml:space="preserve">              Customer Class: Hydrant - Private</t>
  </si>
  <si>
    <t xml:space="preserve">              Customer Class: Sprinkler - Private</t>
  </si>
  <si>
    <t>Communication Equipment</t>
  </si>
  <si>
    <t>[i]</t>
  </si>
  <si>
    <t>Account Number</t>
  </si>
  <si>
    <t>2" commercial city w/ school tax</t>
  </si>
  <si>
    <t>Total Long-Term  Debt</t>
  </si>
  <si>
    <t>5/8" residential city w/ school tax</t>
  </si>
  <si>
    <t>Page 1 of 1</t>
  </si>
  <si>
    <t>Total Water Service Corporation of Kentucky Present Revenues</t>
  </si>
  <si>
    <t>Total Water Service Corporation of Kentucky Proposed Revenues</t>
  </si>
  <si>
    <t>3" industrial city w/ school tax and KY state sales tax</t>
  </si>
  <si>
    <t>4" commercial city w/ school tax and KY state sales tax</t>
  </si>
  <si>
    <t>5/8" commercial county w/ school tax and KY state sales tax</t>
  </si>
  <si>
    <t>Cost to</t>
  </si>
  <si>
    <t>Cost of</t>
  </si>
  <si>
    <t>Health</t>
  </si>
  <si>
    <t>Meter Installations</t>
  </si>
  <si>
    <t>Hydrants</t>
  </si>
  <si>
    <t>Meter Reading</t>
  </si>
  <si>
    <t>Present</t>
  </si>
  <si>
    <t>Pro Forma Present</t>
  </si>
  <si>
    <t>Rate</t>
  </si>
  <si>
    <t>Uncollectible %</t>
  </si>
  <si>
    <t>Cost</t>
  </si>
  <si>
    <t>Comments</t>
  </si>
  <si>
    <t>4" industrial city w/ school tax and KY state sales tax</t>
  </si>
  <si>
    <t>Operating Revenues</t>
  </si>
  <si>
    <t>Increase</t>
  </si>
  <si>
    <t>Pro Forma</t>
  </si>
  <si>
    <t>Total Operating Expenses</t>
  </si>
  <si>
    <t>UTILITIES, INC. AND SUBSIDIARIES</t>
  </si>
  <si>
    <t>Pay Period</t>
  </si>
  <si>
    <t>Plant Acquisition Adjustment-Sewer</t>
  </si>
  <si>
    <t>3/4" multi commercial w/ school tax</t>
  </si>
  <si>
    <t>First 1,000</t>
  </si>
  <si>
    <t>3/4" residential w/ school tax</t>
  </si>
  <si>
    <t>Rates per 1,000 gallons (minimum 68,400):</t>
  </si>
  <si>
    <t>First 68,400</t>
  </si>
  <si>
    <t>Next 31,600</t>
  </si>
  <si>
    <t>Rates per 1,000 gallons (minimum 281,500):</t>
  </si>
  <si>
    <t>First 281,500</t>
  </si>
  <si>
    <t>Total Plant</t>
  </si>
  <si>
    <t>Supervisory</t>
  </si>
  <si>
    <t>Net Operating Income</t>
  </si>
  <si>
    <t>Organization</t>
  </si>
  <si>
    <t>Total Common Shareholder's Equity</t>
  </si>
  <si>
    <t xml:space="preserve">Treasury shares and other (0 and 649 treasury </t>
  </si>
  <si>
    <t>shares, respectively</t>
  </si>
  <si>
    <t>Total Additions</t>
  </si>
  <si>
    <t>Calculation of Pro Forma Operating Expense Charged to Plant</t>
  </si>
  <si>
    <t>1 1/2" government city w/ school tax</t>
  </si>
  <si>
    <t xml:space="preserve">   INTEREST INCOME-INTERCO</t>
  </si>
  <si>
    <t xml:space="preserve">    MISCELLANEOUS INC NON-UTIL</t>
  </si>
  <si>
    <t xml:space="preserve">    MISCELLANEOUS EXP NON-UTIL</t>
  </si>
  <si>
    <t xml:space="preserve">    EXTRAORDINARY GAIN/LOSS</t>
  </si>
  <si>
    <t xml:space="preserve">    EXTRAORDINARY DEDUCTIONS</t>
  </si>
  <si>
    <t xml:space="preserve">    RENTAL INCOME</t>
  </si>
  <si>
    <t xml:space="preserve">    INTEREST INCOME</t>
  </si>
  <si>
    <t xml:space="preserve">    SALE OF EQUIPMENT</t>
  </si>
  <si>
    <t xml:space="preserve">    NET BOOK VALUE-DISPOSAL</t>
  </si>
  <si>
    <t xml:space="preserve">    DISPOSAL-CLEARING</t>
  </si>
  <si>
    <t xml:space="preserve">    DISPOSAL-PROCEEDS</t>
  </si>
  <si>
    <t xml:space="preserve">   AMORT OF DEB &amp; ACQ EXP</t>
  </si>
  <si>
    <t xml:space="preserve">   INTEREST EXPENSE-INTERCO</t>
  </si>
  <si>
    <t xml:space="preserve">    L/T INT EXP $50MM</t>
  </si>
  <si>
    <t xml:space="preserve">    L/T INT EXP 20M 4.55%</t>
  </si>
  <si>
    <t xml:space="preserve">    L/T INT EXP 20M 4.62</t>
  </si>
  <si>
    <t xml:space="preserve">    L/T INT EXP $41MM 8.42%</t>
  </si>
  <si>
    <t xml:space="preserve">    L/T INT EXP TEACHERS INS.&amp;</t>
  </si>
  <si>
    <t xml:space="preserve">    L/T INT EXP $180 M 7/06</t>
  </si>
  <si>
    <t xml:space="preserve">    L/T INT EXP BANK ONE</t>
  </si>
  <si>
    <t xml:space="preserve">    L/T INT EXP BK OF AMERICA</t>
  </si>
  <si>
    <t xml:space="preserve">    L/T INT EXP C&amp;S NATL BK</t>
  </si>
  <si>
    <t xml:space="preserve">    L/T INT EXP N C NATIONAL</t>
  </si>
  <si>
    <t>Books</t>
  </si>
  <si>
    <t>5/8" commercial city w/ school tax and KY state sales tax</t>
  </si>
  <si>
    <t>6" industrial city w/ school tax and KY state sales tax</t>
  </si>
  <si>
    <t>Laboratory Equipment</t>
  </si>
  <si>
    <t>Office Structures &amp; Improvements</t>
  </si>
  <si>
    <t>Office Furniture &amp; Equipments</t>
  </si>
  <si>
    <t>Total Depreciation</t>
  </si>
  <si>
    <t>Test Year / Present Revenues</t>
  </si>
  <si>
    <t>Nights</t>
  </si>
  <si>
    <t>Travel</t>
  </si>
  <si>
    <t>Land &amp; Land Rights General</t>
  </si>
  <si>
    <t>Water plant allocated</t>
  </si>
  <si>
    <t>Sewer Force Main/Svc Line</t>
  </si>
  <si>
    <t>Sewer Gravity Main/Manwhole</t>
  </si>
  <si>
    <t>Rate Base and Rate of Return</t>
  </si>
  <si>
    <t>Payroll Taxes</t>
  </si>
  <si>
    <t>Accumulated Depreciation-Sewer</t>
  </si>
  <si>
    <t>Less:</t>
  </si>
  <si>
    <t>Land</t>
  </si>
  <si>
    <t>Calculation of Salary and Benefits</t>
  </si>
  <si>
    <t>Next 9,000</t>
  </si>
  <si>
    <t>Next 12,000</t>
  </si>
  <si>
    <t>% Increase</t>
  </si>
  <si>
    <t>Contributions in Aid of Construction 2007 Additions</t>
  </si>
  <si>
    <t>Contributions in Aid of Construction 2008 Additions</t>
  </si>
  <si>
    <t>July-Nov</t>
  </si>
  <si>
    <t>from Dec to March</t>
  </si>
  <si>
    <t>per T/B</t>
  </si>
  <si>
    <t>Avail</t>
  </si>
  <si>
    <t>Mini Computers</t>
  </si>
  <si>
    <t>1" commercial w/ school tax and KY state sales tax</t>
  </si>
  <si>
    <t>1" multi residential w/ school tax and KY state sales tax</t>
  </si>
  <si>
    <t>1 1/2" commercial w/ school tax and KY state sales tax</t>
  </si>
  <si>
    <t>2" public authority w/ school tax</t>
  </si>
  <si>
    <t>Accounts Payable-Trade</t>
  </si>
  <si>
    <t>Usage</t>
  </si>
  <si>
    <t>Units</t>
  </si>
  <si>
    <t>Gross Plant</t>
  </si>
  <si>
    <t>5/8" government city w/ school tax</t>
  </si>
  <si>
    <t>3" government city w/ school tax</t>
  </si>
  <si>
    <t>Percentage of Pro Forma Salaries, Taxes, and Benefits to Charge to Plant</t>
  </si>
  <si>
    <t>Pro Forma Operating Expense Charged to Plant</t>
  </si>
  <si>
    <t>Total Operating Revenues</t>
  </si>
  <si>
    <t>Schedule B</t>
  </si>
  <si>
    <t>w/p [q]</t>
  </si>
  <si>
    <t>Accumulated Deferred Income Taxes</t>
  </si>
  <si>
    <t>Deferred Tax - Federal</t>
  </si>
  <si>
    <t>Average Consumption</t>
  </si>
  <si>
    <t>Difference</t>
  </si>
  <si>
    <t>Water Treatment Equipment</t>
  </si>
  <si>
    <t>Water Service Personnel</t>
  </si>
  <si>
    <t>Expenses &amp; UPIS Allocated to the City of Clinton Sewer Operations</t>
  </si>
  <si>
    <t>Expense Reductions</t>
  </si>
  <si>
    <t>Amount</t>
  </si>
  <si>
    <t>Transportation exp.</t>
  </si>
  <si>
    <t>Vehicle depreciation</t>
  </si>
  <si>
    <t>Total expense reduction</t>
  </si>
  <si>
    <t>Percent to total</t>
  </si>
  <si>
    <t xml:space="preserve">    DEPREC-HYDRANTS</t>
  </si>
  <si>
    <t xml:space="preserve">    DEPREC-BACKFLOW PREVENT DE</t>
  </si>
  <si>
    <t xml:space="preserve">    DEPREC-OTH PLT&amp;MISC EQP IN</t>
  </si>
  <si>
    <t xml:space="preserve">    DEPREC-OTH PLT&amp;MISC EQP SR</t>
  </si>
  <si>
    <t xml:space="preserve">    DEPREC-OTH PLT&amp;MISC EQP WT</t>
  </si>
  <si>
    <t xml:space="preserve">    DEPREC-OTH PLT&amp;MISC EQP DI</t>
  </si>
  <si>
    <t xml:space="preserve">    DEPREC-OFFICE STRUCTURE</t>
  </si>
  <si>
    <t xml:space="preserve">    DEPREC-OFFICE FURN/EQPT</t>
  </si>
  <si>
    <t xml:space="preserve">    DEPREC-STORES EQUIPMENT</t>
  </si>
  <si>
    <t xml:space="preserve">    DEPREC-TOOL SHOP &amp; MISC EQ</t>
  </si>
  <si>
    <t xml:space="preserve">    DEPREC-LABORATORY EQUIPMEN</t>
  </si>
  <si>
    <t xml:space="preserve">    DEPREC-POWER OPERATED EQUI</t>
  </si>
  <si>
    <t xml:space="preserve">    DEPREC-COMMUNICATION EQPT</t>
  </si>
  <si>
    <t xml:space="preserve">    DEPREC-MISC EQUIPMENT</t>
  </si>
  <si>
    <t xml:space="preserve">    DEPREC-OTHER TANG PLT WATE</t>
  </si>
  <si>
    <t xml:space="preserve">    DEPREC-FRANCHISES INTANG P</t>
  </si>
  <si>
    <t xml:space="preserve">    DEPREC-FRANCHISES RCLM WTR</t>
  </si>
  <si>
    <t xml:space="preserve">    DEPREC-STRUCT/IMPRV COLL P</t>
  </si>
  <si>
    <t xml:space="preserve">    DEPREC-STRUCT/IMPRV PUMP</t>
  </si>
  <si>
    <t xml:space="preserve">    DEPREC-STRUCT/IMPRV TREAT</t>
  </si>
  <si>
    <t xml:space="preserve">    DEPREC-STRUCT/IMPRV RCLM W</t>
  </si>
  <si>
    <t xml:space="preserve">    DEPREC-STRUCT/IMPRV RCLM D</t>
  </si>
  <si>
    <t xml:space="preserve">    DEPREC-STRUCT/IMPRV GEN PL</t>
  </si>
  <si>
    <t xml:space="preserve">    DEPREC-POWER GEN EQUIP COL</t>
  </si>
  <si>
    <t xml:space="preserve">    DEPREC-POWER GEN EQUIP PUM</t>
  </si>
  <si>
    <t xml:space="preserve">    DEPREC-POWER GEN EQUIP TRE</t>
  </si>
  <si>
    <t xml:space="preserve">    DEPREC-POWER GEN EQUIP RCL</t>
  </si>
  <si>
    <t xml:space="preserve">    DEPREC-SEWER FORCE MAIN/SR</t>
  </si>
  <si>
    <t xml:space="preserve">    DEPREC-SEWER GRAVITY MAIN/</t>
  </si>
  <si>
    <t xml:space="preserve">    DEPREC-SPECIAL COLL STRUCT</t>
  </si>
  <si>
    <t xml:space="preserve">    DEPREC-SERVICES TO CUSTOME</t>
  </si>
  <si>
    <t xml:space="preserve">    DEPREC-FLOW MEASURE DEVICE</t>
  </si>
  <si>
    <t xml:space="preserve">    DEPREC-FLOW MEASURE INSTAL</t>
  </si>
  <si>
    <t xml:space="preserve">    DEPREC-RECEIVING WELLS</t>
  </si>
  <si>
    <t xml:space="preserve">    DEPREC-PUMP EQP PUMP PLT</t>
  </si>
  <si>
    <t xml:space="preserve">    DEPREC-PUMP EQP RCLM WTP</t>
  </si>
  <si>
    <t xml:space="preserve">    DEPREC-PUMP EQP RCLM WTR D</t>
  </si>
  <si>
    <t xml:space="preserve">    DEPREC-TREAT/DISP EQUIP LA</t>
  </si>
  <si>
    <t xml:space="preserve">    DEPREC-TREAT/DISP EQ TRT P</t>
  </si>
  <si>
    <t xml:space="preserve">    DEPREC-TREAT/DISP EQ RCLM</t>
  </si>
  <si>
    <t xml:space="preserve">    DEPREC-PLANT SEWERS TRTMT</t>
  </si>
  <si>
    <t xml:space="preserve">    DEPREC-PLANT SEWERS RCLM W</t>
  </si>
  <si>
    <t xml:space="preserve">    DEPREC-OUTFALL LINES</t>
  </si>
  <si>
    <t xml:space="preserve">    DEPREC-OTHER PLT TANGIBLE</t>
  </si>
  <si>
    <t xml:space="preserve">    DEPREC-OTHER PLT COLLECTIO</t>
  </si>
  <si>
    <t xml:space="preserve">Rate Base Reallocation </t>
  </si>
  <si>
    <t>Per Reallocation</t>
  </si>
  <si>
    <t>Water Plant</t>
  </si>
  <si>
    <t>Water Plant AD</t>
  </si>
  <si>
    <t>Transportation Equipment</t>
  </si>
  <si>
    <t>Transportation AD</t>
  </si>
  <si>
    <t>Computers AD</t>
  </si>
  <si>
    <t xml:space="preserve">State of Ky </t>
  </si>
  <si>
    <t xml:space="preserve">Rate Base </t>
  </si>
  <si>
    <t xml:space="preserve"> Alloc Rate Base</t>
  </si>
  <si>
    <t>Pro Forma Wsc Rate Base Allocations:</t>
  </si>
  <si>
    <t>CC &amp; B closed out 7/31/08</t>
  </si>
  <si>
    <t>of 6/30/08</t>
  </si>
  <si>
    <t xml:space="preserve">Ky Erc % as </t>
  </si>
  <si>
    <t>to be allocated</t>
  </si>
  <si>
    <t xml:space="preserve"> Pro Forma RB </t>
  </si>
  <si>
    <t xml:space="preserve">Amount closed </t>
  </si>
  <si>
    <t>out per GL</t>
  </si>
  <si>
    <t>2" government city w/ school tax</t>
  </si>
  <si>
    <t xml:space="preserve">    SALARIES-SYSTEM PROJECT</t>
  </si>
  <si>
    <t xml:space="preserve">    SALARIES-ACCTG/FINANCE</t>
  </si>
  <si>
    <t xml:space="preserve">    SALARIES-ADMIN</t>
  </si>
  <si>
    <t xml:space="preserve">    SALARIES-OFFICERS/STKHLDR</t>
  </si>
  <si>
    <t xml:space="preserve">    SALARIES-HR</t>
  </si>
  <si>
    <t xml:space="preserve">    SALARIES-MIS</t>
  </si>
  <si>
    <t xml:space="preserve">    SALARIES-LEADERSHIP OPS</t>
  </si>
  <si>
    <t xml:space="preserve">    SALARIES-REGULATORY</t>
  </si>
  <si>
    <t xml:space="preserve">    SALARIES-CUSTOMER SERVICE</t>
  </si>
  <si>
    <t xml:space="preserve">    SALARIES-OPERATIONS FIELD</t>
  </si>
  <si>
    <t xml:space="preserve">    SALARIES-OPERATIONS OFFICE</t>
  </si>
  <si>
    <t xml:space="preserve">    SALARIES-CHGD TO PLT-WSC</t>
  </si>
  <si>
    <t xml:space="preserve">    CAPITALIZED TIME ADJUSTMEN</t>
  </si>
  <si>
    <t xml:space="preserve">    CAPITALIZED TIME ADJ-CORPO</t>
  </si>
  <si>
    <t xml:space="preserve">    TRAVEL LODGING</t>
  </si>
  <si>
    <t xml:space="preserve">    TRAVEL AIRFARE</t>
  </si>
  <si>
    <t xml:space="preserve">    TRAVEL TRANSPORTATION</t>
  </si>
  <si>
    <t xml:space="preserve">    TRAVEL MEALS</t>
  </si>
  <si>
    <t xml:space="preserve">    TRAVEL ENTERTAINMENT</t>
  </si>
  <si>
    <t xml:space="preserve">    TRAVEL OTHER</t>
  </si>
  <si>
    <t xml:space="preserve">    FUEL</t>
  </si>
  <si>
    <t xml:space="preserve">    AUTO REPAIR/TIRES</t>
  </si>
  <si>
    <t xml:space="preserve">    AUTO LICENSES</t>
  </si>
  <si>
    <t xml:space="preserve">    OTHER TRANS EXPENSES</t>
  </si>
  <si>
    <t xml:space="preserve">    TEST-WATER</t>
  </si>
  <si>
    <t xml:space="preserve">    TEST-EQUIP/CHEMICAL</t>
  </si>
  <si>
    <t>Total Allocated Salaries, Taxes, and Benefits (from above)</t>
  </si>
  <si>
    <t>at 3%</t>
  </si>
  <si>
    <t>at 4%</t>
  </si>
  <si>
    <t>Customer Deposits - Interest</t>
  </si>
  <si>
    <t>Net Utility Plant</t>
  </si>
  <si>
    <t>Gross Plant In Service</t>
  </si>
  <si>
    <t>401(k)</t>
  </si>
  <si>
    <t>Year Placed in Service</t>
  </si>
  <si>
    <t>Date Acq.</t>
  </si>
  <si>
    <t>Years in Service</t>
  </si>
  <si>
    <t>Salaries (non-operations)</t>
  </si>
  <si>
    <t>Gross Receipts Tax</t>
  </si>
  <si>
    <t>Taxes Accrued</t>
  </si>
  <si>
    <t>Amortization @</t>
  </si>
  <si>
    <t>$</t>
  </si>
  <si>
    <t>Accumulated Depreciation</t>
  </si>
  <si>
    <t>Utility</t>
  </si>
  <si>
    <t>Advances in Aid of Construction</t>
  </si>
  <si>
    <t>Retained Earnings</t>
  </si>
  <si>
    <t>Equity</t>
  </si>
  <si>
    <t xml:space="preserve">[c] </t>
  </si>
  <si>
    <t>Number</t>
  </si>
  <si>
    <t>Plant In Service</t>
  </si>
  <si>
    <t>Wells &amp; Springs</t>
  </si>
  <si>
    <t>per Year</t>
  </si>
  <si>
    <t xml:space="preserve">    Salaries (operations)</t>
  </si>
  <si>
    <t>Paid-in capital</t>
  </si>
  <si>
    <t>5/8" residential county w/ school tax</t>
  </si>
  <si>
    <t>1" commercial county w/ school tax and KY state sales tax</t>
  </si>
  <si>
    <t>5/8" industrial city w/ school tax and KY state sales tax</t>
  </si>
  <si>
    <t>1 1/2" commercial county w/ school tax and KY state sales tax</t>
  </si>
  <si>
    <t>[l]</t>
  </si>
  <si>
    <t>Rates per 1,000 gallons (minimum 6,000):</t>
  </si>
  <si>
    <t>First 6,000</t>
  </si>
  <si>
    <t>Next 4,000</t>
  </si>
  <si>
    <t>A/P - Assoc. Companies</t>
  </si>
  <si>
    <t>Chemicals</t>
  </si>
  <si>
    <t>Pro Forma Proposed</t>
  </si>
  <si>
    <t xml:space="preserve">[b] </t>
  </si>
  <si>
    <t>5/8" commercial city w/ school tax</t>
  </si>
  <si>
    <t>1" commercial city w/ school tax</t>
  </si>
  <si>
    <t>3/4" public authority out of city w/ school tax</t>
  </si>
  <si>
    <t>First 21,400</t>
  </si>
  <si>
    <t>Next 3,600</t>
  </si>
  <si>
    <t>Balance Sheet</t>
  </si>
  <si>
    <t>Ratio</t>
  </si>
  <si>
    <t>Weighted Cost</t>
  </si>
  <si>
    <t>[k]</t>
  </si>
  <si>
    <t>5/8" commercial w/ school tax and KY state sales tax</t>
  </si>
  <si>
    <t>5/8" public authority w/ school tax</t>
  </si>
  <si>
    <t>1" public authority w/ school tax</t>
  </si>
  <si>
    <t>Tools, Shop, &amp; Misc Equipment</t>
  </si>
  <si>
    <t>Water</t>
  </si>
  <si>
    <t>Calculation of Working Capital</t>
  </si>
  <si>
    <t>Water Yr End</t>
  </si>
  <si>
    <t>Schedule A</t>
  </si>
  <si>
    <t>Expense</t>
  </si>
  <si>
    <t>Total Rate Base</t>
  </si>
  <si>
    <t>Maintenance</t>
  </si>
  <si>
    <t xml:space="preserve">[a] </t>
  </si>
  <si>
    <t>Description</t>
  </si>
  <si>
    <t>Sub Total</t>
  </si>
  <si>
    <t>Calculation of Taxes Other Than Income Taxes</t>
  </si>
  <si>
    <t>Utility/Commission Tax</t>
  </si>
  <si>
    <t>TOTAL LIABILITIES AND OTHER CREDITS</t>
  </si>
  <si>
    <t>Contributions In Aid of Construction</t>
  </si>
  <si>
    <t>Transportation Allocation</t>
  </si>
  <si>
    <t>Total WSCK Operator's Salaries</t>
  </si>
  <si>
    <t>Total WSCK Operator's Salaries Allocated to City of Clinton Sewer Operations</t>
  </si>
  <si>
    <t>Total WSCK Transportation Expense</t>
  </si>
  <si>
    <t>Percent to Total Allocated to City of Clinton Sewer Operations</t>
  </si>
  <si>
    <t>Total WSCK Transportation Expense Allocated to Clinton Sewer Operations</t>
  </si>
  <si>
    <t>Total WSCK Vehicle Depreciation</t>
  </si>
  <si>
    <t>Total WSCK Vehicle</t>
  </si>
  <si>
    <t>Total WSCK UPIS Allocated to Clinton Sewer Operations</t>
  </si>
  <si>
    <t>Total WSCK Accumulated DepreciationVehicle</t>
  </si>
  <si>
    <t>Total WSCK Accumulated Depreciation Vehicle Allocated to Clinton Sewer Operations</t>
  </si>
  <si>
    <t>Reduction for Transportation Equipment</t>
  </si>
  <si>
    <t>Transportation equipment has been reduced due to operator time for Clinton sewer operations.</t>
  </si>
  <si>
    <t>Pro Forma Interest Expense</t>
  </si>
  <si>
    <t xml:space="preserve">Water </t>
  </si>
  <si>
    <t>45/360</t>
  </si>
  <si>
    <t>[b]</t>
  </si>
  <si>
    <t>[c]</t>
  </si>
  <si>
    <t>[d]</t>
  </si>
  <si>
    <t>[e]</t>
  </si>
  <si>
    <t>[f]</t>
  </si>
  <si>
    <t>[g]</t>
  </si>
  <si>
    <t>[h]</t>
  </si>
  <si>
    <t>Usage Charge</t>
  </si>
  <si>
    <t xml:space="preserve">1 1/2" industrial city w/ school tax and KY state sales tax </t>
  </si>
  <si>
    <t>5/8" multi commercial w/ school tax and KY state sales tax</t>
  </si>
  <si>
    <t>Next 15,000</t>
  </si>
  <si>
    <t>Next 25,000</t>
  </si>
  <si>
    <t>Next 50,000</t>
  </si>
  <si>
    <t>3/4" residential out of city w/ school tax</t>
  </si>
  <si>
    <t>Rates per 1,000 gallons (minimum 13,000):</t>
  </si>
  <si>
    <t>First 13,000</t>
  </si>
  <si>
    <t>Rates per 1,000 gallons (minimum 21,400):</t>
  </si>
  <si>
    <t>6" commercial w/ school tax and KY state sales tax</t>
  </si>
  <si>
    <t>Rates per 1,000 gallons (minimum 250,500)</t>
  </si>
  <si>
    <t>1" industrial city w/ school tax and KY state sales tax</t>
  </si>
  <si>
    <t>1 1/2" industrial city w/ school tax and KY state sales tax</t>
  </si>
  <si>
    <t>Costs to</t>
  </si>
  <si>
    <t>1" commercial out of city w/ school tax and KY state sales tax</t>
  </si>
  <si>
    <t>Over 281,500</t>
  </si>
  <si>
    <t>Over 100,000</t>
  </si>
  <si>
    <t>Rates per 1,000 gallons (minimum 127,500):</t>
  </si>
  <si>
    <t>First 127,500</t>
  </si>
  <si>
    <t>Over 127,500</t>
  </si>
  <si>
    <t>Net Plant</t>
  </si>
  <si>
    <t>5/8" residential w/ school tax</t>
  </si>
  <si>
    <t>Construction Work In Process-Water</t>
  </si>
  <si>
    <t xml:space="preserve">G/L </t>
  </si>
  <si>
    <t>Flat</t>
  </si>
  <si>
    <t>Legal Fees</t>
  </si>
  <si>
    <t>Sub-Total</t>
  </si>
  <si>
    <t>Working Capital</t>
  </si>
  <si>
    <t>Pro Forma Present Rate Base</t>
  </si>
  <si>
    <t>Adjustment</t>
  </si>
  <si>
    <t>Maintenance Expense</t>
  </si>
  <si>
    <t>CIAC</t>
  </si>
  <si>
    <t>Revenues</t>
  </si>
  <si>
    <t>customers:</t>
  </si>
  <si>
    <t xml:space="preserve">[d] </t>
  </si>
  <si>
    <t>WSC</t>
  </si>
  <si>
    <t>W</t>
  </si>
  <si>
    <t>Accumulated Depreciation-Water</t>
  </si>
  <si>
    <t>Total Water</t>
  </si>
  <si>
    <t xml:space="preserve">Date of </t>
  </si>
  <si>
    <t>hours</t>
  </si>
  <si>
    <t>rate</t>
  </si>
  <si>
    <t>Total Cost of current case</t>
  </si>
  <si>
    <t>Amortized over 3 years</t>
  </si>
  <si>
    <t>Gallonage</t>
  </si>
  <si>
    <t>BFC</t>
  </si>
  <si>
    <t>Taxable Income</t>
  </si>
  <si>
    <t>Accumulated Deferred Income Tax</t>
  </si>
  <si>
    <t>WATER</t>
  </si>
  <si>
    <t>[a]</t>
  </si>
  <si>
    <t>LONG-TERM DEBT:</t>
  </si>
  <si>
    <t>Personnel</t>
  </si>
  <si>
    <t>Complete</t>
  </si>
  <si>
    <t>Customer Deposits</t>
  </si>
  <si>
    <t>Deferred Tax - State</t>
  </si>
  <si>
    <t>Explanation of Adjustments to Income Statement</t>
  </si>
  <si>
    <t>Schedule C</t>
  </si>
  <si>
    <t>Completion</t>
  </si>
  <si>
    <t>Construction Work In Process-Sewer</t>
  </si>
  <si>
    <t>Additional</t>
  </si>
  <si>
    <t>Pension</t>
  </si>
  <si>
    <t>Allocated</t>
  </si>
  <si>
    <t>Interest During Construction</t>
  </si>
  <si>
    <t>Taxable Income before taxes</t>
  </si>
  <si>
    <t>Customers Billed</t>
  </si>
  <si>
    <t>Database</t>
  </si>
  <si>
    <t>Oper. (see above)</t>
  </si>
  <si>
    <t xml:space="preserve">Rate of Return </t>
  </si>
  <si>
    <t>Debt</t>
  </si>
  <si>
    <t>Taxes</t>
  </si>
  <si>
    <t>Unamortized ITC</t>
  </si>
  <si>
    <t>Office Utilities</t>
  </si>
  <si>
    <t>Electric Pumping Equipment</t>
  </si>
  <si>
    <t>Utility/Commission Tax Increase</t>
  </si>
  <si>
    <t>COST OF DEBT</t>
  </si>
  <si>
    <t xml:space="preserve">Revenue </t>
  </si>
  <si>
    <t>Test Year/Present Revenues</t>
  </si>
  <si>
    <t xml:space="preserve">    PURCHASED WATER</t>
  </si>
  <si>
    <t xml:space="preserve">    PURCHASED WATER-WATER SYS</t>
  </si>
  <si>
    <t xml:space="preserve">    PURCHASED WATER-SEWER SYS</t>
  </si>
  <si>
    <t xml:space="preserve">    PURCHASED WATER - BILLINGS</t>
  </si>
  <si>
    <t xml:space="preserve">    PURCHASED SEWER TREATMENT</t>
  </si>
  <si>
    <t xml:space="preserve">    PURCHASED SEWER - BILLINGS</t>
  </si>
  <si>
    <t xml:space="preserve">    ELEC PWR - WTR SYSTEM SRC</t>
  </si>
  <si>
    <t xml:space="preserve">    ELEC PWR - WTR SYSTEM WTR</t>
  </si>
  <si>
    <t xml:space="preserve">    ELEC PWR - WTR SYSTEM TRAN</t>
  </si>
  <si>
    <t xml:space="preserve">    ELEC PWR - WTR SYSTEM ADMI</t>
  </si>
  <si>
    <t xml:space="preserve">    ELEC PWR - SWR SYSTEM COLL</t>
  </si>
  <si>
    <t xml:space="preserve">    ELEC PWR - SWR SYSTEM PUMP</t>
  </si>
  <si>
    <t xml:space="preserve">    ELEC PWR - SWR SYSTEM TRT</t>
  </si>
  <si>
    <t xml:space="preserve">    ELEC PWR - SWR SYSTEM ADMI</t>
  </si>
  <si>
    <t xml:space="preserve">    ELEC PWR - SWR SYSTEM REUS</t>
  </si>
  <si>
    <t xml:space="preserve">    CHLORINE</t>
  </si>
  <si>
    <t xml:space="preserve">    ODOR CONTROL CHEMICALS</t>
  </si>
  <si>
    <t xml:space="preserve">    OTHER TREATMENT CHEMICALS</t>
  </si>
  <si>
    <t xml:space="preserve">   METER READING</t>
  </si>
  <si>
    <t xml:space="preserve">    AGENCY EXPENSE</t>
  </si>
  <si>
    <t xml:space="preserve">    UNCOLLECTIBLE ACCOUNTS</t>
  </si>
  <si>
    <t xml:space="preserve">    UNCOLL ACCOUNTS ACCRUAL</t>
  </si>
  <si>
    <t xml:space="preserve">    BILL STOCK</t>
  </si>
  <si>
    <t xml:space="preserve">    BILLING COMPUTER SUPPLIES</t>
  </si>
  <si>
    <t xml:space="preserve">    BILLING ENVELOPES</t>
  </si>
  <si>
    <t xml:space="preserve">    BILLING POSTAGE</t>
  </si>
  <si>
    <t xml:space="preserve">    CUSTOMER SERVICE PRINTING</t>
  </si>
  <si>
    <t xml:space="preserve">    401K/ESOP CONTRIBUTIONS</t>
  </si>
  <si>
    <t xml:space="preserve">    DENTAL PREMIUMS</t>
  </si>
  <si>
    <t xml:space="preserve">    DENTAL INS REIMBURSEMENTS</t>
  </si>
  <si>
    <t xml:space="preserve">    EMP PENSIONS &amp; BENEFITS</t>
  </si>
  <si>
    <t>Government city special</t>
  </si>
  <si>
    <t>Commercial city special</t>
  </si>
  <si>
    <t>4" government city w/ school tax</t>
  </si>
  <si>
    <t>Rates per 1,000 gallons (minimum 1,000):</t>
  </si>
  <si>
    <t>First 5,300</t>
  </si>
  <si>
    <t>Next 3,700</t>
  </si>
  <si>
    <t>Rates per 1,000 gallons (minimum 11,200):</t>
  </si>
  <si>
    <t>First 11,200</t>
  </si>
  <si>
    <t>Next 13,800</t>
  </si>
  <si>
    <t>Rates per 1,000 gallons (minimum 17,600):</t>
  </si>
  <si>
    <t>First 17,600</t>
  </si>
  <si>
    <t>Next 7,400</t>
  </si>
  <si>
    <t>w/p  [b]</t>
  </si>
  <si>
    <t>w/p  [b-2]</t>
  </si>
  <si>
    <t>w/p [e]</t>
  </si>
  <si>
    <t>w/p [f]</t>
  </si>
  <si>
    <t>w/p [g]</t>
  </si>
  <si>
    <t>w/p [h-1]</t>
  </si>
  <si>
    <t>w/p [h]</t>
  </si>
  <si>
    <t>Plant Depreciation @</t>
  </si>
  <si>
    <t>w/p [a]</t>
  </si>
  <si>
    <t>MIDDLESBORO</t>
  </si>
  <si>
    <t>CLINTON</t>
  </si>
  <si>
    <t xml:space="preserve">    AMORT-WTR PLT MTR FEE</t>
  </si>
  <si>
    <t xml:space="preserve">    AMORT-FRANCHISES INTANG PL</t>
  </si>
  <si>
    <t xml:space="preserve">    AMORT-FRANCHISES RCLM WTR</t>
  </si>
  <si>
    <t xml:space="preserve">    AMORT-STRUCT/IMPRV COLL PL</t>
  </si>
  <si>
    <t xml:space="preserve">    AMORT-STRUCT/IMPRV PUMP PL</t>
  </si>
  <si>
    <t xml:space="preserve">    DEPREC-OTHER PLT PUMP</t>
  </si>
  <si>
    <t xml:space="preserve">    DEPREC-OTHER PLT TREATMENT</t>
  </si>
  <si>
    <t xml:space="preserve">    DEPREC-OTHER PLT RCLM WTR</t>
  </si>
  <si>
    <t xml:space="preserve">    DEPREC-LABORATORY EQPT</t>
  </si>
  <si>
    <t xml:space="preserve">    DEPREC-MISC EQUIP SEWER</t>
  </si>
  <si>
    <t xml:space="preserve">    DEPREC-OTHER TANG PLT SEWE</t>
  </si>
  <si>
    <t xml:space="preserve">    DEPREC-REUSE SERVICES</t>
  </si>
  <si>
    <t xml:space="preserve">    DEPREC-REUSE MTR/INSTALLAT</t>
  </si>
  <si>
    <t xml:space="preserve">    DEPREC-REUSE DIST RESERVOI</t>
  </si>
  <si>
    <t xml:space="preserve">    DEPREC-REUSE TRANSM / DIST</t>
  </si>
  <si>
    <t xml:space="preserve">    DEPREC-AUTO TRANS</t>
  </si>
  <si>
    <t xml:space="preserve">    DEPREC-COMPUTER</t>
  </si>
  <si>
    <t xml:space="preserve">   DEPRECIATION EXP-NONREGULAT</t>
  </si>
  <si>
    <t xml:space="preserve">   DEPRECIATION EXP-OTHER</t>
  </si>
  <si>
    <t xml:space="preserve">   AMORT EXP-AIA-WATER</t>
  </si>
  <si>
    <t xml:space="preserve">   AMORT EXP-AIA-SEWER</t>
  </si>
  <si>
    <t xml:space="preserve">   AMORT OF UTIL PAA-WATER</t>
  </si>
  <si>
    <t xml:space="preserve">   AMORT OF UTIL PAA-SEWER</t>
  </si>
  <si>
    <t xml:space="preserve">    AMORT-ORGANIZATION</t>
  </si>
  <si>
    <t xml:space="preserve">    AMORT-FRANCHISES</t>
  </si>
  <si>
    <t xml:space="preserve">    AMORT-STRCT&amp;IMPRV SRC SUPP</t>
  </si>
  <si>
    <t xml:space="preserve">    AMORT-STRCT&amp;IMPRV WTP</t>
  </si>
  <si>
    <t xml:space="preserve">    AMORT-STRCT&amp;IMPRV DIST</t>
  </si>
  <si>
    <t xml:space="preserve">    AMORT-STRCT&amp;IMPRV GEN PLT</t>
  </si>
  <si>
    <t xml:space="preserve">    AMORT-COLLECTING RESERVOIR</t>
  </si>
  <si>
    <t xml:space="preserve">    AMORT-LAKE, RIVER, OTHER I</t>
  </si>
  <si>
    <t xml:space="preserve">    AMORT-WELLS &amp; SPRINGS</t>
  </si>
  <si>
    <t xml:space="preserve">    AMORT-INFILTRATION GALLERY</t>
  </si>
  <si>
    <t xml:space="preserve">    AMORT-SUPPLY MAINS</t>
  </si>
  <si>
    <t xml:space="preserve">    AMORT-POWER GEN EQP</t>
  </si>
  <si>
    <t xml:space="preserve">    AMORT-ELEC PUMP EQP SRC PU</t>
  </si>
  <si>
    <t xml:space="preserve">    AMORT-ELEC PUMP EQP WTP</t>
  </si>
  <si>
    <t xml:space="preserve">    AMORT-ELEC PUMP EQP TRANS</t>
  </si>
  <si>
    <t xml:space="preserve">    AMORT-WATER TREATMENT EQPT</t>
  </si>
  <si>
    <t xml:space="preserve">    AMORT-DIST RESV &amp; STANDPIP</t>
  </si>
  <si>
    <t xml:space="preserve">    AMORT-TRANS &amp; DISTR MAINS</t>
  </si>
  <si>
    <t xml:space="preserve">    AMORT-SERVICE LINES</t>
  </si>
  <si>
    <t xml:space="preserve">    AMORT-METERS</t>
  </si>
  <si>
    <t xml:space="preserve">    AMORT-METER INSTALLS</t>
  </si>
  <si>
    <t xml:space="preserve">    AMORT-HYDRANTS</t>
  </si>
  <si>
    <t xml:space="preserve">    AMORT-BACKFLOW PREVENT DEV</t>
  </si>
  <si>
    <t xml:space="preserve">    AMORT-OTH PLT&amp;MISC EQP INT</t>
  </si>
  <si>
    <t xml:space="preserve">    AMORT-OTH PLT&amp;MISC EQP SRC</t>
  </si>
  <si>
    <t xml:space="preserve">    AMORT-OTH PLT&amp;MISC EQP WTP</t>
  </si>
  <si>
    <t>Trial Balance 6/30/2008</t>
  </si>
  <si>
    <t xml:space="preserve">    L/T INT EXP CENTURY 21</t>
  </si>
  <si>
    <t xml:space="preserve">    L/T INT EXP IDS LIFE INS</t>
  </si>
  <si>
    <t xml:space="preserve">    L/T INT EXP PRUDENTIAL BAC</t>
  </si>
  <si>
    <t xml:space="preserve">    L/T INT EXP FIRST UNION</t>
  </si>
  <si>
    <t xml:space="preserve">    L/T INT EXP LINCOLN LIFE I</t>
  </si>
  <si>
    <t xml:space="preserve">    L/T INT EXP 15M LINCOLN NA</t>
  </si>
  <si>
    <t xml:space="preserve">    L/T INT EXP MORTGAGES</t>
  </si>
  <si>
    <t xml:space="preserve">    L/T INT EXP DEBT DISC</t>
  </si>
  <si>
    <t xml:space="preserve">    L/T INT EXP OTHER</t>
  </si>
  <si>
    <t>F</t>
  </si>
  <si>
    <t>G</t>
  </si>
  <si>
    <t>H</t>
  </si>
  <si>
    <t>I</t>
  </si>
  <si>
    <t>J</t>
  </si>
  <si>
    <t>K</t>
  </si>
  <si>
    <t>G1</t>
  </si>
  <si>
    <t>BS</t>
  </si>
  <si>
    <t>Total Adjustment</t>
  </si>
  <si>
    <t>B1</t>
  </si>
  <si>
    <t>B2</t>
  </si>
  <si>
    <t>C1</t>
  </si>
  <si>
    <t>C2</t>
  </si>
  <si>
    <t>C3</t>
  </si>
  <si>
    <t>C4</t>
  </si>
  <si>
    <t>C5</t>
  </si>
  <si>
    <t>TOTAL ASSETS</t>
  </si>
  <si>
    <t>Federal Taxes</t>
  </si>
  <si>
    <t>Federal Taxable Income</t>
  </si>
  <si>
    <t>Proposed Revenues</t>
  </si>
  <si>
    <t>Total Operating Expense Charged to Plant (from Schedule B)</t>
  </si>
  <si>
    <t xml:space="preserve">    AMORT-OTH PLT&amp;MISC EQP DIS</t>
  </si>
  <si>
    <t xml:space="preserve">    AMORT-OFFICE STRUCTURE</t>
  </si>
  <si>
    <t xml:space="preserve">    AMORT-OFFICE FURN/EQPT</t>
  </si>
  <si>
    <t xml:space="preserve">    AMORT-STORES EQUIPMENT</t>
  </si>
  <si>
    <t xml:space="preserve">    AMORT-TOOL SHOP &amp; MISC EQP</t>
  </si>
  <si>
    <t xml:space="preserve">    AMORT-LABORATORY EQUIPMENT</t>
  </si>
  <si>
    <t xml:space="preserve">    AMORT-POWER OPERATED EQUIP</t>
  </si>
  <si>
    <t xml:space="preserve">    AMORT-COMMUNICATION EQPT</t>
  </si>
  <si>
    <t xml:space="preserve">    AMORT-MISC EQUIPMENT</t>
  </si>
  <si>
    <t xml:space="preserve">    TERM LIFE INS-OPT</t>
  </si>
  <si>
    <t xml:space="preserve">    DEPEND LIFE INS-OPT</t>
  </si>
  <si>
    <t xml:space="preserve">    SUPPLEMENTAL LIFE INS</t>
  </si>
  <si>
    <t xml:space="preserve">    TUITION</t>
  </si>
  <si>
    <t xml:space="preserve">    INSURANCE-VEHICLE</t>
  </si>
  <si>
    <t xml:space="preserve">    INSURANCE-GEN LIAB</t>
  </si>
  <si>
    <t xml:space="preserve">    INSURANCE-WORKERS COMP</t>
  </si>
  <si>
    <t xml:space="preserve">    INSURANCE-OTHER</t>
  </si>
  <si>
    <t xml:space="preserve">    COMPUTER MAINTENANCE</t>
  </si>
  <si>
    <t xml:space="preserve">    COMPUTER SUPPLIES</t>
  </si>
  <si>
    <t xml:space="preserve">    COMPUTER AMORT &amp; PROG COST</t>
  </si>
  <si>
    <t xml:space="preserve">    INTERNET SUPPLIER</t>
  </si>
  <si>
    <t xml:space="preserve">    MICROFILMING</t>
  </si>
  <si>
    <t xml:space="preserve">    WEBSITE DEVELOPMENT</t>
  </si>
  <si>
    <t xml:space="preserve">    ADVERTISING/MARKETING</t>
  </si>
  <si>
    <t xml:space="preserve">    BANK SERVICE CHARGE</t>
  </si>
  <si>
    <t xml:space="preserve">    CONTRIBUTIONS</t>
  </si>
  <si>
    <t xml:space="preserve">    LETTER OF CREDIT FEE</t>
  </si>
  <si>
    <t xml:space="preserve">    LICENSE FEES</t>
  </si>
  <si>
    <t xml:space="preserve">    MEMBERSHIPS</t>
  </si>
  <si>
    <t xml:space="preserve">    PENALTIES/FINES</t>
  </si>
  <si>
    <t xml:space="preserve">    TRAINING EXPENSE</t>
  </si>
  <si>
    <t xml:space="preserve">    OTHER MISC EXPENSE</t>
  </si>
  <si>
    <t xml:space="preserve">    ANSWERING SERVICE</t>
  </si>
  <si>
    <t xml:space="preserve">    CLEANING SUPPLIES</t>
  </si>
  <si>
    <t xml:space="preserve">    COPY MACHINE</t>
  </si>
  <si>
    <t xml:space="preserve">    HOLIDAY EVENTS/PICNICS</t>
  </si>
  <si>
    <t xml:space="preserve">    KITCHEN SUPPLIES</t>
  </si>
  <si>
    <t xml:space="preserve">    OFFICE SUPPLY STORES</t>
  </si>
  <si>
    <t xml:space="preserve">    PRINTING/BLUEPRINTS</t>
  </si>
  <si>
    <t xml:space="preserve">    PUBL SUBSCRIPTIONS/TAPES</t>
  </si>
  <si>
    <t xml:space="preserve">    SHIPPING CHARGES</t>
  </si>
  <si>
    <t xml:space="preserve">    OTHER OFFICE EXPENSES</t>
  </si>
  <si>
    <t xml:space="preserve">    OFFICE ELECTRIC</t>
  </si>
  <si>
    <t xml:space="preserve">    OFFICE GAS</t>
  </si>
  <si>
    <t xml:space="preserve">    OFFICE WATER</t>
  </si>
  <si>
    <t xml:space="preserve">    OFFICE TELECOM</t>
  </si>
  <si>
    <t xml:space="preserve">    OFFICE GARBAGE REMOVAL</t>
  </si>
  <si>
    <t xml:space="preserve">    OFFICE LANDSCAPE / MOW / P</t>
  </si>
  <si>
    <t xml:space="preserve">    OFFICE ALARM SYS PHONE EXP</t>
  </si>
  <si>
    <t xml:space="preserve">    OFFICE MAINTENANCE</t>
  </si>
  <si>
    <t xml:space="preserve">    OFFICE CLEANING SERVICE</t>
  </si>
  <si>
    <t>3/4 Multi Com Wtr</t>
  </si>
  <si>
    <t>3/4" Multi Com Wtr</t>
  </si>
  <si>
    <t>2" Multi Wtr - Sch &amp; KY</t>
  </si>
  <si>
    <t>1" Multi Wtr - Sch &amp; KY</t>
  </si>
  <si>
    <t>3/4" Pub Auth Wtr Out City</t>
  </si>
  <si>
    <t>2" Pub Auth Wtr - Sch</t>
  </si>
  <si>
    <t>1" Wtr Com Out City</t>
  </si>
  <si>
    <t>3/4" Wtr Com Out City</t>
  </si>
  <si>
    <t>3/4" Com Wtr</t>
  </si>
  <si>
    <t>3/4 Res Wtr</t>
  </si>
  <si>
    <t>3/4 Rest Wtr Out City - Sch</t>
  </si>
  <si>
    <t>Rates per 1,000 gallons (minimum 5,300):</t>
  </si>
  <si>
    <t>AIAC</t>
  </si>
  <si>
    <t>Commercial city sprinkler</t>
  </si>
  <si>
    <t>Net:</t>
  </si>
  <si>
    <t>Working capital is calculated based on pro forma maintenance expenses, pro forma general expenses, and taxes other than income.</t>
  </si>
  <si>
    <t>Pro Forma Plant to be Included in Rate Case</t>
  </si>
  <si>
    <t>Plant Acquisition Adjustment-Water</t>
  </si>
  <si>
    <t>Airfare</t>
  </si>
  <si>
    <t>Hotel/Meals</t>
  </si>
  <si>
    <t>Return on Rate Base</t>
  </si>
  <si>
    <t>Adjusted</t>
  </si>
  <si>
    <t>Status</t>
  </si>
  <si>
    <t>Accounts Receivable - Net</t>
  </si>
  <si>
    <t>IS</t>
  </si>
  <si>
    <t>IS/BS</t>
  </si>
  <si>
    <t>Balance DR/(CR)</t>
  </si>
  <si>
    <t>Trial balance variance</t>
  </si>
  <si>
    <t>W &amp; S</t>
  </si>
  <si>
    <t>Account</t>
  </si>
  <si>
    <t>BALANCE SHEET</t>
  </si>
  <si>
    <t>TOTAL</t>
  </si>
  <si>
    <t>PLANT IN SERVICE</t>
  </si>
  <si>
    <t>TRANSPORTATION EQPT</t>
  </si>
  <si>
    <t>COMPUTER EQUIPMENT</t>
  </si>
  <si>
    <t>WORK IN PROGRESS</t>
  </si>
  <si>
    <t>ACCUMULATED DEPRECIATION</t>
  </si>
  <si>
    <t>PLANT ACQUISITION ADJUSTMENT</t>
  </si>
  <si>
    <t>CASH</t>
  </si>
  <si>
    <t>NET ACCOUNTS RECEIVABLE</t>
  </si>
  <si>
    <t>PREPAID EXPENSES</t>
  </si>
  <si>
    <t>PRELIMINARY SURVEY</t>
  </si>
  <si>
    <t>DEFERRED RATE CASE EXPENSE</t>
  </si>
  <si>
    <t>OTHER DEFERRED CHARGES</t>
  </si>
  <si>
    <t>ASSETS</t>
  </si>
  <si>
    <t>NET CONTRIBUTION IN AID OF CONSTRUCTION</t>
  </si>
  <si>
    <t>DEFERRED FEDERAL TAXES</t>
  </si>
  <si>
    <t>DEFERRED STATE TAXES</t>
  </si>
  <si>
    <t>ACCOUNTS PAYABLE</t>
  </si>
  <si>
    <t>ADVANCES FROM UTILITIES INC</t>
  </si>
  <si>
    <t>CUSTOMER DEPOSITS</t>
  </si>
  <si>
    <t>ACCRUED GENERAL TAXES</t>
  </si>
  <si>
    <t>ACCRUED TAXES</t>
  </si>
  <si>
    <t>ACCRUED INTEREST</t>
  </si>
  <si>
    <t>DEFERRED REVENUE</t>
  </si>
  <si>
    <t>PAYABLE TO DEVELOPER</t>
  </si>
  <si>
    <t>LIABILITIES</t>
  </si>
  <si>
    <t>EQUITY</t>
  </si>
  <si>
    <t>INCOME STATEMENT</t>
  </si>
  <si>
    <t>REVENUE</t>
  </si>
  <si>
    <t>PURCHASED WATER AND SEWER</t>
  </si>
  <si>
    <t>ELECTRIC POWER</t>
  </si>
  <si>
    <t>CHEMICALS</t>
  </si>
  <si>
    <t>METER READING</t>
  </si>
  <si>
    <t>BAD DEBT EXPENSE</t>
  </si>
  <si>
    <t>BILLING &amp; CUSTOMER SERVICE EXPENSE</t>
  </si>
  <si>
    <t>EMPLOYEE PENSION &amp; BENEFITS EXPENSE</t>
  </si>
  <si>
    <t>INSURANCE EXPENSE</t>
  </si>
  <si>
    <t>IT DEPARTMENT</t>
  </si>
  <si>
    <t>MISCELLANEOUS EXPENSE</t>
  </si>
  <si>
    <t>OFFICE EXPENSE</t>
  </si>
  <si>
    <t>OFFICE UTILITIES/MAINTENANCE</t>
  </si>
  <si>
    <t>OUTSIDE SERVICE EXPENSE</t>
  </si>
  <si>
    <t>RATE CASE EXPENSE</t>
  </si>
  <si>
    <t>RENT EXPENSE</t>
  </si>
  <si>
    <t>SALARIES &amp; WAGES</t>
  </si>
  <si>
    <t>TRAVEL EXPENSE</t>
  </si>
  <si>
    <t>FLEET TRANSPORTATION EXPENSE</t>
  </si>
  <si>
    <t>MAINTENANCE TESTING</t>
  </si>
  <si>
    <t>MAINTENANCE EXPENSE</t>
  </si>
  <si>
    <t>DEPRECIATION</t>
  </si>
  <si>
    <t>AMORTIZATION</t>
  </si>
  <si>
    <t>PAYROLL TAXES</t>
  </si>
  <si>
    <t>PROPERTY AND OTHER TAX EXPENSE</t>
  </si>
  <si>
    <t>INCOME TAX EXPENSE</t>
  </si>
  <si>
    <t>OPERATING &amp; MAINTENANCE EXPENSE</t>
  </si>
  <si>
    <t>MISC. REVENUES</t>
  </si>
  <si>
    <t>RENTAL / OTHER INCOME</t>
  </si>
  <si>
    <t>OTHER INCOME</t>
  </si>
  <si>
    <t>Cap Structure</t>
  </si>
  <si>
    <t>LONG-TERM INTEREST EXP</t>
  </si>
  <si>
    <t>SHORT-TERM INTEREST EXPENSE</t>
  </si>
  <si>
    <t>ALLOW FUNDS USED CONSTRUCTION</t>
  </si>
  <si>
    <t>OTHER EXPENSE</t>
  </si>
  <si>
    <t>INCOME LOSS/(PROFIT)</t>
  </si>
  <si>
    <t>TRIAL BALANCE</t>
  </si>
  <si>
    <t>Allocation Table</t>
  </si>
  <si>
    <t>Percent</t>
  </si>
  <si>
    <t>Allocation Method</t>
  </si>
  <si>
    <t>CUSTOMERS</t>
  </si>
  <si>
    <t>REVENUES</t>
  </si>
  <si>
    <t>NET PLANT</t>
  </si>
  <si>
    <t>DEFERRED MAINTENANCE</t>
  </si>
  <si>
    <t>CAP STRUCTURE</t>
  </si>
  <si>
    <t>LIABILITIES AND OTHER CREDITS</t>
  </si>
  <si>
    <t xml:space="preserve">Deferred Credits </t>
  </si>
  <si>
    <t>Deferred Revenue</t>
  </si>
  <si>
    <t>check</t>
  </si>
  <si>
    <t>Combined Operations</t>
  </si>
  <si>
    <t>Bulk Service Revenues - Sewer</t>
  </si>
  <si>
    <t>Purchase Water/Sewer</t>
  </si>
  <si>
    <t>[j][l]</t>
  </si>
  <si>
    <t>Amortization of PAA</t>
  </si>
  <si>
    <t>Amortization of ITC</t>
  </si>
  <si>
    <t>Amortization of CIAC</t>
  </si>
  <si>
    <t>Other Income</t>
  </si>
  <si>
    <t>Water Operations</t>
  </si>
  <si>
    <t xml:space="preserve">Amortization of CIAC </t>
  </si>
  <si>
    <t>Sewer Operations</t>
  </si>
  <si>
    <t>Page 3 of 4</t>
  </si>
  <si>
    <t xml:space="preserve">Total Taxes </t>
  </si>
  <si>
    <t>Uncollectible Accounts are adjusted based on the percentage of uncollectible accounts to revenues in</t>
  </si>
  <si>
    <t>Salaries, Wages and Benefits are adjusted to annualize as of the end of the year.</t>
  </si>
  <si>
    <t>Calculation of Revenue Requirement</t>
  </si>
  <si>
    <t>Operation Ratio Method</t>
  </si>
  <si>
    <t>Retention</t>
  </si>
  <si>
    <t>Requirement</t>
  </si>
  <si>
    <t>Expense Reduction Related to Clinton Sewer Operations</t>
  </si>
  <si>
    <t>Calculation of Capitalized Time Allocation</t>
  </si>
  <si>
    <t xml:space="preserve">Capitalized </t>
  </si>
  <si>
    <t>Time</t>
  </si>
  <si>
    <t>United</t>
  </si>
  <si>
    <t>Total Operator Capitalized Time</t>
  </si>
  <si>
    <t>Total Office Capitalized Time</t>
  </si>
  <si>
    <t>Total WSC Capitalized Time</t>
  </si>
  <si>
    <t>Total Capitalized Time Adjustment</t>
  </si>
  <si>
    <t xml:space="preserve">Operator Capitalized Time </t>
  </si>
  <si>
    <t>Office Capitalized Time</t>
  </si>
  <si>
    <t>Wsc Capitalized Time</t>
  </si>
  <si>
    <t>Total Capitalized  Time Adjustment</t>
  </si>
  <si>
    <t xml:space="preserve">Confidential </t>
  </si>
  <si>
    <t xml:space="preserve">Line </t>
  </si>
  <si>
    <t>Customer Service Personnel</t>
  </si>
  <si>
    <t>State</t>
  </si>
  <si>
    <t>7.65%</t>
  </si>
  <si>
    <t>[4]</t>
  </si>
  <si>
    <t>[5]</t>
  </si>
  <si>
    <t>[A]</t>
  </si>
  <si>
    <t>[B]</t>
  </si>
  <si>
    <t>[C]</t>
  </si>
  <si>
    <t>[D]</t>
  </si>
  <si>
    <t>[E]</t>
  </si>
  <si>
    <t>[F]</t>
  </si>
  <si>
    <t>[G]</t>
  </si>
  <si>
    <t>[H]</t>
  </si>
  <si>
    <t>[I]</t>
  </si>
  <si>
    <t>FL</t>
  </si>
  <si>
    <t>[1]</t>
  </si>
  <si>
    <t>NV</t>
  </si>
  <si>
    <t>[2]</t>
  </si>
  <si>
    <t>NC</t>
  </si>
  <si>
    <t>[3]</t>
  </si>
  <si>
    <t>WSC Allocation Percentage</t>
  </si>
  <si>
    <t>Annual Salary</t>
  </si>
  <si>
    <t>Total Northbrook Salary</t>
  </si>
  <si>
    <t>RVP</t>
  </si>
  <si>
    <t>Regional</t>
  </si>
  <si>
    <t xml:space="preserve">WSC - per WSC w/p </t>
  </si>
  <si>
    <t>Pro Forma Operating revenue</t>
  </si>
  <si>
    <t>Divided by: Pro Forma Operating Expenses</t>
  </si>
  <si>
    <t>Operating Ratio</t>
  </si>
  <si>
    <t>Pro Forma Operating Expenses</t>
  </si>
  <si>
    <t>Divided by: Operating ratio</t>
  </si>
  <si>
    <t>Total Water Revenue calculated</t>
  </si>
  <si>
    <t>Total Water Proposed Revenue calculated</t>
  </si>
  <si>
    <t>Increase in revenue</t>
  </si>
  <si>
    <t>Total Proposed Recommended Revenue</t>
  </si>
  <si>
    <t>Page 2 of 2</t>
  </si>
  <si>
    <t>Page 1 of 2</t>
  </si>
  <si>
    <t>Operating expense charged to plant has been adjusted for projected increases in salaries, taxes, and benefits for operators.</t>
  </si>
  <si>
    <t>Regulatory commission expense has been adjusted.</t>
  </si>
  <si>
    <t>Income taxes are computed on taxable income at current rates</t>
  </si>
  <si>
    <t>Expenses for Clinton sewer operations have been reduced to actual expense reductions.</t>
  </si>
  <si>
    <t>$0 to $50,000 @ 4.0%</t>
  </si>
  <si>
    <t>$50,001 to $100,000 @ 5.0%</t>
  </si>
  <si>
    <t>over $100,000 @ 6.0%</t>
  </si>
  <si>
    <t xml:space="preserve">     ACCRUED ST INCOME TAX</t>
  </si>
  <si>
    <t xml:space="preserve">     ORGANIZATION</t>
  </si>
  <si>
    <t xml:space="preserve">     FRANCHISES</t>
  </si>
  <si>
    <t xml:space="preserve">     LAND &amp; LAND RIGHTS TRANS</t>
  </si>
  <si>
    <t xml:space="preserve">     LAND &amp; LAND RIGHTS GEN PL</t>
  </si>
  <si>
    <t xml:space="preserve">     STRUCT &amp; IMPRV SRC SUPPLY</t>
  </si>
  <si>
    <t xml:space="preserve">     STRUCT &amp; IMPRV WTR TRT PL</t>
  </si>
  <si>
    <t xml:space="preserve">     STRUCT &amp; IMPRV TRANS DIST</t>
  </si>
  <si>
    <t xml:space="preserve">     STRUCT &amp; IMPRV GEN PLT</t>
  </si>
  <si>
    <t xml:space="preserve">     WELLS &amp; SPRINGS</t>
  </si>
  <si>
    <t xml:space="preserve">     SUPPLY MAINS</t>
  </si>
  <si>
    <t xml:space="preserve">     ELECTRIC PUMP EQUIP WTP</t>
  </si>
  <si>
    <t xml:space="preserve">     ELECTRIC PUMP EQUIP TRANS</t>
  </si>
  <si>
    <t xml:space="preserve">     WATER TREATMENT EQPT</t>
  </si>
  <si>
    <t xml:space="preserve">     DIST RESV &amp; STANDPIPES</t>
  </si>
  <si>
    <t xml:space="preserve">     TRANS &amp; DISTR MAINS</t>
  </si>
  <si>
    <t xml:space="preserve">     SERVICE LINES</t>
  </si>
  <si>
    <t xml:space="preserve">     METERS</t>
  </si>
  <si>
    <t xml:space="preserve">     METER INSTALLATIONS</t>
  </si>
  <si>
    <t xml:space="preserve">     HYDRANTS</t>
  </si>
  <si>
    <t xml:space="preserve">     BACKFLOW PREVENTION DEVIC</t>
  </si>
  <si>
    <t xml:space="preserve">     OTH PLT&amp;MISC EQUIP TRANS</t>
  </si>
  <si>
    <t xml:space="preserve">     OFFICE STRUCT &amp; IMPRV</t>
  </si>
  <si>
    <t xml:space="preserve">     OFFICE FURN &amp; EQPT</t>
  </si>
  <si>
    <t xml:space="preserve">     TOOL SHOP &amp; MISC EQPT</t>
  </si>
  <si>
    <t xml:space="preserve">     LABORATORY EQUIPMENT</t>
  </si>
  <si>
    <t xml:space="preserve">     COMMUNICATION EQPT</t>
  </si>
  <si>
    <t xml:space="preserve">     MISC EQUIPMENT</t>
  </si>
  <si>
    <t xml:space="preserve">     WATER PLANT ALLOCATED</t>
  </si>
  <si>
    <t xml:space="preserve">     OTHER TANGIBLE PLT WATER</t>
  </si>
  <si>
    <t xml:space="preserve">     FRANCHISES INTANG PLT</t>
  </si>
  <si>
    <t xml:space="preserve">     STRUCT/IMPRV COLL PLT</t>
  </si>
  <si>
    <t xml:space="preserve">     STRUCT/IMPRV PUMP PLT LS</t>
  </si>
  <si>
    <t xml:space="preserve">     STRUCT/IMPRV RECLAIM WTP</t>
  </si>
  <si>
    <t xml:space="preserve">     STRUCT/IMPRV GEN PLT</t>
  </si>
  <si>
    <t xml:space="preserve">     POWER GEN EQUIP TREAT PLT</t>
  </si>
  <si>
    <t xml:space="preserve">     SEWER FORCE MAIN</t>
  </si>
  <si>
    <t xml:space="preserve">     SEWER GRAVITY MAIN/MANHOL</t>
  </si>
  <si>
    <t xml:space="preserve">     SERVICES TO CUSTOMERS</t>
  </si>
  <si>
    <t xml:space="preserve">     FLOW MEASURE DEVICES</t>
  </si>
  <si>
    <t xml:space="preserve">     FLOW MEASURE INSTALL</t>
  </si>
  <si>
    <t xml:space="preserve">     PUMPING EQUIPMENT PUMP PL</t>
  </si>
  <si>
    <t xml:space="preserve">     PUMPING EQUIPMENT RECLAIM</t>
  </si>
  <si>
    <t xml:space="preserve">     TREAT/DISP EQUIP LAGOON</t>
  </si>
  <si>
    <t xml:space="preserve">     TREAT/DISP EQUIP TRT PLT</t>
  </si>
  <si>
    <t xml:space="preserve">     PLANT SEWERS TRTMT PLT</t>
  </si>
  <si>
    <t xml:space="preserve">     OTHER PLT COLLECTION</t>
  </si>
  <si>
    <t xml:space="preserve">     OTHER PLT PUMP</t>
  </si>
  <si>
    <t xml:space="preserve">     STORES EQUIPMENT</t>
  </si>
  <si>
    <t xml:space="preserve">     LABORATORY EQPT</t>
  </si>
  <si>
    <t xml:space="preserve">     POWER OPERATED EQUIP</t>
  </si>
  <si>
    <t xml:space="preserve">     MISC EQUIP SEWER</t>
  </si>
  <si>
    <t xml:space="preserve">     REUSE DIST RESERVOIRS</t>
  </si>
  <si>
    <t xml:space="preserve">     REUSE TRANMISSION &amp; DIST</t>
  </si>
  <si>
    <t xml:space="preserve">     TRANSPORTATION EQPT WTR</t>
  </si>
  <si>
    <t xml:space="preserve">     MAINFRAME COMPUTER WTR</t>
  </si>
  <si>
    <t xml:space="preserve">     MINI COMPUTERS WTR</t>
  </si>
  <si>
    <t xml:space="preserve">     COMP SYS COST WTR</t>
  </si>
  <si>
    <t xml:space="preserve">     MICRO SYS COST WTR</t>
  </si>
  <si>
    <t xml:space="preserve">     SEWER PLANT IN PROCESS</t>
  </si>
  <si>
    <t xml:space="preserve">     OTHER PLANT IN PROCESS</t>
  </si>
  <si>
    <t xml:space="preserve">     DEFERRED PLANT IN PROCESS</t>
  </si>
  <si>
    <t xml:space="preserve">     ACC DEPR-ORGANIZATION</t>
  </si>
  <si>
    <t xml:space="preserve">     ACC DEPR-FRANCHISES</t>
  </si>
  <si>
    <t xml:space="preserve">     ACC DEPR-STRUCT&amp;IMPRV SRC</t>
  </si>
  <si>
    <t xml:space="preserve">     ACC DEPR-STRUCT&amp;IMPRV WTP</t>
  </si>
  <si>
    <t xml:space="preserve">     ACC DEPR-STRUCT&amp;IMPRV TRN</t>
  </si>
  <si>
    <t xml:space="preserve">     ACC DEPR-STRUCT&amp;IMPRV GEN</t>
  </si>
  <si>
    <t xml:space="preserve">     ACC DEPR-WELLS &amp; SPRINGS</t>
  </si>
  <si>
    <t xml:space="preserve">     ACC DEPR-SUPPLY MAINS</t>
  </si>
  <si>
    <t xml:space="preserve">     ACC DEPR-ELECT PUMP EQUIP</t>
  </si>
  <si>
    <t xml:space="preserve">     ACC DEPR-WATER TREATMENT</t>
  </si>
  <si>
    <t xml:space="preserve">     ACC DEPR-DIST RESV &amp; STAN</t>
  </si>
  <si>
    <t xml:space="preserve">     ACC DEPR-TRANS &amp; DISTR MA</t>
  </si>
  <si>
    <t xml:space="preserve">     ACC DEPR-SERVICE LINES</t>
  </si>
  <si>
    <t xml:space="preserve">     ACC DEPR-METERS</t>
  </si>
  <si>
    <t xml:space="preserve">     ACC DEPR-METER INSTALLS</t>
  </si>
  <si>
    <t xml:space="preserve">     ACC DEPR-HYDRANTS</t>
  </si>
  <si>
    <t xml:space="preserve">     ACC DEPR-BACKFLOW PREVENT</t>
  </si>
  <si>
    <t xml:space="preserve">     ACC DEPR-OTH PLANT&amp;MISC T</t>
  </si>
  <si>
    <t xml:space="preserve">     ACC DEPR-OFFICE STRUCTURE</t>
  </si>
  <si>
    <t xml:space="preserve">     ACC DEPR-OFFICE FURN/EQPT</t>
  </si>
  <si>
    <t xml:space="preserve">     ACC DEPR-TOOL SHOP &amp; MISC</t>
  </si>
  <si>
    <t xml:space="preserve">     ACC DEPR-LABORATORY EQUIP</t>
  </si>
  <si>
    <t xml:space="preserve">     ACC DEPR-COMMUNICATION EQ</t>
  </si>
  <si>
    <t xml:space="preserve">     ACC DEPR-MISC EQUIPMENT</t>
  </si>
  <si>
    <t xml:space="preserve">     ACC DEPR-OTHER TANG PLT W</t>
  </si>
  <si>
    <t xml:space="preserve">     ACC DEPR FRANCHISES INTAN</t>
  </si>
  <si>
    <t xml:space="preserve">     ACC DEPR-STRUCT/IMPRV COL</t>
  </si>
  <si>
    <t xml:space="preserve">     ACC DEPR-STRUCT/IMPRV PUM</t>
  </si>
  <si>
    <t xml:space="preserve">     ACC DEPR-STRUCT/IMPRV RCL</t>
  </si>
  <si>
    <t xml:space="preserve">     ACC DEPR-STRUCT/IMPRV GEN</t>
  </si>
  <si>
    <t xml:space="preserve">     ACC DEPR-PWR GEN EQP TRT</t>
  </si>
  <si>
    <t xml:space="preserve">     ACC DEPR-SEWER FORCE MAIN</t>
  </si>
  <si>
    <t xml:space="preserve">     ACC DEPR-SEWER GRVTY MAIN</t>
  </si>
  <si>
    <t xml:space="preserve">     ACC DEPR-SERVICES TO CUST</t>
  </si>
  <si>
    <t xml:space="preserve">     ACC DEPR-FLOW MEASURE DEV</t>
  </si>
  <si>
    <t xml:space="preserve">     ACC DEPR-FLOW MEASURE INS</t>
  </si>
  <si>
    <t xml:space="preserve">     ACC DEPR-PUMP EQP PUMP PL</t>
  </si>
  <si>
    <t xml:space="preserve">     ACC DEPR-PUMP EQP RCLM WT</t>
  </si>
  <si>
    <t xml:space="preserve">     ACC DEPR-TREAT/DISP EQP L</t>
  </si>
  <si>
    <t xml:space="preserve">     ACC DEPR-TREAT/DISP EQP T</t>
  </si>
  <si>
    <t xml:space="preserve">     ACC DEPR-PLANT SEWERS TRT</t>
  </si>
  <si>
    <t xml:space="preserve">     ACC DEPR-OUTFALL LINES</t>
  </si>
  <si>
    <t xml:space="preserve">     ACC DEPR-OTHER PLT PUMP</t>
  </si>
  <si>
    <t xml:space="preserve">     ACC DEPR-STORES EQUIPMENT</t>
  </si>
  <si>
    <t xml:space="preserve">     ACC DEPR-LABORATORY EQPT</t>
  </si>
  <si>
    <t xml:space="preserve">     ACC DEPR-POWER OPERATED E</t>
  </si>
  <si>
    <t xml:space="preserve">     ACC DEPR-MISC EQUIP SEWER</t>
  </si>
  <si>
    <t xml:space="preserve">     ACC DEPR-REUSE DIST RESER</t>
  </si>
  <si>
    <t xml:space="preserve">     ACC DEPR-REUSE TRANS/DIST</t>
  </si>
  <si>
    <t xml:space="preserve">     ACC DEPR-TRANSPORTATION W</t>
  </si>
  <si>
    <t xml:space="preserve">     ACC DEPR-MAINFRAME COMP W</t>
  </si>
  <si>
    <t xml:space="preserve">     ACC DEPR-MINI COMP WTR</t>
  </si>
  <si>
    <t xml:space="preserve">     COMP SYS AMORTIZATION WTR</t>
  </si>
  <si>
    <t xml:space="preserve">     MICRO SYS AMORTIZATION WT</t>
  </si>
  <si>
    <t xml:space="preserve">    UTILITY PAA WTR PLANT AMOR</t>
  </si>
  <si>
    <t xml:space="preserve">    ACC AMORT UTIL PAA-WATER</t>
  </si>
  <si>
    <t xml:space="preserve">     CASH-CHASE-WSC DISBURSEME</t>
  </si>
  <si>
    <t xml:space="preserve">     CASH UNAPPLIED</t>
  </si>
  <si>
    <t xml:space="preserve">     A/R-CUSTOMER TRADE CC&amp;B</t>
  </si>
  <si>
    <t xml:space="preserve">     A/R-CUSTOMER ACCRUAL</t>
  </si>
  <si>
    <t xml:space="preserve">     A/R-CUSTOMER REFUNDS</t>
  </si>
  <si>
    <t xml:space="preserve">    ACCUM PROV UNCOLLECT ACCTS</t>
  </si>
  <si>
    <t xml:space="preserve">     A/R-OTHER</t>
  </si>
  <si>
    <t xml:space="preserve">    A/R ASSOC COS</t>
  </si>
  <si>
    <t xml:space="preserve">    INVENTORY</t>
  </si>
  <si>
    <t xml:space="preserve">    SPECIAL DEPOSITS</t>
  </si>
  <si>
    <t xml:space="preserve">    PREPAID REIMBURSEMENTS</t>
  </si>
  <si>
    <t xml:space="preserve">     Rate Case In Progress</t>
  </si>
  <si>
    <t xml:space="preserve">     RATE CASE BEING AMORT</t>
  </si>
  <si>
    <t xml:space="preserve">     RATE CASE ACCUM AMORT</t>
  </si>
  <si>
    <t xml:space="preserve">     DEF CHGS-TANK MAINT&amp;REP W</t>
  </si>
  <si>
    <t xml:space="preserve">     DEF CHGS-RELOCATION EXPEN</t>
  </si>
  <si>
    <t xml:space="preserve">     DEF CHGS-EMP FEES</t>
  </si>
  <si>
    <t xml:space="preserve">     DEF CHGS-VOC TESTING</t>
  </si>
  <si>
    <t xml:space="preserve">     DEF CHGS-PR WASH/JET SWR</t>
  </si>
  <si>
    <t xml:space="preserve">     DEF CHGS-TANK MAINT&amp;REP S</t>
  </si>
  <si>
    <t xml:space="preserve">     AMORT - TANK MAINT&amp;REP WT</t>
  </si>
  <si>
    <t xml:space="preserve">     AMORT - RELOCATION EXP</t>
  </si>
  <si>
    <t xml:space="preserve">     AMORT - EMPLOYEE FEES</t>
  </si>
  <si>
    <t xml:space="preserve">     AMORT - VOC TESTING</t>
  </si>
  <si>
    <t xml:space="preserve">     AMORT - PR WASH/JET SWR M</t>
  </si>
  <si>
    <t xml:space="preserve">     AMORT - TANK MAINT&amp;REP SW</t>
  </si>
  <si>
    <t xml:space="preserve">    ADV-IN-AID OF CONST-WATER</t>
  </si>
  <si>
    <t xml:space="preserve">     CIAC-OTHER TANGIBLE PLT W</t>
  </si>
  <si>
    <t xml:space="preserve">     CIAC-WATER-TAP</t>
  </si>
  <si>
    <t xml:space="preserve">     CIAC-WTR PLT MTR FEE</t>
  </si>
  <si>
    <t xml:space="preserve">     CIAC-STRUCT/IMPRV PUMP PL</t>
  </si>
  <si>
    <t xml:space="preserve">     CIAC-STRUCT/IMPRV GEN PLT</t>
  </si>
  <si>
    <t xml:space="preserve">     CIAC-SEWER FORCE MAIN</t>
  </si>
  <si>
    <t xml:space="preserve">     CIAC-SEWER GRAVITY MAIN</t>
  </si>
  <si>
    <t xml:space="preserve">     ACC AMORT OTHER TANG PLT</t>
  </si>
  <si>
    <t xml:space="preserve">     ACC AMORT WATER-CIAC TAP</t>
  </si>
  <si>
    <t xml:space="preserve">     ACC AMORT WTR PLT MTR FEE</t>
  </si>
  <si>
    <t xml:space="preserve">     ACC AMORTSTRUCT/IMPRV PUM</t>
  </si>
  <si>
    <t xml:space="preserve">     ACC AMORTSTRUCT/IMPRV GEN</t>
  </si>
  <si>
    <t xml:space="preserve">     ACC AMORT SWR FORCE MAIN/</t>
  </si>
  <si>
    <t xml:space="preserve">     ACC AMORT SEWER GRAVITY M</t>
  </si>
  <si>
    <t xml:space="preserve">     ACC AMORT SEWER-TAP</t>
  </si>
  <si>
    <t xml:space="preserve">     DEF FED TAX - TAP FEE POS</t>
  </si>
  <si>
    <t xml:space="preserve">     DEF FED TAX - RATE CASE</t>
  </si>
  <si>
    <t xml:space="preserve">     DEF FED TAX - DEF MAINT</t>
  </si>
  <si>
    <t xml:space="preserve">     DEF FED TAX - ORGN EXP</t>
  </si>
  <si>
    <t xml:space="preserve">     DEF FED TAX - BAD DEBT</t>
  </si>
  <si>
    <t xml:space="preserve">     DEF FED TAX - DEPRECIATIO</t>
  </si>
  <si>
    <t xml:space="preserve">     DEF ST TAX - TAP FEE POST</t>
  </si>
  <si>
    <t xml:space="preserve">     DEF ST TAX - RATE CASE</t>
  </si>
  <si>
    <t xml:space="preserve">     DEF ST TAX - DEF MAINT</t>
  </si>
  <si>
    <t xml:space="preserve">     DEF ST TAX - ORGN EXP</t>
  </si>
  <si>
    <t xml:space="preserve">     DEF ST TAX - BAD DEBT</t>
  </si>
  <si>
    <t xml:space="preserve">     DEF ST TAX - DEPRECIATION</t>
  </si>
  <si>
    <t xml:space="preserve">     A/P TRADE</t>
  </si>
  <si>
    <t xml:space="preserve">     A/P RETIREMENT PLANS</t>
  </si>
  <si>
    <t xml:space="preserve">     A/P TRADE - ACCRUAL</t>
  </si>
  <si>
    <t xml:space="preserve">     A/P TRADE - RECD NOT VOUC</t>
  </si>
  <si>
    <t xml:space="preserve">     A/P-ASSOC COMPANIES</t>
  </si>
  <si>
    <t xml:space="preserve">     A/P MISCELLANEOUS</t>
  </si>
  <si>
    <t xml:space="preserve">     DEF CREDITS OTHER</t>
  </si>
  <si>
    <t xml:space="preserve">    ADVANCES FROM UTILITIES IN</t>
  </si>
  <si>
    <t xml:space="preserve">    CUSTOMER DEPOSITS</t>
  </si>
  <si>
    <t xml:space="preserve">     ACCRUED TAXES GENERAL</t>
  </si>
  <si>
    <t xml:space="preserve">     ACCRUED GROSS RECEIPT TAX</t>
  </si>
  <si>
    <t xml:space="preserve">     ACCRUED REAL EST TAX</t>
  </si>
  <si>
    <t xml:space="preserve">     ACCRUED SALES TAX</t>
  </si>
  <si>
    <t xml:space="preserve">     ACCRUED USE TAX</t>
  </si>
  <si>
    <t xml:space="preserve">     ACCRUED COUNTY TAX A</t>
  </si>
  <si>
    <t xml:space="preserve">     ACCRUED COUNTY TAX B</t>
  </si>
  <si>
    <t xml:space="preserve">     ACCRUED CITY TAX</t>
  </si>
  <si>
    <t xml:space="preserve">     ACCRUED CITY TAX B</t>
  </si>
  <si>
    <t xml:space="preserve">     ACCRUED CUST DEP INTEREST</t>
  </si>
  <si>
    <t xml:space="preserve">     COMMON STOCK</t>
  </si>
  <si>
    <t xml:space="preserve">    PAID IN CAPITAL</t>
  </si>
  <si>
    <t xml:space="preserve">    MISC PAID IN CAPITAL</t>
  </si>
  <si>
    <t xml:space="preserve">    RETAINED EARN-PRIOR YEARS</t>
  </si>
  <si>
    <t xml:space="preserve">    WATER REVENUE-RESIDENTIAL</t>
  </si>
  <si>
    <t xml:space="preserve">    WATER REVENUE-ACCRUALS</t>
  </si>
  <si>
    <t xml:space="preserve">    WATER REVENUE-COMMERCIAL</t>
  </si>
  <si>
    <t xml:space="preserve">    WATER REVENUE-INDUSTRIAL</t>
  </si>
  <si>
    <t xml:space="preserve">    WATER REVENUE-PUBLIC AUTH</t>
  </si>
  <si>
    <t xml:space="preserve">    WATER REVENUE-MULT FAM DWE</t>
  </si>
  <si>
    <t xml:space="preserve">    PUBLIC FIRE PROTECTION</t>
  </si>
  <si>
    <t xml:space="preserve">    SEWER REVENUE-RESIDENTIAL</t>
  </si>
  <si>
    <t xml:space="preserve">    SEWER REVENUE-ACCRUALS</t>
  </si>
  <si>
    <t xml:space="preserve">   FORFEITED DISCOUNTS</t>
  </si>
  <si>
    <t xml:space="preserve">   MISC SERVICE REVENUE</t>
  </si>
  <si>
    <t xml:space="preserve">   OTHER W/S REVENUES</t>
  </si>
  <si>
    <t xml:space="preserve">    3RD PARTY BILLING REVENUE</t>
  </si>
  <si>
    <t xml:space="preserve">    REV FROM MGMT SERVICES</t>
  </si>
  <si>
    <t xml:space="preserve">    401K PROFIT SHARING</t>
  </si>
  <si>
    <t xml:space="preserve">    HEALTH &amp; DENTAL PREMIUMS</t>
  </si>
  <si>
    <t xml:space="preserve">    PENSION / 401K MATCH</t>
  </si>
  <si>
    <t xml:space="preserve">    SALARIES-BILLING</t>
  </si>
  <si>
    <t xml:space="preserve">    SALARIES-CORP SERVICE ADMI</t>
  </si>
  <si>
    <t xml:space="preserve">    WEATHER/HURRICANE/FUEL EXP</t>
  </si>
  <si>
    <t xml:space="preserve">    AMORT-SEWER GRAVITY MAIN</t>
  </si>
  <si>
    <t>Bruce Haas</t>
  </si>
  <si>
    <t>Carl Daniel</t>
  </si>
  <si>
    <t>8,000 @ 3.2%</t>
  </si>
  <si>
    <t>Bolt, Gregory C.</t>
  </si>
  <si>
    <t>Johnson, Harvey H.</t>
  </si>
  <si>
    <t>Leonard, James R.</t>
  </si>
  <si>
    <t>Mills, Wendell G.</t>
  </si>
  <si>
    <t>Onkst, James H.</t>
  </si>
  <si>
    <t>Partin, Michael W.</t>
  </si>
  <si>
    <t>Sandefur, Bryan K.</t>
  </si>
  <si>
    <t>Turner, John R.</t>
  </si>
  <si>
    <t>Vaughn, Stephen R.</t>
  </si>
  <si>
    <t xml:space="preserve">Overtime </t>
  </si>
  <si>
    <t>Hours</t>
  </si>
  <si>
    <t>overtime</t>
  </si>
  <si>
    <t xml:space="preserve">    OTHER EMP BENEFITS</t>
  </si>
  <si>
    <t>Head Count</t>
  </si>
  <si>
    <t xml:space="preserve">Full time employee </t>
  </si>
  <si>
    <t>12 month Average</t>
  </si>
  <si>
    <t>Property/Other General Tax</t>
  </si>
  <si>
    <t>Water Service Corporation of Kentucky</t>
  </si>
  <si>
    <t>ERC's</t>
  </si>
  <si>
    <t>VA</t>
  </si>
  <si>
    <t>Office (see wp-b CSR)</t>
  </si>
  <si>
    <t>2008 Plant Additions</t>
  </si>
  <si>
    <t>2009 Plant Additions</t>
  </si>
  <si>
    <t>2010 Plant Additions</t>
  </si>
  <si>
    <t>Less fully Depreciated Vehicles</t>
  </si>
  <si>
    <t>Less Fully Depreciated Computers</t>
  </si>
  <si>
    <t>Direct Expenses Excluding Salary</t>
  </si>
  <si>
    <t>Total Kentucky Customer Service Allocation</t>
  </si>
  <si>
    <t>Clinton Sewer Allocation Percentage</t>
  </si>
  <si>
    <t>Clinton Sewer Office expense</t>
  </si>
  <si>
    <t>5/8" Residential 10/01/09 to 11/09/10</t>
  </si>
  <si>
    <t>5/8" Commercial 10/01/09 to 11/09/10</t>
  </si>
  <si>
    <t>5/8" Governmental 10/01/09 to 11/09/10</t>
  </si>
  <si>
    <t>5/8"  Industrial 10/01/09 to 11/09/10</t>
  </si>
  <si>
    <t>5/8" Residential 11/10/09 to 09/31/10</t>
  </si>
  <si>
    <t>5/8" Commercial 11/10/09 to 09/31/10</t>
  </si>
  <si>
    <t>5/8" Governmental 11/10/09 to 09/31/10</t>
  </si>
  <si>
    <t>5/8"  Industrial 11/10/09 to 09/31/10</t>
  </si>
  <si>
    <t>1" Residential 11/10/09 to 09/31/10</t>
  </si>
  <si>
    <t>1" Commercial 11/10/09 to 09/31/10</t>
  </si>
  <si>
    <t>1" Governmental 11/10/09 to 09/31/10</t>
  </si>
  <si>
    <t>1"  Industrial 11/10/09 to 09/31/10</t>
  </si>
  <si>
    <t>1" Residential 10/01/09 to 11/09/10</t>
  </si>
  <si>
    <t>1" Commercial 10/01/09 to 11/09/10</t>
  </si>
  <si>
    <t>1" Governmental 10/01/09 to 11/09/10</t>
  </si>
  <si>
    <t>1"  Industrial 10/01/09 to 11/09/10</t>
  </si>
  <si>
    <t>1.5" Commercial 10/01/09 to 11/09/10</t>
  </si>
  <si>
    <t>1.5" Governmental 10/01/09 to 11/09/10</t>
  </si>
  <si>
    <t>1.5"  Industrial 10/01/09 to 11/09/10</t>
  </si>
  <si>
    <t>1.5" Commercial 11/10/09 to 09/31/10</t>
  </si>
  <si>
    <t>1.5" Governmental 11/10/09 to 09/31/10</t>
  </si>
  <si>
    <t>1.5"  Industrial 11/10/09 to 09/31/10</t>
  </si>
  <si>
    <t>2" Residential 10/01/09 to 11/09/10</t>
  </si>
  <si>
    <t>2" Commercial 10/01/09 to 11/09/10</t>
  </si>
  <si>
    <t>2" Governmental 10/01/09 to 11/09/10</t>
  </si>
  <si>
    <t>2"  Industrial 10/01/09 to 11/09/10</t>
  </si>
  <si>
    <t>3" Commercial 10/01/09 to 11/09/10</t>
  </si>
  <si>
    <t>3" Governmental 10/01/09 to 11/09/10</t>
  </si>
  <si>
    <t>3"  Industrial 10/01/09 to 11/09/10</t>
  </si>
  <si>
    <t>2" Commercial 11/10/09 to 09/31/10</t>
  </si>
  <si>
    <t>2" Governmental 11/10/09 to 09/31/10</t>
  </si>
  <si>
    <t>2"  Industrial 11/10/09 to 09/31/10</t>
  </si>
  <si>
    <t>3" Commercial 11/10/09 to 09/31/10</t>
  </si>
  <si>
    <t>3" Governmental 11/10/09 to 09/31/10</t>
  </si>
  <si>
    <t>3"  Industrial 11/10/09 to 09/31/10</t>
  </si>
  <si>
    <t>4" Commercial 11/10/09 to 09/31/10</t>
  </si>
  <si>
    <t>4" Governmental 11/10/09 to 09/31/10</t>
  </si>
  <si>
    <t>4"  Industrial 11/10/09 to 09/31/10</t>
  </si>
  <si>
    <t>4" Commercial 10/01/09 to 11/09/10</t>
  </si>
  <si>
    <t>4" Governmental 10/01/09 to 11/09/10</t>
  </si>
  <si>
    <t>4"  Industrial 10/01/09 to 11/09/10</t>
  </si>
  <si>
    <t>6" Commercial 10/01/09 to 11/09/10</t>
  </si>
  <si>
    <t>6"  Industrial 10/01/09 to 11/09/10</t>
  </si>
  <si>
    <t>6" Commercial 11/10/09 to 09/31/10</t>
  </si>
  <si>
    <t>6"  Industrial 11/10/09 to 09/31/10</t>
  </si>
  <si>
    <t>3/4" Residential 10/01/09 to 11/09/10</t>
  </si>
  <si>
    <t>3/4" Commercial 10/01/09 to 11/09/10</t>
  </si>
  <si>
    <t>3/4" Governmental 10/01/09 to 11/09/10</t>
  </si>
  <si>
    <t>3/4" Residential 11/10/09 to 09/31/10</t>
  </si>
  <si>
    <t>3/4" Commercial 11/10/09 to 09/31/10</t>
  </si>
  <si>
    <t>3/4" Governmental 11/10/09 to 09/31/10</t>
  </si>
  <si>
    <t>Billable Gallonage</t>
  </si>
  <si>
    <t>Unamortized Rate Case Expense</t>
  </si>
  <si>
    <t>Total Rate Case expense</t>
  </si>
  <si>
    <t>Pro Forma Revenue</t>
  </si>
  <si>
    <t>Consulting fees</t>
  </si>
  <si>
    <t>Check</t>
  </si>
  <si>
    <t>Total WSC KY</t>
  </si>
  <si>
    <t>TOTAL CLINTON</t>
  </si>
  <si>
    <t>From Brian's Summery page</t>
  </si>
  <si>
    <t>Total Calculated Clinton</t>
  </si>
  <si>
    <t xml:space="preserve">Average Clinton  Private Fire </t>
  </si>
  <si>
    <t xml:space="preserve">Total Clinton  Private Fire </t>
  </si>
  <si>
    <t>Clinton Private Fire Protection</t>
  </si>
  <si>
    <t xml:space="preserve">Average Clinton Municiple Fire </t>
  </si>
  <si>
    <t xml:space="preserve">Total Clinton Municiple Fire </t>
  </si>
  <si>
    <t>Clinton Municipal Fire Protection</t>
  </si>
  <si>
    <t>Average Governmental  2" Bill</t>
  </si>
  <si>
    <t xml:space="preserve">Total Governmental  2" Meter </t>
  </si>
  <si>
    <t xml:space="preserve">Governmental  2" Meter </t>
  </si>
  <si>
    <t>Average Commercial 2" Bill</t>
  </si>
  <si>
    <t xml:space="preserve">Total Commercial 2" Meter </t>
  </si>
  <si>
    <t xml:space="preserve">Commercial 2" Meter </t>
  </si>
  <si>
    <t>Average Residential 2" Bill</t>
  </si>
  <si>
    <t xml:space="preserve">Total Residential 2" Meter </t>
  </si>
  <si>
    <t xml:space="preserve">Residential 2" Meter </t>
  </si>
  <si>
    <t>Average Governmental 1.5" Bill</t>
  </si>
  <si>
    <t xml:space="preserve">Total Governmental 1.5" Meter </t>
  </si>
  <si>
    <t xml:space="preserve">Governmental 1.5" Meter </t>
  </si>
  <si>
    <t>Average Commercial 1.5" Bill</t>
  </si>
  <si>
    <t xml:space="preserve">Total Commercial 1.5" Meter </t>
  </si>
  <si>
    <t xml:space="preserve">Commercial 1.5" Meter </t>
  </si>
  <si>
    <t>Average Governmental 1" Bill</t>
  </si>
  <si>
    <t xml:space="preserve">Total Governmental 1" Meter </t>
  </si>
  <si>
    <t xml:space="preserve">Governmental 1" Meter </t>
  </si>
  <si>
    <t xml:space="preserve">Average Commercial 1" Bill </t>
  </si>
  <si>
    <t xml:space="preserve">Total Commersial 1" Meter </t>
  </si>
  <si>
    <t xml:space="preserve">Commercial 1" Meter </t>
  </si>
  <si>
    <t>Average Residential 1" Bill</t>
  </si>
  <si>
    <t xml:space="preserve">Total Residential 1" Meter </t>
  </si>
  <si>
    <t xml:space="preserve">Residential 1" Meter </t>
  </si>
  <si>
    <t>Average Governmental 3/4" Bill</t>
  </si>
  <si>
    <t xml:space="preserve">Total Governmental 3/4" Meter </t>
  </si>
  <si>
    <t xml:space="preserve">Governmental  3/4" Meter </t>
  </si>
  <si>
    <t>Average Commercial 3/4" Bill</t>
  </si>
  <si>
    <t xml:space="preserve">Total Commercial 3/4" Meter </t>
  </si>
  <si>
    <t xml:space="preserve">Commercial 3/4" Meter </t>
  </si>
  <si>
    <t>Average Residential 3/4" Bill</t>
  </si>
  <si>
    <t xml:space="preserve">Total Residential 3/4" Meter </t>
  </si>
  <si>
    <t xml:space="preserve">Residential 3/4" Meter </t>
  </si>
  <si>
    <t>Average Governmental  5/8" Bill</t>
  </si>
  <si>
    <t xml:space="preserve">Total Governmental  5/8" Meter </t>
  </si>
  <si>
    <t xml:space="preserve">Governmental  5/8" Meter </t>
  </si>
  <si>
    <t>Average Commercial 5/8" Bill</t>
  </si>
  <si>
    <t xml:space="preserve">Total Commercial 5/8" Meter </t>
  </si>
  <si>
    <t xml:space="preserve">Commercial 5/8" Meter </t>
  </si>
  <si>
    <t>Average Residential 5/8" Bill</t>
  </si>
  <si>
    <t xml:space="preserve">Total Residential 5/8" Meter </t>
  </si>
  <si>
    <t xml:space="preserve">Residential 5/8" Meter </t>
  </si>
  <si>
    <t>TOTAL MIDDLESBORO</t>
  </si>
  <si>
    <t xml:space="preserve">Average Middlesboro  Private Fire </t>
  </si>
  <si>
    <t>Total Calculated Midd</t>
  </si>
  <si>
    <t>Midd</t>
  </si>
  <si>
    <t xml:space="preserve">Total Middlesboro  Private Fire </t>
  </si>
  <si>
    <t>Middlesboro Private Fire Protection</t>
  </si>
  <si>
    <t xml:space="preserve">Average Middlesboro Municiple Fire </t>
  </si>
  <si>
    <t xml:space="preserve">Total Middlesboro Municiple Fire </t>
  </si>
  <si>
    <t>Middlesboro Municipal Fire Protection</t>
  </si>
  <si>
    <t>Average Industrial 6" Bill</t>
  </si>
  <si>
    <t xml:space="preserve">Total Industrial 6" Meter </t>
  </si>
  <si>
    <t xml:space="preserve">Industrial 6" Meter </t>
  </si>
  <si>
    <t>Average Commercial 6" Bill</t>
  </si>
  <si>
    <t xml:space="preserve">Total Commercial 6" Meter </t>
  </si>
  <si>
    <t xml:space="preserve">Commercial 6" Meter </t>
  </si>
  <si>
    <t>Average Industrial 4" Bill</t>
  </si>
  <si>
    <t xml:space="preserve">Total Industrial 4" Meter </t>
  </si>
  <si>
    <t xml:space="preserve">Industrial 4" Meter </t>
  </si>
  <si>
    <t>Average Governmental 4" Bill</t>
  </si>
  <si>
    <t xml:space="preserve">Total Governmental 4" Meter </t>
  </si>
  <si>
    <t xml:space="preserve">Governmental 4" Meter </t>
  </si>
  <si>
    <t>Average Commercial 4" Bill</t>
  </si>
  <si>
    <t xml:space="preserve">Total Commercial 4" Meter </t>
  </si>
  <si>
    <t xml:space="preserve">Commercial 4" Meter </t>
  </si>
  <si>
    <t>Average Industrial 3" Bill</t>
  </si>
  <si>
    <t xml:space="preserve">Total Industrial 3" Meter </t>
  </si>
  <si>
    <t xml:space="preserve">Industrial 3" Meter </t>
  </si>
  <si>
    <t>Average Governmental 3" Bill</t>
  </si>
  <si>
    <t xml:space="preserve">Total Governmental 3" Meter </t>
  </si>
  <si>
    <t xml:space="preserve">Governmental 3" Meter </t>
  </si>
  <si>
    <t>Average Commercial 3" Bill</t>
  </si>
  <si>
    <t xml:space="preserve">Total Commercial 3" Meter </t>
  </si>
  <si>
    <t xml:space="preserve">Commercial 3" Meter </t>
  </si>
  <si>
    <t>Average Governmental 2" Bill</t>
  </si>
  <si>
    <t xml:space="preserve">Total Governmental 2" Meter </t>
  </si>
  <si>
    <t xml:space="preserve">Governmental 2" Meter </t>
  </si>
  <si>
    <t>Average Industrial 2" Bill</t>
  </si>
  <si>
    <t xml:space="preserve">Total Industrial 2" Meter </t>
  </si>
  <si>
    <t xml:space="preserve">Industrial 2" Meter </t>
  </si>
  <si>
    <t>Average Industrial 1.5" Bill</t>
  </si>
  <si>
    <t xml:space="preserve">Total Industrial 1.5" Meter </t>
  </si>
  <si>
    <t xml:space="preserve">Industrial 1.5" Meter </t>
  </si>
  <si>
    <t>Average Industrial 1" Bill</t>
  </si>
  <si>
    <t xml:space="preserve">Industrial 1" Meter </t>
  </si>
  <si>
    <t>Average Commercial 1" Bill</t>
  </si>
  <si>
    <t xml:space="preserve">Total Commercial 1" Meter </t>
  </si>
  <si>
    <t>Average Industrial 5/8" Bill</t>
  </si>
  <si>
    <t xml:space="preserve">Total Industrial 5/8" Meter </t>
  </si>
  <si>
    <t xml:space="preserve">Industrial 5/8" Meter </t>
  </si>
  <si>
    <t>Average Governmental 5/8" Bill</t>
  </si>
  <si>
    <t xml:space="preserve">Total Governmental 5/8" Meter </t>
  </si>
  <si>
    <t xml:space="preserve">Governmental 5/8" Meter </t>
  </si>
  <si>
    <t>Proposed Rates</t>
  </si>
  <si>
    <t>Test Year Revenue</t>
  </si>
  <si>
    <t>in Rates</t>
  </si>
  <si>
    <t>Total # of Bills</t>
  </si>
  <si>
    <t>Total Billable Gallons  (000's)</t>
  </si>
  <si>
    <t xml:space="preserve">Calculation of Health and Other Benefits </t>
  </si>
  <si>
    <t>Month</t>
  </si>
  <si>
    <t>W/p [b-1]</t>
  </si>
  <si>
    <t xml:space="preserve">WSC KY Capitalized  </t>
  </si>
  <si>
    <t>w/p [b-2]</t>
  </si>
  <si>
    <t xml:space="preserve">Calculation of Customer Service Salary and benefits </t>
  </si>
  <si>
    <t>Less Pro Forma Operating Expense</t>
  </si>
  <si>
    <t>Operating Margin allowed in revenue requirement</t>
  </si>
  <si>
    <t>Operating</t>
  </si>
  <si>
    <t>Item</t>
  </si>
  <si>
    <t>(d)</t>
  </si>
  <si>
    <t>(e)</t>
  </si>
  <si>
    <t>(f)</t>
  </si>
  <si>
    <t>Operating revenue deductions:</t>
  </si>
  <si>
    <t xml:space="preserve">   Maintenance expenses</t>
  </si>
  <si>
    <t xml:space="preserve">   General expenses</t>
  </si>
  <si>
    <t xml:space="preserve">   Depreciation</t>
  </si>
  <si>
    <t xml:space="preserve">   Amortization of CIAC</t>
  </si>
  <si>
    <t xml:space="preserve">   Property tax</t>
  </si>
  <si>
    <t xml:space="preserve">   Payroll tax</t>
  </si>
  <si>
    <t xml:space="preserve">   Total</t>
  </si>
  <si>
    <t>Net operating income for return:</t>
  </si>
  <si>
    <t xml:space="preserve">   Debt service return</t>
  </si>
  <si>
    <t xml:space="preserve">   Equity return:</t>
  </si>
  <si>
    <t>Clinton Expense reduction</t>
  </si>
  <si>
    <t>Net operating income for a return</t>
  </si>
  <si>
    <t xml:space="preserve">Operating revenue deductions </t>
  </si>
  <si>
    <t xml:space="preserve">  requiring a return</t>
  </si>
  <si>
    <t xml:space="preserve">Return </t>
  </si>
  <si>
    <t xml:space="preserve">Revenue requirement </t>
  </si>
  <si>
    <t xml:space="preserve">      GRT @ 3%, SIT @ 6%, FIT @ 34%</t>
  </si>
  <si>
    <t>Uncollectibles rate</t>
  </si>
  <si>
    <t>Less:  uncollectibles</t>
  </si>
  <si>
    <t>Service revenues</t>
  </si>
  <si>
    <t>Total revenue requirement</t>
  </si>
  <si>
    <t>Less:  miscellaneous revenues excl. late pay</t>
  </si>
  <si>
    <t>Revenues excluding miscellaneous</t>
  </si>
  <si>
    <t xml:space="preserve">Total Pro Forma Operating Expenses </t>
  </si>
  <si>
    <t xml:space="preserve">   Clinton Expense reduction</t>
  </si>
  <si>
    <t>Benefits per employee</t>
  </si>
  <si>
    <t>Annualized revenues</t>
  </si>
  <si>
    <t>Annualized Uncollectible Accounts</t>
  </si>
  <si>
    <t xml:space="preserve">the test year applied to annualized and pro forma proposed revenues. </t>
  </si>
  <si>
    <t xml:space="preserve">Revenues are annualized at proposed rates using the actual test year bills. </t>
  </si>
  <si>
    <t>Depreciation and Amortization Expense are annualized.  Depreciation expense represents gross depreciable plant at the end of the year multiplied by their respective depreciation rates</t>
  </si>
  <si>
    <t>[j]</t>
  </si>
  <si>
    <t>Taxes other than Income is adjusted for annualized payroll taxes and  Utility Commission Taxes.</t>
  </si>
  <si>
    <t>Rate Base Reductions</t>
  </si>
  <si>
    <t>UPIS - Vehicles</t>
  </si>
  <si>
    <t>Accum. Dep. - Vehicles</t>
  </si>
  <si>
    <t>Total rate base reductions</t>
  </si>
  <si>
    <t>WSCKY Bad Debt</t>
  </si>
  <si>
    <t>w/p [b-3]</t>
  </si>
  <si>
    <t xml:space="preserve">Total Utility Plant in Service </t>
  </si>
  <si>
    <t>Pro Forma Utility / Commission Tax</t>
  </si>
  <si>
    <t>w/p [q-3]</t>
  </si>
  <si>
    <t>w/p [q-2]</t>
  </si>
  <si>
    <t>w/p [q - 4]</t>
  </si>
  <si>
    <t>[6]</t>
  </si>
  <si>
    <t>Test Year/ Annualized/ Proposed Revenues</t>
  </si>
  <si>
    <t>Confidential</t>
  </si>
  <si>
    <t>Calculation of State and Federal Income Tax</t>
  </si>
  <si>
    <t xml:space="preserve">Total Industrial 1" Meter </t>
  </si>
  <si>
    <t>Calculation of Average Bill Increase</t>
  </si>
  <si>
    <t>1" Meter (all Classes)</t>
  </si>
  <si>
    <t>5/8" and 3/4" Meter( all Classes)</t>
  </si>
  <si>
    <t># of Bills</t>
  </si>
  <si>
    <t xml:space="preserve">Pro Forma </t>
  </si>
  <si>
    <t xml:space="preserve">Proposed </t>
  </si>
  <si>
    <t xml:space="preserve">Current </t>
  </si>
  <si>
    <t>Avg Bill</t>
  </si>
  <si>
    <t xml:space="preserve">Dollar </t>
  </si>
  <si>
    <t>1.5" Meter (all Classes)</t>
  </si>
  <si>
    <t>2" Meter (all Classes)</t>
  </si>
  <si>
    <t xml:space="preserve">3" Meter (all Classes) </t>
  </si>
  <si>
    <t>4" Meter (all Classes)</t>
  </si>
  <si>
    <t>6" Meter (all Classes)</t>
  </si>
  <si>
    <t>Private Fire Protection</t>
  </si>
  <si>
    <t>Average Gallonage</t>
  </si>
  <si>
    <t>Public Fire protection</t>
  </si>
  <si>
    <t xml:space="preserve">     ACC DEPR-POWER OPERATED EQUIP</t>
  </si>
  <si>
    <t xml:space="preserve">    RCIP - ATTORNEY FEES</t>
  </si>
  <si>
    <t xml:space="preserve">    PRELIMINARY SURVEY</t>
  </si>
  <si>
    <t xml:space="preserve">    RCIP - CAPITALIZED TIME</t>
  </si>
  <si>
    <t xml:space="preserve">    RCIP - ADMINISTRATIVE EXPENSES</t>
  </si>
  <si>
    <t xml:space="preserve">    RCIP - TRAVEL</t>
  </si>
  <si>
    <t xml:space="preserve">    RCIP - CONSULTING FEES</t>
  </si>
  <si>
    <t xml:space="preserve">     CIAC-METERS</t>
  </si>
  <si>
    <t xml:space="preserve">     ACCRUED UTIL OR COMM TAX</t>
  </si>
  <si>
    <t xml:space="preserve">     ACCRUED PERS PROP &amp; ICT TAX</t>
  </si>
  <si>
    <t xml:space="preserve">     ACCRUED FED INCOME TAX</t>
  </si>
  <si>
    <t xml:space="preserve">    DEPREC-POWER OPERATED EQUIP</t>
  </si>
  <si>
    <t xml:space="preserve">     ELECTRIC PUMP EQUIP SRC PUMP</t>
  </si>
  <si>
    <t xml:space="preserve">     WIP - CAPITALIZED TIME</t>
  </si>
  <si>
    <t xml:space="preserve">     WIP - INTEREST DURING CONSTR</t>
  </si>
  <si>
    <t xml:space="preserve">     WIP - ENGINEERING</t>
  </si>
  <si>
    <t xml:space="preserve">     WIP - LABOR/INSTALLATION</t>
  </si>
  <si>
    <t xml:space="preserve">     WIP - EQUIPMENT</t>
  </si>
  <si>
    <t xml:space="preserve">     WIP - MATERIAL</t>
  </si>
  <si>
    <t xml:space="preserve">     WIP - PIPING</t>
  </si>
  <si>
    <t xml:space="preserve">     WIP - SITE WORK</t>
  </si>
  <si>
    <t xml:space="preserve">     WIP - PUMPS/EQUIPMENT</t>
  </si>
  <si>
    <t xml:space="preserve">     WIP - TRANSFER TO FIXED ASSETS</t>
  </si>
  <si>
    <t xml:space="preserve">     WIP - CONTRACTOR/LABOR</t>
  </si>
  <si>
    <t xml:space="preserve">   CURRENT TAX-FIT-SOLD CO</t>
  </si>
  <si>
    <t>Row Labels</t>
  </si>
  <si>
    <t>Region</t>
  </si>
  <si>
    <t>Name</t>
  </si>
  <si>
    <t>Sum of Net Posting 12</t>
  </si>
  <si>
    <t>WSC %</t>
  </si>
  <si>
    <t>RVP %</t>
  </si>
  <si>
    <t>Region %</t>
  </si>
  <si>
    <t>State %</t>
  </si>
  <si>
    <t>Atlantic/MidWest</t>
  </si>
  <si>
    <t>Atlantic</t>
  </si>
  <si>
    <t>MD</t>
  </si>
  <si>
    <t>Green Ridge Utilities Inc</t>
  </si>
  <si>
    <t>Maryland Water Serv Inc</t>
  </si>
  <si>
    <t>Provinces Utilities Inc</t>
  </si>
  <si>
    <t>MD Total</t>
  </si>
  <si>
    <t>Bradfield Farms Water Co</t>
  </si>
  <si>
    <t>Carolina Trace Util Inc</t>
  </si>
  <si>
    <t>Carolina Water Service NC</t>
  </si>
  <si>
    <t>CWS Systems</t>
  </si>
  <si>
    <t>Elk River Utilities Inc</t>
  </si>
  <si>
    <t>Hardscrabble</t>
  </si>
  <si>
    <t>North Topsail Util Inc</t>
  </si>
  <si>
    <t>Transylvania Utilities Inc</t>
  </si>
  <si>
    <t>NC Total</t>
  </si>
  <si>
    <t>NJ</t>
  </si>
  <si>
    <t>Montague Water &amp; Sewer Co</t>
  </si>
  <si>
    <t>NJ Total</t>
  </si>
  <si>
    <t>PA</t>
  </si>
  <si>
    <t>Penn Estates Utilities Inc</t>
  </si>
  <si>
    <t>Util Inc of Pennsylvania</t>
  </si>
  <si>
    <t>Utilities Inc of Westgate</t>
  </si>
  <si>
    <t>PA Total</t>
  </si>
  <si>
    <t>Colchester Utilities Inc</t>
  </si>
  <si>
    <t>Massanutten Public Serv</t>
  </si>
  <si>
    <t>VA Total</t>
  </si>
  <si>
    <t>Atlantic Total</t>
  </si>
  <si>
    <t>Midwest</t>
  </si>
  <si>
    <t>IL</t>
  </si>
  <si>
    <t>Apple Canyon Utility Co</t>
  </si>
  <si>
    <t>Camelot Utilities Inc</t>
  </si>
  <si>
    <t>Cedar Bluff Utilities Inc</t>
  </si>
  <si>
    <t>Charmar Water Co</t>
  </si>
  <si>
    <t>Cherry Hill Water Co</t>
  </si>
  <si>
    <t>Clarendon Water Co</t>
  </si>
  <si>
    <t>Del Mar Water Co</t>
  </si>
  <si>
    <t>Ferson Creek Utilities Co</t>
  </si>
  <si>
    <t>Galena Territory Utilities</t>
  </si>
  <si>
    <t>Great Northern Utilities</t>
  </si>
  <si>
    <t>Harbor Ridge Utilities Inc</t>
  </si>
  <si>
    <t>Holiday Hills Util Inc</t>
  </si>
  <si>
    <t>Killarney Water Co</t>
  </si>
  <si>
    <t>Lake Holiday Utilities</t>
  </si>
  <si>
    <t>Lake Marian Water Corp</t>
  </si>
  <si>
    <t>Lake Wildwood Utilities Co</t>
  </si>
  <si>
    <t>Medina Utilities Corp</t>
  </si>
  <si>
    <t>Northern Hills W &amp; S Co</t>
  </si>
  <si>
    <t>Valentine Water Service</t>
  </si>
  <si>
    <t>Walk Up Woods Water Co</t>
  </si>
  <si>
    <t>Westlake Utilities Inc</t>
  </si>
  <si>
    <t>Whispering Hills Water Co</t>
  </si>
  <si>
    <t>Wildwood Water Service Co</t>
  </si>
  <si>
    <t>IL Total</t>
  </si>
  <si>
    <t>IN</t>
  </si>
  <si>
    <t>Indiana Water Service Inc</t>
  </si>
  <si>
    <t>Twin Lakes Utilities Inc</t>
  </si>
  <si>
    <t>WSC Indiana</t>
  </si>
  <si>
    <t>IN Total</t>
  </si>
  <si>
    <t>Water Serv Corp Kentucky</t>
  </si>
  <si>
    <t>KY Total</t>
  </si>
  <si>
    <t>TN</t>
  </si>
  <si>
    <t>Tennessee Water Service</t>
  </si>
  <si>
    <t>TN Total</t>
  </si>
  <si>
    <t>Midwest Total</t>
  </si>
  <si>
    <t>Atlantic/MidWest Total</t>
  </si>
  <si>
    <t>South/Southeast/West</t>
  </si>
  <si>
    <t>South</t>
  </si>
  <si>
    <t>GA</t>
  </si>
  <si>
    <t>Utilities Inc of Georgia</t>
  </si>
  <si>
    <t>Water Service Co Georgia</t>
  </si>
  <si>
    <t>GA Total</t>
  </si>
  <si>
    <t>LA</t>
  </si>
  <si>
    <t>Louisiana Water Serv Inc</t>
  </si>
  <si>
    <t>Utilities Inc of Louisiana</t>
  </si>
  <si>
    <t>LA Total</t>
  </si>
  <si>
    <t>South Total</t>
  </si>
  <si>
    <t>Southeast</t>
  </si>
  <si>
    <t>Alafaya Utilities Inc</t>
  </si>
  <si>
    <t>Bayside Utility Services</t>
  </si>
  <si>
    <t>Cypress Lakes Util Inc</t>
  </si>
  <si>
    <t>Eastlake Water Service Inc</t>
  </si>
  <si>
    <t>Labrador Utilities Inc</t>
  </si>
  <si>
    <t>Lake Placid Utilities Inc</t>
  </si>
  <si>
    <t>Lake Utility Services Inc</t>
  </si>
  <si>
    <t>Mid-County Services Inc</t>
  </si>
  <si>
    <t>Miles Grant Water &amp; Sewer</t>
  </si>
  <si>
    <t>Pebble Creek Utilities Inc</t>
  </si>
  <si>
    <t>Sandy Creek Utility Serv</t>
  </si>
  <si>
    <t>Sanlando Utilities Corp</t>
  </si>
  <si>
    <t>South Gate Utilities Inc</t>
  </si>
  <si>
    <t>Tierra Verde Utilities Inc</t>
  </si>
  <si>
    <t>Util Inc Hutchinson Island</t>
  </si>
  <si>
    <t>Utilities Inc Eagle Ridge</t>
  </si>
  <si>
    <t>Utilities Inc of Florida</t>
  </si>
  <si>
    <t>Utilities Inc of Longwood</t>
  </si>
  <si>
    <t>Utilities Inc Pennbrooke</t>
  </si>
  <si>
    <t>Utilities Inc Sandalhaven</t>
  </si>
  <si>
    <t>Wedgefield Utilities Inc</t>
  </si>
  <si>
    <t>FL Total</t>
  </si>
  <si>
    <t>SC</t>
  </si>
  <si>
    <t>Carolina Water Service Inc</t>
  </si>
  <si>
    <t>Southland Utilities Inc</t>
  </si>
  <si>
    <t>Tega Cay Water Service Inc</t>
  </si>
  <si>
    <t>United Utility Company</t>
  </si>
  <si>
    <t>Util Serv South Carolina</t>
  </si>
  <si>
    <t>SC Total</t>
  </si>
  <si>
    <t>Southeast Total</t>
  </si>
  <si>
    <t>West</t>
  </si>
  <si>
    <t>AZ</t>
  </si>
  <si>
    <t>Bermuda Water Co</t>
  </si>
  <si>
    <t>AZ Total</t>
  </si>
  <si>
    <t>Sky Ranch Water Service</t>
  </si>
  <si>
    <t>Spring Creek Utilities Co</t>
  </si>
  <si>
    <t>Util Inc of Central Nevada</t>
  </si>
  <si>
    <t>Utilities Inc of Nevada</t>
  </si>
  <si>
    <t>NV Total</t>
  </si>
  <si>
    <t>West Total</t>
  </si>
  <si>
    <t>South/Southeast/West Total</t>
  </si>
  <si>
    <t>Unregulated</t>
  </si>
  <si>
    <t>Non-regulated</t>
  </si>
  <si>
    <t>ACME Water Supply &amp; Mgmt</t>
  </si>
  <si>
    <t>Non-regulated Total</t>
  </si>
  <si>
    <t>Unregulated Total</t>
  </si>
  <si>
    <t>WSC Total</t>
  </si>
  <si>
    <t>Grand Total</t>
  </si>
  <si>
    <t>Test Year 12/31/2012</t>
  </si>
  <si>
    <t>Test Year Ended December 31, 2012</t>
  </si>
  <si>
    <t>Balance 12/31/12</t>
  </si>
  <si>
    <t>Average Full Time Head Count for the 12 months ended 12/31/12</t>
  </si>
  <si>
    <t>Johnston, Joseph A</t>
  </si>
  <si>
    <t>Neyzelman, Dimitry</t>
  </si>
  <si>
    <t>Rushing, Ronald</t>
  </si>
  <si>
    <t>Pay period</t>
  </si>
  <si>
    <t>YE</t>
  </si>
  <si>
    <t>per stub</t>
  </si>
  <si>
    <t>W2</t>
  </si>
  <si>
    <t>ID</t>
  </si>
  <si>
    <t>Salaries Annualized to include an estimated 3.0% raise effective 4/01/2013</t>
  </si>
  <si>
    <t xml:space="preserve"> Capital Structure at December 31, 2012</t>
  </si>
  <si>
    <t>December 31,</t>
  </si>
  <si>
    <t>Sum of Percentage</t>
  </si>
  <si>
    <t>Column Labels</t>
  </si>
  <si>
    <t>Using 05/24/13 Paystub Salaries</t>
  </si>
  <si>
    <t xml:space="preserve">[a]  </t>
  </si>
  <si>
    <t xml:space="preserve">[b]  </t>
  </si>
  <si>
    <t>Newspaper Publication</t>
  </si>
  <si>
    <t>Customer Notices:</t>
  </si>
  <si>
    <t>Intentionally left blank.</t>
  </si>
  <si>
    <t>2012 Plant Additions</t>
  </si>
  <si>
    <t>2011 Plant Additions</t>
  </si>
  <si>
    <t>Contributions in Aid of Construction 2010 Additions</t>
  </si>
  <si>
    <t>Contributions in Aid of Construction 2009 Additions</t>
  </si>
  <si>
    <t>Contributions in Aid of Construction 2011 Additions</t>
  </si>
  <si>
    <t>Contributions in Aid of Construction 2012 Additions</t>
  </si>
  <si>
    <t>Lubertozzi, Steve</t>
  </si>
  <si>
    <t>Feathergill, Adam</t>
  </si>
  <si>
    <t>Valrie, Lawanda</t>
  </si>
  <si>
    <t>Liskoff, David</t>
  </si>
  <si>
    <t>Yap, Lowell</t>
  </si>
  <si>
    <t>Actual Gallons Consumed (000's)</t>
  </si>
  <si>
    <t xml:space="preserve"># of Bills </t>
  </si>
  <si>
    <t xml:space="preserve">Billable Gallons (000's) </t>
  </si>
  <si>
    <t>Rates per 1,000 gal.</t>
  </si>
  <si>
    <t>Interest on debt is computed using a 52.44% / 47.56% debt / equity ratio and a 6.60% cost of debt;</t>
  </si>
  <si>
    <t xml:space="preserve">Revenue Requirement </t>
  </si>
  <si>
    <t>9,300 @ 3.3%</t>
  </si>
  <si>
    <t>Florida 2013 SUTA $8,000 limit at 4.58%</t>
  </si>
  <si>
    <t>North Carolina 2013 SUTA $20,900 at 4.20%</t>
  </si>
  <si>
    <t>Nevada 2013 SUTA $26,900 limit at 3.85%</t>
  </si>
  <si>
    <t>Company</t>
  </si>
  <si>
    <t>Contribution</t>
  </si>
  <si>
    <t>Total Annualized</t>
  </si>
  <si>
    <t>401k</t>
  </si>
  <si>
    <t>12900 @ 8.95%</t>
  </si>
  <si>
    <t>Check Stub</t>
  </si>
  <si>
    <t>WSC of Kentucky</t>
  </si>
  <si>
    <t>Expense Report Summary</t>
  </si>
  <si>
    <t>Cost Centers for the test year 12/31/2012</t>
  </si>
  <si>
    <t>345 WSC - KY</t>
  </si>
  <si>
    <t>800 Midwest Region</t>
  </si>
  <si>
    <t>860 State of KY</t>
  </si>
  <si>
    <t>102 RVP SE/South/West</t>
  </si>
  <si>
    <t>102 RVP Atl/Midwest</t>
  </si>
  <si>
    <t>102 without RVP</t>
  </si>
  <si>
    <t>CALCULATION OF STATE COMPUTERS, DEPRECIATION</t>
  </si>
  <si>
    <t>EXPENSE AND ACCUMULATED DEPRECIATION</t>
  </si>
  <si>
    <t>Line No.</t>
  </si>
  <si>
    <t>Plant in Service</t>
  </si>
  <si>
    <t>Year in Service</t>
  </si>
  <si>
    <t>Depreciation or Amortization Expense</t>
  </si>
  <si>
    <t>A/D or A/A</t>
  </si>
  <si>
    <t>(a)</t>
  </si>
  <si>
    <t>(b)</t>
  </si>
  <si>
    <t>(c)</t>
  </si>
  <si>
    <t>Mainframe computers</t>
  </si>
  <si>
    <t>Totals - mainframe</t>
  </si>
  <si>
    <t>Mainframe computers - water operations</t>
  </si>
  <si>
    <t>Mainframe computers - sewer operations</t>
  </si>
  <si>
    <t>Mini-computers</t>
  </si>
  <si>
    <t>Totals - mini-computers</t>
  </si>
  <si>
    <t>State Mini-computers Allocation</t>
  </si>
  <si>
    <t>Mini-computers - water operations</t>
  </si>
  <si>
    <t>Mini-computers - sewer operations</t>
  </si>
  <si>
    <t>Software Amortization</t>
  </si>
  <si>
    <t>Totals - Software</t>
  </si>
  <si>
    <t>State Software allocation</t>
  </si>
  <si>
    <t>Fully-depreciated computers</t>
  </si>
  <si>
    <t>Total - fully-depreciated computers</t>
  </si>
  <si>
    <t>Mainframe</t>
  </si>
  <si>
    <t>CALCULATION OF WSC COMPUTERS, DEPRECIATION</t>
  </si>
  <si>
    <t>Mini-computer</t>
  </si>
  <si>
    <t>Comp Sys</t>
  </si>
  <si>
    <t>Software</t>
  </si>
  <si>
    <t>pre 2001 Balance</t>
  </si>
  <si>
    <t>pre 2001 balance</t>
  </si>
  <si>
    <t>WSC Mini-computers Allocation</t>
  </si>
  <si>
    <t>Computer systems cost</t>
  </si>
  <si>
    <t>Totals - Computer system</t>
  </si>
  <si>
    <t>WSC Computer system Allocation</t>
  </si>
  <si>
    <t>Computer system - water operations</t>
  </si>
  <si>
    <t>Computer system - sewer operations</t>
  </si>
  <si>
    <t xml:space="preserve"> pre 2001 Balance</t>
  </si>
  <si>
    <t>WSC Software allocation</t>
  </si>
  <si>
    <t>Software - water operations</t>
  </si>
  <si>
    <t>Software - sewer operations</t>
  </si>
  <si>
    <t>Per WSC GL</t>
  </si>
  <si>
    <t>Allocation of Vehicles and Related Depreciation Exp</t>
  </si>
  <si>
    <t>Line</t>
  </si>
  <si>
    <t>Driver</t>
  </si>
  <si>
    <t>Year Purchased</t>
  </si>
  <si>
    <t>Depr %</t>
  </si>
  <si>
    <t>A/D</t>
  </si>
  <si>
    <t>Yearly Depr Exp</t>
  </si>
  <si>
    <t>Calculation of  Depr Expense and A/D</t>
  </si>
  <si>
    <t>[7]</t>
  </si>
  <si>
    <t>Plant in Service Allocation</t>
  </si>
  <si>
    <t>[8]</t>
  </si>
  <si>
    <t>AD Allocation</t>
  </si>
  <si>
    <t>[9]</t>
  </si>
  <si>
    <t xml:space="preserve"> Rate Base Allocation Adjustment</t>
  </si>
  <si>
    <t>Vehicles-sewer operations</t>
  </si>
  <si>
    <t>[11]</t>
  </si>
  <si>
    <t>Vehicles-water operations</t>
  </si>
  <si>
    <t>[12]</t>
  </si>
  <si>
    <t>Calculation of Depriciatin Expense allocation</t>
  </si>
  <si>
    <t>Transportation Depr Exp Allocation</t>
  </si>
  <si>
    <t>[10]</t>
  </si>
  <si>
    <t>Depreciation Exp Allocation Adjustment</t>
  </si>
  <si>
    <t>per SE 1 Auto Depreciation</t>
  </si>
  <si>
    <t>Using mid-year convention</t>
  </si>
  <si>
    <t>Four year straight-line rate</t>
  </si>
  <si>
    <t>Column [a] multiplied by column [c] and column [d]</t>
  </si>
  <si>
    <t>Column [a] multiplied by column [d]</t>
  </si>
  <si>
    <t>Per salary wp-b</t>
  </si>
  <si>
    <t>Column [a] multiplied by column [b]</t>
  </si>
  <si>
    <t>Allocation of Trasportation Expense</t>
  </si>
  <si>
    <t>FLEET TRANSPORTATION EXPENS</t>
  </si>
  <si>
    <t>FUEL</t>
  </si>
  <si>
    <t>AUTO REPAIR/TIRES</t>
  </si>
  <si>
    <t>AUTO LICENSES</t>
  </si>
  <si>
    <t>OTHER TRANS EXPENSES</t>
  </si>
  <si>
    <t>Allocation Adjustment</t>
  </si>
  <si>
    <t>Transportation exp-water operations</t>
  </si>
  <si>
    <t>Transportation exp-sewer operations</t>
  </si>
  <si>
    <t>Column(a) divided Column(b)</t>
  </si>
  <si>
    <t>0</t>
  </si>
  <si>
    <t>Prior to 2003</t>
  </si>
  <si>
    <t>Percentage allocated to WSC of Kentucky</t>
  </si>
  <si>
    <t>w/p [p-4]</t>
  </si>
  <si>
    <t>Months</t>
  </si>
  <si>
    <t>Years</t>
  </si>
  <si>
    <t>Column(a) times depreciation rates listed below, unless fully depreciated</t>
  </si>
  <si>
    <t>w/p [p-3]</t>
  </si>
  <si>
    <t>Totals - WSC of Kentucky computers</t>
  </si>
  <si>
    <t>per w/p [p-3] and [p-4]</t>
  </si>
  <si>
    <t>Computer Depreciation</t>
  </si>
  <si>
    <t>Total computers - water operations (L17 + L35 + L53 + L71)</t>
  </si>
  <si>
    <t>Total computers - sewer operations (L18 + L36 + L54 + L72)</t>
  </si>
  <si>
    <t>Total computers - water operations (L15 + L31)</t>
  </si>
  <si>
    <t>Total computers - sewer operations (L16 + L32)</t>
  </si>
  <si>
    <t>Water allocation based on customer ratio of 100.0%</t>
  </si>
  <si>
    <t>Sewer allocation based on customer ratio of .0%</t>
  </si>
  <si>
    <t>Guttormsen, Rob</t>
  </si>
  <si>
    <t>N/A</t>
  </si>
  <si>
    <t>TYE 12/31/2012 Years in Service</t>
  </si>
  <si>
    <t>w/p [p-2]</t>
  </si>
  <si>
    <t>w/p [p-2a]</t>
  </si>
  <si>
    <t>% Used in WSC of Kentucky</t>
  </si>
  <si>
    <t>State of Kentucky Expense for TYE 12/31/2012</t>
  </si>
  <si>
    <t>Vehicles in Kentucky</t>
  </si>
  <si>
    <t>TYE 12/31/2012 Expense per Vehicle</t>
  </si>
  <si>
    <t>% Allocated to WSC of Kentucky</t>
  </si>
  <si>
    <t>Per State TYE 12/31/2012 Income Statements</t>
  </si>
  <si>
    <t>Per Company inventory 08/01/13</t>
  </si>
  <si>
    <t>Per Company inventory 08/01/2013</t>
  </si>
  <si>
    <t>per w/p [p-2]</t>
  </si>
  <si>
    <t>Vehicle Depreciation</t>
  </si>
  <si>
    <t>w/p [appendix]</t>
  </si>
  <si>
    <t>Sch.C - Reconciliation of Pro Forma Adjustments</t>
  </si>
  <si>
    <t>Line Item</t>
  </si>
  <si>
    <t>W/P</t>
  </si>
  <si>
    <t>Combined</t>
  </si>
  <si>
    <t>[p3]</t>
  </si>
  <si>
    <t>[p4]</t>
  </si>
  <si>
    <t>[p2]</t>
  </si>
  <si>
    <t>Total A/D</t>
  </si>
  <si>
    <t>State Computers</t>
  </si>
  <si>
    <t>WSC Computers</t>
  </si>
  <si>
    <t>Per TB Balance</t>
  </si>
  <si>
    <t>Net</t>
  </si>
  <si>
    <t>[a][b]</t>
  </si>
  <si>
    <t>w/p [p-5]</t>
  </si>
  <si>
    <t>Gross plant in service and Accumulated Depreciation adjustments per wp [appendix]. Net CIAC and AIAC are adjusted per w/p [p-5].</t>
  </si>
  <si>
    <t>Accumulated depreciation, CIAC, and AIAC have been restated to reflect a 2% depreciation rate from the time the assets or liabilities were put in service.</t>
  </si>
  <si>
    <t>Explanation of Adjustments to Rate Base</t>
  </si>
  <si>
    <t>Contributions in Aid of Construction 9/30/2010 Additions</t>
  </si>
  <si>
    <t>Reconciliation Summary</t>
  </si>
  <si>
    <t>Acct #</t>
  </si>
  <si>
    <t>A/D or A/A Acct #</t>
  </si>
  <si>
    <t>Account Description</t>
  </si>
  <si>
    <t>Restatement Plant Accounts</t>
  </si>
  <si>
    <t>Restatement vs TB UC Difference</t>
  </si>
  <si>
    <t>Per Restatement</t>
  </si>
  <si>
    <t>Per TB UC = AA + UA + UR</t>
  </si>
  <si>
    <t>Per TB AA</t>
  </si>
  <si>
    <t>Per TB UR</t>
  </si>
  <si>
    <t>Per TB UA</t>
  </si>
  <si>
    <t>Total Plant Check</t>
  </si>
  <si>
    <t>Total Transportation</t>
  </si>
  <si>
    <t>Total Transportation Check</t>
  </si>
  <si>
    <t>Total Computer</t>
  </si>
  <si>
    <t>Total Computer Check</t>
  </si>
  <si>
    <t>Totals for Check</t>
  </si>
  <si>
    <t>Restatement</t>
  </si>
  <si>
    <t>Total Granted</t>
  </si>
  <si>
    <t>Amort period</t>
  </si>
  <si>
    <t>Annual exp</t>
  </si>
  <si>
    <t>Monthly amort</t>
  </si>
  <si>
    <t>Amortization start</t>
  </si>
  <si>
    <t>Amortization end</t>
  </si>
  <si>
    <t>Accumulated Amort months</t>
  </si>
  <si>
    <t>Amortized</t>
  </si>
  <si>
    <t>Unamortized</t>
  </si>
  <si>
    <t>w/p [d]</t>
  </si>
  <si>
    <t>w/p [p-5a]</t>
  </si>
  <si>
    <t>[p5]</t>
  </si>
  <si>
    <t>Filed</t>
  </si>
  <si>
    <t>Effective</t>
  </si>
  <si>
    <t>Remaining</t>
  </si>
  <si>
    <t>w/p [r]</t>
  </si>
  <si>
    <t>Adjustment to Miscellaneous expense - w/p [r].</t>
  </si>
  <si>
    <t>Case No. 2013 - 00237</t>
  </si>
  <si>
    <t>Plant Restatement from Case No. 2010 - 00476</t>
  </si>
  <si>
    <t>Test Year Ended September 30, 2010</t>
  </si>
  <si>
    <t>w/p [b-4]</t>
  </si>
  <si>
    <t>CASE NO. 2013-00237</t>
  </si>
  <si>
    <t>RECONCILIATION OF RATE BASE AND CAPITAL</t>
  </si>
  <si>
    <t>Total Capitalization:</t>
  </si>
  <si>
    <t>Sch A- BS Total Assets</t>
  </si>
  <si>
    <t>Reconciling Items:</t>
  </si>
  <si>
    <t>Restate (Audit) Organization Costs (H73)</t>
  </si>
  <si>
    <t>Restatement of accumulated depreciation</t>
  </si>
  <si>
    <t>-Total Plt in Service (Sch A) + Sch 'C': Accum Depr-Per Restatement</t>
  </si>
  <si>
    <t>Actual and estimated cash working capital</t>
  </si>
  <si>
    <t>Sch C- As Adjusted: Cash Working Capital</t>
  </si>
  <si>
    <t>Contributions in aid of construction (restated)</t>
  </si>
  <si>
    <t>Sch C- As Adjusted: CIAC</t>
  </si>
  <si>
    <t>Advances in aid of construction (restated)</t>
  </si>
  <si>
    <t>Sch C- As Adjusted: Advances in Aid of Construction</t>
  </si>
  <si>
    <t>Accumulated deferred income taxes</t>
  </si>
  <si>
    <t>Sch C- As Adjusted: Accum Deferred Inc Taxes</t>
  </si>
  <si>
    <t>Customer deposits</t>
  </si>
  <si>
    <t>Sch C- As Adjusted: Customer Deposits</t>
  </si>
  <si>
    <t>Reduction for transportation equipment</t>
  </si>
  <si>
    <t>Sch C- As Adjusted: Reduction Transportation Equip</t>
  </si>
  <si>
    <t>Plant acquisition adjustment</t>
  </si>
  <si>
    <t>Sch A- BS: PAA</t>
  </si>
  <si>
    <t>Sch A- BS: CWIP</t>
  </si>
  <si>
    <t>Sch A- BS: Cash</t>
  </si>
  <si>
    <t>Accounts receivable - net</t>
  </si>
  <si>
    <t>Sch A- BS: AR</t>
  </si>
  <si>
    <t>Other current assets</t>
  </si>
  <si>
    <t>Sch A- BS: Other Assets</t>
  </si>
  <si>
    <t>Deferred charges</t>
  </si>
  <si>
    <t>Sch A- BS: Deferred Charges</t>
  </si>
  <si>
    <t>Net Rate Base Used to Determine Interest Expense:</t>
  </si>
  <si>
    <t>Reduction of Gross Plant in Service</t>
  </si>
  <si>
    <t>Work in process on books at 12/31/12</t>
  </si>
  <si>
    <t>Maintenance 1</t>
  </si>
  <si>
    <t>Maintenance 2</t>
  </si>
  <si>
    <t>Maintenance 3</t>
  </si>
  <si>
    <t>Maintenance 4</t>
  </si>
  <si>
    <t>Maintenance 5</t>
  </si>
  <si>
    <t>Maintenance 6</t>
  </si>
  <si>
    <t>Maintenance 7</t>
  </si>
  <si>
    <t>Maintenance 8</t>
  </si>
  <si>
    <t>Maintenance 9</t>
  </si>
  <si>
    <t>Maintenance 10</t>
  </si>
  <si>
    <t>Maintenance 11</t>
  </si>
  <si>
    <t>Supervisory 1</t>
  </si>
  <si>
    <t>Supervisory 2</t>
  </si>
  <si>
    <t>Supervisory 3</t>
  </si>
  <si>
    <t>Supervisory 4</t>
  </si>
  <si>
    <t>Supervisory 5</t>
  </si>
  <si>
    <t>CSR 1</t>
  </si>
  <si>
    <t>CSR 2</t>
  </si>
  <si>
    <t>CSR 3</t>
  </si>
  <si>
    <t>CSR 5</t>
  </si>
  <si>
    <t>CSR 7</t>
  </si>
  <si>
    <t>CSR 14</t>
  </si>
  <si>
    <t>CSR 10</t>
  </si>
  <si>
    <t>CSR 12</t>
  </si>
  <si>
    <t>CSR 15</t>
  </si>
  <si>
    <t>CSR 16</t>
  </si>
  <si>
    <t>CSR 18</t>
  </si>
  <si>
    <t>CSR 21</t>
  </si>
  <si>
    <t>CSR 23</t>
  </si>
  <si>
    <t>CSR 26</t>
  </si>
  <si>
    <t>CSR 28</t>
  </si>
  <si>
    <t>CSR 30</t>
  </si>
  <si>
    <t>CSR 31</t>
  </si>
  <si>
    <t>CSR 17</t>
  </si>
  <si>
    <t>CSR 20</t>
  </si>
  <si>
    <t>CSR 22</t>
  </si>
  <si>
    <t>CSR 29</t>
  </si>
  <si>
    <t>CSR 32</t>
  </si>
  <si>
    <t>CSR 34</t>
  </si>
  <si>
    <t>CSR 35</t>
  </si>
  <si>
    <t>CSR 37</t>
  </si>
  <si>
    <t>CSR 38</t>
  </si>
  <si>
    <t>CSR 40</t>
  </si>
  <si>
    <t>WSC 1</t>
  </si>
  <si>
    <t>WSC 2</t>
  </si>
  <si>
    <t>WSC 3</t>
  </si>
  <si>
    <t>WSC 4</t>
  </si>
  <si>
    <t>WSC 5</t>
  </si>
  <si>
    <t>WSC 6</t>
  </si>
  <si>
    <t>WSC 7</t>
  </si>
  <si>
    <t>WSC 8</t>
  </si>
  <si>
    <t>WSC 9</t>
  </si>
  <si>
    <t>WSC 10</t>
  </si>
  <si>
    <t>WSC 11</t>
  </si>
  <si>
    <t>WSC 12</t>
  </si>
  <si>
    <t>WSC 13</t>
  </si>
  <si>
    <t>WSC 14</t>
  </si>
  <si>
    <t>WSC 15</t>
  </si>
  <si>
    <t>WSC 16</t>
  </si>
  <si>
    <t>WSC 17</t>
  </si>
  <si>
    <t>WSC 18</t>
  </si>
  <si>
    <t>WSC 19</t>
  </si>
  <si>
    <t>WSC 20</t>
  </si>
  <si>
    <t>WSC 21</t>
  </si>
  <si>
    <t>WSC 22</t>
  </si>
  <si>
    <t>WSC 23</t>
  </si>
  <si>
    <t>WSC 24</t>
  </si>
  <si>
    <t>WSC 25</t>
  </si>
  <si>
    <t>WSC 26</t>
  </si>
  <si>
    <t>WSC 27</t>
  </si>
  <si>
    <t>WSC 28</t>
  </si>
  <si>
    <t>WSC 29</t>
  </si>
  <si>
    <t>WSC 30</t>
  </si>
  <si>
    <t>WSC 31</t>
  </si>
  <si>
    <t>WSC 32</t>
  </si>
  <si>
    <t>WSC 33</t>
  </si>
  <si>
    <t>WSC 34</t>
  </si>
  <si>
    <t>WSC 35</t>
  </si>
  <si>
    <t>WSC 36</t>
  </si>
  <si>
    <t>WSC 37</t>
  </si>
  <si>
    <t>WSC 38</t>
  </si>
  <si>
    <t>CSR 4</t>
  </si>
  <si>
    <t>CSR 6</t>
  </si>
  <si>
    <t>CSR 8</t>
  </si>
  <si>
    <t>CSR 9</t>
  </si>
  <si>
    <t>CSR 11</t>
  </si>
  <si>
    <t>CSR 13</t>
  </si>
  <si>
    <t>CSR 19</t>
  </si>
  <si>
    <t>CSR 24</t>
  </si>
  <si>
    <t>CSR 25</t>
  </si>
  <si>
    <t>CSR 27</t>
  </si>
  <si>
    <t>CSR 33</t>
  </si>
  <si>
    <t>CSR 36</t>
  </si>
  <si>
    <t>CSR 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</si>
</sst>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\-00"/>
    <numFmt numFmtId="166" formatCode="#,##0\ ;\(#,##0\)"/>
    <numFmt numFmtId="167" formatCode="0.0%"/>
    <numFmt numFmtId="168" formatCode="_(* #,##0_);_(* \(#,##0\);_(* &quot;-&quot;??_);_(@_)"/>
    <numFmt numFmtId="169" formatCode="_(&quot;$&quot;* #,##0_);_(&quot;$&quot;* \(#,##0\);_(&quot;$&quot;* &quot;-&quot;??_);_(@_)"/>
    <numFmt numFmtId="170" formatCode="#,##0&quot; &quot;;\(#,##0\)"/>
    <numFmt numFmtId="171" formatCode="&quot;$&quot;&quot; &quot;#,##0&quot; &quot;;\(&quot;$&quot;#,##0\)"/>
    <numFmt numFmtId="172" formatCode="#,##0&quot; &quot;;\(#,##0\)&quot; &quot;"/>
    <numFmt numFmtId="173" formatCode="#,##0.0000_);\(#,##0.0000\)"/>
    <numFmt numFmtId="174" formatCode="0_);\(0\)"/>
    <numFmt numFmtId="175" formatCode="mm/dd/yy;@"/>
    <numFmt numFmtId="176" formatCode="[$-409]mmmm\ d\,\ yyyy;@"/>
    <numFmt numFmtId="177" formatCode="_(* #,##0.0_);_(* \(#,##0.0\);_(* &quot;-&quot;??_);_(@_)"/>
    <numFmt numFmtId="178" formatCode="#,##0.0_);\(#,##0.0\)"/>
    <numFmt numFmtId="179" formatCode="0.00000"/>
    <numFmt numFmtId="180" formatCode="mmmm\ d\,\ yyyy"/>
    <numFmt numFmtId="181" formatCode="m/d/yy;@"/>
    <numFmt numFmtId="182" formatCode="&quot;Test Year Ended&quot;\ mmmm\ dd\,\ yyyy"/>
    <numFmt numFmtId="183" formatCode="##"/>
    <numFmt numFmtId="184" formatCode="mm/yy"/>
    <numFmt numFmtId="185" formatCode="_([$€-2]* #,##0.00_);_([$€-2]* \(#,##0.00\);_([$€-2]* &quot;-&quot;??_)"/>
    <numFmt numFmtId="186" formatCode="#########"/>
    <numFmt numFmtId="187" formatCode="[$-409]mmmm\-yy;@"/>
    <numFmt numFmtId="188" formatCode="&quot;Trial Balance @ &quot;mmmm\ dd\,\ yyyy"/>
    <numFmt numFmtId="189" formatCode="_(* #,##0.00000_);_(* \(#,##0.00000\);_(* &quot;-&quot;??_);_(@_)"/>
    <numFmt numFmtId="190" formatCode="_(* #,##0.000000_);_(* \(#,##0.000000\);_(* &quot;-&quot;??_);_(@_)"/>
    <numFmt numFmtId="191" formatCode="#."/>
    <numFmt numFmtId="192" formatCode="_(&quot;$&quot;* #,##0.0000_);_(&quot;$&quot;* \(#,##0.0000\);_(&quot;$&quot;* &quot;-&quot;??_);_(@_)"/>
    <numFmt numFmtId="193" formatCode="####.00;\(####.00\);0.00"/>
    <numFmt numFmtId="194" formatCode="&quot;$&quot;#,##0.00"/>
    <numFmt numFmtId="195" formatCode="[$$-409]#,##0_);\([$$-409]#,##0\)"/>
    <numFmt numFmtId="196" formatCode="0.0000000"/>
    <numFmt numFmtId="197" formatCode="#,##0.000000_);\(#,##0.000000\)"/>
    <numFmt numFmtId="198" formatCode="_(* #,##0.0000_);_(* \(#,##0.0000\);_(* &quot;-&quot;??_);_(@_)"/>
    <numFmt numFmtId="199" formatCode="_(* #,##0.000_);_(* \(#,##0.000\);_(* &quot;-&quot;??_);_(@_)"/>
    <numFmt numFmtId="200" formatCode="0.0000%"/>
    <numFmt numFmtId="201" formatCode="&quot;[&quot;#&quot;]&quot;"/>
    <numFmt numFmtId="202" formatCode="mm/dd/yy"/>
    <numFmt numFmtId="203" formatCode="[$-409]mmm\-yy;@"/>
    <numFmt numFmtId="204" formatCode="0000"/>
  </numFmts>
  <fonts count="138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Bookman"/>
      <family val="1"/>
    </font>
    <font>
      <sz val="10"/>
      <name val="Geneva"/>
    </font>
    <font>
      <sz val="9"/>
      <name val="Geneva"/>
    </font>
    <font>
      <sz val="9"/>
      <color indexed="81"/>
      <name val="Geneva"/>
    </font>
    <font>
      <b/>
      <sz val="9"/>
      <color indexed="81"/>
      <name val="Geneva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indexed="10"/>
      <name val="Times New Roman"/>
      <family val="1"/>
    </font>
    <font>
      <b/>
      <u/>
      <sz val="11"/>
      <name val="Times New Roman"/>
      <family val="1"/>
    </font>
    <font>
      <u/>
      <sz val="11"/>
      <name val="Times New Roman"/>
      <family val="1"/>
    </font>
    <font>
      <b/>
      <u/>
      <sz val="11"/>
      <color indexed="39"/>
      <name val="Times New Roman"/>
      <family val="1"/>
    </font>
    <font>
      <b/>
      <sz val="11"/>
      <color indexed="39"/>
      <name val="Times New Roman"/>
      <family val="1"/>
    </font>
    <font>
      <sz val="11"/>
      <color indexed="8"/>
      <name val="Times New Roman"/>
      <family val="1"/>
    </font>
    <font>
      <sz val="11"/>
      <color indexed="39"/>
      <name val="Times New Roman"/>
      <family val="1"/>
    </font>
    <font>
      <sz val="11"/>
      <color indexed="22"/>
      <name val="Times New Roman"/>
      <family val="1"/>
    </font>
    <font>
      <b/>
      <sz val="11"/>
      <color indexed="14"/>
      <name val="Times New Roman"/>
      <family val="1"/>
    </font>
    <font>
      <sz val="12"/>
      <name val="Book Antiqua"/>
      <family val="1"/>
    </font>
    <font>
      <sz val="8"/>
      <name val="Book Antiqua"/>
      <family val="1"/>
    </font>
    <font>
      <sz val="8"/>
      <name val="Courier"/>
      <family val="3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sz val="10"/>
      <name val="Courier New"/>
      <family val="3"/>
    </font>
    <font>
      <b/>
      <sz val="10"/>
      <name val="Courier New"/>
      <family val="3"/>
    </font>
    <font>
      <u/>
      <sz val="10"/>
      <name val="Courier New"/>
      <family val="3"/>
    </font>
    <font>
      <b/>
      <u/>
      <sz val="10"/>
      <name val="Courier New"/>
      <family val="3"/>
    </font>
    <font>
      <b/>
      <sz val="10"/>
      <color indexed="8"/>
      <name val="Courier New"/>
      <family val="3"/>
    </font>
    <font>
      <sz val="10"/>
      <color indexed="8"/>
      <name val="Courier New"/>
      <family val="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"/>
      <name val="Courier New"/>
      <family val="3"/>
    </font>
    <font>
      <b/>
      <sz val="8"/>
      <color indexed="26"/>
      <name val="Courier New"/>
      <family val="3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8"/>
      <name val="Courier"/>
      <family val="3"/>
    </font>
    <font>
      <sz val="10"/>
      <name val="Times New Roman"/>
      <family val="1"/>
    </font>
    <font>
      <sz val="10"/>
      <name val="Bookman Old Style"/>
      <family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Times New Roman"/>
      <family val="1"/>
    </font>
    <font>
      <sz val="8"/>
      <name val="Courier"/>
      <family val="3"/>
    </font>
    <font>
      <sz val="10"/>
      <name val="Bookman Old Style"/>
      <family val="1"/>
    </font>
    <font>
      <sz val="10"/>
      <name val="Arial"/>
      <family val="2"/>
    </font>
    <font>
      <sz val="10"/>
      <name val="Courier"/>
      <family val="3"/>
    </font>
    <font>
      <sz val="10"/>
      <name val="Book Antiqua"/>
      <family val="1"/>
    </font>
    <font>
      <b/>
      <u/>
      <sz val="10"/>
      <name val="Book Antiqua"/>
      <family val="1"/>
    </font>
    <font>
      <sz val="8"/>
      <name val="Arial"/>
      <family val="2"/>
    </font>
    <font>
      <u/>
      <sz val="10"/>
      <name val="Book Antiqua"/>
      <family val="1"/>
    </font>
    <font>
      <sz val="12"/>
      <name val="Times"/>
      <family val="1"/>
    </font>
    <font>
      <u val="singleAccounting"/>
      <sz val="10"/>
      <name val="Book Antiqua"/>
      <family val="1"/>
    </font>
    <font>
      <b/>
      <sz val="10"/>
      <name val="Book Antiqua"/>
      <family val="1"/>
    </font>
    <font>
      <b/>
      <sz val="8"/>
      <name val="Book Antiqua"/>
      <family val="1"/>
    </font>
    <font>
      <u val="singleAccounting"/>
      <sz val="8"/>
      <name val="Book Antiqua"/>
      <family val="1"/>
    </font>
    <font>
      <u val="doubleAccounting"/>
      <sz val="8"/>
      <name val="Book Antiqua"/>
      <family val="1"/>
    </font>
    <font>
      <sz val="10"/>
      <name val="Courier"/>
      <family val="3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22"/>
      <name val="Times New Roman"/>
      <family val="1"/>
    </font>
    <font>
      <sz val="10"/>
      <color indexed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color indexed="39"/>
      <name val="Times New Roman"/>
      <family val="1"/>
    </font>
    <font>
      <sz val="11"/>
      <color theme="1"/>
      <name val="Calibri"/>
      <family val="2"/>
      <scheme val="minor"/>
    </font>
    <font>
      <sz val="11"/>
      <color rgb="FFFF0000"/>
      <name val="Times New Roman"/>
      <family val="1"/>
    </font>
    <font>
      <sz val="11"/>
      <color theme="1"/>
      <name val="Georgia"/>
      <family val="2"/>
    </font>
    <font>
      <u/>
      <sz val="12"/>
      <name val="Book Antiqua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1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u val="singleAccounting"/>
      <sz val="10"/>
      <name val="Times New Roman"/>
      <family val="1"/>
    </font>
    <font>
      <u/>
      <sz val="10"/>
      <name val="Times New Roman"/>
      <family val="1"/>
    </font>
    <font>
      <b/>
      <sz val="10"/>
      <color theme="1"/>
      <name val="Times New Roman"/>
      <family val="1"/>
    </font>
    <font>
      <sz val="10"/>
      <color theme="0"/>
      <name val="Times New Roman"/>
      <family val="1"/>
    </font>
    <font>
      <sz val="10"/>
      <color theme="1"/>
      <name val="Book Antiqua"/>
      <family val="1"/>
    </font>
    <font>
      <sz val="8"/>
      <name val="Symbol"/>
      <family val="1"/>
      <charset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8"/>
      <name val="Book Antiqua"/>
      <family val="1"/>
    </font>
    <font>
      <u val="singleAccounting"/>
      <sz val="8"/>
      <name val="Arial"/>
      <family val="2"/>
    </font>
    <font>
      <u val="doubleAccounting"/>
      <sz val="8"/>
      <name val="Arial"/>
      <family val="2"/>
    </font>
    <font>
      <sz val="8"/>
      <color theme="1"/>
      <name val="Arial"/>
      <family val="2"/>
    </font>
    <font>
      <u/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0"/>
      <name val="Genev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1"/>
      <color theme="1"/>
      <name val="Times New Roman"/>
      <family val="1"/>
    </font>
    <font>
      <b/>
      <sz val="1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0">
    <xf numFmtId="0" fontId="0" fillId="0" borderId="0"/>
    <xf numFmtId="186" fontId="49" fillId="0" borderId="0"/>
    <xf numFmtId="183" fontId="9" fillId="0" borderId="0" applyFont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0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0" fillId="0" borderId="0" applyFont="0" applyFill="0" applyBorder="0" applyAlignment="0" applyProtection="0"/>
    <xf numFmtId="14" fontId="9" fillId="0" borderId="0"/>
    <xf numFmtId="184" fontId="44" fillId="0" borderId="0" applyFont="0" applyAlignment="0"/>
    <xf numFmtId="185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187" fontId="7" fillId="0" borderId="0"/>
    <xf numFmtId="0" fontId="29" fillId="0" borderId="0"/>
    <xf numFmtId="0" fontId="45" fillId="0" borderId="0"/>
    <xf numFmtId="0" fontId="45" fillId="0" borderId="0"/>
    <xf numFmtId="185" fontId="45" fillId="0" borderId="0"/>
    <xf numFmtId="0" fontId="70" fillId="0" borderId="0"/>
    <xf numFmtId="187" fontId="7" fillId="0" borderId="0"/>
    <xf numFmtId="0" fontId="70" fillId="0" borderId="0"/>
    <xf numFmtId="0" fontId="62" fillId="0" borderId="0"/>
    <xf numFmtId="0" fontId="7" fillId="0" borderId="0"/>
    <xf numFmtId="0" fontId="9" fillId="0" borderId="0"/>
    <xf numFmtId="0" fontId="10" fillId="0" borderId="0"/>
    <xf numFmtId="0" fontId="24" fillId="0" borderId="0"/>
    <xf numFmtId="0" fontId="8" fillId="0" borderId="0"/>
    <xf numFmtId="0" fontId="7" fillId="0" borderId="0"/>
    <xf numFmtId="0" fontId="9" fillId="0" borderId="0"/>
    <xf numFmtId="0" fontId="9" fillId="0" borderId="0"/>
    <xf numFmtId="0" fontId="9" fillId="0" borderId="0"/>
    <xf numFmtId="187" fontId="9" fillId="0" borderId="0"/>
    <xf numFmtId="0" fontId="9" fillId="0" borderId="0"/>
    <xf numFmtId="0" fontId="9" fillId="0" borderId="0"/>
    <xf numFmtId="187" fontId="9" fillId="0" borderId="0"/>
    <xf numFmtId="0" fontId="51" fillId="0" borderId="0"/>
    <xf numFmtId="0" fontId="50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7" fontId="72" fillId="0" borderId="0"/>
    <xf numFmtId="43" fontId="72" fillId="0" borderId="0" applyFont="0" applyFill="0" applyBorder="0" applyAlignment="0" applyProtection="0"/>
    <xf numFmtId="187" fontId="7" fillId="0" borderId="0"/>
    <xf numFmtId="187" fontId="1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2" fillId="0" borderId="0" applyFont="0" applyFill="0" applyBorder="0" applyAlignment="0" applyProtection="0"/>
    <xf numFmtId="187" fontId="29" fillId="0" borderId="0"/>
    <xf numFmtId="9" fontId="72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87" fontId="7" fillId="0" borderId="0"/>
    <xf numFmtId="187" fontId="7" fillId="0" borderId="0"/>
    <xf numFmtId="0" fontId="87" fillId="0" borderId="0">
      <alignment vertical="top"/>
    </xf>
    <xf numFmtId="0" fontId="88" fillId="0" borderId="0">
      <alignment vertical="top"/>
    </xf>
    <xf numFmtId="0" fontId="89" fillId="0" borderId="0"/>
    <xf numFmtId="9" fontId="89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9" fillId="0" borderId="0" applyFont="0" applyFill="0" applyBorder="0" applyAlignment="0" applyProtection="0"/>
    <xf numFmtId="43" fontId="8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7" fillId="0" borderId="0">
      <alignment vertical="top"/>
    </xf>
    <xf numFmtId="44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187" fontId="29" fillId="0" borderId="0"/>
    <xf numFmtId="186" fontId="44" fillId="0" borderId="0"/>
    <xf numFmtId="43" fontId="4" fillId="0" borderId="0" applyFont="0" applyFill="0" applyBorder="0" applyAlignment="0" applyProtection="0"/>
    <xf numFmtId="0" fontId="87" fillId="0" borderId="0">
      <alignment vertical="top"/>
    </xf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4" fillId="0" borderId="0"/>
    <xf numFmtId="0" fontId="87" fillId="0" borderId="0">
      <alignment vertical="top"/>
    </xf>
    <xf numFmtId="0" fontId="3" fillId="16" borderId="0" applyNumberFormat="0" applyBorder="0" applyAlignment="0" applyProtection="0"/>
    <xf numFmtId="0" fontId="45" fillId="39" borderId="0" applyNumberFormat="0" applyBorder="0" applyAlignment="0" applyProtection="0"/>
    <xf numFmtId="0" fontId="3" fillId="16" borderId="0" applyNumberFormat="0" applyBorder="0" applyAlignment="0" applyProtection="0"/>
    <xf numFmtId="0" fontId="45" fillId="39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45" fillId="40" borderId="0" applyNumberFormat="0" applyBorder="0" applyAlignment="0" applyProtection="0"/>
    <xf numFmtId="0" fontId="3" fillId="20" borderId="0" applyNumberFormat="0" applyBorder="0" applyAlignment="0" applyProtection="0"/>
    <xf numFmtId="0" fontId="45" fillId="4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45" fillId="41" borderId="0" applyNumberFormat="0" applyBorder="0" applyAlignment="0" applyProtection="0"/>
    <xf numFmtId="0" fontId="3" fillId="24" borderId="0" applyNumberFormat="0" applyBorder="0" applyAlignment="0" applyProtection="0"/>
    <xf numFmtId="0" fontId="45" fillId="41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45" fillId="42" borderId="0" applyNumberFormat="0" applyBorder="0" applyAlignment="0" applyProtection="0"/>
    <xf numFmtId="0" fontId="3" fillId="28" borderId="0" applyNumberFormat="0" applyBorder="0" applyAlignment="0" applyProtection="0"/>
    <xf numFmtId="0" fontId="45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45" fillId="43" borderId="0" applyNumberFormat="0" applyBorder="0" applyAlignment="0" applyProtection="0"/>
    <xf numFmtId="0" fontId="3" fillId="32" borderId="0" applyNumberFormat="0" applyBorder="0" applyAlignment="0" applyProtection="0"/>
    <xf numFmtId="0" fontId="45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45" fillId="44" borderId="0" applyNumberFormat="0" applyBorder="0" applyAlignment="0" applyProtection="0"/>
    <xf numFmtId="0" fontId="3" fillId="36" borderId="0" applyNumberFormat="0" applyBorder="0" applyAlignment="0" applyProtection="0"/>
    <xf numFmtId="0" fontId="45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45" fillId="45" borderId="0" applyNumberFormat="0" applyBorder="0" applyAlignment="0" applyProtection="0"/>
    <xf numFmtId="0" fontId="3" fillId="17" borderId="0" applyNumberFormat="0" applyBorder="0" applyAlignment="0" applyProtection="0"/>
    <xf numFmtId="0" fontId="45" fillId="45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5" fillId="46" borderId="0" applyNumberFormat="0" applyBorder="0" applyAlignment="0" applyProtection="0"/>
    <xf numFmtId="0" fontId="3" fillId="21" borderId="0" applyNumberFormat="0" applyBorder="0" applyAlignment="0" applyProtection="0"/>
    <xf numFmtId="0" fontId="45" fillId="46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45" fillId="47" borderId="0" applyNumberFormat="0" applyBorder="0" applyAlignment="0" applyProtection="0"/>
    <xf numFmtId="0" fontId="3" fillId="25" borderId="0" applyNumberFormat="0" applyBorder="0" applyAlignment="0" applyProtection="0"/>
    <xf numFmtId="0" fontId="45" fillId="47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45" fillId="42" borderId="0" applyNumberFormat="0" applyBorder="0" applyAlignment="0" applyProtection="0"/>
    <xf numFmtId="0" fontId="3" fillId="29" borderId="0" applyNumberFormat="0" applyBorder="0" applyAlignment="0" applyProtection="0"/>
    <xf numFmtId="0" fontId="45" fillId="42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45" fillId="45" borderId="0" applyNumberFormat="0" applyBorder="0" applyAlignment="0" applyProtection="0"/>
    <xf numFmtId="0" fontId="3" fillId="33" borderId="0" applyNumberFormat="0" applyBorder="0" applyAlignment="0" applyProtection="0"/>
    <xf numFmtId="0" fontId="45" fillId="45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45" fillId="48" borderId="0" applyNumberFormat="0" applyBorder="0" applyAlignment="0" applyProtection="0"/>
    <xf numFmtId="0" fontId="3" fillId="37" borderId="0" applyNumberFormat="0" applyBorder="0" applyAlignment="0" applyProtection="0"/>
    <xf numFmtId="0" fontId="45" fillId="48" borderId="0" applyNumberFormat="0" applyBorder="0" applyAlignment="0" applyProtection="0"/>
    <xf numFmtId="0" fontId="3" fillId="37" borderId="0" applyNumberFormat="0" applyBorder="0" applyAlignment="0" applyProtection="0"/>
    <xf numFmtId="0" fontId="107" fillId="18" borderId="0" applyNumberFormat="0" applyBorder="0" applyAlignment="0" applyProtection="0"/>
    <xf numFmtId="0" fontId="113" fillId="49" borderId="0" applyNumberFormat="0" applyBorder="0" applyAlignment="0" applyProtection="0"/>
    <xf numFmtId="0" fontId="107" fillId="18" borderId="0" applyNumberFormat="0" applyBorder="0" applyAlignment="0" applyProtection="0"/>
    <xf numFmtId="0" fontId="113" fillId="49" borderId="0" applyNumberFormat="0" applyBorder="0" applyAlignment="0" applyProtection="0"/>
    <xf numFmtId="0" fontId="107" fillId="18" borderId="0" applyNumberFormat="0" applyBorder="0" applyAlignment="0" applyProtection="0"/>
    <xf numFmtId="0" fontId="107" fillId="22" borderId="0" applyNumberFormat="0" applyBorder="0" applyAlignment="0" applyProtection="0"/>
    <xf numFmtId="0" fontId="113" fillId="46" borderId="0" applyNumberFormat="0" applyBorder="0" applyAlignment="0" applyProtection="0"/>
    <xf numFmtId="0" fontId="107" fillId="22" borderId="0" applyNumberFormat="0" applyBorder="0" applyAlignment="0" applyProtection="0"/>
    <xf numFmtId="0" fontId="113" fillId="46" borderId="0" applyNumberFormat="0" applyBorder="0" applyAlignment="0" applyProtection="0"/>
    <xf numFmtId="0" fontId="107" fillId="22" borderId="0" applyNumberFormat="0" applyBorder="0" applyAlignment="0" applyProtection="0"/>
    <xf numFmtId="0" fontId="107" fillId="26" borderId="0" applyNumberFormat="0" applyBorder="0" applyAlignment="0" applyProtection="0"/>
    <xf numFmtId="0" fontId="113" fillId="47" borderId="0" applyNumberFormat="0" applyBorder="0" applyAlignment="0" applyProtection="0"/>
    <xf numFmtId="0" fontId="107" fillId="26" borderId="0" applyNumberFormat="0" applyBorder="0" applyAlignment="0" applyProtection="0"/>
    <xf numFmtId="0" fontId="113" fillId="47" borderId="0" applyNumberFormat="0" applyBorder="0" applyAlignment="0" applyProtection="0"/>
    <xf numFmtId="0" fontId="107" fillId="26" borderId="0" applyNumberFormat="0" applyBorder="0" applyAlignment="0" applyProtection="0"/>
    <xf numFmtId="0" fontId="107" fillId="30" borderId="0" applyNumberFormat="0" applyBorder="0" applyAlignment="0" applyProtection="0"/>
    <xf numFmtId="0" fontId="113" fillId="50" borderId="0" applyNumberFormat="0" applyBorder="0" applyAlignment="0" applyProtection="0"/>
    <xf numFmtId="0" fontId="107" fillId="30" borderId="0" applyNumberFormat="0" applyBorder="0" applyAlignment="0" applyProtection="0"/>
    <xf numFmtId="0" fontId="113" fillId="50" borderId="0" applyNumberFormat="0" applyBorder="0" applyAlignment="0" applyProtection="0"/>
    <xf numFmtId="0" fontId="107" fillId="30" borderId="0" applyNumberFormat="0" applyBorder="0" applyAlignment="0" applyProtection="0"/>
    <xf numFmtId="0" fontId="107" fillId="34" borderId="0" applyNumberFormat="0" applyBorder="0" applyAlignment="0" applyProtection="0"/>
    <xf numFmtId="0" fontId="113" fillId="51" borderId="0" applyNumberFormat="0" applyBorder="0" applyAlignment="0" applyProtection="0"/>
    <xf numFmtId="0" fontId="107" fillId="34" borderId="0" applyNumberFormat="0" applyBorder="0" applyAlignment="0" applyProtection="0"/>
    <xf numFmtId="0" fontId="113" fillId="51" borderId="0" applyNumberFormat="0" applyBorder="0" applyAlignment="0" applyProtection="0"/>
    <xf numFmtId="0" fontId="107" fillId="34" borderId="0" applyNumberFormat="0" applyBorder="0" applyAlignment="0" applyProtection="0"/>
    <xf numFmtId="0" fontId="107" fillId="38" borderId="0" applyNumberFormat="0" applyBorder="0" applyAlignment="0" applyProtection="0"/>
    <xf numFmtId="0" fontId="113" fillId="52" borderId="0" applyNumberFormat="0" applyBorder="0" applyAlignment="0" applyProtection="0"/>
    <xf numFmtId="0" fontId="107" fillId="38" borderId="0" applyNumberFormat="0" applyBorder="0" applyAlignment="0" applyProtection="0"/>
    <xf numFmtId="0" fontId="113" fillId="52" borderId="0" applyNumberFormat="0" applyBorder="0" applyAlignment="0" applyProtection="0"/>
    <xf numFmtId="0" fontId="107" fillId="38" borderId="0" applyNumberFormat="0" applyBorder="0" applyAlignment="0" applyProtection="0"/>
    <xf numFmtId="0" fontId="107" fillId="15" borderId="0" applyNumberFormat="0" applyBorder="0" applyAlignment="0" applyProtection="0"/>
    <xf numFmtId="0" fontId="113" fillId="53" borderId="0" applyNumberFormat="0" applyBorder="0" applyAlignment="0" applyProtection="0"/>
    <xf numFmtId="0" fontId="107" fillId="15" borderId="0" applyNumberFormat="0" applyBorder="0" applyAlignment="0" applyProtection="0"/>
    <xf numFmtId="0" fontId="113" fillId="53" borderId="0" applyNumberFormat="0" applyBorder="0" applyAlignment="0" applyProtection="0"/>
    <xf numFmtId="0" fontId="107" fillId="15" borderId="0" applyNumberFormat="0" applyBorder="0" applyAlignment="0" applyProtection="0"/>
    <xf numFmtId="0" fontId="107" fillId="19" borderId="0" applyNumberFormat="0" applyBorder="0" applyAlignment="0" applyProtection="0"/>
    <xf numFmtId="0" fontId="113" fillId="54" borderId="0" applyNumberFormat="0" applyBorder="0" applyAlignment="0" applyProtection="0"/>
    <xf numFmtId="0" fontId="107" fillId="19" borderId="0" applyNumberFormat="0" applyBorder="0" applyAlignment="0" applyProtection="0"/>
    <xf numFmtId="0" fontId="113" fillId="54" borderId="0" applyNumberFormat="0" applyBorder="0" applyAlignment="0" applyProtection="0"/>
    <xf numFmtId="0" fontId="107" fillId="19" borderId="0" applyNumberFormat="0" applyBorder="0" applyAlignment="0" applyProtection="0"/>
    <xf numFmtId="0" fontId="107" fillId="23" borderId="0" applyNumberFormat="0" applyBorder="0" applyAlignment="0" applyProtection="0"/>
    <xf numFmtId="0" fontId="113" fillId="55" borderId="0" applyNumberFormat="0" applyBorder="0" applyAlignment="0" applyProtection="0"/>
    <xf numFmtId="0" fontId="107" fillId="23" borderId="0" applyNumberFormat="0" applyBorder="0" applyAlignment="0" applyProtection="0"/>
    <xf numFmtId="0" fontId="113" fillId="55" borderId="0" applyNumberFormat="0" applyBorder="0" applyAlignment="0" applyProtection="0"/>
    <xf numFmtId="0" fontId="107" fillId="23" borderId="0" applyNumberFormat="0" applyBorder="0" applyAlignment="0" applyProtection="0"/>
    <xf numFmtId="0" fontId="107" fillId="27" borderId="0" applyNumberFormat="0" applyBorder="0" applyAlignment="0" applyProtection="0"/>
    <xf numFmtId="0" fontId="113" fillId="50" borderId="0" applyNumberFormat="0" applyBorder="0" applyAlignment="0" applyProtection="0"/>
    <xf numFmtId="0" fontId="107" fillId="27" borderId="0" applyNumberFormat="0" applyBorder="0" applyAlignment="0" applyProtection="0"/>
    <xf numFmtId="0" fontId="113" fillId="50" borderId="0" applyNumberFormat="0" applyBorder="0" applyAlignment="0" applyProtection="0"/>
    <xf numFmtId="0" fontId="107" fillId="27" borderId="0" applyNumberFormat="0" applyBorder="0" applyAlignment="0" applyProtection="0"/>
    <xf numFmtId="0" fontId="107" fillId="31" borderId="0" applyNumberFormat="0" applyBorder="0" applyAlignment="0" applyProtection="0"/>
    <xf numFmtId="0" fontId="113" fillId="51" borderId="0" applyNumberFormat="0" applyBorder="0" applyAlignment="0" applyProtection="0"/>
    <xf numFmtId="0" fontId="107" fillId="31" borderId="0" applyNumberFormat="0" applyBorder="0" applyAlignment="0" applyProtection="0"/>
    <xf numFmtId="0" fontId="113" fillId="51" borderId="0" applyNumberFormat="0" applyBorder="0" applyAlignment="0" applyProtection="0"/>
    <xf numFmtId="0" fontId="107" fillId="31" borderId="0" applyNumberFormat="0" applyBorder="0" applyAlignment="0" applyProtection="0"/>
    <xf numFmtId="0" fontId="107" fillId="35" borderId="0" applyNumberFormat="0" applyBorder="0" applyAlignment="0" applyProtection="0"/>
    <xf numFmtId="0" fontId="113" fillId="56" borderId="0" applyNumberFormat="0" applyBorder="0" applyAlignment="0" applyProtection="0"/>
    <xf numFmtId="0" fontId="107" fillId="35" borderId="0" applyNumberFormat="0" applyBorder="0" applyAlignment="0" applyProtection="0"/>
    <xf numFmtId="0" fontId="113" fillId="56" borderId="0" applyNumberFormat="0" applyBorder="0" applyAlignment="0" applyProtection="0"/>
    <xf numFmtId="0" fontId="107" fillId="35" borderId="0" applyNumberFormat="0" applyBorder="0" applyAlignment="0" applyProtection="0"/>
    <xf numFmtId="0" fontId="98" fillId="9" borderId="0" applyNumberFormat="0" applyBorder="0" applyAlignment="0" applyProtection="0"/>
    <xf numFmtId="0" fontId="114" fillId="40" borderId="0" applyNumberFormat="0" applyBorder="0" applyAlignment="0" applyProtection="0"/>
    <xf numFmtId="0" fontId="98" fillId="9" borderId="0" applyNumberFormat="0" applyBorder="0" applyAlignment="0" applyProtection="0"/>
    <xf numFmtId="0" fontId="114" fillId="40" borderId="0" applyNumberFormat="0" applyBorder="0" applyAlignment="0" applyProtection="0"/>
    <xf numFmtId="0" fontId="98" fillId="9" borderId="0" applyNumberFormat="0" applyBorder="0" applyAlignment="0" applyProtection="0"/>
    <xf numFmtId="0" fontId="102" fillId="12" borderId="44" applyNumberFormat="0" applyAlignment="0" applyProtection="0"/>
    <xf numFmtId="0" fontId="115" fillId="57" borderId="50" applyNumberFormat="0" applyAlignment="0" applyProtection="0"/>
    <xf numFmtId="0" fontId="102" fillId="12" borderId="44" applyNumberFormat="0" applyAlignment="0" applyProtection="0"/>
    <xf numFmtId="0" fontId="115" fillId="57" borderId="50" applyNumberFormat="0" applyAlignment="0" applyProtection="0"/>
    <xf numFmtId="0" fontId="102" fillId="12" borderId="44" applyNumberFormat="0" applyAlignment="0" applyProtection="0"/>
    <xf numFmtId="0" fontId="104" fillId="13" borderId="47" applyNumberFormat="0" applyAlignment="0" applyProtection="0"/>
    <xf numFmtId="0" fontId="116" fillId="58" borderId="51" applyNumberFormat="0" applyAlignment="0" applyProtection="0"/>
    <xf numFmtId="0" fontId="104" fillId="13" borderId="47" applyNumberFormat="0" applyAlignment="0" applyProtection="0"/>
    <xf numFmtId="0" fontId="116" fillId="58" borderId="51" applyNumberFormat="0" applyAlignment="0" applyProtection="0"/>
    <xf numFmtId="0" fontId="104" fillId="13" borderId="47" applyNumberFormat="0" applyAlignment="0" applyProtection="0"/>
    <xf numFmtId="37" fontId="117" fillId="0" borderId="0"/>
    <xf numFmtId="43" fontId="118" fillId="0" borderId="0" applyFont="0" applyFill="0" applyBorder="0" applyAlignment="0" applyProtection="0"/>
    <xf numFmtId="43" fontId="87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17" fillId="0" borderId="0"/>
    <xf numFmtId="44" fontId="3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7" fillId="0" borderId="0">
      <alignment horizontal="right"/>
    </xf>
    <xf numFmtId="0" fontId="97" fillId="8" borderId="0" applyNumberFormat="0" applyBorder="0" applyAlignment="0" applyProtection="0"/>
    <xf numFmtId="0" fontId="121" fillId="41" borderId="0" applyNumberFormat="0" applyBorder="0" applyAlignment="0" applyProtection="0"/>
    <xf numFmtId="0" fontId="97" fillId="8" borderId="0" applyNumberFormat="0" applyBorder="0" applyAlignment="0" applyProtection="0"/>
    <xf numFmtId="0" fontId="121" fillId="41" borderId="0" applyNumberFormat="0" applyBorder="0" applyAlignment="0" applyProtection="0"/>
    <xf numFmtId="0" fontId="97" fillId="8" borderId="0" applyNumberFormat="0" applyBorder="0" applyAlignment="0" applyProtection="0"/>
    <xf numFmtId="0" fontId="94" fillId="0" borderId="41" applyNumberFormat="0" applyFill="0" applyAlignment="0" applyProtection="0"/>
    <xf numFmtId="0" fontId="122" fillId="0" borderId="52" applyNumberFormat="0" applyFill="0" applyAlignment="0" applyProtection="0"/>
    <xf numFmtId="0" fontId="94" fillId="0" borderId="41" applyNumberFormat="0" applyFill="0" applyAlignment="0" applyProtection="0"/>
    <xf numFmtId="0" fontId="122" fillId="0" borderId="52" applyNumberFormat="0" applyFill="0" applyAlignment="0" applyProtection="0"/>
    <xf numFmtId="0" fontId="94" fillId="0" borderId="41" applyNumberFormat="0" applyFill="0" applyAlignment="0" applyProtection="0"/>
    <xf numFmtId="0" fontId="95" fillId="0" borderId="42" applyNumberFormat="0" applyFill="0" applyAlignment="0" applyProtection="0"/>
    <xf numFmtId="0" fontId="123" fillId="0" borderId="53" applyNumberFormat="0" applyFill="0" applyAlignment="0" applyProtection="0"/>
    <xf numFmtId="0" fontId="95" fillId="0" borderId="42" applyNumberFormat="0" applyFill="0" applyAlignment="0" applyProtection="0"/>
    <xf numFmtId="0" fontId="123" fillId="0" borderId="53" applyNumberFormat="0" applyFill="0" applyAlignment="0" applyProtection="0"/>
    <xf numFmtId="0" fontId="95" fillId="0" borderId="42" applyNumberFormat="0" applyFill="0" applyAlignment="0" applyProtection="0"/>
    <xf numFmtId="0" fontId="96" fillId="0" borderId="43" applyNumberFormat="0" applyFill="0" applyAlignment="0" applyProtection="0"/>
    <xf numFmtId="0" fontId="124" fillId="0" borderId="54" applyNumberFormat="0" applyFill="0" applyAlignment="0" applyProtection="0"/>
    <xf numFmtId="0" fontId="96" fillId="0" borderId="43" applyNumberFormat="0" applyFill="0" applyAlignment="0" applyProtection="0"/>
    <xf numFmtId="0" fontId="124" fillId="0" borderId="54" applyNumberFormat="0" applyFill="0" applyAlignment="0" applyProtection="0"/>
    <xf numFmtId="0" fontId="96" fillId="0" borderId="43" applyNumberFormat="0" applyFill="0" applyAlignment="0" applyProtection="0"/>
    <xf numFmtId="0" fontId="9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0" fillId="11" borderId="44" applyNumberFormat="0" applyAlignment="0" applyProtection="0"/>
    <xf numFmtId="0" fontId="125" fillId="44" borderId="50" applyNumberFormat="0" applyAlignment="0" applyProtection="0"/>
    <xf numFmtId="0" fontId="100" fillId="11" borderId="44" applyNumberFormat="0" applyAlignment="0" applyProtection="0"/>
    <xf numFmtId="0" fontId="125" fillId="44" borderId="50" applyNumberFormat="0" applyAlignment="0" applyProtection="0"/>
    <xf numFmtId="0" fontId="100" fillId="11" borderId="44" applyNumberFormat="0" applyAlignment="0" applyProtection="0"/>
    <xf numFmtId="49" fontId="117" fillId="0" borderId="0">
      <alignment horizontal="center"/>
    </xf>
    <xf numFmtId="0" fontId="103" fillId="0" borderId="46" applyNumberFormat="0" applyFill="0" applyAlignment="0" applyProtection="0"/>
    <xf numFmtId="0" fontId="126" fillId="0" borderId="55" applyNumberFormat="0" applyFill="0" applyAlignment="0" applyProtection="0"/>
    <xf numFmtId="0" fontId="103" fillId="0" borderId="46" applyNumberFormat="0" applyFill="0" applyAlignment="0" applyProtection="0"/>
    <xf numFmtId="0" fontId="126" fillId="0" borderId="55" applyNumberFormat="0" applyFill="0" applyAlignment="0" applyProtection="0"/>
    <xf numFmtId="0" fontId="103" fillId="0" borderId="46" applyNumberFormat="0" applyFill="0" applyAlignment="0" applyProtection="0"/>
    <xf numFmtId="0" fontId="99" fillId="10" borderId="0" applyNumberFormat="0" applyBorder="0" applyAlignment="0" applyProtection="0"/>
    <xf numFmtId="0" fontId="127" fillId="59" borderId="0" applyNumberFormat="0" applyBorder="0" applyAlignment="0" applyProtection="0"/>
    <xf numFmtId="0" fontId="99" fillId="10" borderId="0" applyNumberFormat="0" applyBorder="0" applyAlignment="0" applyProtection="0"/>
    <xf numFmtId="0" fontId="127" fillId="59" borderId="0" applyNumberFormat="0" applyBorder="0" applyAlignment="0" applyProtection="0"/>
    <xf numFmtId="0" fontId="99" fillId="10" borderId="0" applyNumberFormat="0" applyBorder="0" applyAlignment="0" applyProtection="0"/>
    <xf numFmtId="187" fontId="7" fillId="0" borderId="0"/>
    <xf numFmtId="0" fontId="7" fillId="0" borderId="0"/>
    <xf numFmtId="187" fontId="7" fillId="0" borderId="0"/>
    <xf numFmtId="0" fontId="7" fillId="0" borderId="0"/>
    <xf numFmtId="187" fontId="7" fillId="0" borderId="0"/>
    <xf numFmtId="0" fontId="7" fillId="0" borderId="0"/>
    <xf numFmtId="187" fontId="7" fillId="0" borderId="0"/>
    <xf numFmtId="0" fontId="7" fillId="0" borderId="0"/>
    <xf numFmtId="187" fontId="7" fillId="0" borderId="0"/>
    <xf numFmtId="0" fontId="7" fillId="0" borderId="0"/>
    <xf numFmtId="187" fontId="7" fillId="0" borderId="0"/>
    <xf numFmtId="0" fontId="7" fillId="0" borderId="0"/>
    <xf numFmtId="187" fontId="7" fillId="0" borderId="0"/>
    <xf numFmtId="0" fontId="7" fillId="0" borderId="0"/>
    <xf numFmtId="187" fontId="7" fillId="0" borderId="0"/>
    <xf numFmtId="0" fontId="7" fillId="0" borderId="0"/>
    <xf numFmtId="187" fontId="7" fillId="0" borderId="0"/>
    <xf numFmtId="0" fontId="128" fillId="0" borderId="0"/>
    <xf numFmtId="187" fontId="128" fillId="0" borderId="0"/>
    <xf numFmtId="0" fontId="29" fillId="0" borderId="0"/>
    <xf numFmtId="0" fontId="3" fillId="0" borderId="0"/>
    <xf numFmtId="187" fontId="117" fillId="0" borderId="0"/>
    <xf numFmtId="0" fontId="87" fillId="0" borderId="0">
      <alignment vertical="top"/>
    </xf>
    <xf numFmtId="0" fontId="3" fillId="0" borderId="0"/>
    <xf numFmtId="187" fontId="7" fillId="0" borderId="0"/>
    <xf numFmtId="0" fontId="3" fillId="0" borderId="0"/>
    <xf numFmtId="0" fontId="9" fillId="0" borderId="0"/>
    <xf numFmtId="0" fontId="7" fillId="0" borderId="0"/>
    <xf numFmtId="187" fontId="7" fillId="0" borderId="0"/>
    <xf numFmtId="0" fontId="3" fillId="0" borderId="0"/>
    <xf numFmtId="0" fontId="3" fillId="0" borderId="0"/>
    <xf numFmtId="0" fontId="3" fillId="0" borderId="0"/>
    <xf numFmtId="203" fontId="3" fillId="0" borderId="0"/>
    <xf numFmtId="203" fontId="3" fillId="0" borderId="0"/>
    <xf numFmtId="187" fontId="7" fillId="0" borderId="0"/>
    <xf numFmtId="187" fontId="7" fillId="0" borderId="0"/>
    <xf numFmtId="0" fontId="117" fillId="0" borderId="0"/>
    <xf numFmtId="0" fontId="3" fillId="0" borderId="0"/>
    <xf numFmtId="0" fontId="7" fillId="0" borderId="0"/>
    <xf numFmtId="187" fontId="7" fillId="0" borderId="0"/>
    <xf numFmtId="187" fontId="3" fillId="0" borderId="0"/>
    <xf numFmtId="187" fontId="3" fillId="0" borderId="0"/>
    <xf numFmtId="0" fontId="7" fillId="0" borderId="0"/>
    <xf numFmtId="187" fontId="7" fillId="0" borderId="0"/>
    <xf numFmtId="187" fontId="7" fillId="0" borderId="0"/>
    <xf numFmtId="187" fontId="7" fillId="0" borderId="0"/>
    <xf numFmtId="0" fontId="3" fillId="14" borderId="48" applyNumberFormat="0" applyFont="0" applyAlignment="0" applyProtection="0"/>
    <xf numFmtId="0" fontId="45" fillId="60" borderId="56" applyNumberFormat="0" applyFont="0" applyAlignment="0" applyProtection="0"/>
    <xf numFmtId="0" fontId="3" fillId="14" borderId="48" applyNumberFormat="0" applyFont="0" applyAlignment="0" applyProtection="0"/>
    <xf numFmtId="0" fontId="45" fillId="60" borderId="56" applyNumberFormat="0" applyFont="0" applyAlignment="0" applyProtection="0"/>
    <xf numFmtId="0" fontId="3" fillId="14" borderId="48" applyNumberFormat="0" applyFont="0" applyAlignment="0" applyProtection="0"/>
    <xf numFmtId="0" fontId="45" fillId="60" borderId="56" applyNumberFormat="0" applyFont="0" applyAlignment="0" applyProtection="0"/>
    <xf numFmtId="0" fontId="45" fillId="60" borderId="56" applyNumberFormat="0" applyFont="0" applyAlignment="0" applyProtection="0"/>
    <xf numFmtId="0" fontId="45" fillId="60" borderId="56" applyNumberFormat="0" applyFont="0" applyAlignment="0" applyProtection="0"/>
    <xf numFmtId="0" fontId="45" fillId="60" borderId="56" applyNumberFormat="0" applyFont="0" applyAlignment="0" applyProtection="0"/>
    <xf numFmtId="0" fontId="45" fillId="60" borderId="56" applyNumberFormat="0" applyFont="0" applyAlignment="0" applyProtection="0"/>
    <xf numFmtId="0" fontId="101" fillId="12" borderId="45" applyNumberFormat="0" applyAlignment="0" applyProtection="0"/>
    <xf numFmtId="0" fontId="129" fillId="57" borderId="57" applyNumberFormat="0" applyAlignment="0" applyProtection="0"/>
    <xf numFmtId="0" fontId="101" fillId="12" borderId="45" applyNumberFormat="0" applyAlignment="0" applyProtection="0"/>
    <xf numFmtId="0" fontId="129" fillId="57" borderId="57" applyNumberFormat="0" applyAlignment="0" applyProtection="0"/>
    <xf numFmtId="0" fontId="101" fillId="12" borderId="45" applyNumberFormat="0" applyAlignment="0" applyProtection="0"/>
    <xf numFmtId="9" fontId="1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49" applyNumberFormat="0" applyFill="0" applyAlignment="0" applyProtection="0"/>
    <xf numFmtId="0" fontId="41" fillId="0" borderId="58" applyNumberFormat="0" applyFill="0" applyAlignment="0" applyProtection="0"/>
    <xf numFmtId="0" fontId="92" fillId="0" borderId="49" applyNumberFormat="0" applyFill="0" applyAlignment="0" applyProtection="0"/>
    <xf numFmtId="0" fontId="41" fillId="0" borderId="58" applyNumberFormat="0" applyFill="0" applyAlignment="0" applyProtection="0"/>
    <xf numFmtId="0" fontId="92" fillId="0" borderId="49" applyNumberFormat="0" applyFill="0" applyAlignment="0" applyProtection="0"/>
    <xf numFmtId="0" fontId="10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" fillId="0" borderId="0"/>
    <xf numFmtId="185" fontId="3" fillId="0" borderId="0"/>
    <xf numFmtId="43" fontId="3" fillId="0" borderId="0" applyFont="0" applyFill="0" applyBorder="0" applyAlignment="0" applyProtection="0"/>
    <xf numFmtId="0" fontId="1" fillId="0" borderId="0"/>
    <xf numFmtId="0" fontId="137" fillId="0" borderId="0"/>
    <xf numFmtId="43" fontId="137" fillId="0" borderId="0" applyFont="0" applyFill="0" applyBorder="0" applyAlignment="0" applyProtection="0"/>
  </cellStyleXfs>
  <cellXfs count="1804">
    <xf numFmtId="0" fontId="0" fillId="0" borderId="0" xfId="0"/>
    <xf numFmtId="165" fontId="14" fillId="0" borderId="0" xfId="0" applyNumberFormat="1" applyFont="1" applyAlignment="1">
      <alignment horizontal="left"/>
    </xf>
    <xf numFmtId="0" fontId="14" fillId="0" borderId="0" xfId="0" applyFont="1"/>
    <xf numFmtId="38" fontId="14" fillId="0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4" fontId="14" fillId="0" borderId="0" xfId="0" applyNumberFormat="1" applyFont="1" applyAlignment="1">
      <alignment horizontal="center"/>
    </xf>
    <xf numFmtId="38" fontId="14" fillId="0" borderId="1" xfId="0" applyNumberFormat="1" applyFont="1" applyFill="1" applyBorder="1" applyAlignment="1">
      <alignment horizontal="center"/>
    </xf>
    <xf numFmtId="14" fontId="14" fillId="0" borderId="0" xfId="0" applyNumberFormat="1" applyFont="1" applyAlignment="1"/>
    <xf numFmtId="38" fontId="14" fillId="0" borderId="0" xfId="0" applyNumberFormat="1" applyFont="1" applyFill="1" applyBorder="1" applyAlignment="1"/>
    <xf numFmtId="0" fontId="14" fillId="0" borderId="0" xfId="33" applyFont="1" applyBorder="1" applyAlignment="1">
      <alignment horizontal="center"/>
    </xf>
    <xf numFmtId="0" fontId="14" fillId="0" borderId="0" xfId="33" applyFont="1" applyBorder="1" applyAlignment="1"/>
    <xf numFmtId="38" fontId="14" fillId="0" borderId="0" xfId="0" applyNumberFormat="1" applyFont="1" applyFill="1"/>
    <xf numFmtId="166" fontId="14" fillId="0" borderId="0" xfId="0" applyNumberFormat="1" applyFont="1"/>
    <xf numFmtId="38" fontId="14" fillId="0" borderId="0" xfId="0" applyNumberFormat="1" applyFont="1" applyFill="1" applyAlignment="1"/>
    <xf numFmtId="0" fontId="14" fillId="0" borderId="0" xfId="0" applyFont="1" applyFill="1"/>
    <xf numFmtId="0" fontId="14" fillId="0" borderId="0" xfId="0" applyFont="1" applyFill="1" applyAlignment="1">
      <alignment horizontal="left"/>
    </xf>
    <xf numFmtId="166" fontId="14" fillId="0" borderId="0" xfId="0" applyNumberFormat="1" applyFont="1" applyFill="1"/>
    <xf numFmtId="38" fontId="14" fillId="0" borderId="0" xfId="0" applyNumberFormat="1" applyFont="1" applyFill="1" applyBorder="1"/>
    <xf numFmtId="166" fontId="14" fillId="0" borderId="0" xfId="0" applyNumberFormat="1" applyFont="1" applyBorder="1"/>
    <xf numFmtId="0" fontId="14" fillId="0" borderId="0" xfId="0" applyFont="1" applyBorder="1"/>
    <xf numFmtId="166" fontId="14" fillId="0" borderId="0" xfId="0" applyNumberFormat="1" applyFont="1" applyFill="1" applyBorder="1"/>
    <xf numFmtId="0" fontId="14" fillId="0" borderId="0" xfId="0" applyFont="1" applyFill="1" applyBorder="1"/>
    <xf numFmtId="166" fontId="14" fillId="0" borderId="1" xfId="0" applyNumberFormat="1" applyFont="1" applyBorder="1"/>
    <xf numFmtId="10" fontId="14" fillId="0" borderId="0" xfId="0" applyNumberFormat="1" applyFont="1" applyBorder="1"/>
    <xf numFmtId="38" fontId="14" fillId="0" borderId="0" xfId="0" applyNumberFormat="1" applyFont="1" applyFill="1" applyBorder="1" applyAlignment="1">
      <alignment horizontal="fill"/>
    </xf>
    <xf numFmtId="168" fontId="15" fillId="0" borderId="2" xfId="3" applyNumberFormat="1" applyFont="1" applyBorder="1" applyAlignment="1">
      <alignment horizontal="right"/>
    </xf>
    <xf numFmtId="0" fontId="14" fillId="0" borderId="0" xfId="0" applyFont="1" applyAlignment="1">
      <alignment horizontal="left" indent="1"/>
    </xf>
    <xf numFmtId="168" fontId="14" fillId="0" borderId="0" xfId="3" applyNumberFormat="1" applyFont="1" applyBorder="1" applyAlignment="1">
      <alignment horizontal="right"/>
    </xf>
    <xf numFmtId="168" fontId="14" fillId="0" borderId="3" xfId="3" applyNumberFormat="1" applyFont="1" applyBorder="1" applyAlignment="1">
      <alignment horizontal="right"/>
    </xf>
    <xf numFmtId="0" fontId="14" fillId="0" borderId="0" xfId="0" applyFont="1" applyAlignment="1">
      <alignment horizontal="right"/>
    </xf>
    <xf numFmtId="37" fontId="14" fillId="0" borderId="0" xfId="40" applyNumberFormat="1" applyFont="1"/>
    <xf numFmtId="37" fontId="14" fillId="0" borderId="0" xfId="40" applyNumberFormat="1" applyFont="1" applyBorder="1"/>
    <xf numFmtId="0" fontId="14" fillId="0" borderId="0" xfId="0" applyFont="1" applyBorder="1" applyAlignment="1">
      <alignment horizontal="center"/>
    </xf>
    <xf numFmtId="43" fontId="14" fillId="0" borderId="0" xfId="3" applyFont="1" applyBorder="1"/>
    <xf numFmtId="166" fontId="14" fillId="0" borderId="1" xfId="0" applyNumberFormat="1" applyFont="1" applyBorder="1" applyAlignment="1">
      <alignment horizontal="center"/>
    </xf>
    <xf numFmtId="166" fontId="13" fillId="0" borderId="0" xfId="0" applyNumberFormat="1" applyFont="1"/>
    <xf numFmtId="166" fontId="14" fillId="0" borderId="0" xfId="0" applyNumberFormat="1" applyFont="1" applyAlignment="1">
      <alignment horizontal="fill"/>
    </xf>
    <xf numFmtId="43" fontId="13" fillId="0" borderId="0" xfId="0" applyNumberFormat="1" applyFont="1"/>
    <xf numFmtId="0" fontId="13" fillId="0" borderId="0" xfId="0" applyFont="1"/>
    <xf numFmtId="166" fontId="13" fillId="0" borderId="0" xfId="0" applyNumberFormat="1" applyFont="1" applyFill="1"/>
    <xf numFmtId="166" fontId="14" fillId="0" borderId="0" xfId="0" applyNumberFormat="1" applyFont="1" applyFill="1" applyAlignment="1">
      <alignment horizontal="center"/>
    </xf>
    <xf numFmtId="42" fontId="14" fillId="0" borderId="0" xfId="0" applyNumberFormat="1" applyFont="1"/>
    <xf numFmtId="42" fontId="14" fillId="0" borderId="0" xfId="0" applyNumberFormat="1" applyFont="1" applyFill="1"/>
    <xf numFmtId="10" fontId="14" fillId="0" borderId="0" xfId="0" applyNumberFormat="1" applyFont="1"/>
    <xf numFmtId="42" fontId="14" fillId="0" borderId="1" xfId="0" applyNumberFormat="1" applyFont="1" applyBorder="1"/>
    <xf numFmtId="42" fontId="14" fillId="0" borderId="5" xfId="0" applyNumberFormat="1" applyFont="1" applyBorder="1"/>
    <xf numFmtId="42" fontId="14" fillId="0" borderId="5" xfId="0" applyNumberFormat="1" applyFont="1" applyFill="1" applyBorder="1"/>
    <xf numFmtId="37" fontId="14" fillId="0" borderId="0" xfId="31" applyNumberFormat="1" applyFont="1" applyFill="1"/>
    <xf numFmtId="37" fontId="14" fillId="0" borderId="0" xfId="31" applyNumberFormat="1" applyFont="1" applyFill="1" applyAlignment="1"/>
    <xf numFmtId="10" fontId="14" fillId="0" borderId="0" xfId="44" applyNumberFormat="1" applyFont="1" applyFill="1" applyAlignment="1">
      <alignment horizontal="center"/>
    </xf>
    <xf numFmtId="37" fontId="14" fillId="0" borderId="0" xfId="31" applyNumberFormat="1" applyFont="1" applyFill="1" applyBorder="1"/>
    <xf numFmtId="37" fontId="14" fillId="0" borderId="0" xfId="0" applyNumberFormat="1" applyFont="1"/>
    <xf numFmtId="37" fontId="14" fillId="0" borderId="0" xfId="0" applyNumberFormat="1" applyFont="1" applyFill="1"/>
    <xf numFmtId="37" fontId="14" fillId="0" borderId="6" xfId="0" applyNumberFormat="1" applyFont="1" applyFill="1" applyBorder="1"/>
    <xf numFmtId="10" fontId="14" fillId="0" borderId="1" xfId="0" applyNumberFormat="1" applyFont="1" applyBorder="1"/>
    <xf numFmtId="10" fontId="14" fillId="0" borderId="5" xfId="0" applyNumberFormat="1" applyFont="1" applyBorder="1"/>
    <xf numFmtId="10" fontId="14" fillId="0" borderId="0" xfId="0" applyNumberFormat="1" applyFont="1" applyFill="1" applyBorder="1"/>
    <xf numFmtId="10" fontId="14" fillId="0" borderId="5" xfId="0" applyNumberFormat="1" applyFont="1" applyFill="1" applyBorder="1"/>
    <xf numFmtId="10" fontId="14" fillId="0" borderId="0" xfId="0" applyNumberFormat="1" applyFont="1" applyFill="1"/>
    <xf numFmtId="37" fontId="14" fillId="0" borderId="0" xfId="0" applyNumberFormat="1" applyFont="1" applyFill="1" applyBorder="1"/>
    <xf numFmtId="9" fontId="14" fillId="0" borderId="0" xfId="44" applyFont="1" applyFill="1" applyAlignment="1">
      <alignment horizontal="right"/>
    </xf>
    <xf numFmtId="37" fontId="13" fillId="0" borderId="0" xfId="0" applyNumberFormat="1" applyFont="1"/>
    <xf numFmtId="44" fontId="14" fillId="0" borderId="0" xfId="0" applyNumberFormat="1" applyFont="1"/>
    <xf numFmtId="41" fontId="14" fillId="0" borderId="0" xfId="0" applyNumberFormat="1" applyFont="1"/>
    <xf numFmtId="0" fontId="14" fillId="0" borderId="1" xfId="0" applyFont="1" applyBorder="1" applyAlignment="1">
      <alignment horizontal="center"/>
    </xf>
    <xf numFmtId="41" fontId="14" fillId="0" borderId="0" xfId="0" applyNumberFormat="1" applyFont="1" applyBorder="1"/>
    <xf numFmtId="44" fontId="14" fillId="0" borderId="0" xfId="12" applyFont="1"/>
    <xf numFmtId="37" fontId="13" fillId="0" borderId="0" xfId="35" applyNumberFormat="1" applyFont="1" applyAlignment="1">
      <alignment horizontal="right"/>
    </xf>
    <xf numFmtId="37" fontId="16" fillId="0" borderId="0" xfId="35" applyNumberFormat="1" applyFont="1" applyBorder="1" applyAlignment="1">
      <alignment horizontal="center"/>
    </xf>
    <xf numFmtId="37" fontId="14" fillId="0" borderId="0" xfId="0" applyNumberFormat="1" applyFont="1" applyBorder="1"/>
    <xf numFmtId="37" fontId="13" fillId="0" borderId="0" xfId="40" applyNumberFormat="1" applyFont="1" applyAlignment="1">
      <alignment horizontal="left"/>
    </xf>
    <xf numFmtId="37" fontId="13" fillId="0" borderId="0" xfId="40" applyNumberFormat="1" applyFont="1" applyFill="1"/>
    <xf numFmtId="37" fontId="14" fillId="0" borderId="0" xfId="40" applyNumberFormat="1" applyFont="1" applyFill="1"/>
    <xf numFmtId="37" fontId="13" fillId="0" borderId="0" xfId="35" applyNumberFormat="1" applyFont="1" applyAlignment="1">
      <alignment horizontal="center"/>
    </xf>
    <xf numFmtId="37" fontId="13" fillId="0" borderId="0" xfId="40" applyNumberFormat="1" applyFont="1"/>
    <xf numFmtId="10" fontId="14" fillId="0" borderId="0" xfId="44" applyNumberFormat="1" applyFont="1" applyFill="1"/>
    <xf numFmtId="37" fontId="14" fillId="0" borderId="0" xfId="37" applyNumberFormat="1" applyFont="1" applyFill="1" applyBorder="1" applyAlignment="1">
      <alignment horizontal="center"/>
    </xf>
    <xf numFmtId="173" fontId="14" fillId="0" borderId="0" xfId="40" applyNumberFormat="1" applyFont="1" applyFill="1"/>
    <xf numFmtId="174" fontId="14" fillId="0" borderId="0" xfId="40" quotePrefix="1" applyNumberFormat="1" applyFont="1" applyBorder="1" applyAlignment="1">
      <alignment horizontal="center"/>
    </xf>
    <xf numFmtId="37" fontId="14" fillId="0" borderId="0" xfId="40" applyNumberFormat="1" applyFont="1" applyBorder="1" applyAlignment="1">
      <alignment horizontal="center"/>
    </xf>
    <xf numFmtId="37" fontId="14" fillId="0" borderId="0" xfId="40" applyNumberFormat="1" applyFont="1" applyAlignment="1">
      <alignment horizontal="center"/>
    </xf>
    <xf numFmtId="37" fontId="14" fillId="0" borderId="0" xfId="40" applyNumberFormat="1" applyFont="1" applyFill="1" applyAlignment="1">
      <alignment horizontal="center"/>
    </xf>
    <xf numFmtId="37" fontId="14" fillId="0" borderId="1" xfId="37" applyNumberFormat="1" applyFont="1" applyFill="1" applyBorder="1" applyAlignment="1">
      <alignment horizontal="center"/>
    </xf>
    <xf numFmtId="37" fontId="14" fillId="0" borderId="1" xfId="40" applyNumberFormat="1" applyFont="1" applyBorder="1" applyAlignment="1">
      <alignment horizontal="center"/>
    </xf>
    <xf numFmtId="37" fontId="14" fillId="0" borderId="1" xfId="40" applyNumberFormat="1" applyFont="1" applyFill="1" applyBorder="1" applyAlignment="1">
      <alignment horizontal="center"/>
    </xf>
    <xf numFmtId="37" fontId="13" fillId="0" borderId="0" xfId="40" applyNumberFormat="1" applyFont="1" applyBorder="1"/>
    <xf numFmtId="37" fontId="14" fillId="0" borderId="0" xfId="37" applyNumberFormat="1" applyFont="1" applyFill="1" applyBorder="1"/>
    <xf numFmtId="37" fontId="15" fillId="0" borderId="0" xfId="40" applyNumberFormat="1" applyFont="1"/>
    <xf numFmtId="37" fontId="14" fillId="0" borderId="0" xfId="0" applyNumberFormat="1" applyFont="1" applyFill="1" applyAlignment="1"/>
    <xf numFmtId="37" fontId="14" fillId="0" borderId="0" xfId="40" applyNumberFormat="1" applyFont="1" applyFill="1" applyBorder="1"/>
    <xf numFmtId="37" fontId="13" fillId="0" borderId="0" xfId="40" applyNumberFormat="1" applyFont="1" applyFill="1" applyBorder="1"/>
    <xf numFmtId="37" fontId="14" fillId="1" borderId="0" xfId="40" applyNumberFormat="1" applyFont="1" applyFill="1" applyBorder="1"/>
    <xf numFmtId="37" fontId="22" fillId="0" borderId="0" xfId="40" applyNumberFormat="1" applyFont="1" applyFill="1" applyBorder="1"/>
    <xf numFmtId="37" fontId="13" fillId="0" borderId="0" xfId="40" applyNumberFormat="1" applyFont="1" applyFill="1" applyBorder="1" applyAlignment="1">
      <alignment horizontal="left"/>
    </xf>
    <xf numFmtId="37" fontId="13" fillId="0" borderId="0" xfId="40" applyNumberFormat="1" applyFont="1" applyFill="1" applyBorder="1" applyAlignment="1">
      <alignment horizontal="center"/>
    </xf>
    <xf numFmtId="0" fontId="17" fillId="0" borderId="0" xfId="0" quotePrefix="1" applyFont="1" applyBorder="1" applyAlignment="1">
      <alignment horizontal="center"/>
    </xf>
    <xf numFmtId="37" fontId="17" fillId="0" borderId="0" xfId="40" applyNumberFormat="1" applyFont="1" applyBorder="1" applyAlignment="1">
      <alignment horizontal="center"/>
    </xf>
    <xf numFmtId="37" fontId="14" fillId="2" borderId="0" xfId="40" applyNumberFormat="1" applyFont="1" applyFill="1"/>
    <xf numFmtId="37" fontId="13" fillId="2" borderId="0" xfId="40" applyNumberFormat="1" applyFont="1" applyFill="1" applyAlignment="1">
      <alignment horizontal="left"/>
    </xf>
    <xf numFmtId="37" fontId="13" fillId="2" borderId="0" xfId="37" applyNumberFormat="1" applyFont="1" applyFill="1" applyAlignment="1">
      <alignment horizontal="right"/>
    </xf>
    <xf numFmtId="37" fontId="14" fillId="2" borderId="7" xfId="40" applyNumberFormat="1" applyFont="1" applyFill="1" applyBorder="1" applyAlignment="1">
      <alignment horizontal="center"/>
    </xf>
    <xf numFmtId="37" fontId="18" fillId="2" borderId="7" xfId="40" applyNumberFormat="1" applyFont="1" applyFill="1" applyBorder="1" applyAlignment="1">
      <alignment horizontal="right"/>
    </xf>
    <xf numFmtId="167" fontId="18" fillId="2" borderId="8" xfId="44" applyNumberFormat="1" applyFont="1" applyFill="1" applyBorder="1" applyAlignment="1">
      <alignment horizontal="right"/>
    </xf>
    <xf numFmtId="0" fontId="14" fillId="2" borderId="0" xfId="37" applyFont="1" applyFill="1"/>
    <xf numFmtId="10" fontId="14" fillId="2" borderId="0" xfId="44" applyNumberFormat="1" applyFont="1" applyFill="1" applyBorder="1"/>
    <xf numFmtId="37" fontId="19" fillId="2" borderId="9" xfId="40" applyNumberFormat="1" applyFont="1" applyFill="1" applyBorder="1" applyAlignment="1">
      <alignment horizontal="center"/>
    </xf>
    <xf numFmtId="37" fontId="19" fillId="2" borderId="10" xfId="40" applyNumberFormat="1" applyFont="1" applyFill="1" applyBorder="1" applyAlignment="1">
      <alignment horizontal="right"/>
    </xf>
    <xf numFmtId="10" fontId="19" fillId="2" borderId="11" xfId="44" applyNumberFormat="1" applyFont="1" applyFill="1" applyBorder="1" applyAlignment="1">
      <alignment horizontal="right"/>
    </xf>
    <xf numFmtId="37" fontId="14" fillId="2" borderId="0" xfId="40" applyNumberFormat="1" applyFont="1" applyFill="1" applyAlignment="1">
      <alignment horizontal="center"/>
    </xf>
    <xf numFmtId="37" fontId="14" fillId="2" borderId="0" xfId="37" applyNumberFormat="1" applyFont="1" applyFill="1" applyAlignment="1">
      <alignment horizontal="center"/>
    </xf>
    <xf numFmtId="37" fontId="14" fillId="2" borderId="0" xfId="37" applyNumberFormat="1" applyFont="1" applyFill="1" applyBorder="1" applyAlignment="1">
      <alignment horizontal="center"/>
    </xf>
    <xf numFmtId="37" fontId="14" fillId="2" borderId="0" xfId="40" applyNumberFormat="1" applyFont="1" applyFill="1" applyBorder="1" applyAlignment="1">
      <alignment horizontal="center"/>
    </xf>
    <xf numFmtId="37" fontId="14" fillId="2" borderId="0" xfId="40" applyNumberFormat="1" applyFont="1" applyFill="1" applyBorder="1"/>
    <xf numFmtId="0" fontId="14" fillId="2" borderId="0" xfId="37" applyFont="1" applyFill="1" applyBorder="1"/>
    <xf numFmtId="37" fontId="19" fillId="2" borderId="0" xfId="40" applyNumberFormat="1" applyFont="1" applyFill="1" applyBorder="1" applyAlignment="1">
      <alignment horizontal="center"/>
    </xf>
    <xf numFmtId="37" fontId="19" fillId="2" borderId="0" xfId="40" applyNumberFormat="1" applyFont="1" applyFill="1" applyBorder="1" applyAlignment="1">
      <alignment horizontal="right"/>
    </xf>
    <xf numFmtId="167" fontId="19" fillId="2" borderId="0" xfId="44" applyNumberFormat="1" applyFont="1" applyFill="1" applyBorder="1" applyAlignment="1">
      <alignment horizontal="right"/>
    </xf>
    <xf numFmtId="37" fontId="14" fillId="2" borderId="0" xfId="37" quotePrefix="1" applyNumberFormat="1" applyFont="1" applyFill="1" applyBorder="1" applyAlignment="1">
      <alignment horizontal="center"/>
    </xf>
    <xf numFmtId="37" fontId="14" fillId="2" borderId="1" xfId="40" applyNumberFormat="1" applyFont="1" applyFill="1" applyBorder="1" applyAlignment="1">
      <alignment horizontal="center"/>
    </xf>
    <xf numFmtId="39" fontId="14" fillId="2" borderId="1" xfId="37" quotePrefix="1" applyNumberFormat="1" applyFont="1" applyFill="1" applyBorder="1" applyAlignment="1">
      <alignment horizontal="center"/>
    </xf>
    <xf numFmtId="37" fontId="14" fillId="2" borderId="1" xfId="37" applyNumberFormat="1" applyFont="1" applyFill="1" applyBorder="1" applyAlignment="1">
      <alignment horizontal="center"/>
    </xf>
    <xf numFmtId="37" fontId="17" fillId="2" borderId="0" xfId="37" applyNumberFormat="1" applyFont="1" applyFill="1" applyBorder="1" applyAlignment="1">
      <alignment horizontal="center"/>
    </xf>
    <xf numFmtId="39" fontId="14" fillId="2" borderId="0" xfId="37" applyNumberFormat="1" applyFont="1" applyFill="1"/>
    <xf numFmtId="37" fontId="14" fillId="2" borderId="0" xfId="37" applyNumberFormat="1" applyFont="1" applyFill="1"/>
    <xf numFmtId="37" fontId="14" fillId="2" borderId="0" xfId="37" applyNumberFormat="1" applyFont="1" applyFill="1" applyBorder="1"/>
    <xf numFmtId="10" fontId="13" fillId="2" borderId="0" xfId="44" applyNumberFormat="1" applyFont="1" applyFill="1" applyBorder="1"/>
    <xf numFmtId="39" fontId="14" fillId="2" borderId="0" xfId="40" applyNumberFormat="1" applyFont="1" applyFill="1" applyBorder="1" applyAlignment="1">
      <alignment horizontal="right"/>
    </xf>
    <xf numFmtId="37" fontId="14" fillId="2" borderId="0" xfId="0" applyNumberFormat="1" applyFont="1" applyFill="1" applyBorder="1"/>
    <xf numFmtId="39" fontId="14" fillId="2" borderId="0" xfId="40" applyNumberFormat="1" applyFont="1" applyFill="1" applyAlignment="1">
      <alignment horizontal="right"/>
    </xf>
    <xf numFmtId="0" fontId="14" fillId="2" borderId="0" xfId="0" applyFont="1" applyFill="1"/>
    <xf numFmtId="37" fontId="14" fillId="2" borderId="0" xfId="0" applyNumberFormat="1" applyFont="1" applyFill="1"/>
    <xf numFmtId="37" fontId="13" fillId="2" borderId="0" xfId="40" applyNumberFormat="1" applyFont="1" applyFill="1" applyBorder="1"/>
    <xf numFmtId="37" fontId="21" fillId="2" borderId="0" xfId="40" applyNumberFormat="1" applyFont="1" applyFill="1"/>
    <xf numFmtId="37" fontId="22" fillId="2" borderId="0" xfId="40" applyNumberFormat="1" applyFont="1" applyFill="1" applyBorder="1"/>
    <xf numFmtId="168" fontId="14" fillId="0" borderId="0" xfId="3" applyNumberFormat="1" applyFont="1" applyFill="1" applyBorder="1"/>
    <xf numFmtId="166" fontId="13" fillId="0" borderId="0" xfId="0" applyNumberFormat="1" applyFont="1" applyBorder="1" applyAlignment="1">
      <alignment horizontal="right"/>
    </xf>
    <xf numFmtId="37" fontId="14" fillId="0" borderId="0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37" fontId="13" fillId="0" borderId="0" xfId="0" applyNumberFormat="1" applyFont="1" applyBorder="1"/>
    <xf numFmtId="37" fontId="13" fillId="0" borderId="0" xfId="39" applyNumberFormat="1" applyFont="1" applyBorder="1"/>
    <xf numFmtId="37" fontId="14" fillId="0" borderId="0" xfId="39" applyNumberFormat="1" applyFont="1"/>
    <xf numFmtId="37" fontId="13" fillId="0" borderId="0" xfId="39" applyNumberFormat="1" applyFont="1" applyAlignment="1">
      <alignment horizontal="right"/>
    </xf>
    <xf numFmtId="37" fontId="13" fillId="0" borderId="0" xfId="39" applyNumberFormat="1" applyFont="1" applyAlignment="1">
      <alignment horizontal="center"/>
    </xf>
    <xf numFmtId="37" fontId="13" fillId="0" borderId="0" xfId="39" applyNumberFormat="1" applyFont="1"/>
    <xf numFmtId="37" fontId="16" fillId="0" borderId="0" xfId="39" applyNumberFormat="1" applyFont="1" applyBorder="1" applyAlignment="1">
      <alignment horizontal="center"/>
    </xf>
    <xf numFmtId="37" fontId="14" fillId="0" borderId="1" xfId="39" applyNumberFormat="1" applyFont="1" applyBorder="1" applyAlignment="1">
      <alignment horizontal="center"/>
    </xf>
    <xf numFmtId="37" fontId="14" fillId="0" borderId="0" xfId="39" applyNumberFormat="1" applyFont="1" applyAlignment="1">
      <alignment horizontal="center"/>
    </xf>
    <xf numFmtId="37" fontId="14" fillId="0" borderId="1" xfId="39" applyNumberFormat="1" applyFont="1" applyBorder="1"/>
    <xf numFmtId="37" fontId="14" fillId="0" borderId="0" xfId="39" applyNumberFormat="1" applyFont="1" applyBorder="1"/>
    <xf numFmtId="37" fontId="16" fillId="0" borderId="0" xfId="39" applyNumberFormat="1" applyFont="1"/>
    <xf numFmtId="42" fontId="14" fillId="0" borderId="0" xfId="39" applyNumberFormat="1" applyFont="1"/>
    <xf numFmtId="37" fontId="14" fillId="0" borderId="0" xfId="39" applyNumberFormat="1" applyFont="1" applyFill="1"/>
    <xf numFmtId="10" fontId="14" fillId="0" borderId="0" xfId="39" applyNumberFormat="1" applyFont="1" applyFill="1"/>
    <xf numFmtId="37" fontId="14" fillId="0" borderId="6" xfId="39" applyNumberFormat="1" applyFont="1" applyFill="1" applyBorder="1"/>
    <xf numFmtId="42" fontId="13" fillId="0" borderId="0" xfId="39" applyNumberFormat="1" applyFont="1" applyFill="1"/>
    <xf numFmtId="37" fontId="13" fillId="0" borderId="0" xfId="39" applyNumberFormat="1" applyFont="1" applyFill="1" applyBorder="1"/>
    <xf numFmtId="37" fontId="13" fillId="0" borderId="0" xfId="39" applyNumberFormat="1" applyFont="1" applyFill="1"/>
    <xf numFmtId="37" fontId="14" fillId="0" borderId="0" xfId="39" applyNumberFormat="1" applyFont="1" applyFill="1" applyBorder="1"/>
    <xf numFmtId="10" fontId="14" fillId="0" borderId="0" xfId="44" applyNumberFormat="1" applyFont="1" applyFill="1" applyBorder="1"/>
    <xf numFmtId="37" fontId="17" fillId="0" borderId="0" xfId="39" applyNumberFormat="1" applyFont="1" applyFill="1" applyBorder="1"/>
    <xf numFmtId="10" fontId="14" fillId="0" borderId="0" xfId="39" applyNumberFormat="1" applyFont="1" applyFill="1" applyBorder="1"/>
    <xf numFmtId="0" fontId="14" fillId="0" borderId="0" xfId="0" quotePrefix="1" applyFont="1" applyFill="1" applyBorder="1"/>
    <xf numFmtId="37" fontId="14" fillId="0" borderId="0" xfId="39" quotePrefix="1" applyNumberFormat="1" applyFont="1" applyFill="1" applyBorder="1"/>
    <xf numFmtId="37" fontId="13" fillId="0" borderId="0" xfId="39" applyNumberFormat="1" applyFont="1" applyFill="1" applyBorder="1" applyAlignment="1">
      <alignment horizontal="right"/>
    </xf>
    <xf numFmtId="37" fontId="16" fillId="0" borderId="0" xfId="39" applyNumberFormat="1" applyFont="1" applyFill="1" applyBorder="1" applyAlignment="1">
      <alignment horizontal="center"/>
    </xf>
    <xf numFmtId="37" fontId="14" fillId="0" borderId="0" xfId="39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70" fontId="13" fillId="0" borderId="0" xfId="34" applyNumberFormat="1" applyFont="1" applyAlignment="1">
      <alignment horizontal="centerContinuous"/>
    </xf>
    <xf numFmtId="37" fontId="14" fillId="0" borderId="0" xfId="34" applyNumberFormat="1" applyFont="1" applyAlignment="1">
      <alignment horizontal="centerContinuous"/>
    </xf>
    <xf numFmtId="170" fontId="14" fillId="0" borderId="0" xfId="34" applyNumberFormat="1" applyFont="1" applyAlignment="1">
      <alignment horizontal="centerContinuous"/>
    </xf>
    <xf numFmtId="170" fontId="14" fillId="0" borderId="0" xfId="34" applyNumberFormat="1" applyFont="1" applyFill="1" applyAlignment="1">
      <alignment horizontal="centerContinuous"/>
    </xf>
    <xf numFmtId="10" fontId="14" fillId="0" borderId="0" xfId="34" applyNumberFormat="1" applyFont="1" applyFill="1" applyBorder="1" applyAlignment="1">
      <alignment horizontal="centerContinuous"/>
    </xf>
    <xf numFmtId="0" fontId="14" fillId="0" borderId="0" xfId="34" applyFont="1"/>
    <xf numFmtId="170" fontId="14" fillId="0" borderId="0" xfId="34" applyNumberFormat="1" applyFont="1" applyAlignment="1" applyProtection="1">
      <alignment horizontal="centerContinuous"/>
      <protection locked="0"/>
    </xf>
    <xf numFmtId="170" fontId="14" fillId="0" borderId="0" xfId="34" applyNumberFormat="1" applyFont="1" applyProtection="1">
      <protection locked="0"/>
    </xf>
    <xf numFmtId="37" fontId="14" fillId="0" borderId="0" xfId="34" applyNumberFormat="1" applyFont="1"/>
    <xf numFmtId="170" fontId="14" fillId="0" borderId="0" xfId="34" applyNumberFormat="1" applyFont="1"/>
    <xf numFmtId="170" fontId="14" fillId="0" borderId="0" xfId="34" applyNumberFormat="1" applyFont="1" applyFill="1"/>
    <xf numFmtId="10" fontId="14" fillId="0" borderId="0" xfId="34" applyNumberFormat="1" applyFont="1" applyFill="1" applyBorder="1"/>
    <xf numFmtId="37" fontId="14" fillId="0" borderId="0" xfId="34" applyNumberFormat="1" applyFont="1" applyAlignment="1">
      <alignment horizontal="center"/>
    </xf>
    <xf numFmtId="170" fontId="14" fillId="0" borderId="0" xfId="34" applyNumberFormat="1" applyFont="1" applyAlignment="1">
      <alignment horizontal="center"/>
    </xf>
    <xf numFmtId="10" fontId="14" fillId="0" borderId="0" xfId="34" applyNumberFormat="1" applyFont="1" applyFill="1" applyAlignment="1">
      <alignment horizontal="center"/>
    </xf>
    <xf numFmtId="170" fontId="14" fillId="0" borderId="0" xfId="34" applyNumberFormat="1" applyFont="1" applyFill="1" applyAlignment="1">
      <alignment horizontal="center"/>
    </xf>
    <xf numFmtId="37" fontId="14" fillId="0" borderId="1" xfId="34" applyNumberFormat="1" applyFont="1" applyBorder="1" applyAlignment="1">
      <alignment horizontal="center"/>
    </xf>
    <xf numFmtId="0" fontId="14" fillId="0" borderId="0" xfId="34" applyFont="1" applyAlignment="1">
      <alignment horizontal="center"/>
    </xf>
    <xf numFmtId="10" fontId="14" fillId="0" borderId="1" xfId="34" applyNumberFormat="1" applyFont="1" applyFill="1" applyBorder="1" applyAlignment="1">
      <alignment horizontal="center"/>
    </xf>
    <xf numFmtId="0" fontId="14" fillId="0" borderId="0" xfId="34" applyFont="1" applyFill="1" applyAlignment="1">
      <alignment horizontal="center"/>
    </xf>
    <xf numFmtId="170" fontId="17" fillId="0" borderId="0" xfId="34" applyNumberFormat="1" applyFont="1" applyBorder="1" applyAlignment="1" applyProtection="1">
      <alignment horizontal="left"/>
      <protection locked="0"/>
    </xf>
    <xf numFmtId="170" fontId="14" fillId="0" borderId="0" xfId="34" applyNumberFormat="1" applyFont="1" applyBorder="1" applyAlignment="1" applyProtection="1">
      <alignment horizontal="left"/>
      <protection locked="0"/>
    </xf>
    <xf numFmtId="170" fontId="14" fillId="0" borderId="0" xfId="34" applyNumberFormat="1" applyFont="1" applyAlignment="1" applyProtection="1">
      <alignment horizontal="left"/>
      <protection locked="0"/>
    </xf>
    <xf numFmtId="170" fontId="14" fillId="0" borderId="0" xfId="34" applyNumberFormat="1" applyFont="1" applyAlignment="1" applyProtection="1">
      <alignment horizontal="right"/>
      <protection locked="0"/>
    </xf>
    <xf numFmtId="170" fontId="14" fillId="0" borderId="0" xfId="34" applyNumberFormat="1" applyFont="1" applyFill="1" applyBorder="1" applyAlignment="1">
      <alignment horizontal="center"/>
    </xf>
    <xf numFmtId="10" fontId="14" fillId="0" borderId="0" xfId="34" applyNumberFormat="1" applyFont="1" applyFill="1" applyBorder="1" applyAlignment="1">
      <alignment horizontal="fill"/>
    </xf>
    <xf numFmtId="170" fontId="14" fillId="0" borderId="0" xfId="34" applyNumberFormat="1" applyFont="1" applyFill="1" applyAlignment="1" applyProtection="1">
      <alignment horizontal="left"/>
      <protection locked="0"/>
    </xf>
    <xf numFmtId="170" fontId="14" fillId="0" borderId="0" xfId="34" applyNumberFormat="1" applyFont="1" applyFill="1" applyAlignment="1" applyProtection="1">
      <alignment horizontal="right"/>
      <protection locked="0"/>
    </xf>
    <xf numFmtId="171" fontId="14" fillId="0" borderId="0" xfId="34" applyNumberFormat="1" applyFont="1" applyFill="1" applyBorder="1"/>
    <xf numFmtId="170" fontId="14" fillId="0" borderId="0" xfId="34" applyNumberFormat="1" applyFont="1" applyBorder="1"/>
    <xf numFmtId="170" fontId="14" fillId="0" borderId="0" xfId="34" applyNumberFormat="1" applyFont="1" applyFill="1" applyBorder="1"/>
    <xf numFmtId="172" fontId="14" fillId="0" borderId="0" xfId="34" applyNumberFormat="1" applyFont="1" applyFill="1"/>
    <xf numFmtId="172" fontId="14" fillId="0" borderId="0" xfId="34" applyNumberFormat="1" applyFont="1" applyFill="1" applyBorder="1"/>
    <xf numFmtId="170" fontId="14" fillId="0" borderId="0" xfId="34" applyNumberFormat="1" applyFont="1" applyBorder="1" applyAlignment="1" applyProtection="1">
      <alignment horizontal="right"/>
      <protection locked="0"/>
    </xf>
    <xf numFmtId="172" fontId="14" fillId="0" borderId="0" xfId="34" applyNumberFormat="1" applyFont="1" applyBorder="1"/>
    <xf numFmtId="37" fontId="14" fillId="0" borderId="0" xfId="34" applyNumberFormat="1" applyFont="1" applyBorder="1"/>
    <xf numFmtId="0" fontId="17" fillId="0" borderId="0" xfId="34" applyFont="1" applyAlignment="1">
      <alignment horizontal="center"/>
    </xf>
    <xf numFmtId="0" fontId="17" fillId="0" borderId="0" xfId="34" applyFont="1" applyFill="1" applyAlignment="1">
      <alignment horizontal="center"/>
    </xf>
    <xf numFmtId="10" fontId="14" fillId="0" borderId="0" xfId="34" applyNumberFormat="1" applyFont="1" applyAlignment="1">
      <alignment horizontal="center"/>
    </xf>
    <xf numFmtId="10" fontId="17" fillId="0" borderId="0" xfId="34" applyNumberFormat="1" applyFont="1" applyAlignment="1">
      <alignment horizontal="center"/>
    </xf>
    <xf numFmtId="9" fontId="14" fillId="0" borderId="0" xfId="44" applyNumberFormat="1" applyFont="1" applyBorder="1"/>
    <xf numFmtId="170" fontId="13" fillId="0" borderId="0" xfId="34" applyNumberFormat="1" applyFont="1" applyProtection="1">
      <protection locked="0"/>
    </xf>
    <xf numFmtId="170" fontId="13" fillId="0" borderId="0" xfId="34" applyNumberFormat="1" applyFont="1" applyFill="1" applyAlignment="1">
      <alignment horizontal="center"/>
    </xf>
    <xf numFmtId="9" fontId="14" fillId="0" borderId="1" xfId="44" applyNumberFormat="1" applyFont="1" applyBorder="1" applyAlignment="1">
      <alignment horizontal="center"/>
    </xf>
    <xf numFmtId="37" fontId="14" fillId="0" borderId="0" xfId="34" applyNumberFormat="1" applyFont="1" applyFill="1" applyBorder="1"/>
    <xf numFmtId="168" fontId="14" fillId="0" borderId="0" xfId="3" applyNumberFormat="1" applyFont="1" applyFill="1"/>
    <xf numFmtId="0" fontId="14" fillId="0" borderId="0" xfId="31" applyNumberFormat="1" applyFont="1" applyFill="1"/>
    <xf numFmtId="43" fontId="14" fillId="0" borderId="0" xfId="3" applyFont="1"/>
    <xf numFmtId="168" fontId="14" fillId="0" borderId="0" xfId="3" applyNumberFormat="1" applyFont="1"/>
    <xf numFmtId="37" fontId="13" fillId="0" borderId="0" xfId="39" applyNumberFormat="1" applyFont="1" applyAlignment="1">
      <alignment horizontal="left"/>
    </xf>
    <xf numFmtId="37" fontId="16" fillId="0" borderId="0" xfId="0" applyNumberFormat="1" applyFont="1"/>
    <xf numFmtId="37" fontId="14" fillId="0" borderId="0" xfId="0" applyNumberFormat="1" applyFont="1" applyFill="1" applyAlignment="1">
      <alignment horizontal="center"/>
    </xf>
    <xf numFmtId="0" fontId="16" fillId="0" borderId="0" xfId="0" applyFont="1" applyFill="1"/>
    <xf numFmtId="0" fontId="16" fillId="0" borderId="0" xfId="0" applyFont="1"/>
    <xf numFmtId="37" fontId="14" fillId="0" borderId="1" xfId="0" applyNumberFormat="1" applyFont="1" applyFill="1" applyBorder="1" applyAlignment="1">
      <alignment horizontal="center"/>
    </xf>
    <xf numFmtId="37" fontId="17" fillId="0" borderId="0" xfId="0" applyNumberFormat="1" applyFont="1" applyFill="1" applyAlignment="1">
      <alignment horizontal="center"/>
    </xf>
    <xf numFmtId="37" fontId="17" fillId="0" borderId="0" xfId="0" applyNumberFormat="1" applyFont="1" applyBorder="1"/>
    <xf numFmtId="0" fontId="13" fillId="0" borderId="0" xfId="0" applyFont="1" applyFill="1"/>
    <xf numFmtId="37" fontId="17" fillId="0" borderId="0" xfId="0" applyNumberFormat="1" applyFont="1"/>
    <xf numFmtId="37" fontId="14" fillId="0" borderId="1" xfId="0" applyNumberFormat="1" applyFont="1" applyFill="1" applyBorder="1"/>
    <xf numFmtId="9" fontId="14" fillId="0" borderId="1" xfId="44" applyFont="1" applyBorder="1"/>
    <xf numFmtId="9" fontId="14" fillId="0" borderId="0" xfId="44" applyFont="1" applyBorder="1"/>
    <xf numFmtId="37" fontId="13" fillId="0" borderId="0" xfId="36" applyNumberFormat="1" applyFont="1" applyFill="1" applyAlignment="1">
      <alignment horizontal="right"/>
    </xf>
    <xf numFmtId="37" fontId="16" fillId="0" borderId="0" xfId="36" applyNumberFormat="1" applyFont="1" applyFill="1" applyBorder="1" applyAlignment="1">
      <alignment horizontal="center"/>
    </xf>
    <xf numFmtId="37" fontId="13" fillId="0" borderId="0" xfId="36" applyNumberFormat="1" applyFont="1" applyFill="1"/>
    <xf numFmtId="0" fontId="14" fillId="0" borderId="0" xfId="36" applyFont="1" applyFill="1"/>
    <xf numFmtId="37" fontId="13" fillId="0" borderId="0" xfId="39" applyNumberFormat="1" applyFont="1" applyFill="1" applyAlignment="1">
      <alignment horizontal="right"/>
    </xf>
    <xf numFmtId="37" fontId="14" fillId="0" borderId="0" xfId="36" applyNumberFormat="1" applyFont="1" applyFill="1" applyBorder="1"/>
    <xf numFmtId="42" fontId="23" fillId="0" borderId="0" xfId="36" applyNumberFormat="1" applyFont="1" applyFill="1"/>
    <xf numFmtId="0" fontId="14" fillId="0" borderId="0" xfId="36" applyFont="1" applyFill="1" applyBorder="1" applyAlignment="1">
      <alignment horizontal="center"/>
    </xf>
    <xf numFmtId="37" fontId="13" fillId="0" borderId="0" xfId="36" applyNumberFormat="1" applyFont="1" applyFill="1" applyBorder="1" applyAlignment="1">
      <alignment horizontal="center"/>
    </xf>
    <xf numFmtId="37" fontId="14" fillId="0" borderId="0" xfId="36" applyNumberFormat="1" applyFont="1" applyFill="1"/>
    <xf numFmtId="0" fontId="14" fillId="0" borderId="0" xfId="36" applyFont="1" applyFill="1" applyAlignment="1">
      <alignment horizontal="center"/>
    </xf>
    <xf numFmtId="37" fontId="14" fillId="0" borderId="0" xfId="36" applyNumberFormat="1" applyFont="1" applyFill="1" applyAlignment="1">
      <alignment horizontal="center"/>
    </xf>
    <xf numFmtId="0" fontId="14" fillId="0" borderId="1" xfId="36" applyFont="1" applyFill="1" applyBorder="1" applyAlignment="1">
      <alignment horizontal="center"/>
    </xf>
    <xf numFmtId="37" fontId="14" fillId="0" borderId="1" xfId="36" applyNumberFormat="1" applyFont="1" applyFill="1" applyBorder="1" applyAlignment="1">
      <alignment horizontal="center"/>
    </xf>
    <xf numFmtId="17" fontId="14" fillId="0" borderId="0" xfId="36" applyNumberFormat="1" applyFont="1" applyFill="1" applyAlignment="1">
      <alignment horizontal="center"/>
    </xf>
    <xf numFmtId="174" fontId="14" fillId="0" borderId="0" xfId="36" applyNumberFormat="1" applyFont="1"/>
    <xf numFmtId="37" fontId="14" fillId="0" borderId="6" xfId="36" applyNumberFormat="1" applyFont="1" applyFill="1" applyBorder="1"/>
    <xf numFmtId="37" fontId="14" fillId="0" borderId="0" xfId="36" applyNumberFormat="1" applyFont="1" applyFill="1" applyBorder="1" applyAlignment="1">
      <alignment horizontal="center"/>
    </xf>
    <xf numFmtId="0" fontId="13" fillId="0" borderId="0" xfId="36" applyFont="1" applyFill="1"/>
    <xf numFmtId="37" fontId="13" fillId="0" borderId="0" xfId="36" applyNumberFormat="1" applyFont="1" applyFill="1" applyBorder="1"/>
    <xf numFmtId="0" fontId="14" fillId="0" borderId="0" xfId="36" applyFont="1"/>
    <xf numFmtId="42" fontId="14" fillId="0" borderId="0" xfId="36" applyNumberFormat="1" applyFont="1"/>
    <xf numFmtId="37" fontId="14" fillId="0" borderId="0" xfId="36" applyNumberFormat="1" applyFont="1"/>
    <xf numFmtId="0" fontId="14" fillId="0" borderId="0" xfId="36" applyFont="1" applyFill="1" applyAlignment="1">
      <alignment wrapText="1"/>
    </xf>
    <xf numFmtId="0" fontId="13" fillId="0" borderId="0" xfId="36" applyFont="1" applyFill="1" applyAlignment="1">
      <alignment wrapText="1"/>
    </xf>
    <xf numFmtId="42" fontId="14" fillId="0" borderId="0" xfId="36" applyNumberFormat="1" applyFont="1" applyAlignment="1">
      <alignment wrapText="1"/>
    </xf>
    <xf numFmtId="10" fontId="14" fillId="0" borderId="1" xfId="44" applyNumberFormat="1" applyFont="1" applyFill="1" applyBorder="1"/>
    <xf numFmtId="170" fontId="13" fillId="0" borderId="0" xfId="34" applyNumberFormat="1" applyFont="1" applyFill="1" applyAlignment="1">
      <alignment horizontal="right"/>
    </xf>
    <xf numFmtId="169" fontId="14" fillId="0" borderId="0" xfId="12" applyNumberFormat="1" applyFont="1" applyFill="1"/>
    <xf numFmtId="169" fontId="13" fillId="0" borderId="0" xfId="12" applyNumberFormat="1" applyFont="1" applyFill="1" applyAlignment="1">
      <alignment horizontal="right"/>
    </xf>
    <xf numFmtId="169" fontId="14" fillId="0" borderId="0" xfId="12" applyNumberFormat="1" applyFont="1" applyFill="1" applyAlignment="1">
      <alignment horizontal="center"/>
    </xf>
    <xf numFmtId="169" fontId="14" fillId="0" borderId="1" xfId="12" applyNumberFormat="1" applyFont="1" applyFill="1" applyBorder="1" applyAlignment="1">
      <alignment horizontal="center"/>
    </xf>
    <xf numFmtId="169" fontId="14" fillId="0" borderId="0" xfId="12" applyNumberFormat="1" applyFont="1"/>
    <xf numFmtId="169" fontId="14" fillId="0" borderId="6" xfId="12" applyNumberFormat="1" applyFont="1" applyFill="1" applyBorder="1"/>
    <xf numFmtId="169" fontId="13" fillId="0" borderId="5" xfId="12" applyNumberFormat="1" applyFont="1" applyFill="1" applyBorder="1"/>
    <xf numFmtId="169" fontId="14" fillId="0" borderId="0" xfId="12" applyNumberFormat="1" applyFont="1" applyFill="1" applyBorder="1"/>
    <xf numFmtId="169" fontId="14" fillId="0" borderId="0" xfId="12" quotePrefix="1" applyNumberFormat="1" applyFont="1" applyFill="1" applyAlignment="1">
      <alignment horizontal="center"/>
    </xf>
    <xf numFmtId="169" fontId="13" fillId="0" borderId="0" xfId="12" applyNumberFormat="1" applyFont="1" applyFill="1" applyBorder="1" applyAlignment="1">
      <alignment horizontal="right"/>
    </xf>
    <xf numFmtId="169" fontId="13" fillId="0" borderId="0" xfId="12" applyNumberFormat="1" applyFont="1" applyFill="1" applyBorder="1" applyAlignment="1"/>
    <xf numFmtId="169" fontId="14" fillId="0" borderId="0" xfId="12" applyNumberFormat="1" applyFont="1" applyFill="1" applyBorder="1" applyAlignment="1">
      <alignment horizontal="center"/>
    </xf>
    <xf numFmtId="169" fontId="13" fillId="0" borderId="0" xfId="12" applyNumberFormat="1" applyFont="1" applyFill="1" applyBorder="1" applyAlignment="1">
      <alignment horizontal="center"/>
    </xf>
    <xf numFmtId="169" fontId="13" fillId="0" borderId="0" xfId="12" applyNumberFormat="1" applyFont="1" applyFill="1" applyBorder="1"/>
    <xf numFmtId="37" fontId="14" fillId="0" borderId="0" xfId="36" applyNumberFormat="1" applyFont="1" applyBorder="1"/>
    <xf numFmtId="9" fontId="14" fillId="0" borderId="0" xfId="36" applyNumberFormat="1" applyFont="1" applyFill="1" applyAlignment="1">
      <alignment horizontal="center"/>
    </xf>
    <xf numFmtId="37" fontId="14" fillId="0" borderId="0" xfId="31" applyNumberFormat="1" applyFont="1" applyFill="1" applyBorder="1" applyAlignment="1"/>
    <xf numFmtId="37" fontId="14" fillId="0" borderId="0" xfId="31" applyNumberFormat="1" applyFont="1" applyFill="1" applyAlignment="1">
      <alignment horizontal="center"/>
    </xf>
    <xf numFmtId="0" fontId="14" fillId="0" borderId="0" xfId="31" applyNumberFormat="1" applyFont="1" applyFill="1" applyBorder="1"/>
    <xf numFmtId="168" fontId="14" fillId="0" borderId="0" xfId="3" applyNumberFormat="1" applyFont="1" applyBorder="1"/>
    <xf numFmtId="168" fontId="14" fillId="0" borderId="0" xfId="3" applyNumberFormat="1" applyFont="1" applyFill="1" applyBorder="1" applyAlignment="1"/>
    <xf numFmtId="168" fontId="14" fillId="0" borderId="0" xfId="3" applyNumberFormat="1" applyFont="1" applyFill="1" applyAlignment="1"/>
    <xf numFmtId="168" fontId="14" fillId="0" borderId="12" xfId="3" applyNumberFormat="1" applyFont="1" applyFill="1" applyBorder="1" applyAlignment="1"/>
    <xf numFmtId="168" fontId="14" fillId="0" borderId="1" xfId="3" applyNumberFormat="1" applyFont="1" applyFill="1" applyBorder="1"/>
    <xf numFmtId="174" fontId="14" fillId="2" borderId="0" xfId="40" quotePrefix="1" applyNumberFormat="1" applyFont="1" applyFill="1" applyBorder="1" applyAlignment="1">
      <alignment horizontal="center"/>
    </xf>
    <xf numFmtId="10" fontId="19" fillId="2" borderId="0" xfId="44" applyNumberFormat="1" applyFont="1" applyFill="1" applyBorder="1" applyAlignment="1">
      <alignment horizontal="right"/>
    </xf>
    <xf numFmtId="168" fontId="14" fillId="0" borderId="6" xfId="3" applyNumberFormat="1" applyFont="1" applyFill="1" applyBorder="1"/>
    <xf numFmtId="168" fontId="14" fillId="0" borderId="5" xfId="3" applyNumberFormat="1" applyFont="1" applyFill="1" applyBorder="1"/>
    <xf numFmtId="168" fontId="20" fillId="0" borderId="0" xfId="3" applyNumberFormat="1" applyFont="1" applyFill="1"/>
    <xf numFmtId="168" fontId="14" fillId="2" borderId="0" xfId="3" applyNumberFormat="1" applyFont="1" applyFill="1"/>
    <xf numFmtId="168" fontId="14" fillId="2" borderId="0" xfId="3" applyNumberFormat="1" applyFont="1" applyFill="1" applyAlignment="1">
      <alignment horizontal="right"/>
    </xf>
    <xf numFmtId="168" fontId="14" fillId="2" borderId="13" xfId="3" applyNumberFormat="1" applyFont="1" applyFill="1" applyBorder="1"/>
    <xf numFmtId="168" fontId="14" fillId="2" borderId="0" xfId="3" applyNumberFormat="1" applyFont="1" applyFill="1" applyBorder="1"/>
    <xf numFmtId="168" fontId="14" fillId="2" borderId="5" xfId="3" applyNumberFormat="1" applyFont="1" applyFill="1" applyBorder="1"/>
    <xf numFmtId="168" fontId="20" fillId="2" borderId="0" xfId="3" applyNumberFormat="1" applyFont="1" applyFill="1"/>
    <xf numFmtId="0" fontId="13" fillId="0" borderId="0" xfId="0" applyFont="1" applyAlignment="1"/>
    <xf numFmtId="168" fontId="14" fillId="0" borderId="0" xfId="3" applyNumberFormat="1" applyFont="1" applyFill="1" applyAlignment="1">
      <alignment horizontal="center"/>
    </xf>
    <xf numFmtId="42" fontId="14" fillId="0" borderId="0" xfId="0" applyNumberFormat="1" applyFont="1" applyFill="1" applyBorder="1"/>
    <xf numFmtId="170" fontId="14" fillId="0" borderId="0" xfId="34" applyNumberFormat="1" applyFont="1" applyFill="1" applyBorder="1" applyProtection="1">
      <protection locked="0"/>
    </xf>
    <xf numFmtId="170" fontId="13" fillId="0" borderId="0" xfId="34" applyNumberFormat="1" applyFont="1" applyFill="1" applyBorder="1" applyProtection="1">
      <protection locked="0"/>
    </xf>
    <xf numFmtId="0" fontId="14" fillId="0" borderId="0" xfId="34" applyFont="1" applyFill="1" applyBorder="1"/>
    <xf numFmtId="170" fontId="14" fillId="0" borderId="0" xfId="34" applyNumberFormat="1" applyFont="1" applyFill="1" applyBorder="1" applyAlignment="1" applyProtection="1">
      <alignment horizontal="right"/>
      <protection locked="0"/>
    </xf>
    <xf numFmtId="164" fontId="14" fillId="0" borderId="0" xfId="44" applyNumberFormat="1" applyFont="1" applyFill="1" applyBorder="1"/>
    <xf numFmtId="170" fontId="14" fillId="0" borderId="0" xfId="34" applyNumberFormat="1" applyFont="1" applyFill="1" applyBorder="1" applyAlignment="1" applyProtection="1">
      <alignment horizontal="left"/>
      <protection locked="0"/>
    </xf>
    <xf numFmtId="170" fontId="14" fillId="0" borderId="0" xfId="29" applyNumberFormat="1" applyFont="1" applyFill="1" applyBorder="1" applyAlignment="1" applyProtection="1">
      <alignment horizontal="left"/>
      <protection locked="0"/>
    </xf>
    <xf numFmtId="0" fontId="14" fillId="0" borderId="0" xfId="34" applyFont="1" applyBorder="1"/>
    <xf numFmtId="170" fontId="14" fillId="0" borderId="0" xfId="34" applyNumberFormat="1" applyFont="1" applyBorder="1" applyProtection="1">
      <protection locked="0"/>
    </xf>
    <xf numFmtId="170" fontId="13" fillId="0" borderId="0" xfId="34" applyNumberFormat="1" applyFont="1" applyFill="1" applyBorder="1"/>
    <xf numFmtId="168" fontId="14" fillId="0" borderId="0" xfId="0" applyNumberFormat="1" applyFont="1"/>
    <xf numFmtId="168" fontId="14" fillId="0" borderId="3" xfId="3" applyNumberFormat="1" applyFont="1" applyBorder="1"/>
    <xf numFmtId="10" fontId="14" fillId="0" borderId="3" xfId="44" applyNumberFormat="1" applyFont="1" applyBorder="1"/>
    <xf numFmtId="17" fontId="14" fillId="0" borderId="1" xfId="12" applyNumberFormat="1" applyFont="1" applyFill="1" applyBorder="1" applyAlignment="1">
      <alignment horizontal="center"/>
    </xf>
    <xf numFmtId="42" fontId="14" fillId="0" borderId="0" xfId="39" applyNumberFormat="1" applyFont="1" applyBorder="1"/>
    <xf numFmtId="37" fontId="14" fillId="0" borderId="0" xfId="39" applyNumberFormat="1" applyFont="1" applyAlignment="1">
      <alignment horizontal="left" indent="2"/>
    </xf>
    <xf numFmtId="0" fontId="14" fillId="0" borderId="0" xfId="0" applyFont="1" applyFill="1" applyAlignment="1">
      <alignment horizontal="center"/>
    </xf>
    <xf numFmtId="168" fontId="14" fillId="0" borderId="0" xfId="3" applyNumberFormat="1" applyFont="1" applyFill="1" applyAlignment="1">
      <alignment wrapText="1"/>
    </xf>
    <xf numFmtId="42" fontId="13" fillId="0" borderId="5" xfId="0" applyNumberFormat="1" applyFont="1" applyFill="1" applyBorder="1"/>
    <xf numFmtId="0" fontId="14" fillId="0" borderId="0" xfId="31" applyNumberFormat="1" applyFont="1" applyFill="1" applyAlignment="1">
      <alignment horizontal="left" indent="1"/>
    </xf>
    <xf numFmtId="0" fontId="14" fillId="0" borderId="0" xfId="31" applyNumberFormat="1" applyFont="1" applyFill="1" applyAlignment="1">
      <alignment horizontal="left"/>
    </xf>
    <xf numFmtId="37" fontId="14" fillId="0" borderId="1" xfId="31" applyNumberFormat="1" applyFont="1" applyFill="1" applyBorder="1" applyAlignment="1">
      <alignment horizontal="center"/>
    </xf>
    <xf numFmtId="169" fontId="14" fillId="0" borderId="0" xfId="12" applyNumberFormat="1" applyFont="1" applyFill="1" applyAlignment="1"/>
    <xf numFmtId="169" fontId="14" fillId="0" borderId="0" xfId="12" applyNumberFormat="1" applyFont="1" applyFill="1" applyBorder="1" applyAlignment="1"/>
    <xf numFmtId="10" fontId="14" fillId="0" borderId="0" xfId="44" applyNumberFormat="1" applyFont="1" applyFill="1" applyBorder="1" applyAlignment="1"/>
    <xf numFmtId="39" fontId="13" fillId="0" borderId="0" xfId="31" applyNumberFormat="1" applyFont="1" applyFill="1" applyAlignment="1"/>
    <xf numFmtId="39" fontId="14" fillId="0" borderId="0" xfId="31" applyNumberFormat="1" applyFont="1" applyFill="1" applyAlignment="1"/>
    <xf numFmtId="0" fontId="14" fillId="0" borderId="0" xfId="31" applyNumberFormat="1" applyFont="1" applyFill="1" applyAlignment="1"/>
    <xf numFmtId="44" fontId="14" fillId="0" borderId="0" xfId="12" applyFont="1" applyFill="1" applyAlignment="1"/>
    <xf numFmtId="43" fontId="14" fillId="0" borderId="0" xfId="3" applyFont="1" applyFill="1" applyAlignment="1"/>
    <xf numFmtId="39" fontId="13" fillId="0" borderId="0" xfId="31" applyNumberFormat="1" applyFont="1" applyFill="1" applyBorder="1" applyAlignment="1"/>
    <xf numFmtId="0" fontId="14" fillId="0" borderId="0" xfId="31" applyNumberFormat="1" applyFont="1" applyFill="1" applyBorder="1" applyAlignment="1"/>
    <xf numFmtId="44" fontId="14" fillId="0" borderId="0" xfId="12" applyFont="1" applyFill="1" applyBorder="1" applyAlignment="1"/>
    <xf numFmtId="39" fontId="14" fillId="0" borderId="0" xfId="31" applyNumberFormat="1" applyFont="1" applyFill="1" applyBorder="1" applyAlignment="1"/>
    <xf numFmtId="0" fontId="14" fillId="0" borderId="0" xfId="31" applyNumberFormat="1" applyFont="1" applyFill="1" applyBorder="1" applyAlignment="1">
      <alignment horizontal="left"/>
    </xf>
    <xf numFmtId="0" fontId="14" fillId="0" borderId="0" xfId="31" applyNumberFormat="1" applyFont="1" applyFill="1" applyBorder="1" applyAlignment="1">
      <alignment horizontal="left" indent="1"/>
    </xf>
    <xf numFmtId="0" fontId="13" fillId="0" borderId="0" xfId="31" applyNumberFormat="1" applyFont="1" applyFill="1" applyBorder="1"/>
    <xf numFmtId="10" fontId="14" fillId="0" borderId="0" xfId="44" applyNumberFormat="1" applyFont="1" applyBorder="1"/>
    <xf numFmtId="168" fontId="13" fillId="0" borderId="0" xfId="3" applyNumberFormat="1" applyFont="1" applyBorder="1"/>
    <xf numFmtId="43" fontId="14" fillId="0" borderId="0" xfId="3" applyFont="1" applyFill="1" applyBorder="1"/>
    <xf numFmtId="37" fontId="14" fillId="0" borderId="0" xfId="34" applyNumberFormat="1" applyFont="1" applyBorder="1" applyAlignment="1">
      <alignment horizontal="center"/>
    </xf>
    <xf numFmtId="170" fontId="14" fillId="0" borderId="0" xfId="34" applyNumberFormat="1" applyFont="1" applyBorder="1" applyAlignment="1">
      <alignment horizontal="center"/>
    </xf>
    <xf numFmtId="180" fontId="13" fillId="0" borderId="0" xfId="0" applyNumberFormat="1" applyFont="1" applyFill="1" applyAlignment="1">
      <alignment horizontal="left"/>
    </xf>
    <xf numFmtId="169" fontId="14" fillId="0" borderId="5" xfId="12" applyNumberFormat="1" applyFont="1" applyBorder="1"/>
    <xf numFmtId="43" fontId="14" fillId="0" borderId="6" xfId="3" applyFont="1" applyBorder="1"/>
    <xf numFmtId="0" fontId="13" fillId="0" borderId="0" xfId="32" applyFont="1"/>
    <xf numFmtId="0" fontId="14" fillId="0" borderId="0" xfId="32" applyFont="1"/>
    <xf numFmtId="0" fontId="14" fillId="0" borderId="0" xfId="32" applyFont="1" applyAlignment="1">
      <alignment horizontal="center"/>
    </xf>
    <xf numFmtId="167" fontId="14" fillId="0" borderId="0" xfId="44" applyNumberFormat="1" applyFont="1" applyAlignment="1">
      <alignment horizontal="center"/>
    </xf>
    <xf numFmtId="9" fontId="13" fillId="0" borderId="0" xfId="32" applyNumberFormat="1" applyFont="1" applyAlignment="1">
      <alignment horizontal="center"/>
    </xf>
    <xf numFmtId="0" fontId="13" fillId="0" borderId="0" xfId="32" applyFont="1" applyAlignment="1">
      <alignment horizontal="center" wrapText="1"/>
    </xf>
    <xf numFmtId="43" fontId="13" fillId="0" borderId="0" xfId="3" applyFont="1" applyAlignment="1">
      <alignment horizontal="center" wrapText="1"/>
    </xf>
    <xf numFmtId="0" fontId="14" fillId="0" borderId="0" xfId="32" applyFont="1" applyAlignment="1">
      <alignment horizontal="center" wrapText="1"/>
    </xf>
    <xf numFmtId="0" fontId="17" fillId="0" borderId="0" xfId="32" applyFont="1" applyAlignment="1">
      <alignment horizontal="left"/>
    </xf>
    <xf numFmtId="0" fontId="13" fillId="0" borderId="0" xfId="32" applyFont="1" applyAlignment="1">
      <alignment horizontal="center"/>
    </xf>
    <xf numFmtId="43" fontId="13" fillId="0" borderId="0" xfId="3" applyFont="1" applyAlignment="1">
      <alignment horizontal="center"/>
    </xf>
    <xf numFmtId="0" fontId="16" fillId="0" borderId="0" xfId="32" applyFont="1"/>
    <xf numFmtId="0" fontId="16" fillId="0" borderId="0" xfId="32" applyFont="1" applyAlignment="1">
      <alignment horizontal="center"/>
    </xf>
    <xf numFmtId="14" fontId="14" fillId="0" borderId="0" xfId="32" applyNumberFormat="1" applyFont="1" applyAlignment="1">
      <alignment horizontal="center"/>
    </xf>
    <xf numFmtId="14" fontId="14" fillId="0" borderId="0" xfId="32" applyNumberFormat="1" applyFont="1"/>
    <xf numFmtId="39" fontId="14" fillId="0" borderId="0" xfId="3" applyNumberFormat="1" applyFont="1" applyAlignment="1">
      <alignment horizontal="center"/>
    </xf>
    <xf numFmtId="43" fontId="14" fillId="0" borderId="0" xfId="32" applyNumberFormat="1" applyFont="1"/>
    <xf numFmtId="43" fontId="14" fillId="0" borderId="0" xfId="32" applyNumberFormat="1" applyFont="1" applyAlignment="1">
      <alignment horizontal="center"/>
    </xf>
    <xf numFmtId="10" fontId="14" fillId="0" borderId="0" xfId="44" applyNumberFormat="1" applyFont="1" applyAlignment="1">
      <alignment horizontal="center"/>
    </xf>
    <xf numFmtId="181" fontId="13" fillId="0" borderId="0" xfId="32" applyNumberFormat="1" applyFont="1" applyAlignment="1">
      <alignment horizontal="center"/>
    </xf>
    <xf numFmtId="39" fontId="14" fillId="0" borderId="0" xfId="3" applyNumberFormat="1" applyFont="1" applyBorder="1" applyAlignment="1">
      <alignment horizontal="center"/>
    </xf>
    <xf numFmtId="167" fontId="14" fillId="0" borderId="0" xfId="44" applyNumberFormat="1" applyFont="1" applyBorder="1" applyAlignment="1">
      <alignment horizontal="center"/>
    </xf>
    <xf numFmtId="43" fontId="14" fillId="0" borderId="0" xfId="32" applyNumberFormat="1" applyFont="1" applyBorder="1"/>
    <xf numFmtId="14" fontId="14" fillId="0" borderId="0" xfId="3" applyNumberFormat="1" applyFont="1" applyAlignment="1">
      <alignment horizontal="center"/>
    </xf>
    <xf numFmtId="0" fontId="14" fillId="0" borderId="0" xfId="32" applyFont="1" applyBorder="1"/>
    <xf numFmtId="14" fontId="14" fillId="0" borderId="0" xfId="32" applyNumberFormat="1" applyFont="1" applyBorder="1"/>
    <xf numFmtId="14" fontId="14" fillId="0" borderId="0" xfId="32" quotePrefix="1" applyNumberFormat="1" applyFont="1" applyAlignment="1">
      <alignment horizontal="center"/>
    </xf>
    <xf numFmtId="14" fontId="14" fillId="0" borderId="0" xfId="32" quotePrefix="1" applyNumberFormat="1" applyFont="1"/>
    <xf numFmtId="0" fontId="17" fillId="0" borderId="0" xfId="32" applyFont="1" applyBorder="1"/>
    <xf numFmtId="0" fontId="14" fillId="0" borderId="0" xfId="32" applyFont="1" applyFill="1" applyAlignment="1">
      <alignment horizontal="center" wrapText="1"/>
    </xf>
    <xf numFmtId="0" fontId="14" fillId="0" borderId="0" xfId="32" applyNumberFormat="1" applyFont="1" applyFill="1"/>
    <xf numFmtId="0" fontId="14" fillId="0" borderId="0" xfId="32" applyFont="1" applyBorder="1" applyAlignment="1">
      <alignment horizontal="center" wrapText="1"/>
    </xf>
    <xf numFmtId="14" fontId="14" fillId="0" borderId="0" xfId="32" applyNumberFormat="1" applyFont="1" applyBorder="1" applyAlignment="1">
      <alignment horizontal="center"/>
    </xf>
    <xf numFmtId="43" fontId="14" fillId="0" borderId="0" xfId="32" applyNumberFormat="1" applyFont="1" applyBorder="1" applyAlignment="1">
      <alignment horizontal="center"/>
    </xf>
    <xf numFmtId="43" fontId="14" fillId="0" borderId="6" xfId="32" applyNumberFormat="1" applyFont="1" applyBorder="1"/>
    <xf numFmtId="0" fontId="14" fillId="0" borderId="0" xfId="32" applyFont="1" applyBorder="1" applyAlignment="1">
      <alignment horizontal="center"/>
    </xf>
    <xf numFmtId="39" fontId="14" fillId="0" borderId="0" xfId="32" applyNumberFormat="1" applyFont="1" applyBorder="1" applyAlignment="1">
      <alignment horizontal="center"/>
    </xf>
    <xf numFmtId="181" fontId="14" fillId="0" borderId="0" xfId="32" applyNumberFormat="1" applyFont="1" applyBorder="1" applyAlignment="1">
      <alignment horizontal="center"/>
    </xf>
    <xf numFmtId="39" fontId="14" fillId="0" borderId="0" xfId="32" applyNumberFormat="1" applyFont="1" applyBorder="1"/>
    <xf numFmtId="39" fontId="14" fillId="0" borderId="0" xfId="32" applyNumberFormat="1" applyFont="1"/>
    <xf numFmtId="49" fontId="14" fillId="0" borderId="0" xfId="32" applyNumberFormat="1" applyFont="1" applyAlignment="1">
      <alignment horizontal="center"/>
    </xf>
    <xf numFmtId="43" fontId="14" fillId="0" borderId="6" xfId="3" applyFont="1" applyFill="1" applyBorder="1"/>
    <xf numFmtId="0" fontId="13" fillId="0" borderId="0" xfId="32" applyFont="1" applyAlignment="1">
      <alignment horizontal="right"/>
    </xf>
    <xf numFmtId="37" fontId="14" fillId="0" borderId="0" xfId="0" applyNumberFormat="1" applyFont="1" applyAlignment="1">
      <alignment horizontal="left" indent="2"/>
    </xf>
    <xf numFmtId="168" fontId="14" fillId="0" borderId="3" xfId="3" applyNumberFormat="1" applyFont="1" applyFill="1" applyBorder="1" applyAlignment="1"/>
    <xf numFmtId="169" fontId="14" fillId="0" borderId="3" xfId="12" applyNumberFormat="1" applyFont="1" applyFill="1" applyBorder="1" applyAlignment="1"/>
    <xf numFmtId="168" fontId="14" fillId="0" borderId="3" xfId="31" applyNumberFormat="1" applyFont="1" applyFill="1" applyBorder="1"/>
    <xf numFmtId="169" fontId="14" fillId="0" borderId="3" xfId="12" applyNumberFormat="1" applyFont="1" applyFill="1" applyBorder="1"/>
    <xf numFmtId="37" fontId="13" fillId="0" borderId="0" xfId="36" applyNumberFormat="1" applyFont="1" applyFill="1" applyAlignment="1"/>
    <xf numFmtId="0" fontId="13" fillId="0" borderId="0" xfId="36" applyFont="1" applyFill="1" applyAlignment="1"/>
    <xf numFmtId="0" fontId="14" fillId="0" borderId="0" xfId="36" applyFont="1" applyFill="1" applyAlignment="1"/>
    <xf numFmtId="0" fontId="14" fillId="0" borderId="0" xfId="0" applyFont="1" applyFill="1" applyAlignment="1"/>
    <xf numFmtId="0" fontId="14" fillId="0" borderId="0" xfId="0" applyFont="1" applyAlignment="1"/>
    <xf numFmtId="0" fontId="0" fillId="0" borderId="0" xfId="0" applyAlignment="1"/>
    <xf numFmtId="9" fontId="16" fillId="2" borderId="0" xfId="44" applyFont="1" applyFill="1" applyBorder="1" applyAlignment="1">
      <alignment horizontal="center"/>
    </xf>
    <xf numFmtId="9" fontId="14" fillId="2" borderId="0" xfId="44" applyFont="1" applyFill="1"/>
    <xf numFmtId="168" fontId="14" fillId="2" borderId="0" xfId="3" applyNumberFormat="1" applyFont="1" applyFill="1" applyBorder="1" applyAlignment="1">
      <alignment horizontal="right"/>
    </xf>
    <xf numFmtId="0" fontId="14" fillId="0" borderId="0" xfId="0" quotePrefix="1" applyNumberFormat="1" applyFont="1" applyBorder="1" applyAlignment="1">
      <alignment horizontal="right"/>
    </xf>
    <xf numFmtId="37" fontId="22" fillId="0" borderId="0" xfId="40" applyNumberFormat="1" applyFont="1" applyBorder="1"/>
    <xf numFmtId="0" fontId="22" fillId="2" borderId="0" xfId="37" applyFont="1" applyFill="1" applyBorder="1"/>
    <xf numFmtId="41" fontId="14" fillId="0" borderId="0" xfId="0" quotePrefix="1" applyNumberFormat="1" applyFont="1" applyBorder="1" applyAlignment="1">
      <alignment horizontal="right"/>
    </xf>
    <xf numFmtId="10" fontId="14" fillId="0" borderId="0" xfId="40" applyNumberFormat="1" applyFont="1" applyFill="1" applyBorder="1"/>
    <xf numFmtId="39" fontId="14" fillId="0" borderId="0" xfId="37" applyNumberFormat="1" applyFont="1" applyFill="1" applyBorder="1"/>
    <xf numFmtId="10" fontId="14" fillId="0" borderId="0" xfId="40" applyNumberFormat="1" applyFont="1" applyBorder="1"/>
    <xf numFmtId="168" fontId="13" fillId="0" borderId="0" xfId="3" applyNumberFormat="1" applyFont="1" applyFill="1" applyBorder="1"/>
    <xf numFmtId="0" fontId="13" fillId="2" borderId="0" xfId="37" applyFont="1" applyFill="1" applyBorder="1"/>
    <xf numFmtId="0" fontId="28" fillId="0" borderId="0" xfId="0" applyFont="1"/>
    <xf numFmtId="0" fontId="27" fillId="0" borderId="0" xfId="0" applyFont="1"/>
    <xf numFmtId="169" fontId="27" fillId="0" borderId="0" xfId="12" applyNumberFormat="1" applyFont="1"/>
    <xf numFmtId="168" fontId="27" fillId="0" borderId="0" xfId="3" applyNumberFormat="1" applyFont="1"/>
    <xf numFmtId="168" fontId="27" fillId="0" borderId="0" xfId="0" applyNumberFormat="1" applyFont="1"/>
    <xf numFmtId="169" fontId="27" fillId="0" borderId="6" xfId="12" applyNumberFormat="1" applyFont="1" applyBorder="1"/>
    <xf numFmtId="169" fontId="27" fillId="0" borderId="0" xfId="0" applyNumberFormat="1" applyFont="1"/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 wrapText="1"/>
    </xf>
    <xf numFmtId="0" fontId="28" fillId="0" borderId="0" xfId="0" applyFont="1" applyBorder="1"/>
    <xf numFmtId="10" fontId="27" fillId="0" borderId="0" xfId="44" applyNumberFormat="1" applyFont="1"/>
    <xf numFmtId="10" fontId="27" fillId="0" borderId="1" xfId="44" applyNumberFormat="1" applyFont="1" applyBorder="1"/>
    <xf numFmtId="0" fontId="27" fillId="0" borderId="0" xfId="0" applyFont="1" applyBorder="1"/>
    <xf numFmtId="0" fontId="28" fillId="0" borderId="0" xfId="0" applyFont="1" applyBorder="1" applyAlignment="1">
      <alignment horizontal="center" wrapText="1"/>
    </xf>
    <xf numFmtId="0" fontId="28" fillId="0" borderId="0" xfId="0" applyFont="1" applyAlignment="1">
      <alignment horizontal="right"/>
    </xf>
    <xf numFmtId="0" fontId="14" fillId="0" borderId="0" xfId="0" applyNumberFormat="1" applyFont="1" applyFill="1" applyAlignment="1"/>
    <xf numFmtId="175" fontId="14" fillId="0" borderId="1" xfId="0" quotePrefix="1" applyNumberFormat="1" applyFont="1" applyFill="1" applyBorder="1" applyAlignment="1">
      <alignment horizontal="center"/>
    </xf>
    <xf numFmtId="37" fontId="31" fillId="0" borderId="0" xfId="36" applyNumberFormat="1" applyFont="1" applyFill="1"/>
    <xf numFmtId="0" fontId="30" fillId="0" borderId="0" xfId="36" applyFont="1" applyFill="1"/>
    <xf numFmtId="168" fontId="30" fillId="0" borderId="0" xfId="3" applyNumberFormat="1" applyFont="1" applyFill="1"/>
    <xf numFmtId="168" fontId="31" fillId="0" borderId="0" xfId="3" applyNumberFormat="1" applyFont="1" applyFill="1" applyAlignment="1">
      <alignment horizontal="center"/>
    </xf>
    <xf numFmtId="168" fontId="31" fillId="0" borderId="0" xfId="3" applyNumberFormat="1" applyFont="1" applyFill="1" applyAlignment="1">
      <alignment horizontal="right"/>
    </xf>
    <xf numFmtId="168" fontId="30" fillId="0" borderId="0" xfId="3" applyNumberFormat="1" applyFont="1" applyFill="1" applyBorder="1"/>
    <xf numFmtId="169" fontId="31" fillId="0" borderId="0" xfId="12" applyNumberFormat="1" applyFont="1" applyFill="1" applyAlignment="1">
      <alignment horizontal="right"/>
    </xf>
    <xf numFmtId="0" fontId="30" fillId="0" borderId="0" xfId="0" applyFont="1"/>
    <xf numFmtId="37" fontId="30" fillId="0" borderId="0" xfId="36" applyNumberFormat="1" applyFont="1" applyFill="1" applyBorder="1"/>
    <xf numFmtId="169" fontId="31" fillId="0" borderId="0" xfId="12" applyNumberFormat="1" applyFont="1" applyFill="1" applyBorder="1" applyAlignment="1">
      <alignment horizontal="right"/>
    </xf>
    <xf numFmtId="0" fontId="31" fillId="0" borderId="0" xfId="0" applyFont="1"/>
    <xf numFmtId="168" fontId="30" fillId="0" borderId="0" xfId="3" applyNumberFormat="1" applyFont="1"/>
    <xf numFmtId="168" fontId="30" fillId="0" borderId="0" xfId="3" applyNumberFormat="1" applyFont="1" applyAlignment="1">
      <alignment horizontal="center"/>
    </xf>
    <xf numFmtId="174" fontId="30" fillId="0" borderId="0" xfId="0" applyNumberFormat="1" applyFont="1" applyAlignment="1">
      <alignment horizontal="center"/>
    </xf>
    <xf numFmtId="168" fontId="30" fillId="0" borderId="0" xfId="0" applyNumberFormat="1" applyFont="1"/>
    <xf numFmtId="10" fontId="30" fillId="0" borderId="0" xfId="0" applyNumberFormat="1" applyFont="1"/>
    <xf numFmtId="0" fontId="32" fillId="0" borderId="0" xfId="0" applyFont="1" applyAlignment="1">
      <alignment horizontal="center"/>
    </xf>
    <xf numFmtId="169" fontId="30" fillId="0" borderId="0" xfId="12" applyNumberFormat="1" applyFont="1"/>
    <xf numFmtId="175" fontId="30" fillId="0" borderId="0" xfId="0" applyNumberFormat="1" applyFont="1"/>
    <xf numFmtId="169" fontId="30" fillId="0" borderId="0" xfId="12" applyNumberFormat="1" applyFont="1" applyBorder="1"/>
    <xf numFmtId="177" fontId="30" fillId="0" borderId="3" xfId="3" applyNumberFormat="1" applyFont="1" applyBorder="1"/>
    <xf numFmtId="0" fontId="30" fillId="0" borderId="0" xfId="0" applyFont="1" applyAlignment="1">
      <alignment horizontal="center"/>
    </xf>
    <xf numFmtId="164" fontId="30" fillId="3" borderId="2" xfId="44" applyNumberFormat="1" applyFont="1" applyFill="1" applyBorder="1" applyAlignment="1">
      <alignment horizontal="center"/>
    </xf>
    <xf numFmtId="9" fontId="30" fillId="0" borderId="0" xfId="44" applyFont="1"/>
    <xf numFmtId="0" fontId="34" fillId="4" borderId="17" xfId="0" applyFont="1" applyFill="1" applyBorder="1" applyAlignment="1">
      <alignment horizontal="left" vertical="top"/>
    </xf>
    <xf numFmtId="0" fontId="30" fillId="0" borderId="18" xfId="0" applyFont="1" applyBorder="1"/>
    <xf numFmtId="0" fontId="35" fillId="4" borderId="19" xfId="0" applyFont="1" applyFill="1" applyBorder="1" applyAlignment="1">
      <alignment horizontal="left" vertical="top"/>
    </xf>
    <xf numFmtId="0" fontId="34" fillId="4" borderId="19" xfId="0" applyFont="1" applyFill="1" applyBorder="1" applyAlignment="1">
      <alignment horizontal="left" vertical="top"/>
    </xf>
    <xf numFmtId="43" fontId="30" fillId="0" borderId="0" xfId="3" applyFont="1"/>
    <xf numFmtId="43" fontId="30" fillId="0" borderId="3" xfId="3" applyFont="1" applyBorder="1"/>
    <xf numFmtId="37" fontId="13" fillId="3" borderId="20" xfId="35" applyNumberFormat="1" applyFont="1" applyFill="1" applyBorder="1" applyAlignment="1">
      <alignment horizontal="center"/>
    </xf>
    <xf numFmtId="37" fontId="14" fillId="3" borderId="13" xfId="40" applyNumberFormat="1" applyFont="1" applyFill="1" applyBorder="1"/>
    <xf numFmtId="168" fontId="27" fillId="0" borderId="0" xfId="0" applyNumberFormat="1" applyFont="1" applyFill="1"/>
    <xf numFmtId="169" fontId="27" fillId="0" borderId="0" xfId="12" applyNumberFormat="1" applyFont="1" applyFill="1"/>
    <xf numFmtId="42" fontId="14" fillId="0" borderId="0" xfId="0" applyNumberFormat="1" applyFont="1" applyFill="1" applyAlignment="1">
      <alignment horizontal="center"/>
    </xf>
    <xf numFmtId="39" fontId="14" fillId="0" borderId="0" xfId="31" applyNumberFormat="1" applyFont="1" applyFill="1"/>
    <xf numFmtId="168" fontId="14" fillId="0" borderId="0" xfId="3" quotePrefix="1" applyNumberFormat="1" applyFont="1" applyFill="1" applyAlignment="1"/>
    <xf numFmtId="39" fontId="14" fillId="0" borderId="0" xfId="31" applyNumberFormat="1" applyFont="1" applyFill="1" applyBorder="1"/>
    <xf numFmtId="168" fontId="14" fillId="0" borderId="0" xfId="3" quotePrefix="1" applyNumberFormat="1" applyFont="1" applyFill="1" applyBorder="1" applyAlignment="1"/>
    <xf numFmtId="168" fontId="14" fillId="0" borderId="0" xfId="3" applyNumberFormat="1" applyFont="1" applyFill="1" applyAlignment="1">
      <alignment horizontal="right"/>
    </xf>
    <xf numFmtId="43" fontId="13" fillId="0" borderId="0" xfId="3" applyFont="1" applyFill="1" applyAlignment="1"/>
    <xf numFmtId="0" fontId="13" fillId="0" borderId="0" xfId="0" applyNumberFormat="1" applyFont="1" applyFill="1" applyAlignment="1"/>
    <xf numFmtId="0" fontId="14" fillId="0" borderId="0" xfId="33" applyFont="1" applyFill="1" applyBorder="1" applyAlignment="1"/>
    <xf numFmtId="38" fontId="14" fillId="0" borderId="1" xfId="0" applyNumberFormat="1" applyFont="1" applyFill="1" applyBorder="1"/>
    <xf numFmtId="0" fontId="14" fillId="0" borderId="0" xfId="0" applyFont="1" applyFill="1" applyBorder="1" applyAlignment="1">
      <alignment horizontal="left"/>
    </xf>
    <xf numFmtId="0" fontId="39" fillId="5" borderId="21" xfId="0" applyFont="1" applyFill="1" applyBorder="1" applyAlignment="1">
      <alignment horizontal="center" vertical="top" wrapText="1"/>
    </xf>
    <xf numFmtId="0" fontId="39" fillId="5" borderId="21" xfId="0" applyFont="1" applyFill="1" applyBorder="1" applyAlignment="1">
      <alignment horizontal="center" vertical="center" wrapText="1"/>
    </xf>
    <xf numFmtId="43" fontId="38" fillId="4" borderId="21" xfId="3" applyNumberFormat="1" applyFont="1" applyFill="1" applyBorder="1" applyAlignment="1">
      <alignment wrapText="1"/>
    </xf>
    <xf numFmtId="43" fontId="38" fillId="6" borderId="21" xfId="3" applyNumberFormat="1" applyFont="1" applyFill="1" applyBorder="1" applyAlignment="1">
      <alignment wrapText="1"/>
    </xf>
    <xf numFmtId="0" fontId="0" fillId="0" borderId="0" xfId="0" applyFill="1"/>
    <xf numFmtId="43" fontId="0" fillId="0" borderId="0" xfId="0" applyNumberFormat="1"/>
    <xf numFmtId="43" fontId="0" fillId="0" borderId="0" xfId="3" applyFont="1"/>
    <xf numFmtId="43" fontId="29" fillId="0" borderId="2" xfId="3" applyFont="1" applyBorder="1"/>
    <xf numFmtId="43" fontId="29" fillId="0" borderId="9" xfId="3" applyFont="1" applyBorder="1" applyAlignment="1">
      <alignment horizontal="right"/>
    </xf>
    <xf numFmtId="0" fontId="29" fillId="0" borderId="11" xfId="18" applyBorder="1"/>
    <xf numFmtId="43" fontId="29" fillId="0" borderId="15" xfId="3" applyFont="1" applyBorder="1"/>
    <xf numFmtId="43" fontId="29" fillId="0" borderId="0" xfId="3" applyFont="1" applyBorder="1"/>
    <xf numFmtId="4" fontId="29" fillId="0" borderId="22" xfId="18" applyNumberFormat="1" applyBorder="1"/>
    <xf numFmtId="43" fontId="29" fillId="0" borderId="23" xfId="3" applyFont="1" applyBorder="1"/>
    <xf numFmtId="10" fontId="0" fillId="0" borderId="24" xfId="44" applyNumberFormat="1" applyFont="1" applyBorder="1"/>
    <xf numFmtId="10" fontId="29" fillId="0" borderId="25" xfId="18" applyNumberFormat="1" applyBorder="1"/>
    <xf numFmtId="0" fontId="41" fillId="0" borderId="1" xfId="0" applyFont="1" applyBorder="1"/>
    <xf numFmtId="0" fontId="40" fillId="0" borderId="1" xfId="18" applyFont="1" applyBorder="1" applyAlignment="1">
      <alignment horizontal="center" wrapText="1"/>
    </xf>
    <xf numFmtId="43" fontId="41" fillId="0" borderId="1" xfId="6" applyFont="1" applyBorder="1" applyAlignment="1">
      <alignment horizontal="center" wrapText="1"/>
    </xf>
    <xf numFmtId="10" fontId="0" fillId="0" borderId="0" xfId="0" applyNumberFormat="1"/>
    <xf numFmtId="0" fontId="43" fillId="0" borderId="0" xfId="0" applyFont="1" applyFill="1"/>
    <xf numFmtId="0" fontId="14" fillId="0" borderId="1" xfId="0" applyFont="1" applyBorder="1" applyAlignment="1">
      <alignment horizontal="center" wrapText="1"/>
    </xf>
    <xf numFmtId="0" fontId="13" fillId="0" borderId="0" xfId="0" applyFont="1" applyFill="1" applyBorder="1"/>
    <xf numFmtId="0" fontId="14" fillId="0" borderId="0" xfId="0" applyFont="1" applyBorder="1" applyAlignment="1">
      <alignment horizontal="center" wrapText="1"/>
    </xf>
    <xf numFmtId="37" fontId="14" fillId="0" borderId="6" xfId="40" applyNumberFormat="1" applyFont="1" applyFill="1" applyBorder="1"/>
    <xf numFmtId="168" fontId="27" fillId="0" borderId="1" xfId="0" applyNumberFormat="1" applyFont="1" applyFill="1" applyBorder="1"/>
    <xf numFmtId="168" fontId="27" fillId="0" borderId="0" xfId="3" applyNumberFormat="1" applyFont="1" applyBorder="1"/>
    <xf numFmtId="0" fontId="70" fillId="0" borderId="0" xfId="27"/>
    <xf numFmtId="43" fontId="70" fillId="0" borderId="0" xfId="27" applyNumberFormat="1"/>
    <xf numFmtId="43" fontId="0" fillId="0" borderId="0" xfId="8" applyFont="1"/>
    <xf numFmtId="43" fontId="0" fillId="0" borderId="0" xfId="8" applyNumberFormat="1" applyFont="1"/>
    <xf numFmtId="0" fontId="46" fillId="0" borderId="0" xfId="27" applyFont="1"/>
    <xf numFmtId="0" fontId="46" fillId="0" borderId="1" xfId="27" applyFont="1" applyFill="1" applyBorder="1" applyAlignment="1">
      <alignment horizontal="center"/>
    </xf>
    <xf numFmtId="0" fontId="46" fillId="0" borderId="1" xfId="27" applyFont="1" applyBorder="1" applyAlignment="1">
      <alignment horizontal="center"/>
    </xf>
    <xf numFmtId="0" fontId="46" fillId="0" borderId="0" xfId="27" applyFont="1" applyAlignment="1">
      <alignment horizontal="center"/>
    </xf>
    <xf numFmtId="14" fontId="46" fillId="0" borderId="0" xfId="27" applyNumberFormat="1" applyFont="1" applyAlignment="1">
      <alignment horizontal="center"/>
    </xf>
    <xf numFmtId="43" fontId="46" fillId="0" borderId="0" xfId="8" applyFont="1" applyAlignment="1">
      <alignment horizontal="center"/>
    </xf>
    <xf numFmtId="37" fontId="14" fillId="0" borderId="5" xfId="0" applyNumberFormat="1" applyFont="1" applyFill="1" applyBorder="1"/>
    <xf numFmtId="168" fontId="14" fillId="0" borderId="0" xfId="31" applyNumberFormat="1" applyFont="1" applyFill="1" applyBorder="1"/>
    <xf numFmtId="39" fontId="14" fillId="0" borderId="0" xfId="31" applyNumberFormat="1" applyFont="1" applyFill="1" applyAlignment="1">
      <alignment horizontal="left"/>
    </xf>
    <xf numFmtId="43" fontId="14" fillId="0" borderId="0" xfId="31" applyNumberFormat="1" applyFont="1" applyFill="1" applyAlignment="1">
      <alignment horizontal="left"/>
    </xf>
    <xf numFmtId="0" fontId="52" fillId="0" borderId="0" xfId="30" applyFont="1" applyFill="1"/>
    <xf numFmtId="0" fontId="52" fillId="0" borderId="0" xfId="30" applyFont="1" applyFill="1" applyAlignment="1">
      <alignment horizontal="right"/>
    </xf>
    <xf numFmtId="0" fontId="52" fillId="0" borderId="0" xfId="30" applyFont="1" applyFill="1" applyBorder="1"/>
    <xf numFmtId="0" fontId="53" fillId="0" borderId="0" xfId="43" applyFont="1" applyFill="1" applyAlignment="1"/>
    <xf numFmtId="0" fontId="53" fillId="0" borderId="0" xfId="43" applyFont="1" applyFill="1" applyAlignment="1">
      <alignment horizontal="center"/>
    </xf>
    <xf numFmtId="0" fontId="52" fillId="0" borderId="0" xfId="43" applyFont="1" applyFill="1" applyAlignment="1"/>
    <xf numFmtId="8" fontId="52" fillId="0" borderId="0" xfId="12" applyNumberFormat="1" applyFont="1" applyFill="1" applyAlignment="1">
      <alignment horizontal="center"/>
    </xf>
    <xf numFmtId="0" fontId="52" fillId="0" borderId="0" xfId="30" applyFont="1" applyFill="1" applyAlignment="1"/>
    <xf numFmtId="0" fontId="52" fillId="0" borderId="24" xfId="30" applyFont="1" applyFill="1" applyBorder="1" applyAlignment="1">
      <alignment horizontal="fill"/>
    </xf>
    <xf numFmtId="37" fontId="52" fillId="0" borderId="15" xfId="11" applyNumberFormat="1" applyFont="1" applyFill="1" applyBorder="1" applyAlignment="1">
      <alignment horizontal="center"/>
    </xf>
    <xf numFmtId="37" fontId="52" fillId="0" borderId="0" xfId="11" applyNumberFormat="1" applyFont="1" applyFill="1" applyBorder="1" applyAlignment="1">
      <alignment horizontal="center"/>
    </xf>
    <xf numFmtId="0" fontId="52" fillId="0" borderId="15" xfId="30" applyFont="1" applyFill="1" applyBorder="1" applyAlignment="1">
      <alignment horizontal="center"/>
    </xf>
    <xf numFmtId="0" fontId="52" fillId="0" borderId="0" xfId="30" applyFont="1" applyFill="1" applyBorder="1" applyAlignment="1">
      <alignment horizontal="center"/>
    </xf>
    <xf numFmtId="0" fontId="52" fillId="0" borderId="28" xfId="30" applyFont="1" applyFill="1" applyBorder="1" applyAlignment="1">
      <alignment horizontal="center"/>
    </xf>
    <xf numFmtId="0" fontId="52" fillId="0" borderId="1" xfId="30" applyFont="1" applyFill="1" applyBorder="1" applyAlignment="1">
      <alignment horizontal="center"/>
    </xf>
    <xf numFmtId="0" fontId="52" fillId="0" borderId="15" xfId="30" applyFont="1" applyFill="1" applyBorder="1" applyAlignment="1">
      <alignment horizontal="fill"/>
    </xf>
    <xf numFmtId="0" fontId="52" fillId="0" borderId="0" xfId="30" applyFont="1" applyFill="1" applyBorder="1" applyAlignment="1">
      <alignment horizontal="fill"/>
    </xf>
    <xf numFmtId="168" fontId="52" fillId="0" borderId="0" xfId="3" applyNumberFormat="1" applyFont="1" applyFill="1"/>
    <xf numFmtId="38" fontId="52" fillId="0" borderId="15" xfId="11" applyNumberFormat="1" applyFont="1" applyFill="1" applyBorder="1" applyAlignment="1">
      <alignment horizontal="center"/>
    </xf>
    <xf numFmtId="0" fontId="50" fillId="0" borderId="0" xfId="43"/>
    <xf numFmtId="38" fontId="52" fillId="0" borderId="0" xfId="11" applyNumberFormat="1" applyFont="1" applyFill="1" applyBorder="1"/>
    <xf numFmtId="10" fontId="52" fillId="0" borderId="0" xfId="44" applyNumberFormat="1" applyFont="1" applyFill="1" applyBorder="1"/>
    <xf numFmtId="43" fontId="52" fillId="0" borderId="0" xfId="3" applyFont="1" applyFill="1"/>
    <xf numFmtId="169" fontId="52" fillId="0" borderId="0" xfId="12" applyNumberFormat="1" applyFont="1" applyBorder="1"/>
    <xf numFmtId="37" fontId="52" fillId="0" borderId="0" xfId="42" applyNumberFormat="1" applyFont="1" applyFill="1" applyBorder="1" applyAlignment="1">
      <alignment horizontal="center"/>
    </xf>
    <xf numFmtId="0" fontId="52" fillId="0" borderId="0" xfId="30" quotePrefix="1" applyFont="1" applyFill="1" applyBorder="1"/>
    <xf numFmtId="169" fontId="52" fillId="0" borderId="4" xfId="30" applyNumberFormat="1" applyFont="1" applyFill="1" applyBorder="1"/>
    <xf numFmtId="169" fontId="52" fillId="0" borderId="0" xfId="30" applyNumberFormat="1" applyFont="1" applyFill="1"/>
    <xf numFmtId="10" fontId="52" fillId="0" borderId="0" xfId="44" applyNumberFormat="1" applyFont="1" applyFill="1"/>
    <xf numFmtId="3" fontId="52" fillId="0" borderId="0" xfId="42" applyNumberFormat="1" applyFont="1" applyFill="1" applyBorder="1" applyAlignment="1">
      <alignment horizontal="left"/>
    </xf>
    <xf numFmtId="38" fontId="55" fillId="0" borderId="15" xfId="11" applyNumberFormat="1" applyFont="1" applyFill="1" applyBorder="1" applyAlignment="1">
      <alignment horizontal="left"/>
    </xf>
    <xf numFmtId="0" fontId="52" fillId="0" borderId="0" xfId="30" quotePrefix="1" applyFont="1" applyFill="1"/>
    <xf numFmtId="38" fontId="52" fillId="0" borderId="0" xfId="11" applyNumberFormat="1" applyFont="1" applyFill="1"/>
    <xf numFmtId="44" fontId="52" fillId="0" borderId="0" xfId="12" applyFont="1" applyFill="1" applyAlignment="1">
      <alignment horizontal="center"/>
    </xf>
    <xf numFmtId="0" fontId="52" fillId="0" borderId="0" xfId="43" applyFont="1" applyBorder="1"/>
    <xf numFmtId="169" fontId="52" fillId="0" borderId="4" xfId="43" applyNumberFormat="1" applyFont="1" applyBorder="1"/>
    <xf numFmtId="169" fontId="52" fillId="0" borderId="0" xfId="43" applyNumberFormat="1" applyFont="1" applyBorder="1"/>
    <xf numFmtId="10" fontId="52" fillId="0" borderId="0" xfId="44" applyNumberFormat="1" applyFont="1" applyBorder="1"/>
    <xf numFmtId="43" fontId="52" fillId="0" borderId="0" xfId="3" applyFont="1" applyBorder="1"/>
    <xf numFmtId="38" fontId="52" fillId="0" borderId="0" xfId="11" applyNumberFormat="1" applyFont="1" applyFill="1" applyBorder="1" applyAlignment="1">
      <alignment horizontal="center"/>
    </xf>
    <xf numFmtId="40" fontId="52" fillId="0" borderId="0" xfId="11" applyNumberFormat="1" applyFont="1" applyFill="1" applyBorder="1"/>
    <xf numFmtId="169" fontId="52" fillId="0" borderId="4" xfId="12" applyNumberFormat="1" applyFont="1" applyBorder="1"/>
    <xf numFmtId="9" fontId="52" fillId="0" borderId="0" xfId="44" applyFont="1" applyFill="1"/>
    <xf numFmtId="37" fontId="52" fillId="0" borderId="29" xfId="11" applyNumberFormat="1" applyFont="1" applyFill="1" applyBorder="1" applyAlignment="1">
      <alignment horizontal="center"/>
    </xf>
    <xf numFmtId="0" fontId="52" fillId="0" borderId="16" xfId="30" applyFont="1" applyFill="1" applyBorder="1" applyAlignment="1">
      <alignment horizontal="center"/>
    </xf>
    <xf numFmtId="0" fontId="52" fillId="0" borderId="30" xfId="30" applyFont="1" applyFill="1" applyBorder="1" applyAlignment="1">
      <alignment horizontal="center"/>
    </xf>
    <xf numFmtId="0" fontId="52" fillId="0" borderId="16" xfId="30" applyFont="1" applyFill="1" applyBorder="1" applyAlignment="1">
      <alignment horizontal="fill"/>
    </xf>
    <xf numFmtId="38" fontId="52" fillId="0" borderId="16" xfId="11" applyNumberFormat="1" applyFont="1" applyFill="1" applyBorder="1" applyAlignment="1">
      <alignment horizontal="center"/>
    </xf>
    <xf numFmtId="0" fontId="52" fillId="0" borderId="0" xfId="43" applyFont="1"/>
    <xf numFmtId="3" fontId="52" fillId="0" borderId="0" xfId="42" applyNumberFormat="1" applyFont="1" applyFill="1" applyBorder="1"/>
    <xf numFmtId="38" fontId="52" fillId="0" borderId="0" xfId="43" applyNumberFormat="1" applyFont="1"/>
    <xf numFmtId="0" fontId="52" fillId="0" borderId="0" xfId="30" applyFont="1" applyFill="1" applyBorder="1" applyAlignment="1">
      <alignment horizontal="right"/>
    </xf>
    <xf numFmtId="0" fontId="52" fillId="0" borderId="6" xfId="30" applyFont="1" applyFill="1" applyBorder="1"/>
    <xf numFmtId="168" fontId="52" fillId="0" borderId="0" xfId="3" applyNumberFormat="1" applyFont="1" applyBorder="1"/>
    <xf numFmtId="168" fontId="52" fillId="0" borderId="0" xfId="3" applyNumberFormat="1" applyFont="1" applyFill="1" applyBorder="1"/>
    <xf numFmtId="168" fontId="52" fillId="0" borderId="0" xfId="3" applyNumberFormat="1" applyFont="1"/>
    <xf numFmtId="9" fontId="52" fillId="0" borderId="0" xfId="44" applyFont="1" applyBorder="1"/>
    <xf numFmtId="0" fontId="52" fillId="0" borderId="0" xfId="30" applyFont="1" applyFill="1" applyBorder="1" applyAlignment="1"/>
    <xf numFmtId="0" fontId="52" fillId="0" borderId="23" xfId="30" applyFont="1" applyFill="1" applyBorder="1" applyAlignment="1">
      <alignment horizontal="fill"/>
    </xf>
    <xf numFmtId="0" fontId="52" fillId="0" borderId="6" xfId="30" applyFont="1" applyFill="1" applyBorder="1" applyAlignment="1">
      <alignment horizontal="fill"/>
    </xf>
    <xf numFmtId="1" fontId="52" fillId="0" borderId="0" xfId="3" applyNumberFormat="1" applyFont="1" applyFill="1" applyBorder="1"/>
    <xf numFmtId="38" fontId="52" fillId="0" borderId="0" xfId="30" applyNumberFormat="1" applyFont="1" applyFill="1" applyBorder="1"/>
    <xf numFmtId="1" fontId="52" fillId="0" borderId="0" xfId="11" applyNumberFormat="1" applyFont="1" applyFill="1" applyBorder="1"/>
    <xf numFmtId="8" fontId="52" fillId="0" borderId="0" xfId="30" applyNumberFormat="1" applyFont="1" applyFill="1"/>
    <xf numFmtId="38" fontId="52" fillId="0" borderId="0" xfId="43" applyNumberFormat="1" applyFont="1" applyBorder="1"/>
    <xf numFmtId="174" fontId="52" fillId="0" borderId="0" xfId="30" applyNumberFormat="1" applyFont="1" applyFill="1" applyBorder="1"/>
    <xf numFmtId="3" fontId="52" fillId="0" borderId="0" xfId="42" applyNumberFormat="1" applyFont="1" applyFill="1" applyAlignment="1">
      <alignment horizontal="left"/>
    </xf>
    <xf numFmtId="38" fontId="52" fillId="0" borderId="0" xfId="11" applyNumberFormat="1" applyFont="1" applyFill="1" applyAlignment="1">
      <alignment horizontal="center"/>
    </xf>
    <xf numFmtId="169" fontId="52" fillId="0" borderId="4" xfId="12" applyNumberFormat="1" applyFont="1" applyFill="1" applyBorder="1"/>
    <xf numFmtId="1" fontId="52" fillId="0" borderId="0" xfId="3" applyNumberFormat="1" applyFont="1" applyFill="1"/>
    <xf numFmtId="0" fontId="52" fillId="0" borderId="0" xfId="43" applyFont="1" applyFill="1" applyBorder="1"/>
    <xf numFmtId="169" fontId="52" fillId="0" borderId="0" xfId="12" applyNumberFormat="1" applyFont="1" applyFill="1"/>
    <xf numFmtId="44" fontId="52" fillId="0" borderId="0" xfId="12" applyFont="1" applyBorder="1"/>
    <xf numFmtId="168" fontId="52" fillId="0" borderId="24" xfId="3" applyNumberFormat="1" applyFont="1" applyFill="1" applyBorder="1" applyAlignment="1">
      <alignment horizontal="fill"/>
    </xf>
    <xf numFmtId="168" fontId="52" fillId="0" borderId="0" xfId="3" applyNumberFormat="1" applyFont="1" applyFill="1" applyBorder="1" applyAlignment="1">
      <alignment horizontal="center"/>
    </xf>
    <xf numFmtId="168" fontId="52" fillId="0" borderId="1" xfId="3" applyNumberFormat="1" applyFont="1" applyFill="1" applyBorder="1" applyAlignment="1">
      <alignment horizontal="center"/>
    </xf>
    <xf numFmtId="168" fontId="52" fillId="0" borderId="0" xfId="3" applyNumberFormat="1" applyFont="1" applyFill="1" applyBorder="1" applyAlignment="1">
      <alignment horizontal="fill"/>
    </xf>
    <xf numFmtId="1" fontId="52" fillId="0" borderId="0" xfId="3" applyNumberFormat="1" applyFont="1" applyBorder="1"/>
    <xf numFmtId="9" fontId="52" fillId="0" borderId="0" xfId="44" applyFont="1"/>
    <xf numFmtId="38" fontId="55" fillId="0" borderId="0" xfId="11" applyNumberFormat="1" applyFont="1" applyFill="1" applyBorder="1" applyAlignment="1">
      <alignment horizontal="left"/>
    </xf>
    <xf numFmtId="8" fontId="52" fillId="0" borderId="0" xfId="43" applyNumberFormat="1" applyFont="1" applyFill="1" applyAlignment="1"/>
    <xf numFmtId="44" fontId="52" fillId="0" borderId="0" xfId="12" applyNumberFormat="1" applyFont="1" applyFill="1" applyAlignment="1">
      <alignment horizontal="center"/>
    </xf>
    <xf numFmtId="43" fontId="52" fillId="0" borderId="0" xfId="12" applyNumberFormat="1" applyFont="1" applyFill="1" applyAlignment="1">
      <alignment horizontal="center"/>
    </xf>
    <xf numFmtId="44" fontId="52" fillId="0" borderId="0" xfId="43" applyNumberFormat="1" applyFont="1"/>
    <xf numFmtId="44" fontId="52" fillId="0" borderId="0" xfId="43" applyNumberFormat="1" applyFont="1" applyBorder="1"/>
    <xf numFmtId="44" fontId="52" fillId="0" borderId="0" xfId="30" applyNumberFormat="1" applyFont="1" applyFill="1"/>
    <xf numFmtId="0" fontId="14" fillId="0" borderId="0" xfId="36" applyNumberFormat="1" applyFont="1" applyFill="1"/>
    <xf numFmtId="0" fontId="70" fillId="0" borderId="0" xfId="27" applyFill="1"/>
    <xf numFmtId="0" fontId="46" fillId="0" borderId="0" xfId="27" applyFont="1" applyFill="1" applyAlignment="1">
      <alignment horizontal="center"/>
    </xf>
    <xf numFmtId="43" fontId="70" fillId="0" borderId="0" xfId="27" applyNumberFormat="1" applyFill="1"/>
    <xf numFmtId="37" fontId="13" fillId="0" borderId="0" xfId="40" applyNumberFormat="1" applyFont="1" applyFill="1" applyAlignment="1">
      <alignment horizontal="left"/>
    </xf>
    <xf numFmtId="0" fontId="14" fillId="0" borderId="0" xfId="17" applyFont="1" applyFill="1"/>
    <xf numFmtId="37" fontId="13" fillId="0" borderId="0" xfId="35" applyNumberFormat="1" applyFont="1" applyFill="1" applyAlignment="1">
      <alignment horizontal="center"/>
    </xf>
    <xf numFmtId="37" fontId="13" fillId="0" borderId="0" xfId="37" applyNumberFormat="1" applyFont="1" applyFill="1" applyAlignment="1">
      <alignment horizontal="right"/>
    </xf>
    <xf numFmtId="37" fontId="16" fillId="0" borderId="0" xfId="37" applyNumberFormat="1" applyFont="1" applyFill="1" applyBorder="1" applyAlignment="1">
      <alignment horizontal="center"/>
    </xf>
    <xf numFmtId="37" fontId="14" fillId="0" borderId="7" xfId="40" applyNumberFormat="1" applyFont="1" applyFill="1" applyBorder="1" applyAlignment="1">
      <alignment horizontal="center"/>
    </xf>
    <xf numFmtId="37" fontId="18" fillId="0" borderId="7" xfId="40" applyNumberFormat="1" applyFont="1" applyFill="1" applyBorder="1" applyAlignment="1">
      <alignment horizontal="right"/>
    </xf>
    <xf numFmtId="167" fontId="18" fillId="0" borderId="8" xfId="45" applyNumberFormat="1" applyFont="1" applyFill="1" applyBorder="1" applyAlignment="1">
      <alignment horizontal="right"/>
    </xf>
    <xf numFmtId="0" fontId="14" fillId="0" borderId="0" xfId="37" applyFont="1" applyFill="1"/>
    <xf numFmtId="10" fontId="14" fillId="0" borderId="0" xfId="45" applyNumberFormat="1" applyFont="1" applyFill="1"/>
    <xf numFmtId="10" fontId="14" fillId="0" borderId="0" xfId="45" applyNumberFormat="1" applyFont="1" applyFill="1" applyBorder="1"/>
    <xf numFmtId="37" fontId="19" fillId="0" borderId="9" xfId="40" applyNumberFormat="1" applyFont="1" applyFill="1" applyBorder="1" applyAlignment="1">
      <alignment horizontal="center"/>
    </xf>
    <xf numFmtId="37" fontId="19" fillId="0" borderId="10" xfId="40" applyNumberFormat="1" applyFont="1" applyFill="1" applyBorder="1" applyAlignment="1">
      <alignment horizontal="right"/>
    </xf>
    <xf numFmtId="10" fontId="19" fillId="0" borderId="11" xfId="45" applyNumberFormat="1" applyFont="1" applyFill="1" applyBorder="1" applyAlignment="1">
      <alignment horizontal="right"/>
    </xf>
    <xf numFmtId="37" fontId="19" fillId="0" borderId="0" xfId="40" applyNumberFormat="1" applyFont="1" applyFill="1" applyBorder="1" applyAlignment="1">
      <alignment horizontal="center"/>
    </xf>
    <xf numFmtId="37" fontId="19" fillId="0" borderId="0" xfId="40" applyNumberFormat="1" applyFont="1" applyFill="1" applyBorder="1" applyAlignment="1">
      <alignment horizontal="right"/>
    </xf>
    <xf numFmtId="10" fontId="19" fillId="0" borderId="0" xfId="45" applyNumberFormat="1" applyFont="1" applyFill="1" applyBorder="1" applyAlignment="1">
      <alignment horizontal="right"/>
    </xf>
    <xf numFmtId="14" fontId="14" fillId="0" borderId="0" xfId="40" quotePrefix="1" applyNumberFormat="1" applyFont="1" applyFill="1" applyBorder="1" applyAlignment="1">
      <alignment horizontal="center"/>
    </xf>
    <xf numFmtId="37" fontId="14" fillId="0" borderId="0" xfId="40" applyNumberFormat="1" applyFont="1" applyFill="1" applyBorder="1" applyAlignment="1">
      <alignment horizontal="center"/>
    </xf>
    <xf numFmtId="37" fontId="14" fillId="0" borderId="0" xfId="37" applyNumberFormat="1" applyFont="1" applyFill="1" applyAlignment="1">
      <alignment horizontal="center"/>
    </xf>
    <xf numFmtId="0" fontId="14" fillId="0" borderId="0" xfId="37" applyFont="1" applyFill="1" applyBorder="1"/>
    <xf numFmtId="174" fontId="14" fillId="0" borderId="0" xfId="40" quotePrefix="1" applyNumberFormat="1" applyFont="1" applyFill="1" applyBorder="1" applyAlignment="1">
      <alignment horizontal="center"/>
    </xf>
    <xf numFmtId="167" fontId="19" fillId="0" borderId="0" xfId="45" applyNumberFormat="1" applyFont="1" applyFill="1" applyBorder="1" applyAlignment="1">
      <alignment horizontal="right"/>
    </xf>
    <xf numFmtId="37" fontId="14" fillId="0" borderId="0" xfId="37" quotePrefix="1" applyNumberFormat="1" applyFont="1" applyFill="1" applyBorder="1" applyAlignment="1">
      <alignment horizontal="center"/>
    </xf>
    <xf numFmtId="39" fontId="14" fillId="0" borderId="1" xfId="37" quotePrefix="1" applyNumberFormat="1" applyFont="1" applyFill="1" applyBorder="1" applyAlignment="1">
      <alignment horizontal="center"/>
    </xf>
    <xf numFmtId="37" fontId="17" fillId="0" borderId="0" xfId="37" applyNumberFormat="1" applyFont="1" applyFill="1" applyBorder="1" applyAlignment="1">
      <alignment horizontal="center"/>
    </xf>
    <xf numFmtId="37" fontId="15" fillId="0" borderId="0" xfId="40" applyNumberFormat="1" applyFont="1" applyFill="1"/>
    <xf numFmtId="39" fontId="14" fillId="0" borderId="0" xfId="37" applyNumberFormat="1" applyFont="1" applyFill="1"/>
    <xf numFmtId="37" fontId="14" fillId="0" borderId="0" xfId="37" applyNumberFormat="1" applyFont="1" applyFill="1"/>
    <xf numFmtId="37" fontId="14" fillId="0" borderId="0" xfId="17" applyNumberFormat="1" applyFont="1" applyFill="1"/>
    <xf numFmtId="37" fontId="14" fillId="0" borderId="0" xfId="17" applyNumberFormat="1" applyFont="1" applyFill="1" applyAlignment="1"/>
    <xf numFmtId="168" fontId="14" fillId="0" borderId="0" xfId="5" applyNumberFormat="1" applyFont="1" applyFill="1" applyBorder="1"/>
    <xf numFmtId="168" fontId="14" fillId="0" borderId="0" xfId="5" applyNumberFormat="1" applyFont="1" applyFill="1"/>
    <xf numFmtId="10" fontId="13" fillId="0" borderId="0" xfId="45" applyNumberFormat="1" applyFont="1" applyFill="1" applyBorder="1"/>
    <xf numFmtId="39" fontId="14" fillId="0" borderId="0" xfId="40" applyNumberFormat="1" applyFont="1" applyFill="1" applyBorder="1" applyAlignment="1">
      <alignment horizontal="right"/>
    </xf>
    <xf numFmtId="168" fontId="14" fillId="0" borderId="2" xfId="5" applyNumberFormat="1" applyFont="1" applyFill="1" applyBorder="1"/>
    <xf numFmtId="168" fontId="14" fillId="0" borderId="0" xfId="5" applyNumberFormat="1" applyFont="1" applyFill="1" applyAlignment="1">
      <alignment horizontal="right"/>
    </xf>
    <xf numFmtId="37" fontId="14" fillId="0" borderId="0" xfId="17" applyNumberFormat="1" applyFont="1" applyFill="1" applyBorder="1"/>
    <xf numFmtId="39" fontId="14" fillId="0" borderId="0" xfId="40" applyNumberFormat="1" applyFont="1" applyFill="1" applyAlignment="1">
      <alignment horizontal="right"/>
    </xf>
    <xf numFmtId="168" fontId="14" fillId="0" borderId="1" xfId="5" applyNumberFormat="1" applyFont="1" applyFill="1" applyBorder="1"/>
    <xf numFmtId="168" fontId="14" fillId="0" borderId="1" xfId="5" applyNumberFormat="1" applyFont="1" applyFill="1" applyBorder="1" applyAlignment="1">
      <alignment horizontal="right"/>
    </xf>
    <xf numFmtId="168" fontId="14" fillId="0" borderId="6" xfId="5" applyNumberFormat="1" applyFont="1" applyFill="1" applyBorder="1"/>
    <xf numFmtId="168" fontId="14" fillId="0" borderId="5" xfId="5" applyNumberFormat="1" applyFont="1" applyFill="1" applyBorder="1"/>
    <xf numFmtId="168" fontId="20" fillId="0" borderId="0" xfId="5" applyNumberFormat="1" applyFont="1" applyFill="1"/>
    <xf numFmtId="37" fontId="21" fillId="0" borderId="0" xfId="40" applyNumberFormat="1" applyFont="1" applyFill="1"/>
    <xf numFmtId="41" fontId="22" fillId="0" borderId="0" xfId="17" applyNumberFormat="1" applyFont="1" applyFill="1"/>
    <xf numFmtId="0" fontId="14" fillId="0" borderId="0" xfId="17" quotePrefix="1" applyNumberFormat="1" applyFont="1" applyFill="1" applyAlignment="1">
      <alignment horizontal="right"/>
    </xf>
    <xf numFmtId="9" fontId="22" fillId="0" borderId="0" xfId="44" applyFont="1" applyFill="1" applyBorder="1"/>
    <xf numFmtId="168" fontId="22" fillId="0" borderId="0" xfId="5" applyNumberFormat="1" applyFont="1" applyFill="1"/>
    <xf numFmtId="168" fontId="22" fillId="0" borderId="0" xfId="5" applyNumberFormat="1" applyFont="1" applyFill="1" applyBorder="1"/>
    <xf numFmtId="37" fontId="14" fillId="0" borderId="0" xfId="40" applyNumberFormat="1" applyFont="1" applyFill="1" applyBorder="1" applyAlignment="1">
      <alignment horizontal="right"/>
    </xf>
    <xf numFmtId="10" fontId="13" fillId="0" borderId="0" xfId="40" applyNumberFormat="1" applyFont="1" applyFill="1" applyBorder="1"/>
    <xf numFmtId="0" fontId="14" fillId="0" borderId="0" xfId="0" applyNumberFormat="1" applyFont="1" applyFill="1"/>
    <xf numFmtId="168" fontId="14" fillId="0" borderId="12" xfId="5" applyNumberFormat="1" applyFont="1" applyFill="1" applyBorder="1"/>
    <xf numFmtId="37" fontId="22" fillId="0" borderId="0" xfId="40" applyNumberFormat="1" applyFont="1" applyFill="1"/>
    <xf numFmtId="9" fontId="22" fillId="0" borderId="0" xfId="44" applyFont="1" applyFill="1"/>
    <xf numFmtId="0" fontId="22" fillId="0" borderId="0" xfId="37" applyFont="1" applyFill="1"/>
    <xf numFmtId="41" fontId="14" fillId="0" borderId="0" xfId="17" quotePrefix="1" applyNumberFormat="1" applyFont="1" applyFill="1" applyAlignment="1">
      <alignment horizontal="right"/>
    </xf>
    <xf numFmtId="10" fontId="14" fillId="0" borderId="4" xfId="40" applyNumberFormat="1" applyFont="1" applyFill="1" applyBorder="1"/>
    <xf numFmtId="10" fontId="14" fillId="0" borderId="0" xfId="40" applyNumberFormat="1" applyFont="1" applyFill="1"/>
    <xf numFmtId="168" fontId="13" fillId="0" borderId="5" xfId="5" applyNumberFormat="1" applyFont="1" applyFill="1" applyBorder="1"/>
    <xf numFmtId="168" fontId="13" fillId="0" borderId="0" xfId="5" applyNumberFormat="1" applyFont="1" applyFill="1"/>
    <xf numFmtId="168" fontId="13" fillId="0" borderId="0" xfId="5" applyNumberFormat="1" applyFont="1" applyFill="1" applyBorder="1"/>
    <xf numFmtId="0" fontId="13" fillId="0" borderId="0" xfId="37" applyFont="1" applyFill="1"/>
    <xf numFmtId="0" fontId="14" fillId="0" borderId="0" xfId="17" applyFont="1" applyFill="1" applyAlignment="1">
      <alignment horizontal="center"/>
    </xf>
    <xf numFmtId="9" fontId="14" fillId="0" borderId="0" xfId="44" applyFont="1" applyFill="1" applyBorder="1"/>
    <xf numFmtId="9" fontId="14" fillId="0" borderId="0" xfId="45" applyFont="1" applyFill="1" applyBorder="1"/>
    <xf numFmtId="39" fontId="14" fillId="0" borderId="31" xfId="37" applyNumberFormat="1" applyFont="1" applyFill="1" applyBorder="1"/>
    <xf numFmtId="37" fontId="13" fillId="0" borderId="6" xfId="40" applyNumberFormat="1" applyFont="1" applyFill="1" applyBorder="1"/>
    <xf numFmtId="10" fontId="14" fillId="0" borderId="32" xfId="40" applyNumberFormat="1" applyFont="1" applyFill="1" applyBorder="1"/>
    <xf numFmtId="39" fontId="14" fillId="0" borderId="16" xfId="37" applyNumberFormat="1" applyFont="1" applyFill="1" applyBorder="1"/>
    <xf numFmtId="43" fontId="14" fillId="0" borderId="0" xfId="5" applyFont="1" applyFill="1" applyBorder="1"/>
    <xf numFmtId="10" fontId="14" fillId="0" borderId="33" xfId="40" applyNumberFormat="1" applyFont="1" applyFill="1" applyBorder="1"/>
    <xf numFmtId="39" fontId="14" fillId="0" borderId="30" xfId="37" applyNumberFormat="1" applyFont="1" applyFill="1" applyBorder="1"/>
    <xf numFmtId="37" fontId="14" fillId="0" borderId="1" xfId="40" applyNumberFormat="1" applyFont="1" applyFill="1" applyBorder="1"/>
    <xf numFmtId="37" fontId="14" fillId="0" borderId="27" xfId="40" applyNumberFormat="1" applyFont="1" applyFill="1" applyBorder="1"/>
    <xf numFmtId="0" fontId="27" fillId="0" borderId="0" xfId="0" applyFont="1" applyFill="1"/>
    <xf numFmtId="0" fontId="27" fillId="0" borderId="1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wrapText="1"/>
    </xf>
    <xf numFmtId="168" fontId="27" fillId="0" borderId="0" xfId="3" applyNumberFormat="1" applyFont="1" applyFill="1"/>
    <xf numFmtId="169" fontId="27" fillId="0" borderId="6" xfId="12" applyNumberFormat="1" applyFont="1" applyFill="1" applyBorder="1"/>
    <xf numFmtId="10" fontId="27" fillId="0" borderId="0" xfId="0" applyNumberFormat="1" applyFont="1" applyFill="1" applyAlignment="1">
      <alignment horizontal="right"/>
    </xf>
    <xf numFmtId="37" fontId="56" fillId="0" borderId="0" xfId="0" applyNumberFormat="1" applyFont="1"/>
    <xf numFmtId="0" fontId="56" fillId="0" borderId="0" xfId="0" applyFont="1"/>
    <xf numFmtId="0" fontId="56" fillId="0" borderId="0" xfId="0" applyFont="1" applyAlignment="1">
      <alignment horizontal="center"/>
    </xf>
    <xf numFmtId="43" fontId="56" fillId="0" borderId="0" xfId="0" applyNumberFormat="1" applyFont="1"/>
    <xf numFmtId="43" fontId="56" fillId="0" borderId="1" xfId="0" applyNumberFormat="1" applyFont="1" applyBorder="1"/>
    <xf numFmtId="0" fontId="56" fillId="0" borderId="34" xfId="0" applyFont="1" applyBorder="1"/>
    <xf numFmtId="43" fontId="56" fillId="0" borderId="7" xfId="0" applyNumberFormat="1" applyFont="1" applyBorder="1"/>
    <xf numFmtId="43" fontId="56" fillId="0" borderId="8" xfId="0" applyNumberFormat="1" applyFont="1" applyBorder="1"/>
    <xf numFmtId="0" fontId="56" fillId="0" borderId="15" xfId="0" applyFont="1" applyBorder="1"/>
    <xf numFmtId="43" fontId="56" fillId="0" borderId="0" xfId="0" applyNumberFormat="1" applyFont="1" applyBorder="1"/>
    <xf numFmtId="43" fontId="56" fillId="0" borderId="22" xfId="0" applyNumberFormat="1" applyFont="1" applyBorder="1"/>
    <xf numFmtId="0" fontId="56" fillId="0" borderId="0" xfId="0" applyFont="1" applyBorder="1"/>
    <xf numFmtId="0" fontId="56" fillId="0" borderId="22" xfId="0" applyFont="1" applyBorder="1"/>
    <xf numFmtId="43" fontId="56" fillId="0" borderId="35" xfId="0" applyNumberFormat="1" applyFont="1" applyBorder="1"/>
    <xf numFmtId="0" fontId="56" fillId="0" borderId="23" xfId="0" applyFont="1" applyBorder="1"/>
    <xf numFmtId="0" fontId="56" fillId="0" borderId="24" xfId="0" applyFont="1" applyBorder="1"/>
    <xf numFmtId="43" fontId="56" fillId="0" borderId="25" xfId="0" applyNumberFormat="1" applyFont="1" applyBorder="1"/>
    <xf numFmtId="0" fontId="0" fillId="0" borderId="23" xfId="0" applyBorder="1"/>
    <xf numFmtId="0" fontId="56" fillId="0" borderId="9" xfId="0" applyFont="1" applyBorder="1"/>
    <xf numFmtId="0" fontId="56" fillId="0" borderId="7" xfId="0" applyFont="1" applyBorder="1" applyAlignment="1">
      <alignment horizontal="center"/>
    </xf>
    <xf numFmtId="0" fontId="56" fillId="0" borderId="7" xfId="0" applyFont="1" applyBorder="1"/>
    <xf numFmtId="0" fontId="56" fillId="0" borderId="8" xfId="0" applyFont="1" applyBorder="1"/>
    <xf numFmtId="0" fontId="56" fillId="0" borderId="0" xfId="0" applyFont="1" applyBorder="1" applyAlignment="1">
      <alignment horizontal="center"/>
    </xf>
    <xf numFmtId="168" fontId="56" fillId="0" borderId="24" xfId="0" applyNumberFormat="1" applyFont="1" applyBorder="1"/>
    <xf numFmtId="10" fontId="56" fillId="0" borderId="24" xfId="0" applyNumberFormat="1" applyFont="1" applyBorder="1" applyAlignment="1">
      <alignment horizontal="center"/>
    </xf>
    <xf numFmtId="169" fontId="56" fillId="0" borderId="24" xfId="12" applyNumberFormat="1" applyFont="1" applyBorder="1" applyAlignment="1">
      <alignment horizontal="center"/>
    </xf>
    <xf numFmtId="0" fontId="56" fillId="0" borderId="25" xfId="0" applyFont="1" applyBorder="1"/>
    <xf numFmtId="38" fontId="13" fillId="0" borderId="0" xfId="0" applyNumberFormat="1" applyFont="1" applyFill="1"/>
    <xf numFmtId="14" fontId="14" fillId="0" borderId="0" xfId="0" applyNumberFormat="1" applyFont="1" applyFill="1"/>
    <xf numFmtId="166" fontId="13" fillId="0" borderId="0" xfId="0" applyNumberFormat="1" applyFont="1" applyFill="1" applyAlignment="1">
      <alignment horizontal="right"/>
    </xf>
    <xf numFmtId="18" fontId="14" fillId="0" borderId="0" xfId="0" applyNumberFormat="1" applyFont="1" applyFill="1"/>
    <xf numFmtId="38" fontId="13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left"/>
    </xf>
    <xf numFmtId="38" fontId="14" fillId="0" borderId="0" xfId="0" applyNumberFormat="1" applyFont="1" applyFill="1" applyAlignment="1">
      <alignment horizontal="right"/>
    </xf>
    <xf numFmtId="37" fontId="14" fillId="0" borderId="0" xfId="0" applyNumberFormat="1" applyFont="1" applyFill="1" applyAlignment="1">
      <alignment horizontal="left"/>
    </xf>
    <xf numFmtId="43" fontId="14" fillId="0" borderId="0" xfId="3" applyFont="1" applyFill="1"/>
    <xf numFmtId="10" fontId="14" fillId="0" borderId="1" xfId="0" applyNumberFormat="1" applyFont="1" applyFill="1" applyBorder="1"/>
    <xf numFmtId="10" fontId="14" fillId="0" borderId="0" xfId="0" applyNumberFormat="1" applyFont="1" applyFill="1" applyAlignment="1">
      <alignment horizontal="fill"/>
    </xf>
    <xf numFmtId="37" fontId="13" fillId="0" borderId="0" xfId="0" applyNumberFormat="1" applyFont="1" applyFill="1"/>
    <xf numFmtId="44" fontId="14" fillId="0" borderId="0" xfId="0" applyNumberFormat="1" applyFont="1" applyFill="1"/>
    <xf numFmtId="42" fontId="13" fillId="0" borderId="0" xfId="0" applyNumberFormat="1" applyFont="1" applyFill="1" applyAlignment="1">
      <alignment horizontal="right"/>
    </xf>
    <xf numFmtId="41" fontId="14" fillId="0" borderId="0" xfId="0" applyNumberFormat="1" applyFont="1" applyFill="1"/>
    <xf numFmtId="37" fontId="14" fillId="0" borderId="0" xfId="31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42" fontId="14" fillId="0" borderId="0" xfId="0" applyNumberFormat="1" applyFont="1" applyFill="1" applyBorder="1" applyAlignment="1">
      <alignment horizontal="center"/>
    </xf>
    <xf numFmtId="39" fontId="13" fillId="0" borderId="0" xfId="31" applyNumberFormat="1" applyFont="1" applyFill="1"/>
    <xf numFmtId="44" fontId="13" fillId="0" borderId="0" xfId="12" quotePrefix="1" applyFont="1" applyFill="1" applyAlignment="1"/>
    <xf numFmtId="168" fontId="14" fillId="0" borderId="4" xfId="3" applyNumberFormat="1" applyFont="1" applyFill="1" applyBorder="1"/>
    <xf numFmtId="168" fontId="14" fillId="0" borderId="3" xfId="0" applyNumberFormat="1" applyFont="1" applyFill="1" applyBorder="1"/>
    <xf numFmtId="169" fontId="14" fillId="0" borderId="3" xfId="0" applyNumberFormat="1" applyFont="1" applyFill="1" applyBorder="1"/>
    <xf numFmtId="168" fontId="14" fillId="0" borderId="3" xfId="3" quotePrefix="1" applyNumberFormat="1" applyFont="1" applyFill="1" applyBorder="1" applyAlignment="1"/>
    <xf numFmtId="1" fontId="14" fillId="0" borderId="0" xfId="0" applyNumberFormat="1" applyFont="1" applyFill="1" applyBorder="1"/>
    <xf numFmtId="3" fontId="14" fillId="0" borderId="2" xfId="0" applyNumberFormat="1" applyFont="1" applyFill="1" applyBorder="1"/>
    <xf numFmtId="178" fontId="14" fillId="0" borderId="0" xfId="31" applyNumberFormat="1" applyFont="1" applyFill="1" applyAlignment="1"/>
    <xf numFmtId="169" fontId="14" fillId="0" borderId="0" xfId="12" quotePrefix="1" applyNumberFormat="1" applyFont="1" applyFill="1" applyBorder="1" applyAlignment="1"/>
    <xf numFmtId="39" fontId="13" fillId="0" borderId="0" xfId="31" applyNumberFormat="1" applyFont="1" applyFill="1" applyBorder="1"/>
    <xf numFmtId="44" fontId="13" fillId="0" borderId="0" xfId="12" quotePrefix="1" applyFont="1" applyFill="1" applyBorder="1" applyAlignment="1"/>
    <xf numFmtId="37" fontId="14" fillId="0" borderId="3" xfId="31" applyNumberFormat="1" applyFont="1" applyFill="1" applyBorder="1" applyAlignment="1"/>
    <xf numFmtId="168" fontId="14" fillId="0" borderId="3" xfId="3" applyNumberFormat="1" applyFont="1" applyFill="1" applyBorder="1"/>
    <xf numFmtId="44" fontId="14" fillId="0" borderId="0" xfId="12" applyFont="1" applyFill="1"/>
    <xf numFmtId="0" fontId="14" fillId="0" borderId="0" xfId="0" applyFont="1" applyFill="1" applyAlignment="1">
      <alignment horizontal="left" indent="1"/>
    </xf>
    <xf numFmtId="3" fontId="14" fillId="0" borderId="3" xfId="12" applyNumberFormat="1" applyFont="1" applyFill="1" applyBorder="1"/>
    <xf numFmtId="42" fontId="14" fillId="0" borderId="3" xfId="12" applyNumberFormat="1" applyFont="1" applyFill="1" applyBorder="1"/>
    <xf numFmtId="44" fontId="14" fillId="0" borderId="0" xfId="0" applyNumberFormat="1" applyFont="1" applyFill="1" applyBorder="1"/>
    <xf numFmtId="43" fontId="14" fillId="0" borderId="0" xfId="0" applyNumberFormat="1" applyFont="1" applyFill="1"/>
    <xf numFmtId="0" fontId="13" fillId="0" borderId="0" xfId="0" applyFont="1" applyFill="1" applyBorder="1" applyAlignment="1"/>
    <xf numFmtId="180" fontId="14" fillId="0" borderId="0" xfId="0" applyNumberFormat="1" applyFont="1" applyFill="1" applyAlignment="1">
      <alignment horizontal="left"/>
    </xf>
    <xf numFmtId="179" fontId="14" fillId="0" borderId="2" xfId="0" applyNumberFormat="1" applyFont="1" applyFill="1" applyBorder="1"/>
    <xf numFmtId="0" fontId="13" fillId="0" borderId="0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/>
    </xf>
    <xf numFmtId="44" fontId="14" fillId="0" borderId="0" xfId="0" applyNumberFormat="1" applyFont="1" applyFill="1" applyBorder="1" applyAlignment="1">
      <alignment horizontal="center"/>
    </xf>
    <xf numFmtId="41" fontId="14" fillId="0" borderId="0" xfId="0" applyNumberFormat="1" applyFont="1" applyFill="1" applyBorder="1" applyAlignment="1">
      <alignment horizontal="center"/>
    </xf>
    <xf numFmtId="43" fontId="14" fillId="0" borderId="0" xfId="3" applyFont="1" applyFill="1" applyBorder="1" applyAlignment="1">
      <alignment horizontal="center"/>
    </xf>
    <xf numFmtId="168" fontId="14" fillId="0" borderId="0" xfId="3" applyNumberFormat="1" applyFont="1" applyFill="1" applyBorder="1" applyAlignment="1">
      <alignment horizontal="center"/>
    </xf>
    <xf numFmtId="41" fontId="14" fillId="0" borderId="0" xfId="0" applyNumberFormat="1" applyFont="1" applyFill="1" applyBorder="1"/>
    <xf numFmtId="44" fontId="14" fillId="0" borderId="0" xfId="12" applyFont="1" applyFill="1" applyBorder="1"/>
    <xf numFmtId="0" fontId="14" fillId="0" borderId="0" xfId="0" applyFont="1" applyFill="1" applyBorder="1" applyAlignment="1">
      <alignment horizontal="right"/>
    </xf>
    <xf numFmtId="168" fontId="14" fillId="0" borderId="0" xfId="0" applyNumberFormat="1" applyFont="1" applyFill="1" applyBorder="1"/>
    <xf numFmtId="44" fontId="14" fillId="0" borderId="0" xfId="12" applyFont="1" applyFill="1" applyBorder="1" applyAlignment="1">
      <alignment horizontal="center"/>
    </xf>
    <xf numFmtId="44" fontId="14" fillId="0" borderId="0" xfId="12" applyNumberFormat="1" applyFont="1" applyFill="1" applyBorder="1"/>
    <xf numFmtId="43" fontId="14" fillId="0" borderId="0" xfId="3" applyNumberFormat="1" applyFont="1" applyFill="1" applyBorder="1"/>
    <xf numFmtId="179" fontId="14" fillId="0" borderId="24" xfId="0" applyNumberFormat="1" applyFont="1" applyFill="1" applyBorder="1"/>
    <xf numFmtId="169" fontId="14" fillId="0" borderId="3" xfId="12" quotePrefix="1" applyNumberFormat="1" applyFont="1" applyFill="1" applyBorder="1" applyAlignment="1"/>
    <xf numFmtId="179" fontId="14" fillId="0" borderId="0" xfId="0" applyNumberFormat="1" applyFont="1" applyFill="1" applyBorder="1"/>
    <xf numFmtId="44" fontId="14" fillId="0" borderId="0" xfId="12" applyNumberFormat="1" applyFont="1" applyFill="1"/>
    <xf numFmtId="169" fontId="14" fillId="0" borderId="0" xfId="0" applyNumberFormat="1" applyFont="1" applyFill="1" applyBorder="1"/>
    <xf numFmtId="3" fontId="14" fillId="0" borderId="0" xfId="0" applyNumberFormat="1" applyFont="1" applyFill="1"/>
    <xf numFmtId="168" fontId="14" fillId="0" borderId="0" xfId="0" applyNumberFormat="1" applyFont="1" applyFill="1"/>
    <xf numFmtId="38" fontId="13" fillId="0" borderId="1" xfId="0" applyNumberFormat="1" applyFont="1" applyFill="1" applyBorder="1" applyAlignment="1">
      <alignment horizontal="center"/>
    </xf>
    <xf numFmtId="38" fontId="13" fillId="0" borderId="1" xfId="0" applyNumberFormat="1" applyFont="1" applyFill="1" applyBorder="1"/>
    <xf numFmtId="169" fontId="14" fillId="0" borderId="5" xfId="12" applyNumberFormat="1" applyFont="1" applyFill="1" applyBorder="1"/>
    <xf numFmtId="38" fontId="14" fillId="0" borderId="0" xfId="0" quotePrefix="1" applyNumberFormat="1" applyFont="1" applyFill="1"/>
    <xf numFmtId="0" fontId="13" fillId="0" borderId="0" xfId="32" applyFont="1" applyFill="1"/>
    <xf numFmtId="0" fontId="14" fillId="0" borderId="0" xfId="32" applyFont="1" applyFill="1"/>
    <xf numFmtId="0" fontId="14" fillId="0" borderId="0" xfId="32" applyFont="1" applyFill="1" applyAlignment="1">
      <alignment horizontal="center"/>
    </xf>
    <xf numFmtId="0" fontId="14" fillId="0" borderId="0" xfId="32" applyFont="1" applyFill="1" applyBorder="1"/>
    <xf numFmtId="0" fontId="13" fillId="0" borderId="0" xfId="32" applyFont="1" applyFill="1" applyAlignment="1">
      <alignment horizontal="right"/>
    </xf>
    <xf numFmtId="43" fontId="13" fillId="0" borderId="0" xfId="3" applyFont="1" applyFill="1" applyBorder="1" applyAlignment="1">
      <alignment horizontal="center"/>
    </xf>
    <xf numFmtId="167" fontId="14" fillId="0" borderId="0" xfId="44" applyNumberFormat="1" applyFont="1" applyFill="1" applyAlignment="1">
      <alignment horizontal="center"/>
    </xf>
    <xf numFmtId="9" fontId="13" fillId="0" borderId="0" xfId="32" applyNumberFormat="1" applyFont="1" applyFill="1" applyAlignment="1">
      <alignment horizontal="center"/>
    </xf>
    <xf numFmtId="9" fontId="13" fillId="0" borderId="0" xfId="32" applyNumberFormat="1" applyFont="1" applyFill="1" applyBorder="1" applyAlignment="1">
      <alignment horizontal="center"/>
    </xf>
    <xf numFmtId="0" fontId="13" fillId="0" borderId="0" xfId="32" applyFont="1" applyFill="1" applyAlignment="1">
      <alignment horizontal="center" wrapText="1"/>
    </xf>
    <xf numFmtId="0" fontId="13" fillId="0" borderId="1" xfId="32" applyFont="1" applyFill="1" applyBorder="1" applyAlignment="1">
      <alignment horizontal="center" wrapText="1"/>
    </xf>
    <xf numFmtId="43" fontId="13" fillId="0" borderId="1" xfId="3" applyFont="1" applyFill="1" applyBorder="1" applyAlignment="1">
      <alignment horizontal="center" wrapText="1"/>
    </xf>
    <xf numFmtId="43" fontId="13" fillId="0" borderId="0" xfId="3" applyFont="1" applyFill="1" applyBorder="1" applyAlignment="1">
      <alignment horizontal="center" wrapText="1"/>
    </xf>
    <xf numFmtId="0" fontId="13" fillId="0" borderId="0" xfId="32" applyFont="1" applyFill="1" applyBorder="1" applyAlignment="1">
      <alignment horizontal="center" wrapText="1"/>
    </xf>
    <xf numFmtId="0" fontId="17" fillId="0" borderId="0" xfId="32" applyFont="1" applyFill="1" applyAlignment="1">
      <alignment horizontal="left"/>
    </xf>
    <xf numFmtId="0" fontId="13" fillId="0" borderId="0" xfId="32" applyFont="1" applyFill="1" applyAlignment="1">
      <alignment horizontal="center"/>
    </xf>
    <xf numFmtId="43" fontId="13" fillId="0" borderId="0" xfId="3" applyFont="1" applyFill="1" applyAlignment="1">
      <alignment horizontal="center"/>
    </xf>
    <xf numFmtId="0" fontId="13" fillId="0" borderId="0" xfId="32" applyFont="1" applyFill="1" applyBorder="1" applyAlignment="1">
      <alignment horizontal="center"/>
    </xf>
    <xf numFmtId="0" fontId="16" fillId="0" borderId="0" xfId="32" applyFont="1" applyFill="1"/>
    <xf numFmtId="0" fontId="16" fillId="0" borderId="0" xfId="32" applyFont="1" applyFill="1" applyAlignment="1">
      <alignment horizontal="center"/>
    </xf>
    <xf numFmtId="14" fontId="14" fillId="0" borderId="0" xfId="32" applyNumberFormat="1" applyFont="1" applyFill="1" applyAlignment="1">
      <alignment horizontal="center"/>
    </xf>
    <xf numFmtId="14" fontId="14" fillId="0" borderId="0" xfId="32" applyNumberFormat="1" applyFont="1" applyFill="1"/>
    <xf numFmtId="39" fontId="14" fillId="0" borderId="0" xfId="3" applyNumberFormat="1" applyFont="1" applyFill="1" applyAlignment="1">
      <alignment horizontal="center"/>
    </xf>
    <xf numFmtId="43" fontId="14" fillId="0" borderId="0" xfId="32" applyNumberFormat="1" applyFont="1" applyFill="1"/>
    <xf numFmtId="43" fontId="14" fillId="0" borderId="0" xfId="32" applyNumberFormat="1" applyFont="1" applyFill="1" applyBorder="1"/>
    <xf numFmtId="43" fontId="14" fillId="0" borderId="0" xfId="32" applyNumberFormat="1" applyFont="1" applyFill="1" applyAlignment="1">
      <alignment horizontal="center"/>
    </xf>
    <xf numFmtId="181" fontId="13" fillId="0" borderId="0" xfId="32" applyNumberFormat="1" applyFont="1" applyFill="1" applyAlignment="1">
      <alignment horizontal="center"/>
    </xf>
    <xf numFmtId="14" fontId="14" fillId="0" borderId="0" xfId="3" applyNumberFormat="1" applyFont="1" applyFill="1" applyAlignment="1">
      <alignment horizontal="center"/>
    </xf>
    <xf numFmtId="14" fontId="14" fillId="0" borderId="0" xfId="32" applyNumberFormat="1" applyFont="1" applyFill="1" applyBorder="1"/>
    <xf numFmtId="14" fontId="14" fillId="0" borderId="0" xfId="32" quotePrefix="1" applyNumberFormat="1" applyFont="1" applyFill="1" applyAlignment="1">
      <alignment horizontal="center"/>
    </xf>
    <xf numFmtId="14" fontId="14" fillId="0" borderId="0" xfId="32" quotePrefix="1" applyNumberFormat="1" applyFont="1" applyFill="1"/>
    <xf numFmtId="39" fontId="14" fillId="0" borderId="0" xfId="3" applyNumberFormat="1" applyFont="1" applyFill="1" applyBorder="1" applyAlignment="1">
      <alignment horizontal="center"/>
    </xf>
    <xf numFmtId="167" fontId="14" fillId="0" borderId="0" xfId="44" applyNumberFormat="1" applyFont="1" applyFill="1" applyBorder="1" applyAlignment="1">
      <alignment horizontal="center"/>
    </xf>
    <xf numFmtId="43" fontId="14" fillId="0" borderId="0" xfId="32" applyNumberFormat="1" applyFont="1" applyFill="1" applyBorder="1" applyAlignment="1">
      <alignment horizontal="center"/>
    </xf>
    <xf numFmtId="0" fontId="17" fillId="0" borderId="0" xfId="32" applyFont="1" applyFill="1"/>
    <xf numFmtId="0" fontId="14" fillId="0" borderId="0" xfId="32" applyFont="1" applyFill="1" applyBorder="1" applyAlignment="1">
      <alignment horizontal="center" wrapText="1"/>
    </xf>
    <xf numFmtId="14" fontId="14" fillId="0" borderId="0" xfId="32" applyNumberFormat="1" applyFont="1" applyFill="1" applyBorder="1" applyAlignment="1">
      <alignment horizontal="center"/>
    </xf>
    <xf numFmtId="0" fontId="14" fillId="0" borderId="0" xfId="32" applyNumberFormat="1" applyFont="1" applyFill="1" applyAlignment="1">
      <alignment horizontal="center"/>
    </xf>
    <xf numFmtId="43" fontId="14" fillId="0" borderId="0" xfId="3" applyFont="1" applyFill="1" applyAlignment="1">
      <alignment horizontal="center"/>
    </xf>
    <xf numFmtId="43" fontId="14" fillId="0" borderId="1" xfId="3" applyFont="1" applyFill="1" applyBorder="1"/>
    <xf numFmtId="43" fontId="14" fillId="0" borderId="1" xfId="32" applyNumberFormat="1" applyFont="1" applyFill="1" applyBorder="1"/>
    <xf numFmtId="43" fontId="14" fillId="0" borderId="3" xfId="3" applyFont="1" applyFill="1" applyBorder="1"/>
    <xf numFmtId="0" fontId="17" fillId="0" borderId="0" xfId="32" applyFont="1" applyFill="1" applyBorder="1"/>
    <xf numFmtId="43" fontId="14" fillId="0" borderId="6" xfId="32" applyNumberFormat="1" applyFont="1" applyFill="1" applyBorder="1"/>
    <xf numFmtId="168" fontId="14" fillId="0" borderId="5" xfId="3" applyNumberFormat="1" applyFont="1" applyBorder="1"/>
    <xf numFmtId="10" fontId="14" fillId="0" borderId="0" xfId="44" applyNumberFormat="1" applyFont="1" applyFill="1" applyBorder="1" applyAlignment="1">
      <alignment horizontal="center"/>
    </xf>
    <xf numFmtId="0" fontId="17" fillId="0" borderId="0" xfId="0" applyFont="1" applyFill="1" applyBorder="1"/>
    <xf numFmtId="43" fontId="14" fillId="0" borderId="0" xfId="0" applyNumberFormat="1" applyFont="1" applyFill="1" applyBorder="1"/>
    <xf numFmtId="168" fontId="14" fillId="0" borderId="2" xfId="3" applyNumberFormat="1" applyFont="1" applyFill="1" applyBorder="1" applyAlignment="1">
      <alignment horizontal="right"/>
    </xf>
    <xf numFmtId="0" fontId="13" fillId="0" borderId="2" xfId="3" applyNumberFormat="1" applyFont="1" applyBorder="1" applyAlignment="1">
      <alignment horizontal="center" wrapText="1"/>
    </xf>
    <xf numFmtId="0" fontId="43" fillId="0" borderId="0" xfId="0" applyFont="1"/>
    <xf numFmtId="0" fontId="52" fillId="0" borderId="0" xfId="0" applyNumberFormat="1" applyFont="1" applyFill="1"/>
    <xf numFmtId="187" fontId="52" fillId="0" borderId="0" xfId="0" applyNumberFormat="1" applyFont="1" applyFill="1"/>
    <xf numFmtId="0" fontId="52" fillId="0" borderId="0" xfId="0" applyNumberFormat="1" applyFont="1"/>
    <xf numFmtId="187" fontId="52" fillId="0" borderId="0" xfId="0" applyNumberFormat="1" applyFont="1"/>
    <xf numFmtId="187" fontId="52" fillId="7" borderId="0" xfId="0" applyNumberFormat="1" applyFont="1" applyFill="1"/>
    <xf numFmtId="0" fontId="52" fillId="7" borderId="0" xfId="0" applyNumberFormat="1" applyFont="1" applyFill="1"/>
    <xf numFmtId="49" fontId="57" fillId="0" borderId="0" xfId="3" applyNumberFormat="1" applyFont="1" applyAlignment="1">
      <alignment horizontal="left"/>
    </xf>
    <xf numFmtId="187" fontId="57" fillId="0" borderId="0" xfId="3" applyNumberFormat="1" applyFont="1"/>
    <xf numFmtId="187" fontId="57" fillId="0" borderId="0" xfId="3" applyNumberFormat="1" applyFont="1" applyAlignment="1">
      <alignment horizontal="center"/>
    </xf>
    <xf numFmtId="187" fontId="57" fillId="0" borderId="0" xfId="3" applyNumberFormat="1" applyFont="1" applyAlignment="1">
      <alignment horizontal="right"/>
    </xf>
    <xf numFmtId="187" fontId="52" fillId="0" borderId="0" xfId="0" applyNumberFormat="1" applyFont="1" applyAlignment="1">
      <alignment horizontal="left"/>
    </xf>
    <xf numFmtId="187" fontId="52" fillId="0" borderId="0" xfId="0" applyNumberFormat="1" applyFont="1" applyAlignment="1">
      <alignment horizontal="center"/>
    </xf>
    <xf numFmtId="43" fontId="57" fillId="0" borderId="0" xfId="3" applyFont="1"/>
    <xf numFmtId="187" fontId="58" fillId="0" borderId="0" xfId="0" applyNumberFormat="1" applyFont="1" applyFill="1" applyAlignment="1">
      <alignment horizontal="left"/>
    </xf>
    <xf numFmtId="43" fontId="58" fillId="0" borderId="0" xfId="3" applyFont="1" applyFill="1"/>
    <xf numFmtId="187" fontId="58" fillId="0" borderId="0" xfId="0" applyNumberFormat="1" applyFont="1" applyFill="1"/>
    <xf numFmtId="187" fontId="58" fillId="0" borderId="0" xfId="0" applyNumberFormat="1" applyFont="1" applyFill="1" applyAlignment="1">
      <alignment horizontal="center"/>
    </xf>
    <xf numFmtId="187" fontId="58" fillId="0" borderId="34" xfId="0" applyNumberFormat="1" applyFont="1" applyFill="1" applyBorder="1" applyAlignment="1">
      <alignment horizontal="left"/>
    </xf>
    <xf numFmtId="187" fontId="58" fillId="0" borderId="7" xfId="0" applyNumberFormat="1" applyFont="1" applyFill="1" applyBorder="1" applyAlignment="1">
      <alignment horizontal="left"/>
    </xf>
    <xf numFmtId="187" fontId="58" fillId="0" borderId="7" xfId="0" applyNumberFormat="1" applyFont="1" applyFill="1" applyBorder="1" applyAlignment="1">
      <alignment horizontal="center"/>
    </xf>
    <xf numFmtId="43" fontId="58" fillId="0" borderId="8" xfId="3" applyFont="1" applyFill="1" applyBorder="1"/>
    <xf numFmtId="187" fontId="58" fillId="0" borderId="15" xfId="0" applyNumberFormat="1" applyFont="1" applyFill="1" applyBorder="1" applyAlignment="1">
      <alignment horizontal="left"/>
    </xf>
    <xf numFmtId="187" fontId="58" fillId="0" borderId="0" xfId="0" applyNumberFormat="1" applyFont="1" applyFill="1" applyBorder="1" applyAlignment="1">
      <alignment horizontal="left"/>
    </xf>
    <xf numFmtId="187" fontId="58" fillId="0" borderId="0" xfId="0" applyNumberFormat="1" applyFont="1" applyFill="1" applyBorder="1" applyAlignment="1">
      <alignment horizontal="center"/>
    </xf>
    <xf numFmtId="43" fontId="58" fillId="0" borderId="22" xfId="3" applyFont="1" applyFill="1" applyBorder="1"/>
    <xf numFmtId="187" fontId="58" fillId="0" borderId="23" xfId="0" applyNumberFormat="1" applyFont="1" applyFill="1" applyBorder="1" applyAlignment="1">
      <alignment horizontal="left"/>
    </xf>
    <xf numFmtId="187" fontId="58" fillId="0" borderId="24" xfId="0" applyNumberFormat="1" applyFont="1" applyFill="1" applyBorder="1" applyAlignment="1">
      <alignment horizontal="left"/>
    </xf>
    <xf numFmtId="43" fontId="58" fillId="0" borderId="25" xfId="3" applyFont="1" applyFill="1" applyBorder="1"/>
    <xf numFmtId="187" fontId="25" fillId="0" borderId="0" xfId="0" applyNumberFormat="1" applyFont="1" applyFill="1"/>
    <xf numFmtId="187" fontId="25" fillId="0" borderId="0" xfId="0" applyNumberFormat="1" applyFont="1" applyFill="1" applyAlignment="1">
      <alignment horizontal="center"/>
    </xf>
    <xf numFmtId="43" fontId="25" fillId="0" borderId="0" xfId="0" applyNumberFormat="1" applyFont="1" applyFill="1"/>
    <xf numFmtId="187" fontId="25" fillId="0" borderId="34" xfId="0" applyNumberFormat="1" applyFont="1" applyFill="1" applyBorder="1" applyAlignment="1">
      <alignment horizontal="center"/>
    </xf>
    <xf numFmtId="187" fontId="25" fillId="0" borderId="7" xfId="0" applyNumberFormat="1" applyFont="1" applyFill="1" applyBorder="1" applyAlignment="1">
      <alignment horizontal="center"/>
    </xf>
    <xf numFmtId="187" fontId="25" fillId="0" borderId="8" xfId="0" applyNumberFormat="1" applyFont="1" applyFill="1" applyBorder="1" applyAlignment="1">
      <alignment horizontal="center"/>
    </xf>
    <xf numFmtId="187" fontId="25" fillId="0" borderId="15" xfId="0" applyNumberFormat="1" applyFont="1" applyFill="1" applyBorder="1" applyAlignment="1">
      <alignment horizontal="center"/>
    </xf>
    <xf numFmtId="187" fontId="25" fillId="0" borderId="0" xfId="0" applyNumberFormat="1" applyFont="1" applyFill="1" applyBorder="1" applyAlignment="1">
      <alignment horizontal="center"/>
    </xf>
    <xf numFmtId="187" fontId="25" fillId="0" borderId="22" xfId="0" applyNumberFormat="1" applyFont="1" applyFill="1" applyBorder="1" applyAlignment="1">
      <alignment horizontal="center"/>
    </xf>
    <xf numFmtId="187" fontId="25" fillId="0" borderId="0" xfId="0" applyNumberFormat="1" applyFont="1" applyFill="1" applyAlignment="1">
      <alignment vertical="center" wrapText="1"/>
    </xf>
    <xf numFmtId="187" fontId="60" fillId="0" borderId="0" xfId="3" applyNumberFormat="1" applyFont="1" applyFill="1" applyAlignment="1">
      <alignment horizontal="left" wrapText="1"/>
    </xf>
    <xf numFmtId="187" fontId="60" fillId="0" borderId="0" xfId="3" applyNumberFormat="1" applyFont="1" applyFill="1" applyAlignment="1">
      <alignment wrapText="1"/>
    </xf>
    <xf numFmtId="175" fontId="60" fillId="0" borderId="15" xfId="0" applyNumberFormat="1" applyFont="1" applyFill="1" applyBorder="1" applyAlignment="1">
      <alignment horizontal="center" wrapText="1"/>
    </xf>
    <xf numFmtId="175" fontId="60" fillId="0" borderId="0" xfId="0" applyNumberFormat="1" applyFont="1" applyFill="1" applyBorder="1" applyAlignment="1">
      <alignment horizontal="center" wrapText="1"/>
    </xf>
    <xf numFmtId="43" fontId="60" fillId="0" borderId="22" xfId="3" applyFont="1" applyFill="1" applyBorder="1" applyAlignment="1">
      <alignment horizontal="center" wrapText="1"/>
    </xf>
    <xf numFmtId="187" fontId="25" fillId="0" borderId="0" xfId="0" applyNumberFormat="1" applyFont="1" applyFill="1" applyAlignment="1">
      <alignment wrapText="1"/>
    </xf>
    <xf numFmtId="49" fontId="60" fillId="0" borderId="15" xfId="0" applyNumberFormat="1" applyFont="1" applyFill="1" applyBorder="1" applyAlignment="1"/>
    <xf numFmtId="49" fontId="60" fillId="0" borderId="0" xfId="0" applyNumberFormat="1" applyFont="1" applyFill="1" applyBorder="1" applyAlignment="1"/>
    <xf numFmtId="49" fontId="60" fillId="0" borderId="22" xfId="0" applyNumberFormat="1" applyFont="1" applyFill="1" applyBorder="1" applyAlignment="1"/>
    <xf numFmtId="1" fontId="25" fillId="0" borderId="0" xfId="0" applyNumberFormat="1" applyFont="1" applyFill="1" applyAlignment="1">
      <alignment horizontal="left"/>
    </xf>
    <xf numFmtId="43" fontId="25" fillId="0" borderId="15" xfId="3" applyFont="1" applyFill="1" applyBorder="1"/>
    <xf numFmtId="43" fontId="25" fillId="0" borderId="0" xfId="3" applyFont="1" applyFill="1" applyBorder="1"/>
    <xf numFmtId="43" fontId="25" fillId="0" borderId="22" xfId="3" applyFont="1" applyFill="1" applyBorder="1" applyAlignment="1"/>
    <xf numFmtId="43" fontId="25" fillId="0" borderId="0" xfId="3" applyFont="1" applyFill="1" applyBorder="1" applyAlignment="1"/>
    <xf numFmtId="43" fontId="25" fillId="0" borderId="22" xfId="3" applyFont="1" applyFill="1" applyBorder="1" applyAlignment="1">
      <alignment horizontal="center"/>
    </xf>
    <xf numFmtId="43" fontId="25" fillId="0" borderId="0" xfId="3" applyFont="1" applyFill="1"/>
    <xf numFmtId="1" fontId="25" fillId="0" borderId="0" xfId="0" applyNumberFormat="1" applyFont="1" applyFill="1" applyAlignment="1">
      <alignment horizontal="left" wrapText="1"/>
    </xf>
    <xf numFmtId="43" fontId="60" fillId="0" borderId="15" xfId="3" applyFont="1" applyFill="1" applyBorder="1"/>
    <xf numFmtId="43" fontId="60" fillId="0" borderId="0" xfId="3" applyFont="1" applyFill="1" applyBorder="1"/>
    <xf numFmtId="43" fontId="60" fillId="0" borderId="0" xfId="3" applyFont="1" applyFill="1" applyBorder="1" applyAlignment="1"/>
    <xf numFmtId="43" fontId="25" fillId="0" borderId="15" xfId="3" applyFont="1" applyFill="1" applyBorder="1" applyAlignment="1"/>
    <xf numFmtId="1" fontId="25" fillId="0" borderId="0" xfId="0" quotePrefix="1" applyNumberFormat="1" applyFont="1" applyFill="1" applyAlignment="1">
      <alignment horizontal="left"/>
    </xf>
    <xf numFmtId="187" fontId="47" fillId="0" borderId="0" xfId="0" applyNumberFormat="1" applyFont="1" applyFill="1"/>
    <xf numFmtId="1" fontId="47" fillId="0" borderId="0" xfId="0" applyNumberFormat="1" applyFont="1" applyFill="1" applyAlignment="1">
      <alignment horizontal="left"/>
    </xf>
    <xf numFmtId="187" fontId="25" fillId="0" borderId="0" xfId="0" applyNumberFormat="1" applyFont="1" applyFill="1" applyBorder="1"/>
    <xf numFmtId="43" fontId="60" fillId="0" borderId="15" xfId="3" applyFont="1" applyFill="1" applyBorder="1" applyAlignment="1"/>
    <xf numFmtId="49" fontId="25" fillId="0" borderId="0" xfId="0" applyNumberFormat="1" applyFont="1" applyFill="1" applyAlignment="1">
      <alignment horizontal="left"/>
    </xf>
    <xf numFmtId="43" fontId="61" fillId="0" borderId="15" xfId="3" applyFont="1" applyFill="1" applyBorder="1" applyAlignment="1"/>
    <xf numFmtId="43" fontId="61" fillId="0" borderId="0" xfId="3" applyFont="1" applyFill="1" applyBorder="1" applyAlignment="1"/>
    <xf numFmtId="43" fontId="60" fillId="0" borderId="22" xfId="3" applyFont="1" applyFill="1" applyBorder="1"/>
    <xf numFmtId="43" fontId="61" fillId="0" borderId="15" xfId="3" applyFont="1" applyFill="1" applyBorder="1"/>
    <xf numFmtId="43" fontId="61" fillId="0" borderId="0" xfId="3" applyFont="1" applyFill="1" applyBorder="1"/>
    <xf numFmtId="43" fontId="25" fillId="0" borderId="23" xfId="3" applyFont="1" applyFill="1" applyBorder="1"/>
    <xf numFmtId="43" fontId="25" fillId="0" borderId="24" xfId="3" applyFont="1" applyFill="1" applyBorder="1"/>
    <xf numFmtId="43" fontId="25" fillId="0" borderId="25" xfId="3" applyFont="1" applyFill="1" applyBorder="1" applyAlignment="1">
      <alignment horizontal="center"/>
    </xf>
    <xf numFmtId="43" fontId="25" fillId="0" borderId="0" xfId="3" applyFont="1" applyFill="1" applyAlignment="1">
      <alignment horizontal="center"/>
    </xf>
    <xf numFmtId="43" fontId="25" fillId="0" borderId="34" xfId="3" applyFont="1" applyFill="1" applyBorder="1"/>
    <xf numFmtId="43" fontId="25" fillId="0" borderId="7" xfId="3" applyFont="1" applyFill="1" applyBorder="1"/>
    <xf numFmtId="43" fontId="25" fillId="0" borderId="8" xfId="3" applyFont="1" applyFill="1" applyBorder="1"/>
    <xf numFmtId="43" fontId="60" fillId="0" borderId="0" xfId="3" applyFont="1" applyFill="1"/>
    <xf numFmtId="43" fontId="61" fillId="0" borderId="25" xfId="3" applyFont="1" applyFill="1" applyBorder="1"/>
    <xf numFmtId="43" fontId="61" fillId="0" borderId="0" xfId="3" applyFont="1" applyFill="1"/>
    <xf numFmtId="43" fontId="25" fillId="0" borderId="34" xfId="3" applyFont="1" applyFill="1" applyBorder="1" applyAlignment="1">
      <alignment horizontal="center"/>
    </xf>
    <xf numFmtId="43" fontId="25" fillId="0" borderId="7" xfId="3" applyFont="1" applyFill="1" applyBorder="1" applyAlignment="1">
      <alignment horizontal="center"/>
    </xf>
    <xf numFmtId="43" fontId="25" fillId="0" borderId="8" xfId="3" applyFont="1" applyFill="1" applyBorder="1" applyAlignment="1">
      <alignment horizontal="center"/>
    </xf>
    <xf numFmtId="187" fontId="60" fillId="0" borderId="0" xfId="0" applyNumberFormat="1" applyFont="1" applyFill="1" applyBorder="1"/>
    <xf numFmtId="43" fontId="60" fillId="0" borderId="15" xfId="3" applyFont="1" applyFill="1" applyBorder="1" applyAlignment="1">
      <alignment horizontal="center"/>
    </xf>
    <xf numFmtId="43" fontId="60" fillId="0" borderId="0" xfId="3" applyFont="1" applyFill="1" applyBorder="1" applyAlignment="1">
      <alignment horizontal="center"/>
    </xf>
    <xf numFmtId="43" fontId="60" fillId="0" borderId="22" xfId="3" applyFont="1" applyFill="1" applyBorder="1" applyAlignment="1">
      <alignment horizontal="center"/>
    </xf>
    <xf numFmtId="9" fontId="25" fillId="0" borderId="0" xfId="44" applyFont="1" applyFill="1" applyBorder="1" applyAlignment="1">
      <alignment horizontal="right"/>
    </xf>
    <xf numFmtId="9" fontId="25" fillId="0" borderId="22" xfId="44" applyFont="1" applyFill="1" applyBorder="1" applyAlignment="1">
      <alignment horizontal="right"/>
    </xf>
    <xf numFmtId="43" fontId="25" fillId="0" borderId="0" xfId="3" applyFont="1" applyFill="1" applyBorder="1" applyAlignment="1">
      <alignment horizontal="center"/>
    </xf>
    <xf numFmtId="168" fontId="14" fillId="7" borderId="0" xfId="3" applyNumberFormat="1" applyFont="1" applyFill="1"/>
    <xf numFmtId="10" fontId="14" fillId="7" borderId="0" xfId="0" applyNumberFormat="1" applyFont="1" applyFill="1"/>
    <xf numFmtId="179" fontId="71" fillId="0" borderId="2" xfId="0" applyNumberFormat="1" applyFont="1" applyFill="1" applyBorder="1"/>
    <xf numFmtId="37" fontId="63" fillId="0" borderId="0" xfId="0" applyNumberFormat="1" applyFont="1" applyFill="1"/>
    <xf numFmtId="37" fontId="63" fillId="0" borderId="0" xfId="40" applyNumberFormat="1" applyFont="1" applyFill="1"/>
    <xf numFmtId="37" fontId="43" fillId="0" borderId="0" xfId="40" applyNumberFormat="1" applyFont="1" applyFill="1"/>
    <xf numFmtId="0" fontId="43" fillId="0" borderId="0" xfId="17" applyFont="1" applyFill="1"/>
    <xf numFmtId="37" fontId="43" fillId="0" borderId="0" xfId="37" applyNumberFormat="1" applyFont="1" applyFill="1" applyBorder="1" applyAlignment="1">
      <alignment horizontal="center"/>
    </xf>
    <xf numFmtId="37" fontId="43" fillId="0" borderId="0" xfId="40" applyNumberFormat="1" applyFont="1" applyFill="1" applyAlignment="1">
      <alignment horizontal="center"/>
    </xf>
    <xf numFmtId="37" fontId="43" fillId="0" borderId="0" xfId="40" applyNumberFormat="1" applyFont="1" applyFill="1" applyBorder="1" applyAlignment="1">
      <alignment horizontal="center"/>
    </xf>
    <xf numFmtId="0" fontId="43" fillId="0" borderId="0" xfId="37" applyFont="1" applyFill="1" applyBorder="1"/>
    <xf numFmtId="37" fontId="43" fillId="0" borderId="0" xfId="37" quotePrefix="1" applyNumberFormat="1" applyFont="1" applyFill="1" applyBorder="1" applyAlignment="1">
      <alignment horizontal="center"/>
    </xf>
    <xf numFmtId="37" fontId="63" fillId="0" borderId="0" xfId="40" applyNumberFormat="1" applyFont="1" applyFill="1" applyBorder="1"/>
    <xf numFmtId="37" fontId="43" fillId="0" borderId="0" xfId="40" applyNumberFormat="1" applyFont="1" applyFill="1" applyBorder="1"/>
    <xf numFmtId="37" fontId="43" fillId="0" borderId="0" xfId="37" applyNumberFormat="1" applyFont="1" applyFill="1" applyBorder="1"/>
    <xf numFmtId="37" fontId="43" fillId="0" borderId="0" xfId="17" applyNumberFormat="1" applyFont="1" applyFill="1"/>
    <xf numFmtId="168" fontId="43" fillId="0" borderId="0" xfId="5" applyNumberFormat="1" applyFont="1" applyFill="1" applyBorder="1"/>
    <xf numFmtId="168" fontId="43" fillId="0" borderId="0" xfId="5" applyNumberFormat="1" applyFont="1" applyFill="1"/>
    <xf numFmtId="10" fontId="43" fillId="0" borderId="0" xfId="44" applyNumberFormat="1" applyFont="1" applyFill="1" applyBorder="1"/>
    <xf numFmtId="10" fontId="63" fillId="0" borderId="0" xfId="45" applyNumberFormat="1" applyFont="1" applyFill="1" applyBorder="1"/>
    <xf numFmtId="168" fontId="43" fillId="0" borderId="0" xfId="3" applyNumberFormat="1" applyFont="1" applyFill="1" applyBorder="1"/>
    <xf numFmtId="37" fontId="43" fillId="0" borderId="0" xfId="17" applyNumberFormat="1" applyFont="1" applyFill="1" applyBorder="1"/>
    <xf numFmtId="10" fontId="43" fillId="0" borderId="0" xfId="45" applyNumberFormat="1" applyFont="1" applyFill="1" applyBorder="1"/>
    <xf numFmtId="168" fontId="43" fillId="0" borderId="0" xfId="45" applyNumberFormat="1" applyFont="1" applyFill="1" applyBorder="1"/>
    <xf numFmtId="37" fontId="43" fillId="0" borderId="0" xfId="17" applyNumberFormat="1" applyFont="1" applyFill="1" applyAlignment="1"/>
    <xf numFmtId="168" fontId="43" fillId="0" borderId="1" xfId="5" applyNumberFormat="1" applyFont="1" applyFill="1" applyBorder="1"/>
    <xf numFmtId="168" fontId="43" fillId="0" borderId="1" xfId="3" applyNumberFormat="1" applyFont="1" applyFill="1" applyBorder="1"/>
    <xf numFmtId="0" fontId="43" fillId="0" borderId="0" xfId="37" applyFont="1" applyFill="1"/>
    <xf numFmtId="168" fontId="64" fillId="0" borderId="0" xfId="5" applyNumberFormat="1" applyFont="1" applyFill="1"/>
    <xf numFmtId="10" fontId="43" fillId="0" borderId="0" xfId="40" applyNumberFormat="1" applyFont="1" applyFill="1" applyBorder="1"/>
    <xf numFmtId="10" fontId="63" fillId="0" borderId="0" xfId="40" applyNumberFormat="1" applyFont="1" applyFill="1" applyBorder="1"/>
    <xf numFmtId="37" fontId="65" fillId="0" borderId="0" xfId="40" applyNumberFormat="1" applyFont="1" applyFill="1"/>
    <xf numFmtId="37" fontId="65" fillId="0" borderId="0" xfId="40" applyNumberFormat="1" applyFont="1" applyFill="1" applyBorder="1"/>
    <xf numFmtId="0" fontId="65" fillId="0" borderId="0" xfId="37" applyFont="1" applyFill="1"/>
    <xf numFmtId="37" fontId="63" fillId="0" borderId="0" xfId="40" applyNumberFormat="1" applyFont="1" applyFill="1" applyBorder="1" applyAlignment="1">
      <alignment horizontal="left"/>
    </xf>
    <xf numFmtId="168" fontId="66" fillId="0" borderId="0" xfId="5" applyNumberFormat="1" applyFont="1" applyFill="1" applyBorder="1"/>
    <xf numFmtId="37" fontId="66" fillId="0" borderId="0" xfId="40" applyNumberFormat="1" applyFont="1" applyFill="1" applyBorder="1"/>
    <xf numFmtId="0" fontId="66" fillId="0" borderId="0" xfId="17" applyFont="1" applyFill="1" applyBorder="1"/>
    <xf numFmtId="37" fontId="43" fillId="0" borderId="1" xfId="40" applyNumberFormat="1" applyFont="1" applyFill="1" applyBorder="1"/>
    <xf numFmtId="37" fontId="43" fillId="0" borderId="14" xfId="40" applyNumberFormat="1" applyFont="1" applyFill="1" applyBorder="1"/>
    <xf numFmtId="37" fontId="43" fillId="0" borderId="36" xfId="40" applyNumberFormat="1" applyFont="1" applyFill="1" applyBorder="1"/>
    <xf numFmtId="37" fontId="67" fillId="0" borderId="0" xfId="40" applyNumberFormat="1" applyFont="1" applyFill="1"/>
    <xf numFmtId="37" fontId="68" fillId="0" borderId="0" xfId="40" applyNumberFormat="1" applyFont="1" applyFill="1"/>
    <xf numFmtId="44" fontId="67" fillId="0" borderId="0" xfId="13" applyFont="1" applyFill="1"/>
    <xf numFmtId="0" fontId="67" fillId="0" borderId="0" xfId="19" applyFont="1" applyFill="1"/>
    <xf numFmtId="37" fontId="67" fillId="0" borderId="0" xfId="37" applyNumberFormat="1" applyFont="1" applyFill="1" applyBorder="1" applyAlignment="1">
      <alignment horizontal="center"/>
    </xf>
    <xf numFmtId="173" fontId="67" fillId="0" borderId="0" xfId="40" applyNumberFormat="1" applyFont="1" applyFill="1"/>
    <xf numFmtId="14" fontId="67" fillId="0" borderId="0" xfId="40" quotePrefix="1" applyNumberFormat="1" applyFont="1" applyFill="1" applyBorder="1" applyAlignment="1">
      <alignment horizontal="center"/>
    </xf>
    <xf numFmtId="37" fontId="67" fillId="0" borderId="0" xfId="40" applyNumberFormat="1" applyFont="1" applyFill="1" applyBorder="1"/>
    <xf numFmtId="37" fontId="67" fillId="0" borderId="0" xfId="40" applyNumberFormat="1" applyFont="1" applyFill="1" applyBorder="1" applyAlignment="1">
      <alignment horizontal="center"/>
    </xf>
    <xf numFmtId="37" fontId="67" fillId="0" borderId="0" xfId="40" applyNumberFormat="1" applyFont="1" applyFill="1" applyAlignment="1">
      <alignment horizontal="center"/>
    </xf>
    <xf numFmtId="192" fontId="67" fillId="0" borderId="0" xfId="13" applyNumberFormat="1" applyFont="1" applyFill="1" applyAlignment="1">
      <alignment horizontal="center"/>
    </xf>
    <xf numFmtId="37" fontId="69" fillId="0" borderId="0" xfId="40" applyNumberFormat="1" applyFont="1" applyFill="1" applyBorder="1" applyAlignment="1">
      <alignment horizontal="center"/>
    </xf>
    <xf numFmtId="44" fontId="67" fillId="0" borderId="0" xfId="13" applyFont="1" applyFill="1" applyAlignment="1">
      <alignment horizontal="center"/>
    </xf>
    <xf numFmtId="37" fontId="67" fillId="0" borderId="1" xfId="37" applyNumberFormat="1" applyFont="1" applyFill="1" applyBorder="1" applyAlignment="1">
      <alignment horizontal="center"/>
    </xf>
    <xf numFmtId="37" fontId="67" fillId="0" borderId="1" xfId="37" quotePrefix="1" applyNumberFormat="1" applyFont="1" applyFill="1" applyBorder="1" applyAlignment="1">
      <alignment horizontal="center"/>
    </xf>
    <xf numFmtId="37" fontId="67" fillId="0" borderId="0" xfId="37" applyNumberFormat="1" applyFont="1" applyFill="1" applyAlignment="1">
      <alignment horizontal="center"/>
    </xf>
    <xf numFmtId="0" fontId="70" fillId="0" borderId="0" xfId="25"/>
    <xf numFmtId="168" fontId="67" fillId="0" borderId="5" xfId="7" applyNumberFormat="1" applyFont="1" applyFill="1" applyBorder="1"/>
    <xf numFmtId="0" fontId="67" fillId="0" borderId="0" xfId="19" applyFont="1" applyFill="1" applyBorder="1"/>
    <xf numFmtId="43" fontId="70" fillId="0" borderId="0" xfId="25" applyNumberFormat="1"/>
    <xf numFmtId="2" fontId="14" fillId="0" borderId="0" xfId="28" applyNumberFormat="1" applyFont="1" applyFill="1"/>
    <xf numFmtId="170" fontId="7" fillId="0" borderId="0" xfId="0" applyNumberFormat="1" applyFont="1" applyFill="1"/>
    <xf numFmtId="10" fontId="13" fillId="0" borderId="0" xfId="44" applyNumberFormat="1" applyFont="1" applyFill="1" applyBorder="1"/>
    <xf numFmtId="10" fontId="14" fillId="0" borderId="0" xfId="44" applyNumberFormat="1" applyFont="1"/>
    <xf numFmtId="37" fontId="43" fillId="0" borderId="0" xfId="0" applyNumberFormat="1" applyFont="1" applyFill="1"/>
    <xf numFmtId="169" fontId="14" fillId="0" borderId="0" xfId="0" applyNumberFormat="1" applyFont="1" applyFill="1"/>
    <xf numFmtId="0" fontId="0" fillId="0" borderId="0" xfId="0" applyAlignment="1" applyProtection="1">
      <alignment horizontal="left"/>
      <protection locked="0"/>
    </xf>
    <xf numFmtId="193" fontId="0" fillId="0" borderId="0" xfId="0" applyNumberFormat="1" applyAlignment="1" applyProtection="1">
      <alignment horizontal="left"/>
      <protection locked="0"/>
    </xf>
    <xf numFmtId="0" fontId="14" fillId="0" borderId="1" xfId="34" applyNumberFormat="1" applyFont="1" applyBorder="1" applyAlignment="1">
      <alignment horizontal="center"/>
    </xf>
    <xf numFmtId="41" fontId="14" fillId="0" borderId="0" xfId="34" applyNumberFormat="1" applyFont="1" applyFill="1" applyAlignment="1" applyProtection="1">
      <alignment horizontal="left"/>
      <protection locked="0"/>
    </xf>
    <xf numFmtId="37" fontId="14" fillId="0" borderId="0" xfId="34" applyNumberFormat="1" applyFont="1" applyFill="1"/>
    <xf numFmtId="37" fontId="14" fillId="0" borderId="0" xfId="34" applyNumberFormat="1" applyFont="1" applyFill="1" applyAlignment="1">
      <alignment horizontal="center"/>
    </xf>
    <xf numFmtId="37" fontId="14" fillId="0" borderId="5" xfId="34" applyNumberFormat="1" applyFont="1" applyFill="1" applyBorder="1"/>
    <xf numFmtId="171" fontId="14" fillId="0" borderId="0" xfId="34" applyNumberFormat="1" applyFont="1" applyFill="1"/>
    <xf numFmtId="10" fontId="14" fillId="0" borderId="1" xfId="34" applyNumberFormat="1" applyFont="1" applyFill="1" applyBorder="1"/>
    <xf numFmtId="37" fontId="14" fillId="0" borderId="1" xfId="34" applyNumberFormat="1" applyFont="1" applyFill="1" applyBorder="1"/>
    <xf numFmtId="37" fontId="14" fillId="0" borderId="26" xfId="34" applyNumberFormat="1" applyFont="1" applyFill="1" applyBorder="1"/>
    <xf numFmtId="10" fontId="14" fillId="0" borderId="26" xfId="34" applyNumberFormat="1" applyFont="1" applyFill="1" applyBorder="1"/>
    <xf numFmtId="10" fontId="14" fillId="0" borderId="5" xfId="34" applyNumberFormat="1" applyFont="1" applyFill="1" applyBorder="1"/>
    <xf numFmtId="170" fontId="14" fillId="0" borderId="0" xfId="34" applyNumberFormat="1" applyFont="1" applyFill="1" applyProtection="1">
      <protection locked="0"/>
    </xf>
    <xf numFmtId="168" fontId="67" fillId="0" borderId="5" xfId="5" applyNumberFormat="1" applyFont="1" applyFill="1" applyBorder="1"/>
    <xf numFmtId="43" fontId="14" fillId="0" borderId="0" xfId="0" applyNumberFormat="1" applyFont="1"/>
    <xf numFmtId="39" fontId="14" fillId="0" borderId="0" xfId="32" applyNumberFormat="1" applyFont="1" applyFill="1"/>
    <xf numFmtId="14" fontId="67" fillId="0" borderId="0" xfId="40" applyNumberFormat="1" applyFont="1" applyFill="1" applyBorder="1"/>
    <xf numFmtId="168" fontId="27" fillId="0" borderId="0" xfId="0" applyNumberFormat="1" applyFont="1" applyFill="1" applyBorder="1"/>
    <xf numFmtId="168" fontId="27" fillId="0" borderId="0" xfId="0" applyNumberFormat="1" applyFont="1" applyBorder="1"/>
    <xf numFmtId="168" fontId="27" fillId="0" borderId="0" xfId="3" applyNumberFormat="1" applyFont="1" applyFill="1" applyBorder="1"/>
    <xf numFmtId="6" fontId="14" fillId="0" borderId="0" xfId="3" applyNumberFormat="1" applyFont="1" applyFill="1" applyAlignment="1"/>
    <xf numFmtId="43" fontId="14" fillId="0" borderId="0" xfId="31" applyNumberFormat="1" applyFont="1" applyFill="1"/>
    <xf numFmtId="0" fontId="24" fillId="0" borderId="0" xfId="0" applyNumberFormat="1" applyFont="1" applyAlignment="1"/>
    <xf numFmtId="0" fontId="24" fillId="0" borderId="0" xfId="0" applyNumberFormat="1" applyFont="1" applyAlignment="1">
      <alignment horizontal="center"/>
    </xf>
    <xf numFmtId="0" fontId="73" fillId="0" borderId="0" xfId="0" applyNumberFormat="1" applyFont="1" applyAlignment="1">
      <alignment horizontal="center"/>
    </xf>
    <xf numFmtId="0" fontId="24" fillId="0" borderId="18" xfId="0" applyNumberFormat="1" applyFont="1" applyBorder="1" applyAlignment="1">
      <alignment horizontal="center"/>
    </xf>
    <xf numFmtId="195" fontId="24" fillId="0" borderId="0" xfId="0" applyNumberFormat="1" applyFont="1" applyAlignment="1"/>
    <xf numFmtId="37" fontId="24" fillId="0" borderId="0" xfId="0" applyNumberFormat="1" applyFont="1" applyAlignment="1"/>
    <xf numFmtId="37" fontId="24" fillId="0" borderId="18" xfId="0" applyNumberFormat="1" applyFont="1" applyBorder="1" applyAlignment="1"/>
    <xf numFmtId="43" fontId="24" fillId="0" borderId="0" xfId="3" applyFont="1" applyAlignment="1"/>
    <xf numFmtId="5" fontId="24" fillId="0" borderId="0" xfId="0" applyNumberFormat="1" applyFont="1" applyAlignment="1"/>
    <xf numFmtId="3" fontId="24" fillId="0" borderId="0" xfId="0" applyNumberFormat="1" applyFont="1" applyAlignment="1"/>
    <xf numFmtId="42" fontId="24" fillId="0" borderId="0" xfId="0" applyNumberFormat="1" applyFont="1" applyAlignment="1"/>
    <xf numFmtId="10" fontId="24" fillId="0" borderId="0" xfId="0" applyNumberFormat="1" applyFont="1" applyAlignment="1"/>
    <xf numFmtId="0" fontId="24" fillId="0" borderId="0" xfId="0" applyNumberFormat="1" applyFont="1" applyBorder="1" applyAlignment="1"/>
    <xf numFmtId="3" fontId="24" fillId="0" borderId="0" xfId="0" applyNumberFormat="1" applyFont="1" applyBorder="1" applyAlignment="1"/>
    <xf numFmtId="0" fontId="24" fillId="0" borderId="0" xfId="0" applyFont="1"/>
    <xf numFmtId="0" fontId="24" fillId="0" borderId="0" xfId="0" quotePrefix="1" applyNumberFormat="1" applyFont="1" applyAlignment="1"/>
    <xf numFmtId="37" fontId="24" fillId="0" borderId="0" xfId="0" applyNumberFormat="1" applyFont="1"/>
    <xf numFmtId="196" fontId="24" fillId="0" borderId="0" xfId="0" applyNumberFormat="1" applyFont="1"/>
    <xf numFmtId="7" fontId="24" fillId="0" borderId="0" xfId="0" applyNumberFormat="1" applyFont="1"/>
    <xf numFmtId="5" fontId="24" fillId="0" borderId="39" xfId="0" applyNumberFormat="1" applyFont="1" applyBorder="1"/>
    <xf numFmtId="0" fontId="24" fillId="0" borderId="0" xfId="0" applyFont="1" applyBorder="1"/>
    <xf numFmtId="0" fontId="24" fillId="0" borderId="18" xfId="0" applyNumberFormat="1" applyFont="1" applyBorder="1"/>
    <xf numFmtId="0" fontId="24" fillId="0" borderId="39" xfId="0" applyNumberFormat="1" applyFont="1" applyBorder="1"/>
    <xf numFmtId="0" fontId="24" fillId="0" borderId="0" xfId="0" applyNumberFormat="1" applyFont="1" applyBorder="1"/>
    <xf numFmtId="37" fontId="74" fillId="0" borderId="0" xfId="48" applyNumberFormat="1" applyFont="1" applyFill="1"/>
    <xf numFmtId="168" fontId="75" fillId="0" borderId="0" xfId="47" applyNumberFormat="1" applyFont="1" applyFill="1"/>
    <xf numFmtId="187" fontId="75" fillId="0" borderId="0" xfId="48" applyFont="1" applyFill="1"/>
    <xf numFmtId="194" fontId="75" fillId="0" borderId="0" xfId="47" applyNumberFormat="1" applyFont="1" applyFill="1"/>
    <xf numFmtId="169" fontId="75" fillId="0" borderId="0" xfId="47" applyNumberFormat="1" applyFont="1" applyFill="1"/>
    <xf numFmtId="168" fontId="75" fillId="0" borderId="0" xfId="47" applyNumberFormat="1" applyFont="1" applyFill="1" applyBorder="1"/>
    <xf numFmtId="187" fontId="76" fillId="0" borderId="0" xfId="46" applyFont="1" applyFill="1"/>
    <xf numFmtId="168" fontId="75" fillId="0" borderId="0" xfId="3" applyNumberFormat="1" applyFont="1" applyFill="1"/>
    <xf numFmtId="168" fontId="76" fillId="0" borderId="0" xfId="3" applyNumberFormat="1" applyFont="1" applyFill="1"/>
    <xf numFmtId="42" fontId="74" fillId="0" borderId="0" xfId="48" applyNumberFormat="1" applyFont="1" applyFill="1" applyAlignment="1">
      <alignment horizontal="right"/>
    </xf>
    <xf numFmtId="169" fontId="74" fillId="0" borderId="0" xfId="48" applyNumberFormat="1" applyFont="1" applyFill="1" applyAlignment="1">
      <alignment horizontal="right"/>
    </xf>
    <xf numFmtId="194" fontId="74" fillId="0" borderId="0" xfId="48" applyNumberFormat="1" applyFont="1" applyFill="1" applyBorder="1" applyAlignment="1">
      <alignment horizontal="right"/>
    </xf>
    <xf numFmtId="187" fontId="75" fillId="0" borderId="0" xfId="48" applyFont="1" applyFill="1" applyAlignment="1">
      <alignment horizontal="center"/>
    </xf>
    <xf numFmtId="187" fontId="74" fillId="0" borderId="0" xfId="48" applyFont="1" applyFill="1"/>
    <xf numFmtId="194" fontId="75" fillId="0" borderId="0" xfId="47" applyNumberFormat="1" applyFont="1" applyFill="1" applyBorder="1"/>
    <xf numFmtId="169" fontId="75" fillId="0" borderId="0" xfId="48" applyNumberFormat="1" applyFont="1" applyFill="1"/>
    <xf numFmtId="187" fontId="74" fillId="0" borderId="0" xfId="48" applyFont="1" applyFill="1" applyAlignment="1">
      <alignment horizontal="center"/>
    </xf>
    <xf numFmtId="169" fontId="75" fillId="0" borderId="0" xfId="50" applyNumberFormat="1" applyFont="1" applyFill="1" applyBorder="1" applyAlignment="1"/>
    <xf numFmtId="180" fontId="74" fillId="0" borderId="0" xfId="48" applyNumberFormat="1" applyFont="1" applyFill="1" applyAlignment="1">
      <alignment horizontal="left"/>
    </xf>
    <xf numFmtId="43" fontId="75" fillId="0" borderId="0" xfId="51" applyFont="1" applyFill="1"/>
    <xf numFmtId="187" fontId="75" fillId="0" borderId="0" xfId="48" applyFont="1" applyFill="1" applyAlignment="1">
      <alignment horizontal="left"/>
    </xf>
    <xf numFmtId="164" fontId="74" fillId="0" borderId="2" xfId="54" applyNumberFormat="1" applyFont="1" applyFill="1" applyBorder="1" applyAlignment="1">
      <alignment horizontal="center"/>
    </xf>
    <xf numFmtId="37" fontId="75" fillId="0" borderId="0" xfId="49" applyNumberFormat="1" applyFont="1" applyFill="1"/>
    <xf numFmtId="37" fontId="75" fillId="0" borderId="0" xfId="49" applyNumberFormat="1" applyFont="1" applyFill="1" applyAlignment="1"/>
    <xf numFmtId="168" fontId="75" fillId="0" borderId="0" xfId="3" applyNumberFormat="1" applyFont="1" applyFill="1" applyAlignment="1"/>
    <xf numFmtId="168" fontId="75" fillId="0" borderId="0" xfId="3" applyNumberFormat="1" applyFont="1" applyFill="1" applyAlignment="1">
      <alignment horizontal="center"/>
    </xf>
    <xf numFmtId="37" fontId="75" fillId="0" borderId="0" xfId="49" applyNumberFormat="1" applyFont="1" applyFill="1" applyAlignment="1">
      <alignment horizontal="center"/>
    </xf>
    <xf numFmtId="168" fontId="75" fillId="0" borderId="0" xfId="47" applyNumberFormat="1" applyFont="1" applyFill="1" applyBorder="1" applyAlignment="1">
      <alignment horizontal="center"/>
    </xf>
    <xf numFmtId="37" fontId="75" fillId="0" borderId="0" xfId="49" applyNumberFormat="1" applyFont="1" applyFill="1" applyBorder="1" applyAlignment="1">
      <alignment horizontal="center"/>
    </xf>
    <xf numFmtId="194" fontId="75" fillId="0" borderId="0" xfId="47" applyNumberFormat="1" applyFont="1" applyFill="1" applyBorder="1" applyAlignment="1">
      <alignment horizontal="center"/>
    </xf>
    <xf numFmtId="169" fontId="75" fillId="0" borderId="0" xfId="47" applyNumberFormat="1" applyFont="1" applyFill="1" applyBorder="1" applyAlignment="1">
      <alignment horizontal="center"/>
    </xf>
    <xf numFmtId="169" fontId="75" fillId="0" borderId="0" xfId="47" applyNumberFormat="1" applyFont="1" applyFill="1" applyAlignment="1">
      <alignment horizontal="center"/>
    </xf>
    <xf numFmtId="168" fontId="75" fillId="0" borderId="0" xfId="47" applyNumberFormat="1" applyFont="1" applyFill="1" applyAlignment="1">
      <alignment horizontal="center"/>
    </xf>
    <xf numFmtId="169" fontId="75" fillId="0" borderId="0" xfId="49" applyNumberFormat="1" applyFont="1" applyFill="1" applyAlignment="1">
      <alignment horizontal="center"/>
    </xf>
    <xf numFmtId="187" fontId="75" fillId="0" borderId="0" xfId="48" applyFont="1" applyFill="1" applyBorder="1" applyAlignment="1">
      <alignment horizontal="center"/>
    </xf>
    <xf numFmtId="42" fontId="75" fillId="0" borderId="0" xfId="48" applyNumberFormat="1" applyFont="1" applyFill="1" applyBorder="1" applyAlignment="1">
      <alignment horizontal="center"/>
    </xf>
    <xf numFmtId="187" fontId="75" fillId="0" borderId="0" xfId="48" applyFont="1" applyFill="1" applyBorder="1"/>
    <xf numFmtId="168" fontId="75" fillId="0" borderId="1" xfId="47" applyNumberFormat="1" applyFont="1" applyFill="1" applyBorder="1" applyAlignment="1">
      <alignment horizontal="center" wrapText="1"/>
    </xf>
    <xf numFmtId="37" fontId="75" fillId="0" borderId="0" xfId="49" applyNumberFormat="1" applyFont="1" applyFill="1" applyBorder="1" applyAlignment="1">
      <alignment horizontal="center" wrapText="1"/>
    </xf>
    <xf numFmtId="168" fontId="75" fillId="0" borderId="0" xfId="47" applyNumberFormat="1" applyFont="1" applyFill="1" applyBorder="1" applyAlignment="1">
      <alignment horizontal="center" wrapText="1"/>
    </xf>
    <xf numFmtId="169" fontId="75" fillId="0" borderId="1" xfId="47" applyNumberFormat="1" applyFont="1" applyFill="1" applyBorder="1" applyAlignment="1">
      <alignment horizontal="center" wrapText="1"/>
    </xf>
    <xf numFmtId="168" fontId="76" fillId="0" borderId="0" xfId="47" applyNumberFormat="1" applyFont="1" applyFill="1"/>
    <xf numFmtId="168" fontId="75" fillId="0" borderId="0" xfId="3" applyNumberFormat="1" applyFont="1" applyFill="1" applyBorder="1" applyAlignment="1">
      <alignment horizontal="center" wrapText="1"/>
    </xf>
    <xf numFmtId="194" fontId="75" fillId="0" borderId="0" xfId="47" applyNumberFormat="1" applyFont="1" applyFill="1" applyBorder="1" applyAlignment="1">
      <alignment horizontal="center" wrapText="1"/>
    </xf>
    <xf numFmtId="169" fontId="75" fillId="0" borderId="1" xfId="49" applyNumberFormat="1" applyFont="1" applyFill="1" applyBorder="1" applyAlignment="1">
      <alignment horizontal="center" wrapText="1"/>
    </xf>
    <xf numFmtId="44" fontId="75" fillId="0" borderId="0" xfId="12" applyFont="1" applyFill="1" applyAlignment="1"/>
    <xf numFmtId="44" fontId="75" fillId="0" borderId="0" xfId="12" applyFont="1" applyFill="1" applyBorder="1" applyAlignment="1"/>
    <xf numFmtId="43" fontId="75" fillId="0" borderId="0" xfId="3" applyFont="1" applyFill="1" applyAlignment="1"/>
    <xf numFmtId="43" fontId="75" fillId="0" borderId="0" xfId="3" applyNumberFormat="1" applyFont="1" applyFill="1" applyAlignment="1"/>
    <xf numFmtId="187" fontId="74" fillId="0" borderId="0" xfId="48" applyFont="1" applyFill="1" applyBorder="1" applyAlignment="1">
      <alignment horizontal="center"/>
    </xf>
    <xf numFmtId="42" fontId="74" fillId="0" borderId="0" xfId="48" applyNumberFormat="1" applyFont="1" applyFill="1" applyBorder="1" applyAlignment="1">
      <alignment horizontal="center"/>
    </xf>
    <xf numFmtId="187" fontId="74" fillId="0" borderId="0" xfId="48" applyFont="1" applyFill="1" applyBorder="1"/>
    <xf numFmtId="169" fontId="74" fillId="0" borderId="0" xfId="50" applyNumberFormat="1" applyFont="1" applyFill="1" applyAlignment="1"/>
    <xf numFmtId="168" fontId="74" fillId="0" borderId="0" xfId="51" applyNumberFormat="1" applyFont="1" applyFill="1" applyBorder="1" applyAlignment="1"/>
    <xf numFmtId="187" fontId="75" fillId="0" borderId="0" xfId="49" applyNumberFormat="1" applyFont="1" applyFill="1" applyBorder="1"/>
    <xf numFmtId="39" fontId="75" fillId="0" borderId="0" xfId="49" applyNumberFormat="1" applyFont="1" applyFill="1" applyBorder="1"/>
    <xf numFmtId="187" fontId="75" fillId="0" borderId="0" xfId="48" applyFont="1" applyFill="1" applyAlignment="1"/>
    <xf numFmtId="43" fontId="75" fillId="0" borderId="0" xfId="47" applyFont="1" applyFill="1" applyBorder="1"/>
    <xf numFmtId="42" fontId="74" fillId="0" borderId="11" xfId="48" applyNumberFormat="1" applyFont="1" applyFill="1" applyBorder="1" applyAlignment="1">
      <alignment horizontal="center"/>
    </xf>
    <xf numFmtId="187" fontId="74" fillId="0" borderId="0" xfId="49" applyNumberFormat="1" applyFont="1" applyFill="1" applyBorder="1"/>
    <xf numFmtId="39" fontId="74" fillId="0" borderId="0" xfId="49" applyNumberFormat="1" applyFont="1" applyFill="1" applyBorder="1"/>
    <xf numFmtId="39" fontId="74" fillId="0" borderId="0" xfId="49" applyNumberFormat="1" applyFont="1" applyFill="1" applyBorder="1" applyAlignment="1"/>
    <xf numFmtId="168" fontId="74" fillId="0" borderId="0" xfId="51" quotePrefix="1" applyNumberFormat="1" applyFont="1" applyFill="1" applyBorder="1" applyAlignment="1"/>
    <xf numFmtId="169" fontId="74" fillId="0" borderId="0" xfId="50" applyNumberFormat="1" applyFont="1" applyFill="1" applyBorder="1" applyAlignment="1"/>
    <xf numFmtId="187" fontId="75" fillId="0" borderId="0" xfId="49" applyNumberFormat="1" applyFont="1" applyFill="1" applyBorder="1" applyAlignment="1"/>
    <xf numFmtId="169" fontId="76" fillId="0" borderId="0" xfId="47" applyNumberFormat="1" applyFont="1" applyFill="1"/>
    <xf numFmtId="168" fontId="76" fillId="0" borderId="0" xfId="47" applyNumberFormat="1" applyFont="1" applyFill="1" applyBorder="1"/>
    <xf numFmtId="194" fontId="76" fillId="0" borderId="0" xfId="47" applyNumberFormat="1" applyFont="1" applyFill="1" applyBorder="1"/>
    <xf numFmtId="43" fontId="75" fillId="0" borderId="0" xfId="51" applyFont="1" applyFill="1" applyAlignment="1"/>
    <xf numFmtId="187" fontId="75" fillId="0" borderId="0" xfId="49" applyNumberFormat="1" applyFont="1" applyFill="1" applyBorder="1" applyAlignment="1">
      <alignment horizontal="left"/>
    </xf>
    <xf numFmtId="44" fontId="75" fillId="0" borderId="0" xfId="50" applyFont="1" applyFill="1" applyBorder="1" applyAlignment="1"/>
    <xf numFmtId="44" fontId="76" fillId="0" borderId="0" xfId="12" applyFont="1" applyFill="1"/>
    <xf numFmtId="9" fontId="75" fillId="0" borderId="0" xfId="54" applyFont="1" applyFill="1" applyAlignment="1"/>
    <xf numFmtId="43" fontId="74" fillId="0" borderId="0" xfId="51" applyFont="1" applyFill="1" applyAlignment="1"/>
    <xf numFmtId="187" fontId="74" fillId="0" borderId="0" xfId="49" applyNumberFormat="1" applyFont="1" applyFill="1" applyBorder="1" applyAlignment="1">
      <alignment horizontal="left"/>
    </xf>
    <xf numFmtId="44" fontId="74" fillId="0" borderId="0" xfId="50" applyFont="1" applyFill="1" applyBorder="1" applyAlignment="1"/>
    <xf numFmtId="194" fontId="76" fillId="0" borderId="0" xfId="47" applyNumberFormat="1" applyFont="1" applyFill="1"/>
    <xf numFmtId="43" fontId="76" fillId="0" borderId="0" xfId="3" applyFont="1" applyFill="1"/>
    <xf numFmtId="169" fontId="75" fillId="0" borderId="0" xfId="50" applyNumberFormat="1" applyFont="1" applyFill="1" applyAlignment="1"/>
    <xf numFmtId="187" fontId="75" fillId="0" borderId="0" xfId="49" applyNumberFormat="1" applyFont="1" applyFill="1" applyBorder="1" applyAlignment="1">
      <alignment horizontal="left" indent="1"/>
    </xf>
    <xf numFmtId="37" fontId="75" fillId="0" borderId="0" xfId="49" applyNumberFormat="1" applyFont="1" applyFill="1" applyBorder="1"/>
    <xf numFmtId="37" fontId="75" fillId="0" borderId="0" xfId="49" applyNumberFormat="1" applyFont="1" applyFill="1" applyBorder="1" applyAlignment="1"/>
    <xf numFmtId="187" fontId="74" fillId="0" borderId="0" xfId="49" applyNumberFormat="1" applyFont="1" applyFill="1" applyBorder="1" applyAlignment="1">
      <alignment horizontal="left" indent="1"/>
    </xf>
    <xf numFmtId="37" fontId="74" fillId="0" borderId="0" xfId="49" applyNumberFormat="1" applyFont="1" applyFill="1" applyBorder="1"/>
    <xf numFmtId="37" fontId="74" fillId="0" borderId="0" xfId="49" applyNumberFormat="1" applyFont="1" applyFill="1" applyBorder="1" applyAlignment="1"/>
    <xf numFmtId="168" fontId="75" fillId="0" borderId="0" xfId="48" applyNumberFormat="1" applyFont="1" applyFill="1" applyAlignment="1">
      <alignment horizontal="center"/>
    </xf>
    <xf numFmtId="169" fontId="75" fillId="0" borderId="0" xfId="48" applyNumberFormat="1" applyFont="1" applyFill="1" applyAlignment="1">
      <alignment horizontal="center"/>
    </xf>
    <xf numFmtId="43" fontId="75" fillId="0" borderId="0" xfId="48" applyNumberFormat="1" applyFont="1" applyFill="1"/>
    <xf numFmtId="168" fontId="75" fillId="0" borderId="0" xfId="48" applyNumberFormat="1" applyFont="1" applyFill="1" applyBorder="1" applyAlignment="1">
      <alignment horizontal="center"/>
    </xf>
    <xf numFmtId="169" fontId="75" fillId="0" borderId="0" xfId="48" applyNumberFormat="1" applyFont="1" applyFill="1" applyBorder="1" applyAlignment="1">
      <alignment horizontal="center"/>
    </xf>
    <xf numFmtId="43" fontId="75" fillId="0" borderId="0" xfId="48" applyNumberFormat="1" applyFont="1" applyFill="1" applyBorder="1"/>
    <xf numFmtId="187" fontId="75" fillId="0" borderId="0" xfId="48" applyFont="1" applyFill="1" applyAlignment="1">
      <alignment horizontal="center" wrapText="1"/>
    </xf>
    <xf numFmtId="169" fontId="76" fillId="0" borderId="0" xfId="46" applyNumberFormat="1" applyFont="1" applyFill="1"/>
    <xf numFmtId="168" fontId="74" fillId="0" borderId="0" xfId="48" applyNumberFormat="1" applyFont="1" applyFill="1" applyAlignment="1">
      <alignment horizontal="center"/>
    </xf>
    <xf numFmtId="169" fontId="74" fillId="0" borderId="0" xfId="48" applyNumberFormat="1" applyFont="1" applyFill="1" applyAlignment="1">
      <alignment horizontal="center"/>
    </xf>
    <xf numFmtId="43" fontId="74" fillId="0" borderId="0" xfId="48" applyNumberFormat="1" applyFont="1" applyFill="1"/>
    <xf numFmtId="187" fontId="75" fillId="0" borderId="0" xfId="48" applyFont="1" applyFill="1" applyBorder="1" applyAlignment="1"/>
    <xf numFmtId="43" fontId="76" fillId="0" borderId="9" xfId="47" applyFont="1" applyFill="1" applyBorder="1" applyAlignment="1">
      <alignment horizontal="center"/>
    </xf>
    <xf numFmtId="168" fontId="75" fillId="0" borderId="11" xfId="48" applyNumberFormat="1" applyFont="1" applyFill="1" applyBorder="1" applyAlignment="1">
      <alignment horizontal="center"/>
    </xf>
    <xf numFmtId="187" fontId="76" fillId="0" borderId="0" xfId="46" applyFont="1" applyFill="1" applyAlignment="1">
      <alignment horizontal="center"/>
    </xf>
    <xf numFmtId="43" fontId="77" fillId="0" borderId="0" xfId="47" applyFont="1" applyFill="1" applyAlignment="1">
      <alignment horizontal="center"/>
    </xf>
    <xf numFmtId="10" fontId="76" fillId="0" borderId="0" xfId="44" applyNumberFormat="1" applyFont="1" applyFill="1"/>
    <xf numFmtId="168" fontId="76" fillId="0" borderId="9" xfId="47" applyNumberFormat="1" applyFont="1" applyFill="1" applyBorder="1" applyAlignment="1">
      <alignment horizontal="center"/>
    </xf>
    <xf numFmtId="168" fontId="43" fillId="0" borderId="0" xfId="3" applyNumberFormat="1" applyFont="1"/>
    <xf numFmtId="0" fontId="43" fillId="0" borderId="0" xfId="0" applyFont="1" applyFill="1" applyBorder="1" applyAlignment="1">
      <alignment horizontal="left" indent="1"/>
    </xf>
    <xf numFmtId="168" fontId="43" fillId="0" borderId="3" xfId="6" applyNumberFormat="1" applyFont="1" applyFill="1" applyBorder="1"/>
    <xf numFmtId="168" fontId="43" fillId="0" borderId="0" xfId="0" applyNumberFormat="1" applyFont="1" applyFill="1"/>
    <xf numFmtId="0" fontId="43" fillId="0" borderId="0" xfId="0" applyFont="1" applyFill="1" applyBorder="1"/>
    <xf numFmtId="168" fontId="43" fillId="0" borderId="0" xfId="6" applyNumberFormat="1" applyFont="1" applyFill="1"/>
    <xf numFmtId="0" fontId="63" fillId="0" borderId="0" xfId="0" applyFont="1" applyAlignment="1">
      <alignment horizontal="center"/>
    </xf>
    <xf numFmtId="0" fontId="63" fillId="0" borderId="1" xfId="0" applyFont="1" applyBorder="1" applyAlignment="1">
      <alignment horizontal="center"/>
    </xf>
    <xf numFmtId="0" fontId="78" fillId="0" borderId="0" xfId="0" applyFont="1"/>
    <xf numFmtId="14" fontId="43" fillId="0" borderId="0" xfId="0" applyNumberFormat="1" applyFont="1"/>
    <xf numFmtId="0" fontId="79" fillId="0" borderId="0" xfId="0" applyFont="1"/>
    <xf numFmtId="41" fontId="43" fillId="0" borderId="0" xfId="0" applyNumberFormat="1" applyFont="1"/>
    <xf numFmtId="37" fontId="43" fillId="0" borderId="0" xfId="0" applyNumberFormat="1" applyFont="1"/>
    <xf numFmtId="14" fontId="63" fillId="0" borderId="0" xfId="0" applyNumberFormat="1" applyFont="1"/>
    <xf numFmtId="168" fontId="43" fillId="0" borderId="3" xfId="3" applyNumberFormat="1" applyFont="1" applyBorder="1"/>
    <xf numFmtId="168" fontId="43" fillId="0" borderId="0" xfId="0" applyNumberFormat="1" applyFont="1"/>
    <xf numFmtId="10" fontId="43" fillId="0" borderId="0" xfId="44" applyNumberFormat="1" applyFont="1"/>
    <xf numFmtId="1" fontId="43" fillId="0" borderId="0" xfId="0" applyNumberFormat="1" applyFont="1"/>
    <xf numFmtId="187" fontId="43" fillId="0" borderId="0" xfId="26" applyNumberFormat="1" applyFont="1" applyFill="1" applyBorder="1"/>
    <xf numFmtId="187" fontId="43" fillId="0" borderId="0" xfId="26" applyFont="1" applyFill="1"/>
    <xf numFmtId="187" fontId="80" fillId="0" borderId="0" xfId="0" applyNumberFormat="1" applyFont="1" applyFill="1"/>
    <xf numFmtId="187" fontId="43" fillId="0" borderId="0" xfId="17" applyNumberFormat="1" applyFont="1" applyFill="1"/>
    <xf numFmtId="10" fontId="43" fillId="0" borderId="0" xfId="45" applyNumberFormat="1" applyFont="1" applyFill="1"/>
    <xf numFmtId="37" fontId="63" fillId="0" borderId="0" xfId="40" applyNumberFormat="1" applyFont="1" applyFill="1" applyAlignment="1">
      <alignment horizontal="right"/>
    </xf>
    <xf numFmtId="187" fontId="43" fillId="0" borderId="0" xfId="0" applyNumberFormat="1" applyFont="1"/>
    <xf numFmtId="37" fontId="63" fillId="0" borderId="0" xfId="40" applyNumberFormat="1" applyFont="1" applyFill="1" applyAlignment="1">
      <alignment horizontal="centerContinuous"/>
    </xf>
    <xf numFmtId="187" fontId="43" fillId="0" borderId="0" xfId="17" applyNumberFormat="1" applyFont="1" applyFill="1" applyAlignment="1">
      <alignment horizontal="centerContinuous"/>
    </xf>
    <xf numFmtId="168" fontId="43" fillId="0" borderId="0" xfId="5" applyNumberFormat="1" applyFont="1" applyFill="1" applyBorder="1" applyAlignment="1">
      <alignment horizontal="centerContinuous"/>
    </xf>
    <xf numFmtId="37" fontId="43" fillId="0" borderId="0" xfId="40" applyNumberFormat="1" applyFont="1" applyFill="1" applyAlignment="1">
      <alignment horizontal="centerContinuous"/>
    </xf>
    <xf numFmtId="173" fontId="43" fillId="0" borderId="0" xfId="40" applyNumberFormat="1" applyFont="1" applyFill="1" applyAlignment="1">
      <alignment horizontal="centerContinuous"/>
    </xf>
    <xf numFmtId="14" fontId="43" fillId="0" borderId="0" xfId="40" quotePrefix="1" applyNumberFormat="1" applyFont="1" applyFill="1" applyBorder="1" applyAlignment="1">
      <alignment horizontal="centerContinuous"/>
    </xf>
    <xf numFmtId="37" fontId="43" fillId="0" borderId="0" xfId="40" applyNumberFormat="1" applyFont="1" applyFill="1" applyBorder="1" applyAlignment="1">
      <alignment horizontal="centerContinuous"/>
    </xf>
    <xf numFmtId="168" fontId="43" fillId="0" borderId="0" xfId="5" applyNumberFormat="1" applyFont="1" applyFill="1" applyBorder="1" applyAlignment="1">
      <alignment horizontal="center"/>
    </xf>
    <xf numFmtId="14" fontId="43" fillId="0" borderId="0" xfId="40" quotePrefix="1" applyNumberFormat="1" applyFont="1" applyFill="1" applyBorder="1" applyAlignment="1">
      <alignment horizontal="center"/>
    </xf>
    <xf numFmtId="37" fontId="43" fillId="0" borderId="0" xfId="41" applyNumberFormat="1" applyFont="1" applyFill="1" applyAlignment="1">
      <alignment horizontal="center"/>
    </xf>
    <xf numFmtId="168" fontId="43" fillId="0" borderId="0" xfId="7" applyNumberFormat="1" applyFont="1" applyFill="1" applyBorder="1" applyAlignment="1">
      <alignment horizontal="center"/>
    </xf>
    <xf numFmtId="37" fontId="43" fillId="0" borderId="0" xfId="41" applyNumberFormat="1" applyFont="1" applyFill="1" applyBorder="1" applyAlignment="1">
      <alignment horizontal="center"/>
    </xf>
    <xf numFmtId="37" fontId="43" fillId="0" borderId="0" xfId="38" applyNumberFormat="1" applyFont="1" applyFill="1" applyBorder="1" applyAlignment="1">
      <alignment horizontal="center"/>
    </xf>
    <xf numFmtId="187" fontId="43" fillId="0" borderId="0" xfId="20" applyFont="1" applyFill="1"/>
    <xf numFmtId="14" fontId="43" fillId="0" borderId="0" xfId="41" applyNumberFormat="1" applyFont="1" applyFill="1" applyAlignment="1">
      <alignment horizontal="center"/>
    </xf>
    <xf numFmtId="187" fontId="43" fillId="0" borderId="0" xfId="0" applyNumberFormat="1" applyFont="1" applyFill="1"/>
    <xf numFmtId="37" fontId="43" fillId="0" borderId="0" xfId="41" applyNumberFormat="1" applyFont="1" applyFill="1"/>
    <xf numFmtId="168" fontId="43" fillId="0" borderId="0" xfId="7" applyNumberFormat="1" applyFont="1" applyFill="1" applyAlignment="1">
      <alignment horizontal="center"/>
    </xf>
    <xf numFmtId="187" fontId="63" fillId="0" borderId="1" xfId="0" applyNumberFormat="1" applyFont="1" applyFill="1" applyBorder="1"/>
    <xf numFmtId="187" fontId="43" fillId="0" borderId="1" xfId="20" applyFont="1" applyFill="1" applyBorder="1"/>
    <xf numFmtId="187" fontId="43" fillId="0" borderId="0" xfId="20" applyFont="1" applyFill="1" applyBorder="1"/>
    <xf numFmtId="168" fontId="43" fillId="0" borderId="1" xfId="7" applyNumberFormat="1" applyFont="1" applyFill="1" applyBorder="1" applyAlignment="1">
      <alignment horizontal="center"/>
    </xf>
    <xf numFmtId="187" fontId="43" fillId="0" borderId="0" xfId="0" applyNumberFormat="1" applyFont="1" applyFill="1" applyBorder="1" applyAlignment="1">
      <alignment horizontal="center"/>
    </xf>
    <xf numFmtId="187" fontId="43" fillId="0" borderId="0" xfId="0" applyNumberFormat="1" applyFont="1" applyFill="1" applyBorder="1"/>
    <xf numFmtId="187" fontId="43" fillId="0" borderId="0" xfId="0" applyNumberFormat="1" applyFont="1" applyFill="1" applyAlignment="1">
      <alignment horizontal="center"/>
    </xf>
    <xf numFmtId="168" fontId="43" fillId="0" borderId="0" xfId="5" applyNumberFormat="1" applyFont="1" applyFill="1" applyBorder="1" applyAlignment="1">
      <alignment horizontal="right"/>
    </xf>
    <xf numFmtId="187" fontId="43" fillId="0" borderId="0" xfId="0" applyNumberFormat="1" applyFont="1" applyBorder="1"/>
    <xf numFmtId="191" fontId="43" fillId="0" borderId="0" xfId="41" quotePrefix="1" applyNumberFormat="1" applyFont="1" applyFill="1"/>
    <xf numFmtId="168" fontId="43" fillId="0" borderId="0" xfId="7" applyNumberFormat="1" applyFont="1" applyFill="1" applyBorder="1"/>
    <xf numFmtId="37" fontId="43" fillId="0" borderId="0" xfId="41" applyNumberFormat="1" applyFont="1" applyFill="1" applyBorder="1"/>
    <xf numFmtId="43" fontId="43" fillId="0" borderId="0" xfId="4" applyFont="1" applyFill="1" applyBorder="1"/>
    <xf numFmtId="191" fontId="43" fillId="0" borderId="0" xfId="41" quotePrefix="1" applyNumberFormat="1" applyFont="1" applyFill="1" applyBorder="1"/>
    <xf numFmtId="187" fontId="43" fillId="0" borderId="0" xfId="26" applyFont="1" applyFill="1" applyBorder="1"/>
    <xf numFmtId="168" fontId="43" fillId="0" borderId="5" xfId="7" applyNumberFormat="1" applyFont="1" applyFill="1" applyBorder="1"/>
    <xf numFmtId="191" fontId="43" fillId="0" borderId="0" xfId="26" quotePrefix="1" applyNumberFormat="1" applyFont="1" applyFill="1" applyAlignment="1">
      <alignment horizontal="left"/>
    </xf>
    <xf numFmtId="43" fontId="43" fillId="0" borderId="0" xfId="3" applyFont="1" applyFill="1"/>
    <xf numFmtId="168" fontId="43" fillId="0" borderId="3" xfId="5" applyNumberFormat="1" applyFont="1" applyFill="1" applyBorder="1"/>
    <xf numFmtId="10" fontId="43" fillId="0" borderId="0" xfId="44" applyNumberFormat="1" applyFont="1" applyFill="1"/>
    <xf numFmtId="0" fontId="13" fillId="0" borderId="0" xfId="0" applyFont="1" applyAlignment="1">
      <alignment horizontal="right"/>
    </xf>
    <xf numFmtId="0" fontId="14" fillId="0" borderId="1" xfId="0" applyFont="1" applyFill="1" applyBorder="1"/>
    <xf numFmtId="10" fontId="14" fillId="0" borderId="0" xfId="44" applyNumberFormat="1" applyFont="1" applyBorder="1" applyAlignment="1"/>
    <xf numFmtId="0" fontId="67" fillId="0" borderId="0" xfId="0" applyFont="1" applyAlignment="1">
      <alignment horizontal="justify"/>
    </xf>
    <xf numFmtId="0" fontId="13" fillId="0" borderId="0" xfId="0" applyFont="1" applyBorder="1"/>
    <xf numFmtId="168" fontId="14" fillId="0" borderId="1" xfId="0" applyNumberFormat="1" applyFont="1" applyBorder="1" applyAlignment="1">
      <alignment horizontal="center"/>
    </xf>
    <xf numFmtId="169" fontId="27" fillId="0" borderId="1" xfId="12" applyNumberFormat="1" applyFont="1" applyFill="1" applyBorder="1"/>
    <xf numFmtId="0" fontId="43" fillId="0" borderId="0" xfId="0" applyFont="1" applyFill="1" applyAlignment="1">
      <alignment horizontal="right"/>
    </xf>
    <xf numFmtId="0" fontId="63" fillId="0" borderId="0" xfId="0" applyFont="1" applyAlignment="1">
      <alignment horizontal="right"/>
    </xf>
    <xf numFmtId="166" fontId="14" fillId="0" borderId="0" xfId="0" applyNumberFormat="1" applyFont="1" applyAlignment="1">
      <alignment horizontal="right"/>
    </xf>
    <xf numFmtId="43" fontId="74" fillId="0" borderId="0" xfId="3" applyFont="1" applyFill="1" applyBorder="1" applyAlignment="1">
      <alignment horizontal="center"/>
    </xf>
    <xf numFmtId="169" fontId="75" fillId="0" borderId="0" xfId="47" applyNumberFormat="1" applyFont="1" applyFill="1" applyBorder="1" applyAlignment="1">
      <alignment horizontal="center" wrapText="1"/>
    </xf>
    <xf numFmtId="169" fontId="75" fillId="0" borderId="0" xfId="49" applyNumberFormat="1" applyFont="1" applyFill="1" applyBorder="1" applyAlignment="1">
      <alignment horizontal="center" wrapText="1"/>
    </xf>
    <xf numFmtId="166" fontId="43" fillId="0" borderId="0" xfId="0" applyNumberFormat="1" applyFont="1"/>
    <xf numFmtId="166" fontId="63" fillId="0" borderId="0" xfId="0" applyNumberFormat="1" applyFont="1" applyFill="1"/>
    <xf numFmtId="43" fontId="81" fillId="0" borderId="0" xfId="3" applyFont="1" applyAlignment="1">
      <alignment horizontal="center"/>
    </xf>
    <xf numFmtId="166" fontId="43" fillId="0" borderId="0" xfId="0" applyNumberFormat="1" applyFont="1" applyFill="1"/>
    <xf numFmtId="166" fontId="43" fillId="0" borderId="0" xfId="0" applyNumberFormat="1" applyFont="1" applyFill="1" applyAlignment="1">
      <alignment horizontal="center"/>
    </xf>
    <xf numFmtId="166" fontId="43" fillId="0" borderId="0" xfId="0" applyNumberFormat="1" applyFont="1" applyAlignment="1">
      <alignment horizontal="center"/>
    </xf>
    <xf numFmtId="166" fontId="82" fillId="0" borderId="0" xfId="0" applyNumberFormat="1" applyFont="1"/>
    <xf numFmtId="168" fontId="43" fillId="0" borderId="0" xfId="3" applyNumberFormat="1" applyFont="1" applyFill="1" applyAlignment="1">
      <alignment horizontal="fill"/>
    </xf>
    <xf numFmtId="168" fontId="43" fillId="0" borderId="0" xfId="3" applyNumberFormat="1" applyFont="1" applyFill="1"/>
    <xf numFmtId="43" fontId="43" fillId="0" borderId="0" xfId="3" applyFont="1"/>
    <xf numFmtId="43" fontId="43" fillId="0" borderId="0" xfId="0" applyNumberFormat="1" applyFont="1"/>
    <xf numFmtId="166" fontId="43" fillId="0" borderId="0" xfId="0" applyNumberFormat="1" applyFont="1" applyFill="1" applyAlignment="1">
      <alignment horizontal="fill"/>
    </xf>
    <xf numFmtId="166" fontId="43" fillId="0" borderId="1" xfId="0" applyNumberFormat="1" applyFont="1" applyFill="1" applyBorder="1"/>
    <xf numFmtId="166" fontId="43" fillId="0" borderId="1" xfId="0" applyNumberFormat="1" applyFont="1" applyBorder="1"/>
    <xf numFmtId="43" fontId="43" fillId="0" borderId="0" xfId="3" applyFont="1" applyFill="1" applyAlignment="1">
      <alignment horizontal="fill"/>
    </xf>
    <xf numFmtId="43" fontId="43" fillId="0" borderId="0" xfId="3" applyFont="1" applyFill="1" applyAlignment="1">
      <alignment horizontal="right"/>
    </xf>
    <xf numFmtId="43" fontId="43" fillId="0" borderId="1" xfId="3" applyFont="1" applyFill="1" applyBorder="1"/>
    <xf numFmtId="168" fontId="43" fillId="0" borderId="5" xfId="3" applyNumberFormat="1" applyFont="1" applyFill="1" applyBorder="1" applyAlignment="1">
      <alignment horizontal="right"/>
    </xf>
    <xf numFmtId="166" fontId="43" fillId="0" borderId="5" xfId="0" applyNumberFormat="1" applyFont="1" applyFill="1" applyBorder="1" applyAlignment="1">
      <alignment horizontal="right"/>
    </xf>
    <xf numFmtId="166" fontId="43" fillId="0" borderId="5" xfId="0" applyNumberFormat="1" applyFont="1" applyBorder="1" applyAlignment="1">
      <alignment horizontal="right"/>
    </xf>
    <xf numFmtId="166" fontId="43" fillId="0" borderId="0" xfId="0" applyNumberFormat="1" applyFont="1" applyBorder="1" applyAlignment="1">
      <alignment horizontal="right"/>
    </xf>
    <xf numFmtId="43" fontId="43" fillId="0" borderId="0" xfId="0" applyNumberFormat="1" applyFont="1" applyBorder="1"/>
    <xf numFmtId="166" fontId="43" fillId="0" borderId="0" xfId="0" applyNumberFormat="1" applyFont="1" applyAlignment="1">
      <alignment horizontal="right"/>
    </xf>
    <xf numFmtId="166" fontId="83" fillId="0" borderId="0" xfId="0" applyNumberFormat="1" applyFont="1" applyFill="1"/>
    <xf numFmtId="166" fontId="80" fillId="0" borderId="0" xfId="0" applyNumberFormat="1" applyFont="1" applyFill="1"/>
    <xf numFmtId="168" fontId="80" fillId="0" borderId="0" xfId="3" applyNumberFormat="1" applyFont="1" applyFill="1"/>
    <xf numFmtId="168" fontId="83" fillId="0" borderId="0" xfId="3" applyNumberFormat="1" applyFont="1" applyFill="1" applyAlignment="1">
      <alignment horizontal="right"/>
    </xf>
    <xf numFmtId="43" fontId="80" fillId="0" borderId="0" xfId="3" applyFont="1" applyFill="1"/>
    <xf numFmtId="9" fontId="80" fillId="0" borderId="0" xfId="44" applyFont="1" applyFill="1"/>
    <xf numFmtId="44" fontId="80" fillId="0" borderId="0" xfId="12" applyFont="1" applyFill="1"/>
    <xf numFmtId="166" fontId="80" fillId="0" borderId="0" xfId="0" applyNumberFormat="1" applyFont="1" applyFill="1" applyAlignment="1">
      <alignment horizontal="center"/>
    </xf>
    <xf numFmtId="168" fontId="80" fillId="0" borderId="0" xfId="3" applyNumberFormat="1" applyFont="1" applyFill="1" applyAlignment="1">
      <alignment horizontal="center"/>
    </xf>
    <xf numFmtId="168" fontId="80" fillId="0" borderId="1" xfId="3" applyNumberFormat="1" applyFont="1" applyFill="1" applyBorder="1" applyAlignment="1">
      <alignment horizontal="center"/>
    </xf>
    <xf numFmtId="166" fontId="80" fillId="0" borderId="1" xfId="0" applyNumberFormat="1" applyFont="1" applyFill="1" applyBorder="1"/>
    <xf numFmtId="166" fontId="80" fillId="0" borderId="0" xfId="0" applyNumberFormat="1" applyFont="1" applyFill="1" applyAlignment="1">
      <alignment horizontal="right"/>
    </xf>
    <xf numFmtId="166" fontId="80" fillId="0" borderId="0" xfId="0" applyNumberFormat="1" applyFont="1" applyFill="1" applyAlignment="1">
      <alignment horizontal="left"/>
    </xf>
    <xf numFmtId="43" fontId="80" fillId="7" borderId="0" xfId="3" applyFont="1" applyFill="1"/>
    <xf numFmtId="2" fontId="80" fillId="0" borderId="0" xfId="0" applyNumberFormat="1" applyFont="1" applyFill="1"/>
    <xf numFmtId="43" fontId="80" fillId="0" borderId="0" xfId="3" applyNumberFormat="1" applyFont="1" applyFill="1"/>
    <xf numFmtId="168" fontId="80" fillId="0" borderId="6" xfId="3" applyNumberFormat="1" applyFont="1" applyFill="1" applyBorder="1"/>
    <xf numFmtId="189" fontId="80" fillId="0" borderId="0" xfId="3" applyNumberFormat="1" applyFont="1" applyFill="1"/>
    <xf numFmtId="168" fontId="80" fillId="0" borderId="1" xfId="3" applyNumberFormat="1" applyFont="1" applyFill="1" applyBorder="1"/>
    <xf numFmtId="166" fontId="80" fillId="0" borderId="0" xfId="0" applyNumberFormat="1" applyFont="1" applyFill="1" applyBorder="1"/>
    <xf numFmtId="168" fontId="80" fillId="0" borderId="0" xfId="3" applyNumberFormat="1" applyFont="1" applyFill="1" applyAlignment="1">
      <alignment horizontal="fill"/>
    </xf>
    <xf numFmtId="168" fontId="80" fillId="0" borderId="0" xfId="44" applyNumberFormat="1" applyFont="1" applyFill="1"/>
    <xf numFmtId="168" fontId="83" fillId="0" borderId="0" xfId="3" applyNumberFormat="1" applyFont="1" applyFill="1"/>
    <xf numFmtId="168" fontId="80" fillId="0" borderId="5" xfId="3" applyNumberFormat="1" applyFont="1" applyFill="1" applyBorder="1"/>
    <xf numFmtId="10" fontId="80" fillId="0" borderId="9" xfId="44" applyNumberFormat="1" applyFont="1" applyFill="1" applyBorder="1"/>
    <xf numFmtId="43" fontId="80" fillId="0" borderId="2" xfId="3" applyFont="1" applyFill="1" applyBorder="1"/>
    <xf numFmtId="168" fontId="80" fillId="0" borderId="0" xfId="3" applyNumberFormat="1" applyFont="1" applyFill="1" applyBorder="1"/>
    <xf numFmtId="10" fontId="80" fillId="0" borderId="0" xfId="44" applyNumberFormat="1" applyFont="1" applyFill="1" applyBorder="1"/>
    <xf numFmtId="187" fontId="80" fillId="0" borderId="7" xfId="0" applyNumberFormat="1" applyFont="1" applyFill="1" applyBorder="1"/>
    <xf numFmtId="187" fontId="80" fillId="0" borderId="8" xfId="0" applyNumberFormat="1" applyFont="1" applyFill="1" applyBorder="1"/>
    <xf numFmtId="187" fontId="80" fillId="0" borderId="0" xfId="0" applyNumberFormat="1" applyFont="1" applyFill="1" applyBorder="1"/>
    <xf numFmtId="187" fontId="80" fillId="0" borderId="22" xfId="0" applyNumberFormat="1" applyFont="1" applyFill="1" applyBorder="1"/>
    <xf numFmtId="187" fontId="80" fillId="0" borderId="24" xfId="0" applyNumberFormat="1" applyFont="1" applyFill="1" applyBorder="1"/>
    <xf numFmtId="187" fontId="80" fillId="0" borderId="25" xfId="0" applyNumberFormat="1" applyFont="1" applyFill="1" applyBorder="1"/>
    <xf numFmtId="168" fontId="80" fillId="0" borderId="0" xfId="0" applyNumberFormat="1" applyFont="1" applyFill="1"/>
    <xf numFmtId="168" fontId="80" fillId="0" borderId="0" xfId="3" applyNumberFormat="1" applyFont="1" applyFill="1" applyAlignment="1">
      <alignment horizontal="right"/>
    </xf>
    <xf numFmtId="10" fontId="80" fillId="0" borderId="0" xfId="0" applyNumberFormat="1" applyFont="1" applyFill="1"/>
    <xf numFmtId="42" fontId="80" fillId="0" borderId="0" xfId="0" applyNumberFormat="1" applyFont="1" applyFill="1" applyAlignment="1">
      <alignment horizontal="right"/>
    </xf>
    <xf numFmtId="187" fontId="63" fillId="0" borderId="0" xfId="0" applyNumberFormat="1" applyFont="1"/>
    <xf numFmtId="41" fontId="43" fillId="0" borderId="0" xfId="12" applyNumberFormat="1" applyFont="1"/>
    <xf numFmtId="41" fontId="43" fillId="0" borderId="1" xfId="0" applyNumberFormat="1" applyFont="1" applyBorder="1"/>
    <xf numFmtId="9" fontId="43" fillId="0" borderId="3" xfId="44" applyNumberFormat="1" applyFont="1" applyBorder="1"/>
    <xf numFmtId="41" fontId="43" fillId="0" borderId="6" xfId="0" applyNumberFormat="1" applyFont="1" applyBorder="1"/>
    <xf numFmtId="167" fontId="43" fillId="0" borderId="6" xfId="44" applyNumberFormat="1" applyFont="1" applyBorder="1"/>
    <xf numFmtId="167" fontId="43" fillId="0" borderId="0" xfId="44" applyNumberFormat="1" applyFont="1" applyBorder="1"/>
    <xf numFmtId="187" fontId="43" fillId="0" borderId="0" xfId="0" applyNumberFormat="1" applyFont="1" applyAlignment="1">
      <alignment wrapText="1"/>
    </xf>
    <xf numFmtId="41" fontId="43" fillId="0" borderId="3" xfId="0" applyNumberFormat="1" applyFont="1" applyBorder="1"/>
    <xf numFmtId="168" fontId="43" fillId="0" borderId="0" xfId="3" applyNumberFormat="1" applyFont="1" applyBorder="1"/>
    <xf numFmtId="168" fontId="43" fillId="0" borderId="0" xfId="3" applyNumberFormat="1" applyFont="1" applyBorder="1" applyAlignment="1">
      <alignment horizontal="center"/>
    </xf>
    <xf numFmtId="187" fontId="43" fillId="0" borderId="0" xfId="0" applyNumberFormat="1" applyFont="1" applyBorder="1" applyAlignment="1">
      <alignment horizontal="center"/>
    </xf>
    <xf numFmtId="187" fontId="43" fillId="0" borderId="0" xfId="0" applyNumberFormat="1" applyFont="1" applyBorder="1" applyAlignment="1">
      <alignment horizontal="left"/>
    </xf>
    <xf numFmtId="189" fontId="43" fillId="0" borderId="0" xfId="3" applyNumberFormat="1" applyFont="1" applyBorder="1"/>
    <xf numFmtId="43" fontId="43" fillId="0" borderId="0" xfId="12" applyNumberFormat="1" applyFont="1" applyBorder="1"/>
    <xf numFmtId="190" fontId="43" fillId="0" borderId="0" xfId="3" applyNumberFormat="1" applyFont="1" applyBorder="1"/>
    <xf numFmtId="187" fontId="63" fillId="0" borderId="0" xfId="0" applyNumberFormat="1" applyFont="1" applyBorder="1"/>
    <xf numFmtId="43" fontId="43" fillId="0" borderId="0" xfId="44" applyNumberFormat="1" applyFont="1" applyBorder="1"/>
    <xf numFmtId="10" fontId="43" fillId="0" borderId="0" xfId="44" applyNumberFormat="1" applyFont="1" applyBorder="1"/>
    <xf numFmtId="42" fontId="14" fillId="0" borderId="0" xfId="0" applyNumberFormat="1" applyFont="1" applyBorder="1"/>
    <xf numFmtId="169" fontId="14" fillId="0" borderId="0" xfId="12" applyNumberFormat="1" applyFont="1" applyBorder="1"/>
    <xf numFmtId="42" fontId="14" fillId="0" borderId="26" xfId="0" applyNumberFormat="1" applyFont="1" applyBorder="1"/>
    <xf numFmtId="0" fontId="63" fillId="0" borderId="0" xfId="0" applyFont="1"/>
    <xf numFmtId="166" fontId="63" fillId="0" borderId="0" xfId="0" applyNumberFormat="1" applyFont="1"/>
    <xf numFmtId="166" fontId="63" fillId="0" borderId="0" xfId="0" applyNumberFormat="1" applyFont="1" applyAlignment="1"/>
    <xf numFmtId="0" fontId="13" fillId="0" borderId="1" xfId="32" applyFont="1" applyBorder="1" applyAlignment="1">
      <alignment horizontal="center" wrapText="1"/>
    </xf>
    <xf numFmtId="43" fontId="13" fillId="0" borderId="1" xfId="3" applyFont="1" applyBorder="1" applyAlignment="1">
      <alignment horizontal="center" wrapText="1"/>
    </xf>
    <xf numFmtId="168" fontId="43" fillId="0" borderId="0" xfId="6" applyNumberFormat="1" applyFont="1" applyFill="1" applyBorder="1"/>
    <xf numFmtId="0" fontId="63" fillId="0" borderId="0" xfId="0" applyFont="1" applyBorder="1" applyAlignment="1">
      <alignment horizontal="center"/>
    </xf>
    <xf numFmtId="0" fontId="63" fillId="0" borderId="0" xfId="0" applyFont="1" applyFill="1" applyBorder="1" applyAlignment="1">
      <alignment horizontal="center" wrapText="1"/>
    </xf>
    <xf numFmtId="0" fontId="63" fillId="0" borderId="1" xfId="0" applyFont="1" applyFill="1" applyBorder="1" applyAlignment="1">
      <alignment horizontal="center" wrapText="1"/>
    </xf>
    <xf numFmtId="37" fontId="13" fillId="3" borderId="40" xfId="35" applyNumberFormat="1" applyFont="1" applyFill="1" applyBorder="1" applyAlignment="1">
      <alignment horizontal="center"/>
    </xf>
    <xf numFmtId="166" fontId="63" fillId="0" borderId="0" xfId="0" applyNumberFormat="1" applyFont="1" applyAlignment="1">
      <alignment horizontal="center"/>
    </xf>
    <xf numFmtId="166" fontId="63" fillId="0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right"/>
    </xf>
    <xf numFmtId="37" fontId="63" fillId="0" borderId="0" xfId="37" applyNumberFormat="1" applyFont="1" applyFill="1" applyBorder="1" applyAlignment="1">
      <alignment horizontal="center"/>
    </xf>
    <xf numFmtId="37" fontId="63" fillId="0" borderId="0" xfId="40" applyNumberFormat="1" applyFont="1" applyFill="1" applyAlignment="1">
      <alignment horizontal="center"/>
    </xf>
    <xf numFmtId="37" fontId="63" fillId="0" borderId="0" xfId="40" applyNumberFormat="1" applyFont="1" applyFill="1" applyBorder="1" applyAlignment="1">
      <alignment horizontal="center"/>
    </xf>
    <xf numFmtId="37" fontId="63" fillId="0" borderId="1" xfId="37" applyNumberFormat="1" applyFont="1" applyFill="1" applyBorder="1" applyAlignment="1">
      <alignment horizontal="center"/>
    </xf>
    <xf numFmtId="37" fontId="63" fillId="0" borderId="1" xfId="40" applyNumberFormat="1" applyFont="1" applyFill="1" applyBorder="1" applyAlignment="1">
      <alignment horizontal="center"/>
    </xf>
    <xf numFmtId="0" fontId="63" fillId="0" borderId="0" xfId="0" applyFont="1" applyFill="1" applyAlignment="1">
      <alignment horizontal="right"/>
    </xf>
    <xf numFmtId="37" fontId="14" fillId="0" borderId="3" xfId="39" applyNumberFormat="1" applyFont="1" applyFill="1" applyBorder="1"/>
    <xf numFmtId="166" fontId="63" fillId="0" borderId="0" xfId="0" applyNumberFormat="1" applyFont="1" applyFill="1" applyAlignment="1">
      <alignment horizontal="right"/>
    </xf>
    <xf numFmtId="168" fontId="63" fillId="0" borderId="0" xfId="3" applyNumberFormat="1" applyFont="1" applyAlignment="1">
      <alignment horizontal="right"/>
    </xf>
    <xf numFmtId="168" fontId="84" fillId="0" borderId="0" xfId="3" applyNumberFormat="1" applyFont="1" applyFill="1"/>
    <xf numFmtId="168" fontId="84" fillId="0" borderId="0" xfId="3" applyNumberFormat="1" applyFont="1" applyFill="1" applyAlignment="1">
      <alignment horizontal="fill"/>
    </xf>
    <xf numFmtId="169" fontId="27" fillId="0" borderId="3" xfId="12" applyNumberFormat="1" applyFont="1" applyFill="1" applyBorder="1"/>
    <xf numFmtId="44" fontId="14" fillId="0" borderId="0" xfId="0" applyNumberFormat="1" applyFont="1" applyBorder="1"/>
    <xf numFmtId="0" fontId="63" fillId="0" borderId="0" xfId="0" applyFont="1" applyFill="1"/>
    <xf numFmtId="168" fontId="75" fillId="0" borderId="1" xfId="3" applyNumberFormat="1" applyFont="1" applyFill="1" applyBorder="1" applyAlignment="1">
      <alignment horizontal="center" wrapText="1"/>
    </xf>
    <xf numFmtId="9" fontId="74" fillId="0" borderId="0" xfId="44" applyFont="1" applyFill="1" applyAlignment="1"/>
    <xf numFmtId="43" fontId="75" fillId="0" borderId="0" xfId="3" applyFont="1" applyFill="1" applyAlignment="1">
      <alignment horizontal="center"/>
    </xf>
    <xf numFmtId="43" fontId="75" fillId="0" borderId="0" xfId="3" applyFont="1" applyFill="1" applyBorder="1" applyAlignment="1">
      <alignment horizontal="center"/>
    </xf>
    <xf numFmtId="43" fontId="77" fillId="0" borderId="0" xfId="3" applyFont="1" applyFill="1"/>
    <xf numFmtId="43" fontId="75" fillId="0" borderId="1" xfId="3" applyFont="1" applyFill="1" applyBorder="1" applyAlignment="1">
      <alignment horizontal="center"/>
    </xf>
    <xf numFmtId="43" fontId="74" fillId="0" borderId="9" xfId="3" applyFont="1" applyFill="1" applyBorder="1" applyAlignment="1">
      <alignment horizontal="center"/>
    </xf>
    <xf numFmtId="43" fontId="75" fillId="0" borderId="0" xfId="44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horizontal="center"/>
    </xf>
    <xf numFmtId="44" fontId="14" fillId="0" borderId="0" xfId="0" applyNumberFormat="1" applyFont="1" applyFill="1" applyAlignment="1">
      <alignment horizontal="center"/>
    </xf>
    <xf numFmtId="43" fontId="75" fillId="0" borderId="0" xfId="3" applyFont="1" applyFill="1" applyAlignment="1">
      <alignment horizontal="left" indent="1"/>
    </xf>
    <xf numFmtId="10" fontId="75" fillId="0" borderId="0" xfId="44" applyNumberFormat="1" applyFont="1" applyFill="1" applyAlignment="1"/>
    <xf numFmtId="198" fontId="75" fillId="0" borderId="0" xfId="3" applyNumberFormat="1" applyFont="1" applyFill="1" applyAlignment="1"/>
    <xf numFmtId="43" fontId="52" fillId="7" borderId="0" xfId="3" applyFont="1" applyFill="1"/>
    <xf numFmtId="0" fontId="0" fillId="0" borderId="0" xfId="0" applyAlignment="1">
      <alignment horizontal="left"/>
    </xf>
    <xf numFmtId="176" fontId="13" fillId="0" borderId="2" xfId="0" applyNumberFormat="1" applyFont="1" applyBorder="1"/>
    <xf numFmtId="10" fontId="0" fillId="0" borderId="0" xfId="44" applyNumberFormat="1" applyFont="1"/>
    <xf numFmtId="0" fontId="0" fillId="0" borderId="0" xfId="0" applyNumberFormat="1"/>
    <xf numFmtId="9" fontId="0" fillId="0" borderId="0" xfId="44" applyFont="1"/>
    <xf numFmtId="167" fontId="0" fillId="0" borderId="0" xfId="44" applyNumberFormat="1" applyFont="1"/>
    <xf numFmtId="0" fontId="0" fillId="0" borderId="0" xfId="0" pivotButton="1"/>
    <xf numFmtId="0" fontId="0" fillId="7" borderId="0" xfId="0" applyNumberFormat="1" applyFill="1"/>
    <xf numFmtId="43" fontId="52" fillId="0" borderId="0" xfId="0" applyNumberFormat="1" applyFont="1" applyFill="1"/>
    <xf numFmtId="41" fontId="52" fillId="0" borderId="0" xfId="0" applyNumberFormat="1" applyFont="1" applyFill="1"/>
    <xf numFmtId="187" fontId="25" fillId="0" borderId="1" xfId="3" applyNumberFormat="1" applyFont="1" applyFill="1" applyBorder="1" applyAlignment="1">
      <alignment horizontal="left" vertical="center" wrapText="1"/>
    </xf>
    <xf numFmtId="187" fontId="25" fillId="0" borderId="1" xfId="3" applyNumberFormat="1" applyFont="1" applyFill="1" applyBorder="1" applyAlignment="1">
      <alignment vertical="center" wrapText="1"/>
    </xf>
    <xf numFmtId="175" fontId="25" fillId="0" borderId="28" xfId="0" applyNumberFormat="1" applyFont="1" applyFill="1" applyBorder="1" applyAlignment="1">
      <alignment horizontal="center" vertical="center" wrapText="1"/>
    </xf>
    <xf numFmtId="175" fontId="25" fillId="0" borderId="1" xfId="0" applyNumberFormat="1" applyFont="1" applyFill="1" applyBorder="1" applyAlignment="1">
      <alignment horizontal="center" vertical="center" wrapText="1"/>
    </xf>
    <xf numFmtId="43" fontId="25" fillId="0" borderId="35" xfId="3" applyFont="1" applyFill="1" applyBorder="1" applyAlignment="1">
      <alignment horizontal="center" vertical="center" wrapText="1"/>
    </xf>
    <xf numFmtId="43" fontId="80" fillId="0" borderId="0" xfId="3" applyFont="1" applyFill="1" applyBorder="1"/>
    <xf numFmtId="10" fontId="80" fillId="0" borderId="2" xfId="44" applyNumberFormat="1" applyFont="1" applyFill="1" applyBorder="1"/>
    <xf numFmtId="43" fontId="25" fillId="0" borderId="15" xfId="3" applyNumberFormat="1" applyFont="1" applyFill="1" applyBorder="1" applyAlignment="1"/>
    <xf numFmtId="167" fontId="14" fillId="0" borderId="0" xfId="44" applyNumberFormat="1" applyFont="1"/>
    <xf numFmtId="174" fontId="43" fillId="0" borderId="0" xfId="41" applyNumberFormat="1" applyFont="1" applyFill="1" applyBorder="1" applyAlignment="1">
      <alignment horizontal="center"/>
    </xf>
    <xf numFmtId="37" fontId="63" fillId="0" borderId="0" xfId="41" applyNumberFormat="1" applyFont="1" applyFill="1" applyBorder="1" applyAlignment="1">
      <alignment horizontal="center"/>
    </xf>
    <xf numFmtId="37" fontId="63" fillId="0" borderId="0" xfId="38" applyNumberFormat="1" applyFont="1" applyFill="1" applyBorder="1" applyAlignment="1">
      <alignment horizontal="center"/>
    </xf>
    <xf numFmtId="187" fontId="63" fillId="0" borderId="0" xfId="26" applyFont="1" applyFill="1" applyAlignment="1">
      <alignment horizontal="center"/>
    </xf>
    <xf numFmtId="0" fontId="63" fillId="0" borderId="0" xfId="0" applyFont="1" applyFill="1" applyAlignment="1">
      <alignment horizontal="center"/>
    </xf>
    <xf numFmtId="37" fontId="63" fillId="0" borderId="0" xfId="41" applyNumberFormat="1" applyFont="1" applyFill="1" applyAlignment="1">
      <alignment horizontal="center"/>
    </xf>
    <xf numFmtId="37" fontId="63" fillId="0" borderId="0" xfId="41" quotePrefix="1" applyNumberFormat="1" applyFont="1" applyFill="1" applyAlignment="1">
      <alignment horizontal="center"/>
    </xf>
    <xf numFmtId="37" fontId="63" fillId="0" borderId="0" xfId="38" applyNumberFormat="1" applyFont="1" applyFill="1" applyAlignment="1">
      <alignment horizontal="center"/>
    </xf>
    <xf numFmtId="14" fontId="63" fillId="0" borderId="0" xfId="41" applyNumberFormat="1" applyFont="1" applyFill="1" applyAlignment="1">
      <alignment horizontal="center"/>
    </xf>
    <xf numFmtId="187" fontId="63" fillId="0" borderId="0" xfId="26" applyFont="1" applyFill="1"/>
    <xf numFmtId="168" fontId="63" fillId="0" borderId="0" xfId="5" applyNumberFormat="1" applyFont="1" applyFill="1" applyBorder="1" applyAlignment="1">
      <alignment horizontal="center"/>
    </xf>
    <xf numFmtId="168" fontId="63" fillId="0" borderId="0" xfId="5" applyNumberFormat="1" applyFont="1" applyFill="1" applyAlignment="1">
      <alignment horizontal="center"/>
    </xf>
    <xf numFmtId="37" fontId="63" fillId="0" borderId="1" xfId="41" applyNumberFormat="1" applyFont="1" applyFill="1" applyBorder="1" applyAlignment="1">
      <alignment horizontal="center"/>
    </xf>
    <xf numFmtId="168" fontId="63" fillId="0" borderId="1" xfId="5" applyNumberFormat="1" applyFont="1" applyFill="1" applyBorder="1" applyAlignment="1">
      <alignment horizontal="center"/>
    </xf>
    <xf numFmtId="168" fontId="43" fillId="0" borderId="0" xfId="4" applyNumberFormat="1" applyFont="1" applyFill="1" applyBorder="1"/>
    <xf numFmtId="14" fontId="43" fillId="0" borderId="0" xfId="26" applyNumberFormat="1" applyFont="1" applyFill="1" applyBorder="1"/>
    <xf numFmtId="43" fontId="52" fillId="0" borderId="0" xfId="56" applyNumberFormat="1" applyFont="1" applyFill="1"/>
    <xf numFmtId="1" fontId="85" fillId="0" borderId="0" xfId="57" applyNumberFormat="1" applyFont="1" applyFill="1"/>
    <xf numFmtId="1" fontId="52" fillId="0" borderId="0" xfId="58" applyNumberFormat="1" applyFont="1" applyFill="1" applyBorder="1"/>
    <xf numFmtId="1" fontId="52" fillId="0" borderId="0" xfId="59" applyNumberFormat="1" applyFont="1" applyFill="1" applyBorder="1"/>
    <xf numFmtId="1" fontId="52" fillId="0" borderId="0" xfId="60" applyNumberFormat="1" applyFont="1" applyFill="1"/>
    <xf numFmtId="43" fontId="43" fillId="0" borderId="0" xfId="4" applyFont="1" applyFill="1"/>
    <xf numFmtId="41" fontId="79" fillId="0" borderId="0" xfId="0" applyNumberFormat="1" applyFont="1" applyFill="1"/>
    <xf numFmtId="41" fontId="43" fillId="0" borderId="0" xfId="0" applyNumberFormat="1" applyFont="1" applyFill="1"/>
    <xf numFmtId="0" fontId="5" fillId="0" borderId="0" xfId="25" applyFont="1" applyFill="1"/>
    <xf numFmtId="9" fontId="16" fillId="2" borderId="0" xfId="44" applyNumberFormat="1" applyFont="1" applyFill="1" applyBorder="1" applyAlignment="1">
      <alignment horizontal="center"/>
    </xf>
    <xf numFmtId="39" fontId="14" fillId="0" borderId="0" xfId="40" applyNumberFormat="1" applyFont="1" applyFill="1"/>
    <xf numFmtId="37" fontId="0" fillId="0" borderId="0" xfId="0" applyNumberFormat="1" applyAlignment="1" applyProtection="1">
      <alignment horizontal="left"/>
      <protection locked="0"/>
    </xf>
    <xf numFmtId="37" fontId="63" fillId="0" borderId="0" xfId="41" applyNumberFormat="1" applyFont="1" applyFill="1" applyAlignment="1">
      <alignment horizontal="left"/>
    </xf>
    <xf numFmtId="42" fontId="77" fillId="0" borderId="0" xfId="47" applyNumberFormat="1" applyFont="1" applyFill="1"/>
    <xf numFmtId="200" fontId="70" fillId="0" borderId="0" xfId="25" applyNumberFormat="1"/>
    <xf numFmtId="42" fontId="77" fillId="0" borderId="3" xfId="47" applyNumberFormat="1" applyFont="1" applyFill="1" applyBorder="1"/>
    <xf numFmtId="42" fontId="74" fillId="0" borderId="0" xfId="47" applyNumberFormat="1" applyFont="1" applyFill="1" applyAlignment="1"/>
    <xf numFmtId="42" fontId="74" fillId="0" borderId="3" xfId="47" quotePrefix="1" applyNumberFormat="1" applyFont="1" applyFill="1" applyBorder="1" applyAlignment="1"/>
    <xf numFmtId="194" fontId="75" fillId="0" borderId="1" xfId="47" applyNumberFormat="1" applyFont="1" applyFill="1" applyBorder="1" applyAlignment="1">
      <alignment horizontal="center" wrapText="1"/>
    </xf>
    <xf numFmtId="169" fontId="75" fillId="0" borderId="0" xfId="68" applyNumberFormat="1" applyFont="1" applyFill="1" applyBorder="1" applyAlignment="1"/>
    <xf numFmtId="39" fontId="75" fillId="0" borderId="0" xfId="49" applyNumberFormat="1" applyFont="1" applyFill="1" applyBorder="1" applyAlignment="1"/>
    <xf numFmtId="169" fontId="75" fillId="0" borderId="0" xfId="49" applyNumberFormat="1" applyFont="1" applyFill="1" applyAlignment="1"/>
    <xf numFmtId="168" fontId="75" fillId="0" borderId="0" xfId="51" applyNumberFormat="1" applyFont="1" applyFill="1" applyBorder="1" applyAlignment="1"/>
    <xf numFmtId="39" fontId="74" fillId="0" borderId="0" xfId="49" applyNumberFormat="1" applyFont="1" applyFill="1" applyAlignment="1">
      <alignment horizontal="center"/>
    </xf>
    <xf numFmtId="168" fontId="74" fillId="0" borderId="0" xfId="47" applyNumberFormat="1" applyFont="1" applyFill="1" applyAlignment="1"/>
    <xf numFmtId="39" fontId="74" fillId="0" borderId="0" xfId="49" applyNumberFormat="1" applyFont="1" applyFill="1" applyAlignment="1"/>
    <xf numFmtId="194" fontId="74" fillId="0" borderId="0" xfId="47" applyNumberFormat="1" applyFont="1" applyFill="1" applyAlignment="1"/>
    <xf numFmtId="169" fontId="74" fillId="0" borderId="0" xfId="47" applyNumberFormat="1" applyFont="1" applyFill="1" applyAlignment="1"/>
    <xf numFmtId="168" fontId="74" fillId="0" borderId="0" xfId="47" applyNumberFormat="1" applyFont="1" applyFill="1" applyBorder="1" applyAlignment="1"/>
    <xf numFmtId="168" fontId="74" fillId="0" borderId="0" xfId="5" applyNumberFormat="1" applyFont="1" applyFill="1" applyAlignment="1"/>
    <xf numFmtId="194" fontId="74" fillId="0" borderId="0" xfId="47" applyNumberFormat="1" applyFont="1" applyFill="1" applyBorder="1" applyAlignment="1"/>
    <xf numFmtId="169" fontId="74" fillId="0" borderId="0" xfId="49" applyNumberFormat="1" applyFont="1" applyFill="1" applyAlignment="1"/>
    <xf numFmtId="39" fontId="74" fillId="0" borderId="0" xfId="49" applyNumberFormat="1" applyFont="1" applyFill="1"/>
    <xf numFmtId="168" fontId="74" fillId="0" borderId="0" xfId="47" quotePrefix="1" applyNumberFormat="1" applyFont="1" applyFill="1" applyAlignment="1"/>
    <xf numFmtId="44" fontId="74" fillId="0" borderId="0" xfId="68" quotePrefix="1" applyFont="1" applyFill="1" applyAlignment="1"/>
    <xf numFmtId="39" fontId="75" fillId="0" borderId="0" xfId="49" applyNumberFormat="1" applyFont="1" applyFill="1"/>
    <xf numFmtId="44" fontId="75" fillId="0" borderId="0" xfId="68" applyFont="1" applyFill="1" applyAlignment="1"/>
    <xf numFmtId="168" fontId="75" fillId="0" borderId="0" xfId="5" applyNumberFormat="1" applyFont="1" applyFill="1" applyBorder="1" applyAlignment="1"/>
    <xf numFmtId="43" fontId="75" fillId="0" borderId="0" xfId="5" applyNumberFormat="1" applyFont="1" applyFill="1" applyAlignment="1"/>
    <xf numFmtId="187" fontId="74" fillId="0" borderId="0" xfId="49" applyNumberFormat="1" applyFont="1" applyFill="1" applyAlignment="1">
      <alignment horizontal="left" indent="2"/>
    </xf>
    <xf numFmtId="187" fontId="77" fillId="0" borderId="0" xfId="46" applyFont="1" applyFill="1"/>
    <xf numFmtId="187" fontId="74" fillId="0" borderId="0" xfId="49" applyNumberFormat="1" applyFont="1" applyFill="1" applyAlignment="1">
      <alignment horizontal="left" indent="3"/>
    </xf>
    <xf numFmtId="169" fontId="74" fillId="0" borderId="0" xfId="70" applyNumberFormat="1" applyFont="1" applyFill="1" applyBorder="1" applyAlignment="1"/>
    <xf numFmtId="168" fontId="75" fillId="0" borderId="0" xfId="51" quotePrefix="1" applyNumberFormat="1" applyFont="1" applyFill="1" applyBorder="1" applyAlignment="1"/>
    <xf numFmtId="0" fontId="75" fillId="0" borderId="0" xfId="72" applyNumberFormat="1" applyFont="1" applyFill="1"/>
    <xf numFmtId="44" fontId="74" fillId="0" borderId="0" xfId="68" applyFont="1" applyFill="1" applyBorder="1" applyAlignment="1"/>
    <xf numFmtId="168" fontId="74" fillId="0" borderId="0" xfId="5" applyNumberFormat="1" applyFont="1" applyFill="1" applyBorder="1" applyAlignment="1"/>
    <xf numFmtId="187" fontId="74" fillId="0" borderId="0" xfId="49" applyNumberFormat="1" applyFont="1" applyFill="1" applyBorder="1" applyAlignment="1">
      <alignment horizontal="center"/>
    </xf>
    <xf numFmtId="168" fontId="75" fillId="0" borderId="0" xfId="47" quotePrefix="1" applyNumberFormat="1" applyFont="1" applyFill="1" applyBorder="1" applyAlignment="1"/>
    <xf numFmtId="169" fontId="75" fillId="0" borderId="0" xfId="47" applyNumberFormat="1" applyFont="1" applyFill="1" applyBorder="1" applyAlignment="1"/>
    <xf numFmtId="169" fontId="75" fillId="0" borderId="0" xfId="51" applyNumberFormat="1" applyFont="1" applyFill="1" applyBorder="1" applyAlignment="1"/>
    <xf numFmtId="169" fontId="74" fillId="0" borderId="0" xfId="47" applyNumberFormat="1" applyFont="1" applyFill="1" applyBorder="1" applyAlignment="1"/>
    <xf numFmtId="187" fontId="76" fillId="0" borderId="0" xfId="46" applyFont="1" applyFill="1" applyBorder="1"/>
    <xf numFmtId="39" fontId="74" fillId="0" borderId="0" xfId="49" applyNumberFormat="1" applyFont="1" applyFill="1" applyBorder="1" applyAlignment="1">
      <alignment horizontal="left" indent="3"/>
    </xf>
    <xf numFmtId="168" fontId="77" fillId="0" borderId="0" xfId="47" applyNumberFormat="1" applyFont="1" applyFill="1"/>
    <xf numFmtId="194" fontId="77" fillId="0" borderId="0" xfId="47" applyNumberFormat="1" applyFont="1" applyFill="1"/>
    <xf numFmtId="168" fontId="77" fillId="0" borderId="0" xfId="5" applyNumberFormat="1" applyFont="1" applyFill="1" applyBorder="1"/>
    <xf numFmtId="194" fontId="77" fillId="0" borderId="0" xfId="47" applyNumberFormat="1" applyFont="1" applyFill="1" applyBorder="1"/>
    <xf numFmtId="168" fontId="76" fillId="0" borderId="0" xfId="5" applyNumberFormat="1" applyFont="1" applyFill="1" applyBorder="1"/>
    <xf numFmtId="168" fontId="75" fillId="0" borderId="0" xfId="47" applyNumberFormat="1" applyFont="1" applyFill="1" applyAlignment="1"/>
    <xf numFmtId="194" fontId="75" fillId="0" borderId="0" xfId="47" applyNumberFormat="1" applyFont="1" applyFill="1" applyAlignment="1"/>
    <xf numFmtId="169" fontId="75" fillId="0" borderId="0" xfId="47" applyNumberFormat="1" applyFont="1" applyFill="1" applyAlignment="1"/>
    <xf numFmtId="168" fontId="75" fillId="0" borderId="0" xfId="47" applyNumberFormat="1" applyFont="1" applyFill="1" applyBorder="1" applyAlignment="1"/>
    <xf numFmtId="168" fontId="75" fillId="0" borderId="0" xfId="5" applyNumberFormat="1" applyFont="1" applyFill="1" applyAlignment="1"/>
    <xf numFmtId="194" fontId="75" fillId="0" borderId="0" xfId="47" applyNumberFormat="1" applyFont="1" applyFill="1" applyBorder="1" applyAlignment="1"/>
    <xf numFmtId="168" fontId="75" fillId="0" borderId="0" xfId="51" applyNumberFormat="1" applyFont="1" applyFill="1" applyAlignment="1"/>
    <xf numFmtId="39" fontId="75" fillId="0" borderId="0" xfId="49" applyNumberFormat="1" applyFont="1" applyFill="1" applyAlignment="1"/>
    <xf numFmtId="169" fontId="75" fillId="0" borderId="0" xfId="51" applyNumberFormat="1" applyFont="1" applyFill="1" applyAlignment="1"/>
    <xf numFmtId="168" fontId="75" fillId="0" borderId="0" xfId="47" quotePrefix="1" applyNumberFormat="1" applyFont="1" applyFill="1" applyAlignment="1"/>
    <xf numFmtId="168" fontId="75" fillId="0" borderId="0" xfId="51" quotePrefix="1" applyNumberFormat="1" applyFont="1" applyFill="1" applyAlignment="1"/>
    <xf numFmtId="168" fontId="74" fillId="0" borderId="3" xfId="47" applyNumberFormat="1" applyFont="1" applyFill="1" applyBorder="1" applyAlignment="1"/>
    <xf numFmtId="168" fontId="74" fillId="0" borderId="0" xfId="51" applyNumberFormat="1" applyFont="1" applyFill="1" applyAlignment="1"/>
    <xf numFmtId="169" fontId="74" fillId="0" borderId="3" xfId="47" applyNumberFormat="1" applyFont="1" applyFill="1" applyBorder="1" applyAlignment="1"/>
    <xf numFmtId="168" fontId="74" fillId="0" borderId="3" xfId="5" applyNumberFormat="1" applyFont="1" applyFill="1" applyBorder="1" applyAlignment="1"/>
    <xf numFmtId="44" fontId="74" fillId="0" borderId="3" xfId="70" applyNumberFormat="1" applyFont="1" applyFill="1" applyBorder="1" applyAlignment="1"/>
    <xf numFmtId="168" fontId="74" fillId="0" borderId="3" xfId="47" quotePrefix="1" applyNumberFormat="1" applyFont="1" applyFill="1" applyBorder="1" applyAlignment="1"/>
    <xf numFmtId="168" fontId="77" fillId="0" borderId="3" xfId="47" applyNumberFormat="1" applyFont="1" applyFill="1" applyBorder="1"/>
    <xf numFmtId="187" fontId="75" fillId="0" borderId="1" xfId="48" applyFont="1" applyFill="1" applyBorder="1" applyAlignment="1">
      <alignment horizontal="center"/>
    </xf>
    <xf numFmtId="187" fontId="75" fillId="0" borderId="0" xfId="49" applyNumberFormat="1" applyFont="1" applyFill="1" applyAlignment="1">
      <alignment horizontal="left" indent="1"/>
    </xf>
    <xf numFmtId="8" fontId="75" fillId="0" borderId="0" xfId="68" applyNumberFormat="1" applyFont="1" applyFill="1" applyAlignment="1"/>
    <xf numFmtId="44" fontId="75" fillId="0" borderId="0" xfId="68" applyFont="1" applyFill="1" applyBorder="1" applyAlignment="1"/>
    <xf numFmtId="169" fontId="75" fillId="0" borderId="0" xfId="70" applyNumberFormat="1" applyFont="1" applyFill="1" applyAlignment="1"/>
    <xf numFmtId="8" fontId="75" fillId="0" borderId="0" xfId="5" applyNumberFormat="1" applyFont="1" applyFill="1" applyAlignment="1"/>
    <xf numFmtId="43" fontId="75" fillId="0" borderId="0" xfId="5" applyFont="1" applyFill="1" applyAlignment="1"/>
    <xf numFmtId="37" fontId="74" fillId="0" borderId="3" xfId="47" applyNumberFormat="1" applyFont="1" applyFill="1" applyBorder="1" applyAlignment="1"/>
    <xf numFmtId="199" fontId="75" fillId="0" borderId="0" xfId="47" applyNumberFormat="1" applyFont="1" applyFill="1" applyAlignment="1"/>
    <xf numFmtId="42" fontId="74" fillId="0" borderId="3" xfId="47" applyNumberFormat="1" applyFont="1" applyFill="1" applyBorder="1" applyAlignment="1"/>
    <xf numFmtId="194" fontId="76" fillId="0" borderId="0" xfId="46" applyNumberFormat="1" applyFont="1" applyFill="1"/>
    <xf numFmtId="168" fontId="75" fillId="0" borderId="3" xfId="5" applyNumberFormat="1" applyFont="1" applyFill="1" applyBorder="1" applyAlignment="1"/>
    <xf numFmtId="39" fontId="75" fillId="0" borderId="0" xfId="49" applyNumberFormat="1" applyFont="1" applyFill="1" applyAlignment="1">
      <alignment horizontal="left" indent="1"/>
    </xf>
    <xf numFmtId="168" fontId="76" fillId="0" borderId="0" xfId="5" applyNumberFormat="1" applyFont="1" applyFill="1"/>
    <xf numFmtId="8" fontId="76" fillId="0" borderId="0" xfId="68" applyNumberFormat="1" applyFont="1" applyFill="1"/>
    <xf numFmtId="39" fontId="74" fillId="0" borderId="0" xfId="49" applyNumberFormat="1" applyFont="1" applyFill="1" applyAlignment="1">
      <alignment horizontal="left" indent="2"/>
    </xf>
    <xf numFmtId="39" fontId="74" fillId="0" borderId="0" xfId="49" applyNumberFormat="1" applyFont="1" applyFill="1" applyAlignment="1">
      <alignment horizontal="left" indent="3"/>
    </xf>
    <xf numFmtId="8" fontId="76" fillId="0" borderId="0" xfId="5" applyNumberFormat="1" applyFont="1" applyFill="1"/>
    <xf numFmtId="39" fontId="74" fillId="0" borderId="0" xfId="49" applyNumberFormat="1" applyFont="1" applyFill="1" applyAlignment="1">
      <alignment horizontal="left" indent="4"/>
    </xf>
    <xf numFmtId="169" fontId="75" fillId="0" borderId="0" xfId="68" applyNumberFormat="1" applyFont="1" applyFill="1" applyAlignment="1"/>
    <xf numFmtId="0" fontId="87" fillId="0" borderId="0" xfId="75" applyFill="1">
      <alignment vertical="top"/>
    </xf>
    <xf numFmtId="3" fontId="24" fillId="0" borderId="0" xfId="0" applyNumberFormat="1" applyFont="1" applyFill="1" applyAlignment="1"/>
    <xf numFmtId="0" fontId="24" fillId="0" borderId="0" xfId="0" applyNumberFormat="1" applyFont="1" applyFill="1" applyAlignment="1"/>
    <xf numFmtId="37" fontId="24" fillId="0" borderId="1" xfId="0" applyNumberFormat="1" applyFont="1" applyFill="1" applyBorder="1" applyAlignment="1">
      <alignment horizontal="center"/>
    </xf>
    <xf numFmtId="37" fontId="24" fillId="0" borderId="0" xfId="0" applyNumberFormat="1" applyFont="1" applyFill="1"/>
    <xf numFmtId="197" fontId="24" fillId="0" borderId="0" xfId="0" applyNumberFormat="1" applyFont="1" applyFill="1"/>
    <xf numFmtId="197" fontId="24" fillId="0" borderId="3" xfId="0" applyNumberFormat="1" applyFont="1" applyFill="1" applyBorder="1"/>
    <xf numFmtId="37" fontId="24" fillId="0" borderId="6" xfId="0" applyNumberFormat="1" applyFont="1" applyFill="1" applyBorder="1"/>
    <xf numFmtId="37" fontId="24" fillId="0" borderId="3" xfId="0" applyNumberFormat="1" applyFont="1" applyFill="1" applyBorder="1"/>
    <xf numFmtId="44" fontId="75" fillId="0" borderId="0" xfId="12" applyFont="1" applyFill="1" applyAlignment="1">
      <alignment horizontal="center"/>
    </xf>
    <xf numFmtId="168" fontId="90" fillId="0" borderId="5" xfId="5" applyNumberFormat="1" applyFont="1" applyFill="1" applyBorder="1"/>
    <xf numFmtId="168" fontId="91" fillId="0" borderId="5" xfId="5" applyNumberFormat="1" applyFont="1" applyFill="1" applyBorder="1"/>
    <xf numFmtId="5" fontId="75" fillId="0" borderId="0" xfId="3" applyNumberFormat="1" applyFont="1" applyFill="1" applyBorder="1" applyAlignment="1">
      <alignment horizontal="center"/>
    </xf>
    <xf numFmtId="10" fontId="13" fillId="0" borderId="5" xfId="39" applyNumberFormat="1" applyFont="1" applyFill="1" applyBorder="1"/>
    <xf numFmtId="37" fontId="91" fillId="0" borderId="0" xfId="37" applyNumberFormat="1" applyFont="1" applyFill="1" applyBorder="1" applyAlignment="1">
      <alignment horizontal="center"/>
    </xf>
    <xf numFmtId="37" fontId="91" fillId="0" borderId="0" xfId="40" applyNumberFormat="1" applyFont="1" applyFill="1" applyAlignment="1">
      <alignment horizontal="center"/>
    </xf>
    <xf numFmtId="14" fontId="91" fillId="0" borderId="0" xfId="40" quotePrefix="1" applyNumberFormat="1" applyFont="1" applyFill="1" applyBorder="1" applyAlignment="1">
      <alignment horizontal="center"/>
    </xf>
    <xf numFmtId="168" fontId="91" fillId="0" borderId="0" xfId="3" applyNumberFormat="1" applyFont="1" applyFill="1" applyBorder="1" applyAlignment="1">
      <alignment horizontal="center"/>
    </xf>
    <xf numFmtId="37" fontId="91" fillId="0" borderId="1" xfId="37" applyNumberFormat="1" applyFont="1" applyFill="1" applyBorder="1" applyAlignment="1">
      <alignment horizontal="center"/>
    </xf>
    <xf numFmtId="37" fontId="91" fillId="0" borderId="1" xfId="40" applyNumberFormat="1" applyFont="1" applyFill="1" applyBorder="1" applyAlignment="1">
      <alignment horizontal="center"/>
    </xf>
    <xf numFmtId="9" fontId="91" fillId="0" borderId="1" xfId="44" applyFont="1" applyFill="1" applyBorder="1" applyAlignment="1">
      <alignment horizontal="center"/>
    </xf>
    <xf numFmtId="37" fontId="91" fillId="0" borderId="0" xfId="40" applyNumberFormat="1" applyFont="1" applyFill="1" applyBorder="1" applyAlignment="1">
      <alignment horizontal="center"/>
    </xf>
    <xf numFmtId="0" fontId="92" fillId="0" borderId="0" xfId="0" applyFont="1"/>
    <xf numFmtId="0" fontId="59" fillId="0" borderId="0" xfId="17" applyFont="1" applyFill="1" applyAlignment="1">
      <alignment horizontal="left"/>
    </xf>
    <xf numFmtId="201" fontId="25" fillId="0" borderId="0" xfId="17" applyNumberFormat="1" applyFont="1" applyFill="1" applyAlignment="1">
      <alignment horizontal="center"/>
    </xf>
    <xf numFmtId="0" fontId="25" fillId="0" borderId="0" xfId="17" applyFont="1" applyFill="1"/>
    <xf numFmtId="0" fontId="59" fillId="0" borderId="0" xfId="17" applyFont="1" applyFill="1" applyAlignment="1">
      <alignment horizontal="right"/>
    </xf>
    <xf numFmtId="0" fontId="25" fillId="0" borderId="0" xfId="17" applyFont="1" applyFill="1" applyAlignment="1">
      <alignment horizontal="center"/>
    </xf>
    <xf numFmtId="0" fontId="60" fillId="0" borderId="0" xfId="17" applyFont="1" applyFill="1" applyAlignment="1">
      <alignment horizontal="center" wrapText="1"/>
    </xf>
    <xf numFmtId="43" fontId="60" fillId="0" borderId="0" xfId="3" applyFont="1" applyFill="1" applyAlignment="1">
      <alignment horizontal="center" wrapText="1"/>
    </xf>
    <xf numFmtId="0" fontId="25" fillId="0" borderId="0" xfId="17" applyNumberFormat="1" applyFont="1" applyFill="1" applyAlignment="1">
      <alignment horizontal="center"/>
    </xf>
    <xf numFmtId="0" fontId="60" fillId="0" borderId="0" xfId="17" applyFont="1" applyFill="1"/>
    <xf numFmtId="191" fontId="25" fillId="0" borderId="0" xfId="17" applyNumberFormat="1" applyFont="1" applyFill="1" applyAlignment="1">
      <alignment horizontal="center"/>
    </xf>
    <xf numFmtId="0" fontId="25" fillId="0" borderId="0" xfId="17" quotePrefix="1" applyNumberFormat="1" applyFont="1" applyFill="1" applyAlignment="1">
      <alignment horizontal="left"/>
    </xf>
    <xf numFmtId="168" fontId="25" fillId="0" borderId="0" xfId="3" applyNumberFormat="1" applyFont="1" applyFill="1"/>
    <xf numFmtId="187" fontId="54" fillId="0" borderId="0" xfId="17" applyNumberFormat="1" applyFont="1" applyFill="1"/>
    <xf numFmtId="168" fontId="54" fillId="0" borderId="0" xfId="3" applyNumberFormat="1" applyFont="1" applyFill="1"/>
    <xf numFmtId="191" fontId="60" fillId="0" borderId="0" xfId="3" applyNumberFormat="1" applyFont="1" applyFill="1" applyAlignment="1">
      <alignment horizontal="center"/>
    </xf>
    <xf numFmtId="43" fontId="60" fillId="0" borderId="0" xfId="3" quotePrefix="1" applyFont="1" applyFill="1"/>
    <xf numFmtId="43" fontId="60" fillId="0" borderId="0" xfId="3" applyFont="1" applyFill="1" applyAlignment="1">
      <alignment horizontal="center"/>
    </xf>
    <xf numFmtId="9" fontId="54" fillId="0" borderId="0" xfId="44" applyFont="1" applyFill="1"/>
    <xf numFmtId="10" fontId="25" fillId="0" borderId="0" xfId="44" applyNumberFormat="1" applyFont="1" applyFill="1"/>
    <xf numFmtId="168" fontId="25" fillId="0" borderId="0" xfId="3" applyNumberFormat="1" applyFont="1" applyFill="1" applyAlignment="1">
      <alignment horizontal="center"/>
    </xf>
    <xf numFmtId="37" fontId="25" fillId="0" borderId="0" xfId="3" applyNumberFormat="1" applyFont="1" applyFill="1" applyAlignment="1">
      <alignment horizontal="center"/>
    </xf>
    <xf numFmtId="10" fontId="54" fillId="0" borderId="0" xfId="44" applyNumberFormat="1" applyFont="1" applyFill="1"/>
    <xf numFmtId="43" fontId="25" fillId="0" borderId="0" xfId="17" applyNumberFormat="1" applyFont="1" applyFill="1"/>
    <xf numFmtId="0" fontId="108" fillId="0" borderId="0" xfId="17" applyFont="1" applyFill="1"/>
    <xf numFmtId="0" fontId="25" fillId="0" borderId="0" xfId="3" applyNumberFormat="1" applyFont="1" applyFill="1"/>
    <xf numFmtId="201" fontId="54" fillId="0" borderId="0" xfId="17" applyNumberFormat="1" applyFont="1" applyFill="1" applyAlignment="1">
      <alignment horizontal="center"/>
    </xf>
    <xf numFmtId="0" fontId="25" fillId="0" borderId="0" xfId="3" applyNumberFormat="1" applyFont="1" applyFill="1" applyAlignment="1">
      <alignment horizontal="left"/>
    </xf>
    <xf numFmtId="174" fontId="25" fillId="0" borderId="0" xfId="3" applyNumberFormat="1" applyFont="1" applyFill="1" applyAlignment="1">
      <alignment horizontal="center"/>
    </xf>
    <xf numFmtId="168" fontId="60" fillId="0" borderId="0" xfId="3" applyNumberFormat="1" applyFont="1" applyFill="1"/>
    <xf numFmtId="43" fontId="25" fillId="0" borderId="0" xfId="3" applyNumberFormat="1" applyFont="1" applyFill="1"/>
    <xf numFmtId="168" fontId="25" fillId="0" borderId="0" xfId="17" applyNumberFormat="1" applyFont="1" applyFill="1"/>
    <xf numFmtId="0" fontId="59" fillId="0" borderId="0" xfId="17" applyFont="1" applyAlignment="1">
      <alignment horizontal="left"/>
    </xf>
    <xf numFmtId="201" fontId="25" fillId="0" borderId="0" xfId="17" applyNumberFormat="1" applyFont="1" applyAlignment="1">
      <alignment horizontal="center"/>
    </xf>
    <xf numFmtId="0" fontId="25" fillId="0" borderId="0" xfId="17" applyFont="1"/>
    <xf numFmtId="1" fontId="59" fillId="0" borderId="0" xfId="17" applyNumberFormat="1" applyFont="1" applyFill="1" applyAlignment="1">
      <alignment horizontal="center"/>
    </xf>
    <xf numFmtId="43" fontId="25" fillId="0" borderId="0" xfId="3" applyFont="1" applyAlignment="1">
      <alignment horizontal="center"/>
    </xf>
    <xf numFmtId="0" fontId="59" fillId="0" borderId="0" xfId="17" applyFont="1" applyAlignment="1">
      <alignment horizontal="right"/>
    </xf>
    <xf numFmtId="1" fontId="25" fillId="0" borderId="0" xfId="17" applyNumberFormat="1" applyFont="1" applyFill="1" applyAlignment="1">
      <alignment horizontal="center"/>
    </xf>
    <xf numFmtId="187" fontId="54" fillId="0" borderId="0" xfId="17" applyNumberFormat="1" applyFont="1"/>
    <xf numFmtId="1" fontId="54" fillId="0" borderId="0" xfId="17" applyNumberFormat="1" applyFont="1"/>
    <xf numFmtId="0" fontId="25" fillId="0" borderId="0" xfId="17" applyFont="1" applyAlignment="1">
      <alignment horizontal="center"/>
    </xf>
    <xf numFmtId="187" fontId="109" fillId="0" borderId="0" xfId="17" applyNumberFormat="1" applyFont="1" applyAlignment="1">
      <alignment horizontal="center" wrapText="1"/>
    </xf>
    <xf numFmtId="201" fontId="54" fillId="0" borderId="0" xfId="17" applyNumberFormat="1" applyFont="1" applyAlignment="1">
      <alignment horizontal="center"/>
    </xf>
    <xf numFmtId="1" fontId="109" fillId="0" borderId="0" xfId="17" applyNumberFormat="1" applyFont="1" applyFill="1" applyAlignment="1">
      <alignment horizontal="center" wrapText="1"/>
    </xf>
    <xf numFmtId="43" fontId="109" fillId="0" borderId="0" xfId="3" applyFont="1" applyAlignment="1">
      <alignment horizontal="center" wrapText="1"/>
    </xf>
    <xf numFmtId="0" fontId="60" fillId="0" borderId="0" xfId="17" applyFont="1" applyAlignment="1">
      <alignment horizontal="center" wrapText="1"/>
    </xf>
    <xf numFmtId="187" fontId="54" fillId="0" borderId="0" xfId="17" applyNumberFormat="1" applyFont="1" applyAlignment="1">
      <alignment horizontal="center"/>
    </xf>
    <xf numFmtId="1" fontId="54" fillId="0" borderId="0" xfId="17" applyNumberFormat="1" applyFont="1" applyFill="1" applyAlignment="1">
      <alignment horizontal="center"/>
    </xf>
    <xf numFmtId="43" fontId="54" fillId="0" borderId="0" xfId="3" applyFont="1" applyAlignment="1">
      <alignment horizontal="center"/>
    </xf>
    <xf numFmtId="187" fontId="109" fillId="0" borderId="0" xfId="17" applyNumberFormat="1" applyFont="1"/>
    <xf numFmtId="191" fontId="54" fillId="0" borderId="0" xfId="3" applyNumberFormat="1" applyFont="1" applyFill="1" applyAlignment="1">
      <alignment horizontal="center"/>
    </xf>
    <xf numFmtId="168" fontId="54" fillId="0" borderId="0" xfId="3" applyNumberFormat="1" applyFont="1"/>
    <xf numFmtId="168" fontId="54" fillId="0" borderId="0" xfId="3" applyNumberFormat="1" applyFont="1" applyAlignment="1">
      <alignment horizontal="center"/>
    </xf>
    <xf numFmtId="41" fontId="54" fillId="0" borderId="0" xfId="17" applyNumberFormat="1" applyFont="1"/>
    <xf numFmtId="0" fontId="54" fillId="0" borderId="0" xfId="17" applyNumberFormat="1" applyFont="1" applyFill="1" applyAlignment="1">
      <alignment horizontal="left"/>
    </xf>
    <xf numFmtId="1" fontId="54" fillId="0" borderId="0" xfId="3" applyNumberFormat="1" applyFont="1" applyFill="1" applyAlignment="1">
      <alignment horizontal="center"/>
    </xf>
    <xf numFmtId="41" fontId="54" fillId="0" borderId="0" xfId="3" applyNumberFormat="1" applyFont="1"/>
    <xf numFmtId="9" fontId="54" fillId="0" borderId="0" xfId="44" applyFont="1"/>
    <xf numFmtId="1" fontId="54" fillId="0" borderId="0" xfId="17" applyNumberFormat="1" applyFont="1" applyFill="1" applyAlignment="1">
      <alignment horizontal="left"/>
    </xf>
    <xf numFmtId="43" fontId="54" fillId="0" borderId="0" xfId="3" applyFont="1"/>
    <xf numFmtId="191" fontId="109" fillId="0" borderId="0" xfId="3" applyNumberFormat="1" applyFont="1" applyFill="1" applyAlignment="1">
      <alignment horizontal="center"/>
    </xf>
    <xf numFmtId="43" fontId="109" fillId="0" borderId="0" xfId="3" quotePrefix="1" applyFont="1" applyFill="1"/>
    <xf numFmtId="43" fontId="109" fillId="0" borderId="0" xfId="3" applyFont="1"/>
    <xf numFmtId="43" fontId="109" fillId="0" borderId="0" xfId="3" applyFont="1" applyAlignment="1">
      <alignment horizontal="center"/>
    </xf>
    <xf numFmtId="1" fontId="109" fillId="0" borderId="0" xfId="3" applyNumberFormat="1" applyFont="1" applyFill="1" applyAlignment="1">
      <alignment horizontal="center"/>
    </xf>
    <xf numFmtId="43" fontId="60" fillId="0" borderId="0" xfId="3" applyFont="1"/>
    <xf numFmtId="10" fontId="54" fillId="0" borderId="0" xfId="44" applyNumberFormat="1" applyFont="1"/>
    <xf numFmtId="201" fontId="109" fillId="0" borderId="0" xfId="17" applyNumberFormat="1" applyFont="1" applyAlignment="1">
      <alignment horizontal="center"/>
    </xf>
    <xf numFmtId="1" fontId="60" fillId="0" borderId="0" xfId="17" applyNumberFormat="1" applyFont="1" applyFill="1" applyAlignment="1">
      <alignment horizontal="center"/>
    </xf>
    <xf numFmtId="168" fontId="61" fillId="0" borderId="0" xfId="3" applyNumberFormat="1" applyFont="1"/>
    <xf numFmtId="168" fontId="110" fillId="0" borderId="0" xfId="3" applyNumberFormat="1" applyFont="1"/>
    <xf numFmtId="187" fontId="109" fillId="0" borderId="0" xfId="17" applyNumberFormat="1" applyFont="1" applyFill="1"/>
    <xf numFmtId="187" fontId="54" fillId="0" borderId="0" xfId="17" quotePrefix="1" applyNumberFormat="1" applyFont="1" applyFill="1"/>
    <xf numFmtId="37" fontId="54" fillId="0" borderId="0" xfId="3" applyNumberFormat="1" applyFont="1" applyFill="1" applyBorder="1" applyProtection="1">
      <protection locked="0"/>
    </xf>
    <xf numFmtId="0" fontId="54" fillId="0" borderId="0" xfId="17" quotePrefix="1" applyNumberFormat="1" applyFont="1" applyFill="1" applyAlignment="1">
      <alignment horizontal="left"/>
    </xf>
    <xf numFmtId="168" fontId="111" fillId="0" borderId="0" xfId="3" applyNumberFormat="1" applyFont="1"/>
    <xf numFmtId="187" fontId="25" fillId="0" borderId="0" xfId="17" applyNumberFormat="1" applyFont="1"/>
    <xf numFmtId="168" fontId="111" fillId="0" borderId="0" xfId="3" applyNumberFormat="1" applyFont="1" applyFill="1"/>
    <xf numFmtId="168" fontId="109" fillId="0" borderId="0" xfId="3" applyNumberFormat="1" applyFont="1" applyAlignment="1">
      <alignment horizontal="center"/>
    </xf>
    <xf numFmtId="43" fontId="54" fillId="0" borderId="0" xfId="17" applyNumberFormat="1" applyFont="1"/>
    <xf numFmtId="0" fontId="54" fillId="0" borderId="0" xfId="17" applyNumberFormat="1" applyFont="1"/>
    <xf numFmtId="187" fontId="112" fillId="0" borderId="0" xfId="17" applyNumberFormat="1" applyFont="1" applyFill="1"/>
    <xf numFmtId="187" fontId="54" fillId="0" borderId="0" xfId="3" applyNumberFormat="1" applyFont="1" applyFill="1"/>
    <xf numFmtId="1" fontId="54" fillId="0" borderId="0" xfId="3" applyNumberFormat="1" applyFont="1" applyFill="1" applyAlignment="1">
      <alignment horizontal="left"/>
    </xf>
    <xf numFmtId="187" fontId="54" fillId="0" borderId="0" xfId="3" applyNumberFormat="1" applyFont="1" applyFill="1" applyAlignment="1">
      <alignment horizontal="left"/>
    </xf>
    <xf numFmtId="168" fontId="109" fillId="0" borderId="0" xfId="3" applyNumberFormat="1" applyFont="1"/>
    <xf numFmtId="43" fontId="54" fillId="0" borderId="0" xfId="3" applyNumberFormat="1" applyFont="1" applyFill="1"/>
    <xf numFmtId="168" fontId="54" fillId="0" borderId="0" xfId="17" applyNumberFormat="1" applyFont="1"/>
    <xf numFmtId="168" fontId="54" fillId="0" borderId="0" xfId="17" applyNumberFormat="1" applyFont="1" applyFill="1"/>
    <xf numFmtId="0" fontId="25" fillId="0" borderId="0" xfId="17" applyNumberFormat="1" applyFont="1" applyAlignment="1">
      <alignment horizontal="center"/>
    </xf>
    <xf numFmtId="0" fontId="25" fillId="0" borderId="0" xfId="282" applyFont="1" applyFill="1"/>
    <xf numFmtId="185" fontId="25" fillId="0" borderId="0" xfId="282" applyNumberFormat="1" applyFont="1" applyFill="1"/>
    <xf numFmtId="185" fontId="25" fillId="0" borderId="0" xfId="282" applyNumberFormat="1" applyFont="1" applyFill="1" applyBorder="1"/>
    <xf numFmtId="182" fontId="59" fillId="0" borderId="0" xfId="282" applyNumberFormat="1" applyFont="1" applyFill="1" applyBorder="1" applyAlignment="1">
      <alignment horizontal="left"/>
    </xf>
    <xf numFmtId="185" fontId="25" fillId="0" borderId="0" xfId="282" applyNumberFormat="1" applyFont="1" applyFill="1" applyBorder="1" applyAlignment="1">
      <alignment horizontal="center"/>
    </xf>
    <xf numFmtId="185" fontId="25" fillId="0" borderId="0" xfId="282" applyNumberFormat="1" applyFont="1" applyFill="1" applyAlignment="1">
      <alignment horizontal="center"/>
    </xf>
    <xf numFmtId="185" fontId="25" fillId="0" borderId="0" xfId="282" applyNumberFormat="1" applyFont="1" applyFill="1" applyBorder="1" applyAlignment="1">
      <alignment wrapText="1"/>
    </xf>
    <xf numFmtId="185" fontId="25" fillId="0" borderId="0" xfId="282" applyNumberFormat="1" applyFont="1" applyFill="1" applyAlignment="1">
      <alignment wrapText="1"/>
    </xf>
    <xf numFmtId="168" fontId="25" fillId="0" borderId="0" xfId="3" applyNumberFormat="1" applyFont="1" applyFill="1" applyBorder="1" applyAlignment="1">
      <alignment wrapText="1"/>
    </xf>
    <xf numFmtId="185" fontId="25" fillId="0" borderId="1" xfId="282" applyNumberFormat="1" applyFont="1" applyFill="1" applyBorder="1" applyAlignment="1">
      <alignment horizontal="center"/>
    </xf>
    <xf numFmtId="185" fontId="25" fillId="0" borderId="1" xfId="364" applyNumberFormat="1" applyFont="1" applyFill="1" applyBorder="1" applyAlignment="1">
      <alignment horizontal="center"/>
    </xf>
    <xf numFmtId="37" fontId="25" fillId="0" borderId="0" xfId="18" applyNumberFormat="1" applyFont="1" applyFill="1" applyBorder="1" applyAlignment="1"/>
    <xf numFmtId="168" fontId="25" fillId="0" borderId="1" xfId="3" applyNumberFormat="1" applyFont="1" applyFill="1" applyBorder="1" applyAlignment="1">
      <alignment horizontal="center" wrapText="1"/>
    </xf>
    <xf numFmtId="185" fontId="25" fillId="0" borderId="0" xfId="364" applyNumberFormat="1" applyFont="1" applyFill="1" applyBorder="1"/>
    <xf numFmtId="185" fontId="25" fillId="0" borderId="1" xfId="282" applyNumberFormat="1" applyFont="1" applyFill="1" applyBorder="1" applyAlignment="1">
      <alignment horizontal="center" wrapText="1"/>
    </xf>
    <xf numFmtId="185" fontId="25" fillId="0" borderId="0" xfId="282" applyNumberFormat="1" applyFont="1" applyFill="1" applyAlignment="1">
      <alignment horizontal="right"/>
    </xf>
    <xf numFmtId="191" fontId="25" fillId="0" borderId="0" xfId="282" applyNumberFormat="1" applyFont="1" applyFill="1"/>
    <xf numFmtId="185" fontId="25" fillId="0" borderId="0" xfId="364" applyNumberFormat="1" applyFont="1" applyFill="1" applyAlignment="1">
      <alignment horizontal="center"/>
    </xf>
    <xf numFmtId="185" fontId="25" fillId="0" borderId="0" xfId="364" applyNumberFormat="1" applyFont="1" applyFill="1" applyBorder="1" applyAlignment="1">
      <alignment horizontal="center"/>
    </xf>
    <xf numFmtId="185" fontId="25" fillId="0" borderId="0" xfId="364" applyNumberFormat="1" applyFont="1" applyFill="1"/>
    <xf numFmtId="185" fontId="25" fillId="0" borderId="0" xfId="282" applyNumberFormat="1" applyFont="1" applyFill="1" applyAlignment="1">
      <alignment horizontal="center" wrapText="1"/>
    </xf>
    <xf numFmtId="168" fontId="25" fillId="0" borderId="0" xfId="3" applyNumberFormat="1" applyFont="1" applyFill="1" applyAlignment="1">
      <alignment horizontal="center" wrapText="1"/>
    </xf>
    <xf numFmtId="182" fontId="25" fillId="0" borderId="0" xfId="282" applyNumberFormat="1" applyFont="1" applyFill="1" applyBorder="1" applyAlignment="1">
      <alignment horizontal="left"/>
    </xf>
    <xf numFmtId="191" fontId="25" fillId="0" borderId="0" xfId="282" quotePrefix="1" applyNumberFormat="1" applyFont="1" applyFill="1" applyAlignment="1">
      <alignment horizontal="center"/>
    </xf>
    <xf numFmtId="204" fontId="25" fillId="0" borderId="0" xfId="364" applyNumberFormat="1" applyFont="1" applyFill="1" applyAlignment="1">
      <alignment horizontal="center"/>
    </xf>
    <xf numFmtId="37" fontId="25" fillId="0" borderId="0" xfId="18" applyNumberFormat="1" applyFont="1" applyFill="1" applyAlignment="1"/>
    <xf numFmtId="0" fontId="25" fillId="0" borderId="0" xfId="282" applyNumberFormat="1" applyFont="1" applyFill="1" applyAlignment="1">
      <alignment horizontal="center" wrapText="1"/>
    </xf>
    <xf numFmtId="2" fontId="25" fillId="0" borderId="0" xfId="364" applyNumberFormat="1" applyFont="1" applyFill="1"/>
    <xf numFmtId="9" fontId="25" fillId="0" borderId="0" xfId="44" applyFont="1" applyFill="1"/>
    <xf numFmtId="168" fontId="25" fillId="0" borderId="0" xfId="282" applyNumberFormat="1" applyFont="1" applyFill="1"/>
    <xf numFmtId="168" fontId="25" fillId="0" borderId="0" xfId="3" applyNumberFormat="1" applyFont="1" applyFill="1" applyAlignment="1"/>
    <xf numFmtId="168" fontId="25" fillId="0" borderId="3" xfId="282" applyNumberFormat="1" applyFont="1" applyFill="1" applyBorder="1"/>
    <xf numFmtId="191" fontId="25" fillId="0" borderId="0" xfId="282" applyNumberFormat="1" applyFont="1" applyFill="1" applyAlignment="1">
      <alignment horizontal="center"/>
    </xf>
    <xf numFmtId="185" fontId="25" fillId="0" borderId="1" xfId="364" applyNumberFormat="1" applyFont="1" applyFill="1" applyBorder="1" applyAlignment="1">
      <alignment horizontal="center" wrapText="1"/>
    </xf>
    <xf numFmtId="37" fontId="25" fillId="0" borderId="0" xfId="282" applyNumberFormat="1" applyFont="1" applyFill="1"/>
    <xf numFmtId="185" fontId="25" fillId="0" borderId="0" xfId="365" applyFont="1" applyFill="1" applyBorder="1"/>
    <xf numFmtId="10" fontId="25" fillId="0" borderId="0" xfId="44" applyNumberFormat="1" applyFont="1" applyFill="1" applyBorder="1" applyAlignment="1">
      <alignment horizontal="right" wrapText="1"/>
    </xf>
    <xf numFmtId="49" fontId="25" fillId="0" borderId="0" xfId="282" applyNumberFormat="1" applyFont="1" applyFill="1" applyAlignment="1">
      <alignment horizontal="center"/>
    </xf>
    <xf numFmtId="10" fontId="25" fillId="0" borderId="0" xfId="366" applyNumberFormat="1" applyFont="1" applyFill="1"/>
    <xf numFmtId="49" fontId="25" fillId="0" borderId="0" xfId="364" applyNumberFormat="1" applyFont="1" applyFill="1" applyAlignment="1">
      <alignment horizontal="center"/>
    </xf>
    <xf numFmtId="185" fontId="25" fillId="0" borderId="0" xfId="365" applyFont="1" applyFill="1"/>
    <xf numFmtId="185" fontId="25" fillId="0" borderId="0" xfId="18" applyNumberFormat="1" applyFont="1" applyFill="1" applyBorder="1"/>
    <xf numFmtId="185" fontId="25" fillId="0" borderId="0" xfId="18" applyNumberFormat="1" applyFont="1" applyFill="1"/>
    <xf numFmtId="204" fontId="25" fillId="0" borderId="0" xfId="282" applyNumberFormat="1" applyFont="1" applyFill="1" applyAlignment="1">
      <alignment horizontal="center"/>
    </xf>
    <xf numFmtId="185" fontId="25" fillId="0" borderId="0" xfId="282" applyNumberFormat="1" applyFont="1" applyFill="1" applyAlignment="1">
      <alignment horizontal="left"/>
    </xf>
    <xf numFmtId="185" fontId="25" fillId="0" borderId="0" xfId="364" applyNumberFormat="1" applyFont="1" applyFill="1" applyBorder="1" applyAlignment="1">
      <alignment horizontal="left"/>
    </xf>
    <xf numFmtId="204" fontId="25" fillId="0" borderId="0" xfId="282" applyNumberFormat="1" applyFont="1" applyFill="1" applyAlignment="1">
      <alignment horizontal="left"/>
    </xf>
    <xf numFmtId="43" fontId="25" fillId="0" borderId="0" xfId="282" applyNumberFormat="1" applyFont="1" applyFill="1"/>
    <xf numFmtId="185" fontId="25" fillId="0" borderId="0" xfId="282" applyNumberFormat="1" applyFont="1" applyFill="1" applyBorder="1" applyAlignment="1">
      <alignment horizontal="center" vertical="center"/>
    </xf>
    <xf numFmtId="168" fontId="25" fillId="0" borderId="0" xfId="3" applyNumberFormat="1" applyFont="1" applyFill="1" applyBorder="1" applyAlignment="1">
      <alignment horizontal="center" vertical="center"/>
    </xf>
    <xf numFmtId="168" fontId="25" fillId="0" borderId="0" xfId="3" applyNumberFormat="1" applyFont="1" applyFill="1" applyBorder="1"/>
    <xf numFmtId="37" fontId="25" fillId="0" borderId="0" xfId="18" applyNumberFormat="1" applyFont="1" applyFill="1" applyBorder="1" applyAlignment="1">
      <alignment horizontal="right"/>
    </xf>
    <xf numFmtId="185" fontId="25" fillId="0" borderId="0" xfId="364" applyNumberFormat="1" applyFont="1" applyFill="1" applyBorder="1" applyAlignment="1">
      <alignment horizontal="right"/>
    </xf>
    <xf numFmtId="185" fontId="25" fillId="0" borderId="0" xfId="282" applyNumberFormat="1" applyFont="1" applyFill="1" applyBorder="1" applyAlignment="1"/>
    <xf numFmtId="185" fontId="25" fillId="0" borderId="0" xfId="282" applyNumberFormat="1" applyFont="1" applyFill="1" applyAlignment="1"/>
    <xf numFmtId="0" fontId="25" fillId="0" borderId="0" xfId="282" applyFont="1" applyFill="1" applyAlignment="1">
      <alignment horizontal="right"/>
    </xf>
    <xf numFmtId="0" fontId="25" fillId="0" borderId="0" xfId="282" applyFont="1" applyFill="1" applyAlignment="1">
      <alignment horizontal="center"/>
    </xf>
    <xf numFmtId="43" fontId="25" fillId="0" borderId="0" xfId="366" applyFont="1" applyFill="1" applyBorder="1"/>
    <xf numFmtId="168" fontId="25" fillId="0" borderId="0" xfId="366" applyNumberFormat="1" applyFont="1" applyFill="1" applyBorder="1"/>
    <xf numFmtId="168" fontId="25" fillId="0" borderId="0" xfId="366" applyNumberFormat="1" applyFont="1" applyFill="1" applyBorder="1" applyAlignment="1">
      <alignment horizontal="center" wrapText="1"/>
    </xf>
    <xf numFmtId="185" fontId="25" fillId="0" borderId="1" xfId="364" applyNumberFormat="1" applyFont="1" applyFill="1" applyBorder="1"/>
    <xf numFmtId="43" fontId="25" fillId="0" borderId="1" xfId="366" applyFont="1" applyFill="1" applyBorder="1" applyAlignment="1">
      <alignment horizontal="center" wrapText="1"/>
    </xf>
    <xf numFmtId="168" fontId="25" fillId="0" borderId="1" xfId="366" applyNumberFormat="1" applyFont="1" applyFill="1" applyBorder="1" applyAlignment="1">
      <alignment horizontal="center" wrapText="1"/>
    </xf>
    <xf numFmtId="191" fontId="25" fillId="0" borderId="0" xfId="364" applyNumberFormat="1" applyFont="1" applyFill="1" applyAlignment="1">
      <alignment horizontal="center"/>
    </xf>
    <xf numFmtId="185" fontId="25" fillId="0" borderId="0" xfId="282" applyNumberFormat="1" applyFont="1" applyFill="1" applyBorder="1" applyAlignment="1">
      <alignment horizontal="center" wrapText="1"/>
    </xf>
    <xf numFmtId="191" fontId="25" fillId="0" borderId="0" xfId="364" applyNumberFormat="1" applyFont="1" applyFill="1"/>
    <xf numFmtId="43" fontId="25" fillId="0" borderId="0" xfId="366" applyFont="1" applyFill="1"/>
    <xf numFmtId="168" fontId="25" fillId="0" borderId="0" xfId="366" applyNumberFormat="1" applyFont="1" applyFill="1"/>
    <xf numFmtId="1" fontId="25" fillId="0" borderId="0" xfId="364" applyNumberFormat="1" applyFont="1" applyFill="1" applyAlignment="1">
      <alignment horizontal="center"/>
    </xf>
    <xf numFmtId="168" fontId="25" fillId="0" borderId="0" xfId="364" applyNumberFormat="1" applyFont="1" applyFill="1"/>
    <xf numFmtId="168" fontId="25" fillId="0" borderId="1" xfId="366" applyNumberFormat="1" applyFont="1" applyFill="1" applyBorder="1"/>
    <xf numFmtId="168" fontId="25" fillId="0" borderId="1" xfId="364" applyNumberFormat="1" applyFont="1" applyFill="1" applyBorder="1"/>
    <xf numFmtId="0" fontId="25" fillId="0" borderId="0" xfId="282" applyFont="1"/>
    <xf numFmtId="191" fontId="25" fillId="0" borderId="0" xfId="282" applyNumberFormat="1" applyFont="1" applyAlignment="1">
      <alignment horizontal="center"/>
    </xf>
    <xf numFmtId="43" fontId="25" fillId="0" borderId="0" xfId="366" applyFont="1" applyFill="1" applyBorder="1" applyAlignment="1">
      <alignment horizontal="center"/>
    </xf>
    <xf numFmtId="185" fontId="25" fillId="0" borderId="0" xfId="364" applyNumberFormat="1" applyFont="1" applyFill="1" applyBorder="1" applyAlignment="1">
      <alignment horizontal="center" wrapText="1"/>
    </xf>
    <xf numFmtId="204" fontId="25" fillId="0" borderId="0" xfId="364" applyNumberFormat="1" applyFont="1" applyFill="1" applyBorder="1" applyAlignment="1">
      <alignment horizontal="center"/>
    </xf>
    <xf numFmtId="10" fontId="25" fillId="0" borderId="0" xfId="44" applyNumberFormat="1" applyFont="1" applyFill="1" applyBorder="1" applyAlignment="1">
      <alignment wrapText="1"/>
    </xf>
    <xf numFmtId="168" fontId="25" fillId="0" borderId="0" xfId="364" applyNumberFormat="1" applyFont="1" applyFill="1" applyBorder="1"/>
    <xf numFmtId="168" fontId="25" fillId="0" borderId="3" xfId="364" applyNumberFormat="1" applyFont="1" applyFill="1" applyBorder="1"/>
    <xf numFmtId="49" fontId="25" fillId="0" borderId="0" xfId="282" applyNumberFormat="1" applyFont="1" applyFill="1"/>
    <xf numFmtId="10" fontId="25" fillId="0" borderId="0" xfId="282" applyNumberFormat="1" applyFont="1" applyFill="1"/>
    <xf numFmtId="37" fontId="25" fillId="0" borderId="0" xfId="17" applyNumberFormat="1" applyFont="1" applyFill="1" applyAlignment="1"/>
    <xf numFmtId="43" fontId="25" fillId="0" borderId="0" xfId="17" applyNumberFormat="1" applyFont="1" applyFill="1" applyAlignment="1">
      <alignment horizontal="center"/>
    </xf>
    <xf numFmtId="187" fontId="54" fillId="7" borderId="0" xfId="17" applyNumberFormat="1" applyFont="1" applyFill="1"/>
    <xf numFmtId="187" fontId="54" fillId="0" borderId="0" xfId="17" applyNumberFormat="1" applyFont="1" applyAlignment="1">
      <alignment horizontal="right"/>
    </xf>
    <xf numFmtId="167" fontId="25" fillId="0" borderId="0" xfId="44" applyNumberFormat="1" applyFont="1"/>
    <xf numFmtId="0" fontId="25" fillId="7" borderId="0" xfId="17" applyNumberFormat="1" applyFont="1" applyFill="1" applyAlignment="1">
      <alignment horizontal="center"/>
    </xf>
    <xf numFmtId="0" fontId="60" fillId="7" borderId="0" xfId="17" applyFont="1" applyFill="1"/>
    <xf numFmtId="0" fontId="25" fillId="7" borderId="0" xfId="17" applyFont="1" applyFill="1"/>
    <xf numFmtId="201" fontId="25" fillId="7" borderId="0" xfId="17" applyNumberFormat="1" applyFont="1" applyFill="1" applyAlignment="1">
      <alignment horizontal="center"/>
    </xf>
    <xf numFmtId="191" fontId="25" fillId="7" borderId="0" xfId="17" applyNumberFormat="1" applyFont="1" applyFill="1" applyAlignment="1">
      <alignment horizontal="center"/>
    </xf>
    <xf numFmtId="0" fontId="25" fillId="7" borderId="0" xfId="17" quotePrefix="1" applyNumberFormat="1" applyFont="1" applyFill="1" applyAlignment="1">
      <alignment horizontal="left"/>
    </xf>
    <xf numFmtId="168" fontId="25" fillId="7" borderId="0" xfId="3" applyNumberFormat="1" applyFont="1" applyFill="1"/>
    <xf numFmtId="49" fontId="25" fillId="7" borderId="0" xfId="3" applyNumberFormat="1" applyFont="1" applyFill="1" applyAlignment="1">
      <alignment horizontal="center"/>
    </xf>
    <xf numFmtId="43" fontId="25" fillId="7" borderId="0" xfId="3" applyFont="1" applyFill="1" applyAlignment="1">
      <alignment horizontal="center"/>
    </xf>
    <xf numFmtId="168" fontId="54" fillId="7" borderId="0" xfId="3" applyNumberFormat="1" applyFont="1" applyFill="1"/>
    <xf numFmtId="191" fontId="60" fillId="7" borderId="0" xfId="3" applyNumberFormat="1" applyFont="1" applyFill="1" applyAlignment="1">
      <alignment horizontal="center"/>
    </xf>
    <xf numFmtId="43" fontId="60" fillId="7" borderId="0" xfId="3" quotePrefix="1" applyFont="1" applyFill="1"/>
    <xf numFmtId="43" fontId="60" fillId="7" borderId="0" xfId="3" applyFont="1" applyFill="1"/>
    <xf numFmtId="43" fontId="60" fillId="7" borderId="0" xfId="3" applyFont="1" applyFill="1" applyAlignment="1">
      <alignment horizontal="center"/>
    </xf>
    <xf numFmtId="43" fontId="25" fillId="7" borderId="0" xfId="3" applyNumberFormat="1" applyFont="1" applyFill="1" applyAlignment="1">
      <alignment horizontal="center"/>
    </xf>
    <xf numFmtId="0" fontId="25" fillId="7" borderId="0" xfId="17" applyFont="1" applyFill="1" applyAlignment="1">
      <alignment horizontal="center"/>
    </xf>
    <xf numFmtId="9" fontId="54" fillId="7" borderId="0" xfId="44" applyFont="1" applyFill="1"/>
    <xf numFmtId="10" fontId="25" fillId="7" borderId="0" xfId="44" applyNumberFormat="1" applyFont="1" applyFill="1"/>
    <xf numFmtId="201" fontId="60" fillId="7" borderId="0" xfId="17" applyNumberFormat="1" applyFont="1" applyFill="1" applyAlignment="1">
      <alignment horizontal="center"/>
    </xf>
    <xf numFmtId="0" fontId="60" fillId="7" borderId="0" xfId="17" applyFont="1" applyFill="1" applyAlignment="1">
      <alignment horizontal="center"/>
    </xf>
    <xf numFmtId="168" fontId="61" fillId="7" borderId="0" xfId="3" applyNumberFormat="1" applyFont="1" applyFill="1"/>
    <xf numFmtId="0" fontId="25" fillId="0" borderId="0" xfId="17" applyFont="1" applyFill="1" applyAlignment="1">
      <alignment horizontal="right"/>
    </xf>
    <xf numFmtId="1" fontId="25" fillId="0" borderId="0" xfId="17" applyNumberFormat="1" applyFont="1"/>
    <xf numFmtId="169" fontId="14" fillId="0" borderId="1" xfId="12" applyNumberFormat="1" applyFont="1" applyFill="1" applyBorder="1"/>
    <xf numFmtId="0" fontId="25" fillId="0" borderId="0" xfId="282" applyFont="1" applyFill="1"/>
    <xf numFmtId="185" fontId="25" fillId="0" borderId="0" xfId="22" applyNumberFormat="1" applyFont="1" applyFill="1"/>
    <xf numFmtId="0" fontId="25" fillId="0" borderId="0" xfId="0" applyNumberFormat="1" applyFont="1" applyFill="1" applyAlignment="1">
      <alignment horizontal="center" wrapText="1"/>
    </xf>
    <xf numFmtId="168" fontId="25" fillId="0" borderId="0" xfId="0" applyNumberFormat="1" applyFont="1" applyFill="1"/>
    <xf numFmtId="185" fontId="25" fillId="0" borderId="0" xfId="0" applyNumberFormat="1" applyFont="1" applyFill="1"/>
    <xf numFmtId="204" fontId="25" fillId="0" borderId="0" xfId="22" applyNumberFormat="1" applyFont="1" applyFill="1" applyAlignment="1">
      <alignment horizontal="center"/>
    </xf>
    <xf numFmtId="37" fontId="59" fillId="0" borderId="0" xfId="282" applyNumberFormat="1" applyFont="1" applyFill="1"/>
    <xf numFmtId="185" fontId="59" fillId="0" borderId="0" xfId="282" applyNumberFormat="1" applyFont="1" applyFill="1"/>
    <xf numFmtId="42" fontId="14" fillId="0" borderId="1" xfId="0" applyNumberFormat="1" applyFont="1" applyFill="1" applyBorder="1"/>
    <xf numFmtId="0" fontId="2" fillId="0" borderId="1" xfId="0" applyFont="1" applyBorder="1"/>
    <xf numFmtId="0" fontId="7" fillId="0" borderId="0" xfId="0" applyFont="1"/>
    <xf numFmtId="10" fontId="7" fillId="0" borderId="0" xfId="44" applyNumberFormat="1" applyFont="1"/>
    <xf numFmtId="0" fontId="2" fillId="0" borderId="0" xfId="0" applyFont="1"/>
    <xf numFmtId="44" fontId="2" fillId="0" borderId="0" xfId="12" applyFont="1"/>
    <xf numFmtId="10" fontId="2" fillId="0" borderId="0" xfId="44" applyNumberFormat="1" applyFont="1"/>
    <xf numFmtId="0" fontId="2" fillId="0" borderId="0" xfId="0" applyFont="1" applyAlignment="1">
      <alignment horizontal="left"/>
    </xf>
    <xf numFmtId="10" fontId="2" fillId="0" borderId="1" xfId="44" applyNumberFormat="1" applyFont="1" applyBorder="1"/>
    <xf numFmtId="44" fontId="2" fillId="0" borderId="1" xfId="12" applyFont="1" applyBorder="1"/>
    <xf numFmtId="203" fontId="58" fillId="0" borderId="0" xfId="0" applyNumberFormat="1" applyFont="1" applyFill="1" applyAlignment="1">
      <alignment horizontal="left"/>
    </xf>
    <xf numFmtId="203" fontId="52" fillId="0" borderId="0" xfId="0" applyNumberFormat="1" applyFont="1" applyFill="1"/>
    <xf numFmtId="203" fontId="52" fillId="0" borderId="0" xfId="0" applyNumberFormat="1" applyFont="1" applyFill="1" applyAlignment="1">
      <alignment horizontal="left"/>
    </xf>
    <xf numFmtId="203" fontId="58" fillId="0" borderId="0" xfId="0" applyNumberFormat="1" applyFont="1" applyFill="1" applyAlignment="1">
      <alignment horizontal="right"/>
    </xf>
    <xf numFmtId="182" fontId="58" fillId="0" borderId="0" xfId="0" applyNumberFormat="1" applyFont="1" applyFill="1" applyAlignment="1"/>
    <xf numFmtId="203" fontId="57" fillId="0" borderId="0" xfId="0" applyNumberFormat="1" applyFont="1" applyFill="1" applyAlignment="1">
      <alignment horizontal="left"/>
    </xf>
    <xf numFmtId="203" fontId="57" fillId="0" borderId="0" xfId="0" applyNumberFormat="1" applyFont="1" applyFill="1" applyAlignment="1">
      <alignment horizontal="center"/>
    </xf>
    <xf numFmtId="0" fontId="52" fillId="0" borderId="0" xfId="0" applyFont="1"/>
    <xf numFmtId="0" fontId="58" fillId="0" borderId="0" xfId="0" applyFont="1"/>
    <xf numFmtId="41" fontId="52" fillId="0" borderId="0" xfId="0" applyNumberFormat="1" applyFont="1"/>
    <xf numFmtId="168" fontId="52" fillId="0" borderId="0" xfId="0" applyNumberFormat="1" applyFont="1"/>
    <xf numFmtId="41" fontId="52" fillId="0" borderId="1" xfId="0" applyNumberFormat="1" applyFont="1" applyBorder="1"/>
    <xf numFmtId="168" fontId="52" fillId="0" borderId="1" xfId="0" applyNumberFormat="1" applyFont="1" applyBorder="1"/>
    <xf numFmtId="43" fontId="52" fillId="0" borderId="1" xfId="0" applyNumberFormat="1" applyFont="1" applyBorder="1"/>
    <xf numFmtId="43" fontId="52" fillId="0" borderId="0" xfId="0" applyNumberFormat="1" applyFont="1"/>
    <xf numFmtId="166" fontId="132" fillId="0" borderId="0" xfId="0" applyNumberFormat="1" applyFont="1" applyFill="1"/>
    <xf numFmtId="14" fontId="14" fillId="0" borderId="0" xfId="32" applyNumberFormat="1" applyFont="1" applyFill="1" applyBorder="1" applyAlignment="1">
      <alignment horizontal="center" wrapText="1"/>
    </xf>
    <xf numFmtId="0" fontId="133" fillId="0" borderId="0" xfId="32" applyNumberFormat="1" applyFont="1" applyFill="1" applyAlignment="1">
      <alignment horizontal="left"/>
    </xf>
    <xf numFmtId="41" fontId="134" fillId="0" borderId="0" xfId="367" applyNumberFormat="1" applyFont="1"/>
    <xf numFmtId="41" fontId="134" fillId="61" borderId="0" xfId="367" applyNumberFormat="1" applyFont="1" applyFill="1"/>
    <xf numFmtId="0" fontId="133" fillId="0" borderId="0" xfId="32" applyNumberFormat="1" applyFont="1" applyFill="1" applyAlignment="1">
      <alignment horizontal="center"/>
    </xf>
    <xf numFmtId="0" fontId="134" fillId="0" borderId="4" xfId="367" applyNumberFormat="1" applyFont="1" applyBorder="1" applyAlignment="1">
      <alignment horizontal="center" wrapText="1"/>
    </xf>
    <xf numFmtId="41" fontId="134" fillId="0" borderId="4" xfId="367" applyNumberFormat="1" applyFont="1" applyBorder="1"/>
    <xf numFmtId="41" fontId="134" fillId="0" borderId="4" xfId="367" applyNumberFormat="1" applyFont="1" applyBorder="1" applyAlignment="1">
      <alignment horizontal="center" wrapText="1"/>
    </xf>
    <xf numFmtId="41" fontId="134" fillId="0" borderId="4" xfId="22" applyNumberFormat="1" applyFont="1" applyFill="1" applyBorder="1" applyAlignment="1">
      <alignment horizontal="center" wrapText="1"/>
    </xf>
    <xf numFmtId="41" fontId="134" fillId="0" borderId="4" xfId="22" applyNumberFormat="1" applyFont="1" applyFill="1" applyBorder="1" applyAlignment="1">
      <alignment horizontal="center"/>
    </xf>
    <xf numFmtId="0" fontId="134" fillId="0" borderId="4" xfId="367" applyNumberFormat="1" applyFont="1" applyBorder="1" applyAlignment="1">
      <alignment horizontal="center"/>
    </xf>
    <xf numFmtId="0" fontId="136" fillId="0" borderId="4" xfId="367" applyNumberFormat="1" applyFont="1" applyFill="1" applyBorder="1" applyAlignment="1">
      <alignment horizontal="center"/>
    </xf>
    <xf numFmtId="41" fontId="136" fillId="0" borderId="4" xfId="367" applyNumberFormat="1" applyFont="1" applyFill="1" applyBorder="1"/>
    <xf numFmtId="41" fontId="136" fillId="0" borderId="4" xfId="32" applyNumberFormat="1" applyFont="1" applyFill="1" applyBorder="1"/>
    <xf numFmtId="0" fontId="136" fillId="0" borderId="4" xfId="367" applyNumberFormat="1" applyFont="1" applyFill="1" applyBorder="1" applyAlignment="1">
      <alignment horizontal="center" wrapText="1"/>
    </xf>
    <xf numFmtId="0" fontId="136" fillId="0" borderId="0" xfId="367" applyNumberFormat="1" applyFont="1" applyFill="1" applyAlignment="1">
      <alignment horizontal="center"/>
    </xf>
    <xf numFmtId="41" fontId="136" fillId="0" borderId="0" xfId="367" applyNumberFormat="1" applyFont="1" applyFill="1"/>
    <xf numFmtId="41" fontId="134" fillId="0" borderId="1" xfId="367" applyNumberFormat="1" applyFont="1" applyBorder="1"/>
    <xf numFmtId="41" fontId="134" fillId="0" borderId="0" xfId="367" applyNumberFormat="1" applyFont="1" applyBorder="1"/>
    <xf numFmtId="0" fontId="134" fillId="0" borderId="0" xfId="367" applyNumberFormat="1" applyFont="1" applyAlignment="1">
      <alignment horizontal="center"/>
    </xf>
    <xf numFmtId="41" fontId="134" fillId="0" borderId="2" xfId="367" applyNumberFormat="1" applyFont="1" applyBorder="1"/>
    <xf numFmtId="0" fontId="136" fillId="0" borderId="4" xfId="367" quotePrefix="1" applyNumberFormat="1" applyFont="1" applyFill="1" applyBorder="1" applyAlignment="1">
      <alignment horizontal="center"/>
    </xf>
    <xf numFmtId="41" fontId="134" fillId="0" borderId="3" xfId="367" applyNumberFormat="1" applyFont="1" applyBorder="1"/>
    <xf numFmtId="41" fontId="134" fillId="61" borderId="1" xfId="367" applyNumberFormat="1" applyFont="1" applyFill="1" applyBorder="1"/>
    <xf numFmtId="41" fontId="134" fillId="0" borderId="30" xfId="367" applyNumberFormat="1" applyFont="1" applyBorder="1"/>
    <xf numFmtId="14" fontId="14" fillId="0" borderId="0" xfId="0" applyNumberFormat="1" applyFont="1"/>
    <xf numFmtId="49" fontId="60" fillId="0" borderId="0" xfId="0" applyNumberFormat="1" applyFont="1" applyFill="1" applyAlignment="1">
      <alignment horizontal="center"/>
    </xf>
    <xf numFmtId="173" fontId="14" fillId="0" borderId="0" xfId="0" applyNumberFormat="1" applyFont="1" applyBorder="1"/>
    <xf numFmtId="0" fontId="86" fillId="0" borderId="0" xfId="0" applyFont="1" applyFill="1" applyAlignment="1">
      <alignment horizontal="left" indent="1"/>
    </xf>
    <xf numFmtId="43" fontId="25" fillId="0" borderId="0" xfId="3" applyFont="1" applyFill="1" applyAlignment="1">
      <alignment horizontal="left" indent="1"/>
    </xf>
    <xf numFmtId="43" fontId="0" fillId="0" borderId="0" xfId="3" applyFont="1" applyFill="1"/>
    <xf numFmtId="0" fontId="25" fillId="0" borderId="0" xfId="0" applyFont="1" applyFill="1"/>
    <xf numFmtId="187" fontId="43" fillId="0" borderId="0" xfId="0" applyNumberFormat="1" applyFont="1" applyFill="1" applyAlignment="1">
      <alignment horizontal="right"/>
    </xf>
    <xf numFmtId="37" fontId="70" fillId="0" borderId="0" xfId="25" applyNumberFormat="1"/>
    <xf numFmtId="0" fontId="13" fillId="0" borderId="0" xfId="368" applyFont="1"/>
    <xf numFmtId="0" fontId="14" fillId="0" borderId="0" xfId="368" applyFont="1"/>
    <xf numFmtId="41" fontId="14" fillId="0" borderId="0" xfId="368" applyNumberFormat="1" applyFont="1"/>
    <xf numFmtId="0" fontId="13" fillId="0" borderId="0" xfId="368" applyFont="1" applyFill="1"/>
    <xf numFmtId="0" fontId="14" fillId="0" borderId="0" xfId="368" applyFont="1" applyFill="1"/>
    <xf numFmtId="14" fontId="14" fillId="0" borderId="0" xfId="368" applyNumberFormat="1" applyFont="1"/>
    <xf numFmtId="168" fontId="14" fillId="0" borderId="0" xfId="369" applyNumberFormat="1" applyFont="1"/>
    <xf numFmtId="49" fontId="14" fillId="0" borderId="0" xfId="368" applyNumberFormat="1" applyFont="1"/>
    <xf numFmtId="41" fontId="14" fillId="0" borderId="0" xfId="368" applyNumberFormat="1" applyFont="1" applyFill="1"/>
    <xf numFmtId="166" fontId="14" fillId="0" borderId="0" xfId="368" applyNumberFormat="1" applyFont="1"/>
    <xf numFmtId="41" fontId="13" fillId="0" borderId="3" xfId="368" applyNumberFormat="1" applyFont="1" applyFill="1" applyBorder="1"/>
    <xf numFmtId="42" fontId="14" fillId="0" borderId="0" xfId="368" applyNumberFormat="1" applyFont="1" applyFill="1"/>
    <xf numFmtId="187" fontId="60" fillId="0" borderId="0" xfId="0" applyNumberFormat="1" applyFont="1" applyFill="1" applyBorder="1" applyAlignment="1">
      <alignment horizontal="left"/>
    </xf>
    <xf numFmtId="187" fontId="59" fillId="0" borderId="0" xfId="0" applyNumberFormat="1" applyFont="1" applyFill="1" applyAlignment="1">
      <alignment horizontal="left"/>
    </xf>
    <xf numFmtId="188" fontId="59" fillId="0" borderId="0" xfId="0" applyNumberFormat="1" applyFont="1" applyFill="1" applyAlignment="1">
      <alignment horizontal="left"/>
    </xf>
    <xf numFmtId="49" fontId="25" fillId="0" borderId="1" xfId="0" applyNumberFormat="1" applyFont="1" applyFill="1" applyBorder="1" applyAlignment="1">
      <alignment horizontal="center"/>
    </xf>
    <xf numFmtId="49" fontId="60" fillId="0" borderId="0" xfId="0" applyNumberFormat="1" applyFont="1" applyFill="1" applyAlignment="1">
      <alignment horizontal="center"/>
    </xf>
    <xf numFmtId="187" fontId="60" fillId="0" borderId="0" xfId="0" applyNumberFormat="1" applyFont="1" applyFill="1" applyAlignment="1">
      <alignment horizontal="left"/>
    </xf>
    <xf numFmtId="176" fontId="63" fillId="0" borderId="0" xfId="0" applyNumberFormat="1" applyFont="1" applyAlignment="1">
      <alignment horizontal="left"/>
    </xf>
    <xf numFmtId="166" fontId="63" fillId="0" borderId="0" xfId="0" applyNumberFormat="1" applyFont="1" applyAlignment="1">
      <alignment horizontal="center"/>
    </xf>
    <xf numFmtId="180" fontId="13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38" fontId="14" fillId="0" borderId="0" xfId="0" applyNumberFormat="1" applyFont="1" applyFill="1" applyAlignment="1">
      <alignment horizontal="left"/>
    </xf>
    <xf numFmtId="187" fontId="75" fillId="0" borderId="1" xfId="48" applyFont="1" applyFill="1" applyBorder="1" applyAlignment="1">
      <alignment horizontal="center"/>
    </xf>
    <xf numFmtId="187" fontId="76" fillId="0" borderId="24" xfId="46" applyFont="1" applyFill="1" applyBorder="1" applyAlignment="1">
      <alignment horizontal="center"/>
    </xf>
    <xf numFmtId="187" fontId="75" fillId="0" borderId="24" xfId="48" applyFont="1" applyFill="1" applyBorder="1" applyAlignment="1">
      <alignment horizontal="center"/>
    </xf>
    <xf numFmtId="43" fontId="57" fillId="0" borderId="0" xfId="3" applyFont="1" applyFill="1" applyAlignment="1">
      <alignment horizontal="left"/>
    </xf>
    <xf numFmtId="203" fontId="57" fillId="0" borderId="0" xfId="0" applyNumberFormat="1" applyFont="1" applyFill="1" applyAlignment="1">
      <alignment horizontal="left"/>
    </xf>
    <xf numFmtId="182" fontId="25" fillId="0" borderId="0" xfId="282" applyNumberFormat="1" applyFont="1" applyFill="1" applyAlignment="1">
      <alignment horizontal="left"/>
    </xf>
    <xf numFmtId="0" fontId="25" fillId="0" borderId="0" xfId="282" applyFont="1" applyFill="1" applyAlignment="1">
      <alignment horizontal="left"/>
    </xf>
    <xf numFmtId="0" fontId="25" fillId="0" borderId="0" xfId="282" applyFont="1" applyFill="1"/>
    <xf numFmtId="0" fontId="59" fillId="0" borderId="0" xfId="17" applyFont="1" applyFill="1" applyBorder="1" applyAlignment="1">
      <alignment horizontal="left"/>
    </xf>
    <xf numFmtId="0" fontId="25" fillId="0" borderId="0" xfId="17" applyFont="1" applyFill="1" applyBorder="1" applyAlignment="1">
      <alignment horizontal="left"/>
    </xf>
    <xf numFmtId="182" fontId="25" fillId="0" borderId="0" xfId="17" applyNumberFormat="1" applyFont="1" applyFill="1" applyAlignment="1">
      <alignment horizontal="left"/>
    </xf>
    <xf numFmtId="0" fontId="25" fillId="0" borderId="0" xfId="17" applyFont="1" applyFill="1" applyAlignment="1"/>
    <xf numFmtId="0" fontId="59" fillId="0" borderId="0" xfId="17" applyFont="1" applyBorder="1" applyAlignment="1">
      <alignment horizontal="left"/>
    </xf>
    <xf numFmtId="0" fontId="25" fillId="0" borderId="0" xfId="17" applyFont="1" applyBorder="1" applyAlignment="1">
      <alignment horizontal="left"/>
    </xf>
    <xf numFmtId="0" fontId="135" fillId="0" borderId="59" xfId="367" applyNumberFormat="1" applyFont="1" applyBorder="1" applyAlignment="1">
      <alignment horizontal="center"/>
    </xf>
    <xf numFmtId="0" fontId="135" fillId="0" borderId="12" xfId="367" applyNumberFormat="1" applyFont="1" applyBorder="1" applyAlignment="1">
      <alignment horizontal="center"/>
    </xf>
    <xf numFmtId="0" fontId="135" fillId="0" borderId="60" xfId="367" applyNumberFormat="1" applyFont="1" applyBorder="1" applyAlignment="1">
      <alignment horizontal="center"/>
    </xf>
    <xf numFmtId="182" fontId="31" fillId="0" borderId="0" xfId="0" applyNumberFormat="1" applyFont="1" applyAlignment="1">
      <alignment horizontal="left"/>
    </xf>
    <xf numFmtId="0" fontId="35" fillId="4" borderId="37" xfId="0" applyFont="1" applyFill="1" applyBorder="1" applyAlignment="1">
      <alignment horizontal="left" vertical="top" wrapText="1"/>
    </xf>
    <xf numFmtId="0" fontId="35" fillId="4" borderId="38" xfId="0" applyFont="1" applyFill="1" applyBorder="1" applyAlignment="1">
      <alignment horizontal="left" vertical="top" wrapText="1"/>
    </xf>
  </cellXfs>
  <cellStyles count="370">
    <cellStyle name="########" xfId="1"/>
    <cellStyle name="######## 2" xfId="73"/>
    <cellStyle name="20% - Accent1 2" xfId="82"/>
    <cellStyle name="20% - Accent1 2 2" xfId="83"/>
    <cellStyle name="20% - Accent1 3" xfId="84"/>
    <cellStyle name="20% - Accent1 3 2" xfId="85"/>
    <cellStyle name="20% - Accent1 4" xfId="86"/>
    <cellStyle name="20% - Accent2 2" xfId="87"/>
    <cellStyle name="20% - Accent2 2 2" xfId="88"/>
    <cellStyle name="20% - Accent2 3" xfId="89"/>
    <cellStyle name="20% - Accent2 3 2" xfId="90"/>
    <cellStyle name="20% - Accent2 4" xfId="91"/>
    <cellStyle name="20% - Accent3 2" xfId="92"/>
    <cellStyle name="20% - Accent3 2 2" xfId="93"/>
    <cellStyle name="20% - Accent3 3" xfId="94"/>
    <cellStyle name="20% - Accent3 3 2" xfId="95"/>
    <cellStyle name="20% - Accent3 4" xfId="96"/>
    <cellStyle name="20% - Accent4 2" xfId="97"/>
    <cellStyle name="20% - Accent4 2 2" xfId="98"/>
    <cellStyle name="20% - Accent4 3" xfId="99"/>
    <cellStyle name="20% - Accent4 3 2" xfId="100"/>
    <cellStyle name="20% - Accent4 4" xfId="101"/>
    <cellStyle name="20% - Accent5 2" xfId="102"/>
    <cellStyle name="20% - Accent5 2 2" xfId="103"/>
    <cellStyle name="20% - Accent5 3" xfId="104"/>
    <cellStyle name="20% - Accent5 3 2" xfId="105"/>
    <cellStyle name="20% - Accent5 4" xfId="106"/>
    <cellStyle name="20% - Accent6 2" xfId="107"/>
    <cellStyle name="20% - Accent6 2 2" xfId="108"/>
    <cellStyle name="20% - Accent6 3" xfId="109"/>
    <cellStyle name="20% - Accent6 3 2" xfId="110"/>
    <cellStyle name="20% - Accent6 4" xfId="111"/>
    <cellStyle name="40% - Accent1 2" xfId="112"/>
    <cellStyle name="40% - Accent1 2 2" xfId="113"/>
    <cellStyle name="40% - Accent1 3" xfId="114"/>
    <cellStyle name="40% - Accent1 3 2" xfId="115"/>
    <cellStyle name="40% - Accent1 4" xfId="116"/>
    <cellStyle name="40% - Accent2 2" xfId="117"/>
    <cellStyle name="40% - Accent2 2 2" xfId="118"/>
    <cellStyle name="40% - Accent2 3" xfId="119"/>
    <cellStyle name="40% - Accent2 3 2" xfId="120"/>
    <cellStyle name="40% - Accent2 4" xfId="121"/>
    <cellStyle name="40% - Accent3 2" xfId="122"/>
    <cellStyle name="40% - Accent3 2 2" xfId="123"/>
    <cellStyle name="40% - Accent3 3" xfId="124"/>
    <cellStyle name="40% - Accent3 3 2" xfId="125"/>
    <cellStyle name="40% - Accent3 4" xfId="126"/>
    <cellStyle name="40% - Accent4 2" xfId="127"/>
    <cellStyle name="40% - Accent4 2 2" xfId="128"/>
    <cellStyle name="40% - Accent4 3" xfId="129"/>
    <cellStyle name="40% - Accent4 3 2" xfId="130"/>
    <cellStyle name="40% - Accent4 4" xfId="131"/>
    <cellStyle name="40% - Accent5 2" xfId="132"/>
    <cellStyle name="40% - Accent5 2 2" xfId="133"/>
    <cellStyle name="40% - Accent5 3" xfId="134"/>
    <cellStyle name="40% - Accent5 3 2" xfId="135"/>
    <cellStyle name="40% - Accent5 4" xfId="136"/>
    <cellStyle name="40% - Accent6 2" xfId="137"/>
    <cellStyle name="40% - Accent6 2 2" xfId="138"/>
    <cellStyle name="40% - Accent6 3" xfId="139"/>
    <cellStyle name="40% - Accent6 3 2" xfId="140"/>
    <cellStyle name="40% - Accent6 4" xfId="141"/>
    <cellStyle name="60% - Accent1 2" xfId="142"/>
    <cellStyle name="60% - Accent1 2 2" xfId="143"/>
    <cellStyle name="60% - Accent1 3" xfId="144"/>
    <cellStyle name="60% - Accent1 3 2" xfId="145"/>
    <cellStyle name="60% - Accent1 4" xfId="146"/>
    <cellStyle name="60% - Accent2 2" xfId="147"/>
    <cellStyle name="60% - Accent2 2 2" xfId="148"/>
    <cellStyle name="60% - Accent2 3" xfId="149"/>
    <cellStyle name="60% - Accent2 3 2" xfId="150"/>
    <cellStyle name="60% - Accent2 4" xfId="151"/>
    <cellStyle name="60% - Accent3 2" xfId="152"/>
    <cellStyle name="60% - Accent3 2 2" xfId="153"/>
    <cellStyle name="60% - Accent3 3" xfId="154"/>
    <cellStyle name="60% - Accent3 3 2" xfId="155"/>
    <cellStyle name="60% - Accent3 4" xfId="156"/>
    <cellStyle name="60% - Accent4 2" xfId="157"/>
    <cellStyle name="60% - Accent4 2 2" xfId="158"/>
    <cellStyle name="60% - Accent4 3" xfId="159"/>
    <cellStyle name="60% - Accent4 3 2" xfId="160"/>
    <cellStyle name="60% - Accent4 4" xfId="161"/>
    <cellStyle name="60% - Accent5 2" xfId="162"/>
    <cellStyle name="60% - Accent5 2 2" xfId="163"/>
    <cellStyle name="60% - Accent5 3" xfId="164"/>
    <cellStyle name="60% - Accent5 3 2" xfId="165"/>
    <cellStyle name="60% - Accent5 4" xfId="166"/>
    <cellStyle name="60% - Accent6 2" xfId="167"/>
    <cellStyle name="60% - Accent6 2 2" xfId="168"/>
    <cellStyle name="60% - Accent6 3" xfId="169"/>
    <cellStyle name="60% - Accent6 3 2" xfId="170"/>
    <cellStyle name="60% - Accent6 4" xfId="171"/>
    <cellStyle name="Accent1 2" xfId="172"/>
    <cellStyle name="Accent1 2 2" xfId="173"/>
    <cellStyle name="Accent1 3" xfId="174"/>
    <cellStyle name="Accent1 3 2" xfId="175"/>
    <cellStyle name="Accent1 4" xfId="176"/>
    <cellStyle name="Accent2 2" xfId="177"/>
    <cellStyle name="Accent2 2 2" xfId="178"/>
    <cellStyle name="Accent2 3" xfId="179"/>
    <cellStyle name="Accent2 3 2" xfId="180"/>
    <cellStyle name="Accent2 4" xfId="181"/>
    <cellStyle name="Accent3 2" xfId="182"/>
    <cellStyle name="Accent3 2 2" xfId="183"/>
    <cellStyle name="Accent3 3" xfId="184"/>
    <cellStyle name="Accent3 3 2" xfId="185"/>
    <cellStyle name="Accent3 4" xfId="186"/>
    <cellStyle name="Accent4 2" xfId="187"/>
    <cellStyle name="Accent4 2 2" xfId="188"/>
    <cellStyle name="Accent4 3" xfId="189"/>
    <cellStyle name="Accent4 3 2" xfId="190"/>
    <cellStyle name="Accent4 4" xfId="191"/>
    <cellStyle name="Accent5 2" xfId="192"/>
    <cellStyle name="Accent5 2 2" xfId="193"/>
    <cellStyle name="Accent5 3" xfId="194"/>
    <cellStyle name="Accent5 3 2" xfId="195"/>
    <cellStyle name="Accent5 4" xfId="196"/>
    <cellStyle name="Accent6 2" xfId="197"/>
    <cellStyle name="Accent6 2 2" xfId="198"/>
    <cellStyle name="Accent6 3" xfId="199"/>
    <cellStyle name="Accent6 3 2" xfId="200"/>
    <cellStyle name="Accent6 4" xfId="201"/>
    <cellStyle name="Bad 2" xfId="202"/>
    <cellStyle name="Bad 2 2" xfId="203"/>
    <cellStyle name="Bad 3" xfId="204"/>
    <cellStyle name="Bad 3 2" xfId="205"/>
    <cellStyle name="Bad 4" xfId="206"/>
    <cellStyle name="Calculation 2" xfId="207"/>
    <cellStyle name="Calculation 2 2" xfId="208"/>
    <cellStyle name="Calculation 3" xfId="209"/>
    <cellStyle name="Calculation 3 2" xfId="210"/>
    <cellStyle name="Calculation 4" xfId="211"/>
    <cellStyle name="Check Cell 2" xfId="212"/>
    <cellStyle name="Check Cell 2 2" xfId="213"/>
    <cellStyle name="Check Cell 3" xfId="214"/>
    <cellStyle name="Check Cell 3 2" xfId="215"/>
    <cellStyle name="Check Cell 4" xfId="216"/>
    <cellStyle name="Co #" xfId="2"/>
    <cellStyle name="Comma" xfId="3" builtinId="3"/>
    <cellStyle name="Comma 10" xfId="217"/>
    <cellStyle name="Comma 11" xfId="218"/>
    <cellStyle name="Comma 12" xfId="219"/>
    <cellStyle name="Comma 13" xfId="4"/>
    <cellStyle name="Comma 13 2" xfId="74"/>
    <cellStyle name="Comma 13 3 2" xfId="58"/>
    <cellStyle name="Comma 14" xfId="220"/>
    <cellStyle name="Comma 15" xfId="221"/>
    <cellStyle name="Comma 16" xfId="222"/>
    <cellStyle name="Comma 17" xfId="369"/>
    <cellStyle name="Comma 2" xfId="5"/>
    <cellStyle name="Comma 2 2" xfId="6"/>
    <cellStyle name="Comma 2 2 2" xfId="223"/>
    <cellStyle name="Comma 2 3" xfId="7"/>
    <cellStyle name="Comma 2 5" xfId="56"/>
    <cellStyle name="Comma 3" xfId="8"/>
    <cellStyle name="Comma 3 2" xfId="224"/>
    <cellStyle name="Comma 34" xfId="225"/>
    <cellStyle name="Comma 4" xfId="47"/>
    <cellStyle name="Comma 4 2" xfId="51"/>
    <cellStyle name="Comma 4 3" xfId="226"/>
    <cellStyle name="Comma 4 4" xfId="227"/>
    <cellStyle name="Comma 5" xfId="67"/>
    <cellStyle name="Comma 6" xfId="228"/>
    <cellStyle name="Comma 7" xfId="229"/>
    <cellStyle name="Comma 8" xfId="230"/>
    <cellStyle name="Comma 8 2" xfId="9"/>
    <cellStyle name="Comma 8 2 2" xfId="10"/>
    <cellStyle name="Comma 8 2 3" xfId="366"/>
    <cellStyle name="Comma 9" xfId="231"/>
    <cellStyle name="Comma_069-E-2.00" xfId="11"/>
    <cellStyle name="Currency" xfId="12" builtinId="4"/>
    <cellStyle name="Currency 2" xfId="50"/>
    <cellStyle name="Currency 2 2" xfId="68"/>
    <cellStyle name="Currency 2 3" xfId="66"/>
    <cellStyle name="Currency 3" xfId="52"/>
    <cellStyle name="Currency 3 2" xfId="70"/>
    <cellStyle name="Currency 3 3" xfId="65"/>
    <cellStyle name="Currency 4" xfId="232"/>
    <cellStyle name="Currency 5" xfId="13"/>
    <cellStyle name="Currency 5 2" xfId="76"/>
    <cellStyle name="Currency 6" xfId="233"/>
    <cellStyle name="Date" xfId="14"/>
    <cellStyle name="Date-Regulatory" xfId="15"/>
    <cellStyle name="Euro" xfId="16"/>
    <cellStyle name="Explanatory Text 2" xfId="234"/>
    <cellStyle name="Explanatory Text 2 2" xfId="235"/>
    <cellStyle name="Explanatory Text 3" xfId="236"/>
    <cellStyle name="Explanatory Text 3 2" xfId="237"/>
    <cellStyle name="Explanatory Text 4" xfId="238"/>
    <cellStyle name="Footnote" xfId="239"/>
    <cellStyle name="Good 2" xfId="240"/>
    <cellStyle name="Good 2 2" xfId="241"/>
    <cellStyle name="Good 3" xfId="242"/>
    <cellStyle name="Good 3 2" xfId="243"/>
    <cellStyle name="Good 4" xfId="244"/>
    <cellStyle name="Heading 1 2" xfId="245"/>
    <cellStyle name="Heading 1 2 2" xfId="246"/>
    <cellStyle name="Heading 1 3" xfId="247"/>
    <cellStyle name="Heading 1 3 2" xfId="248"/>
    <cellStyle name="Heading 1 4" xfId="249"/>
    <cellStyle name="Heading 2 2" xfId="250"/>
    <cellStyle name="Heading 2 2 2" xfId="251"/>
    <cellStyle name="Heading 2 3" xfId="252"/>
    <cellStyle name="Heading 2 3 2" xfId="253"/>
    <cellStyle name="Heading 2 4" xfId="254"/>
    <cellStyle name="Heading 3 2" xfId="255"/>
    <cellStyle name="Heading 3 2 2" xfId="256"/>
    <cellStyle name="Heading 3 3" xfId="257"/>
    <cellStyle name="Heading 3 3 2" xfId="258"/>
    <cellStyle name="Heading 3 4" xfId="259"/>
    <cellStyle name="Heading 4 2" xfId="260"/>
    <cellStyle name="Heading 4 2 2" xfId="261"/>
    <cellStyle name="Heading 4 3" xfId="262"/>
    <cellStyle name="Heading 4 3 2" xfId="263"/>
    <cellStyle name="Heading 4 4" xfId="264"/>
    <cellStyle name="Input 2" xfId="265"/>
    <cellStyle name="Input 2 2" xfId="266"/>
    <cellStyle name="Input 3" xfId="267"/>
    <cellStyle name="Input 3 2" xfId="268"/>
    <cellStyle name="Input 4" xfId="269"/>
    <cellStyle name="Line Number" xfId="270"/>
    <cellStyle name="Linked Cell 2" xfId="271"/>
    <cellStyle name="Linked Cell 2 2" xfId="272"/>
    <cellStyle name="Linked Cell 3" xfId="273"/>
    <cellStyle name="Linked Cell 3 2" xfId="274"/>
    <cellStyle name="Linked Cell 4" xfId="275"/>
    <cellStyle name="Neutral 2" xfId="276"/>
    <cellStyle name="Neutral 2 2" xfId="277"/>
    <cellStyle name="Neutral 3" xfId="278"/>
    <cellStyle name="Neutral 3 2" xfId="279"/>
    <cellStyle name="Neutral 4" xfId="280"/>
    <cellStyle name="Normal" xfId="0" builtinId="0"/>
    <cellStyle name="Normal 10" xfId="81"/>
    <cellStyle name="Normal 10 2" xfId="281"/>
    <cellStyle name="Normal 11" xfId="282"/>
    <cellStyle name="Normal 11 2" xfId="283"/>
    <cellStyle name="Normal 12" xfId="284"/>
    <cellStyle name="Normal 12 2" xfId="285"/>
    <cellStyle name="Normal 13" xfId="286"/>
    <cellStyle name="Normal 13 2" xfId="287"/>
    <cellStyle name="Normal 14" xfId="288"/>
    <cellStyle name="Normal 14 2" xfId="289"/>
    <cellStyle name="Normal 15" xfId="290"/>
    <cellStyle name="Normal 15 2" xfId="291"/>
    <cellStyle name="Normal 16" xfId="292"/>
    <cellStyle name="Normal 16 2" xfId="293"/>
    <cellStyle name="Normal 17" xfId="294"/>
    <cellStyle name="Normal 17 2" xfId="295"/>
    <cellStyle name="Normal 18" xfId="296"/>
    <cellStyle name="Normal 18 2" xfId="297"/>
    <cellStyle name="Normal 19" xfId="298"/>
    <cellStyle name="Normal 19 2" xfId="299"/>
    <cellStyle name="Normal 2" xfId="17"/>
    <cellStyle name="Normal 2 2" xfId="18"/>
    <cellStyle name="Normal 2 2 2" xfId="53"/>
    <cellStyle name="Normal 2 2 2 2" xfId="72"/>
    <cellStyle name="Normal 2 2 2 3" xfId="63"/>
    <cellStyle name="Normal 2 3" xfId="19"/>
    <cellStyle name="Normal 2 4" xfId="62"/>
    <cellStyle name="Normal 2 4 2" xfId="20"/>
    <cellStyle name="Normal 2_Adjustment to Insurance Expense WSC KY 2008" xfId="21"/>
    <cellStyle name="Normal 20" xfId="300"/>
    <cellStyle name="Normal 20 2" xfId="22"/>
    <cellStyle name="Normal 20 2 2" xfId="23"/>
    <cellStyle name="Normal 20 2 3" xfId="364"/>
    <cellStyle name="Normal 21" xfId="24"/>
    <cellStyle name="Normal 21 2" xfId="365"/>
    <cellStyle name="Normal 22" xfId="301"/>
    <cellStyle name="Normal 23" xfId="302"/>
    <cellStyle name="Normal 24" xfId="25"/>
    <cellStyle name="Normal 24 2" xfId="77"/>
    <cellStyle name="Normal 25" xfId="303"/>
    <cellStyle name="Normal 26" xfId="304"/>
    <cellStyle name="Normal 27" xfId="305"/>
    <cellStyle name="Normal 27 2" xfId="26"/>
    <cellStyle name="Normal 27 2 3" xfId="59"/>
    <cellStyle name="Normal 27 3" xfId="60"/>
    <cellStyle name="Normal 28" xfId="306"/>
    <cellStyle name="Normal 29" xfId="307"/>
    <cellStyle name="Normal 3" xfId="27"/>
    <cellStyle name="Normal 3 2" xfId="78"/>
    <cellStyle name="Normal 3 3" xfId="308"/>
    <cellStyle name="Normal 3 3 2" xfId="309"/>
    <cellStyle name="Normal 30" xfId="310"/>
    <cellStyle name="Normal 31" xfId="311"/>
    <cellStyle name="Normal 32" xfId="312"/>
    <cellStyle name="Normal 33" xfId="313"/>
    <cellStyle name="Normal 33 2" xfId="314"/>
    <cellStyle name="Normal 34" xfId="367"/>
    <cellStyle name="Normal 35" xfId="368"/>
    <cellStyle name="Normal 4" xfId="28"/>
    <cellStyle name="Normal 4 2" xfId="79"/>
    <cellStyle name="Normal 4 2 2" xfId="315"/>
    <cellStyle name="Normal 49 2" xfId="57"/>
    <cellStyle name="Normal 5" xfId="46"/>
    <cellStyle name="Normal 5 2" xfId="48"/>
    <cellStyle name="Normal 5 2 2" xfId="316"/>
    <cellStyle name="Normal 57" xfId="317"/>
    <cellStyle name="Normal 59" xfId="318"/>
    <cellStyle name="Normal 6" xfId="55"/>
    <cellStyle name="Normal 6 2" xfId="80"/>
    <cellStyle name="Normal 6 2 2" xfId="319"/>
    <cellStyle name="Normal 6 2 2 2" xfId="320"/>
    <cellStyle name="Normal 6 2 3" xfId="321"/>
    <cellStyle name="Normal 6 3" xfId="322"/>
    <cellStyle name="Normal 7" xfId="61"/>
    <cellStyle name="Normal 7 2" xfId="323"/>
    <cellStyle name="Normal 7 2 2" xfId="324"/>
    <cellStyle name="Normal 8" xfId="69"/>
    <cellStyle name="Normal 8 2" xfId="325"/>
    <cellStyle name="Normal 9" xfId="75"/>
    <cellStyle name="Normal 9 2" xfId="326"/>
    <cellStyle name="Normal_036-file-6.30.00 " xfId="29"/>
    <cellStyle name="Normal_069-E-2.00" xfId="30"/>
    <cellStyle name="Normal_075-Consumption-tye-12/00" xfId="31"/>
    <cellStyle name="Normal_075-Consumption-tye-12/00 2" xfId="49"/>
    <cellStyle name="Normal_160 - UPIS restatement.xls" xfId="32"/>
    <cellStyle name="Normal_BAL SHT" xfId="33"/>
    <cellStyle name="Normal_Cap Structure" xfId="34"/>
    <cellStyle name="Normal_monthly.bill.wp" xfId="35"/>
    <cellStyle name="Normal_PF.PLANT.wp" xfId="36"/>
    <cellStyle name="Normal_salary.wp" xfId="37"/>
    <cellStyle name="Normal_salary.wp 2" xfId="38"/>
    <cellStyle name="Normal_TOI.wp" xfId="39"/>
    <cellStyle name="Normal_TRANS.RC.94.W/P.SAL" xfId="40"/>
    <cellStyle name="Normal_TRANS.RC.94.W/P.SAL 2" xfId="41"/>
    <cellStyle name="Normal_Wedgefield-REV" xfId="42"/>
    <cellStyle name="Normal_WSCK 2008 proposed rates" xfId="43"/>
    <cellStyle name="Note 2" xfId="327"/>
    <cellStyle name="Note 2 2" xfId="328"/>
    <cellStyle name="Note 3" xfId="329"/>
    <cellStyle name="Note 3 2" xfId="330"/>
    <cellStyle name="Note 4" xfId="331"/>
    <cellStyle name="Note 4 2" xfId="332"/>
    <cellStyle name="Note 5" xfId="333"/>
    <cellStyle name="Note 5 2" xfId="334"/>
    <cellStyle name="Note 6" xfId="335"/>
    <cellStyle name="Note 6 2" xfId="336"/>
    <cellStyle name="Output 2" xfId="337"/>
    <cellStyle name="Output 2 2" xfId="338"/>
    <cellStyle name="Output 3" xfId="339"/>
    <cellStyle name="Output 3 2" xfId="340"/>
    <cellStyle name="Output 4" xfId="341"/>
    <cellStyle name="Percent" xfId="44" builtinId="5"/>
    <cellStyle name="Percent 12" xfId="342"/>
    <cellStyle name="Percent 2" xfId="45"/>
    <cellStyle name="Percent 2 2" xfId="64"/>
    <cellStyle name="Percent 3" xfId="54"/>
    <cellStyle name="Percent 3 2" xfId="343"/>
    <cellStyle name="Percent 3 2 2" xfId="344"/>
    <cellStyle name="Percent 3 3" xfId="345"/>
    <cellStyle name="Percent 4" xfId="71"/>
    <cellStyle name="Percent 5" xfId="346"/>
    <cellStyle name="Percent 6" xfId="347"/>
    <cellStyle name="Percent 8" xfId="348"/>
    <cellStyle name="Title 2" xfId="349"/>
    <cellStyle name="Title 2 2" xfId="350"/>
    <cellStyle name="Title 3" xfId="351"/>
    <cellStyle name="Title 3 2" xfId="352"/>
    <cellStyle name="Title 4" xfId="353"/>
    <cellStyle name="Total 2" xfId="354"/>
    <cellStyle name="Total 2 2" xfId="355"/>
    <cellStyle name="Total 3" xfId="356"/>
    <cellStyle name="Total 3 2" xfId="357"/>
    <cellStyle name="Total 4" xfId="358"/>
    <cellStyle name="Warning Text 2" xfId="359"/>
    <cellStyle name="Warning Text 2 2" xfId="360"/>
    <cellStyle name="Warning Text 3" xfId="361"/>
    <cellStyle name="Warning Text 3 2" xfId="362"/>
    <cellStyle name="Warning Text 4" xfId="363"/>
  </cellStyles>
  <dxfs count="11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externalLink" Target="externalLinks/externalLink6.xml"/><Relationship Id="rId186" Type="http://schemas.openxmlformats.org/officeDocument/2006/relationships/externalLink" Target="externalLinks/externalLink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externalLink" Target="externalLinks/externalLink1.xml"/><Relationship Id="rId192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externalLink" Target="externalLinks/externalLink7.xml"/><Relationship Id="rId187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externalLink" Target="externalLinks/externalLink2.xml"/><Relationship Id="rId172" Type="http://schemas.openxmlformats.org/officeDocument/2006/relationships/worksheet" Target="worksheets/sheet172.xml"/><Relationship Id="rId193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externalLink" Target="externalLinks/externalLink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externalLink" Target="externalLinks/externalLink9.xml"/><Relationship Id="rId189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externalLink" Target="externalLinks/externalLink4.xml"/><Relationship Id="rId19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5.xml"/><Relationship Id="rId26" Type="http://schemas.openxmlformats.org/officeDocument/2006/relationships/worksheet" Target="worksheets/sheet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Rate%20Case%20Dept\%20%20%20Transfer-Rate%20Case\%20*%20ELN\069-ELN-99%20Rate%20Case\6\30\99%20Filing\069-6\99-MFR's%20(A)%20Rate%20Base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3-CWS%20Systems,%20Inc\2008%20RC\Misc%20Input\2007%20Financial%20Statements\183%202007%20TB%20reconstructed%20032608%20AA%20UA%20U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3-CWS%20Systems,%20Inc\2008%20RC\CWS%20Systems%2008%20RC%20templat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Rate%20Case\Transylvania%20Sub%207\Trans.%20Sub%207%20stipulat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121-Carolina%20Pines\2008%20RC\Filling%20Template\Carolina%20Pines%2008%20RC%20Final%20Filing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IAL%20DEPT\ACCOUNTING\WSC%20Allocation\2006\123106\SE50%20063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%20Case\NC\083-CWS%20Systems,%20Inc\2012%20RC\Filing\Templates\CWS%20systems%202012%20Fairfield%20Harbour%20Filing%20new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0.1.157\Financial\FINANCIAL%20DEPT\FPA\ROE%20Schedules\2005%2012%20December\123105%20ROE%202-3v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wshrake\Local%20Settings\Temporary%20Internet%20Files\Content.Outlook\JJT6KL69\Copy%20of%20Copy%20of%20CWSS%20ws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TNG\BARNETT\Sub%20297\Schedules\Sub%20297%20Settle%20Sc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6-Carolina%20Trace%20Utilities\2008%20RC\Final%20Filing\Additional%20rate%20case%20schedule%20templates%20C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3-CWS%20Systems,%20Inc\2008%20RC\Additional%20rate%20case%20schedule%20templat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0.85\Rate%20Case\Maryland\043-Provinces%20Utilities\Provinces%202007%20Rate%20Case\TY%202007.06.30\2007%20Provinces%20filing%20template%20r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5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able TB"/>
      <sheetName val="tb 2007 reformat"/>
      <sheetName val="tb 2007"/>
      <sheetName val="JDE Chart of Accounts 102407"/>
      <sheetName val="183 TB AA 2007"/>
      <sheetName val="183 TB UA 2007"/>
      <sheetName val="183 TB UR 2007"/>
    </sheetNames>
    <sheetDataSet>
      <sheetData sheetId="0"/>
      <sheetData sheetId="1">
        <row r="1">
          <cell r="A1" t="str">
            <v>Reduced acct #</v>
          </cell>
          <cell r="H1" t="str">
            <v>end</v>
          </cell>
        </row>
        <row r="2">
          <cell r="A2" t="str">
            <v>1020</v>
          </cell>
        </row>
        <row r="3">
          <cell r="A3" t="str">
            <v>1045</v>
          </cell>
        </row>
        <row r="4">
          <cell r="A4" t="str">
            <v>1045</v>
          </cell>
        </row>
        <row r="5">
          <cell r="A5" t="str">
            <v>1050</v>
          </cell>
        </row>
        <row r="6">
          <cell r="A6" t="str">
            <v>1055</v>
          </cell>
        </row>
        <row r="7">
          <cell r="A7" t="str">
            <v>1080</v>
          </cell>
        </row>
        <row r="8">
          <cell r="A8" t="str">
            <v>1100</v>
          </cell>
        </row>
        <row r="9">
          <cell r="A9" t="str">
            <v>1105</v>
          </cell>
        </row>
        <row r="10">
          <cell r="A10" t="str">
            <v>1115</v>
          </cell>
        </row>
        <row r="11">
          <cell r="A11" t="str">
            <v>1120</v>
          </cell>
        </row>
        <row r="12">
          <cell r="A12" t="str">
            <v>1125</v>
          </cell>
        </row>
        <row r="13">
          <cell r="A13" t="str">
            <v>1130</v>
          </cell>
        </row>
        <row r="14">
          <cell r="A14" t="str">
            <v>1135</v>
          </cell>
        </row>
        <row r="15">
          <cell r="A15" t="str">
            <v>1140</v>
          </cell>
        </row>
        <row r="16">
          <cell r="A16" t="str">
            <v>1145</v>
          </cell>
        </row>
        <row r="17">
          <cell r="A17" t="str">
            <v>1175</v>
          </cell>
        </row>
        <row r="18">
          <cell r="A18" t="str">
            <v>1175</v>
          </cell>
        </row>
        <row r="19">
          <cell r="A19" t="str">
            <v>1180</v>
          </cell>
        </row>
        <row r="20">
          <cell r="A20" t="str">
            <v>1180</v>
          </cell>
        </row>
        <row r="21">
          <cell r="A21" t="str">
            <v>1190</v>
          </cell>
        </row>
        <row r="22">
          <cell r="A22" t="str">
            <v>1195</v>
          </cell>
        </row>
        <row r="23">
          <cell r="A23" t="str">
            <v>1205</v>
          </cell>
        </row>
        <row r="24">
          <cell r="A24" t="str">
            <v>1205</v>
          </cell>
        </row>
        <row r="25">
          <cell r="A25" t="str">
            <v>1245</v>
          </cell>
        </row>
        <row r="26">
          <cell r="A26" t="str">
            <v>1295</v>
          </cell>
        </row>
        <row r="27">
          <cell r="A27" t="str">
            <v>1315</v>
          </cell>
        </row>
        <row r="28">
          <cell r="A28" t="str">
            <v>1345</v>
          </cell>
        </row>
        <row r="29">
          <cell r="A29" t="str">
            <v>1350</v>
          </cell>
        </row>
        <row r="30">
          <cell r="A30" t="str">
            <v>1400</v>
          </cell>
        </row>
        <row r="31">
          <cell r="A31" t="str">
            <v>1470</v>
          </cell>
        </row>
        <row r="32">
          <cell r="A32" t="str">
            <v>1555</v>
          </cell>
        </row>
        <row r="33">
          <cell r="A33" t="str">
            <v>1580</v>
          </cell>
        </row>
        <row r="34">
          <cell r="A34" t="str">
            <v>1585</v>
          </cell>
        </row>
        <row r="35">
          <cell r="A35" t="str">
            <v>1590</v>
          </cell>
        </row>
        <row r="36">
          <cell r="A36" t="str">
            <v>1595</v>
          </cell>
        </row>
        <row r="37">
          <cell r="A37" t="str">
            <v>1665</v>
          </cell>
        </row>
        <row r="38">
          <cell r="A38" t="str">
            <v>1665</v>
          </cell>
        </row>
        <row r="39">
          <cell r="A39" t="str">
            <v>1665</v>
          </cell>
        </row>
        <row r="40">
          <cell r="A40" t="str">
            <v>1665</v>
          </cell>
        </row>
        <row r="41">
          <cell r="A41" t="str">
            <v>1665</v>
          </cell>
        </row>
        <row r="42">
          <cell r="A42" t="str">
            <v>1665</v>
          </cell>
        </row>
        <row r="43">
          <cell r="A43" t="str">
            <v>1665</v>
          </cell>
        </row>
        <row r="44">
          <cell r="A44" t="str">
            <v>1665</v>
          </cell>
        </row>
        <row r="45">
          <cell r="A45" t="str">
            <v>1665</v>
          </cell>
        </row>
        <row r="46">
          <cell r="A46" t="str">
            <v>1665</v>
          </cell>
        </row>
        <row r="47">
          <cell r="A47" t="str">
            <v>1665</v>
          </cell>
        </row>
        <row r="48">
          <cell r="A48" t="str">
            <v>1666</v>
          </cell>
        </row>
        <row r="49">
          <cell r="A49" t="str">
            <v>1666</v>
          </cell>
        </row>
        <row r="50">
          <cell r="A50" t="str">
            <v>1666</v>
          </cell>
        </row>
        <row r="51">
          <cell r="A51" t="str">
            <v>1666</v>
          </cell>
        </row>
        <row r="52">
          <cell r="A52" t="str">
            <v>1666</v>
          </cell>
        </row>
        <row r="53">
          <cell r="A53" t="str">
            <v>1666</v>
          </cell>
        </row>
        <row r="54">
          <cell r="A54" t="str">
            <v>1666</v>
          </cell>
        </row>
        <row r="55">
          <cell r="A55" t="str">
            <v>1666</v>
          </cell>
        </row>
        <row r="56">
          <cell r="A56" t="str">
            <v>1666</v>
          </cell>
        </row>
        <row r="57">
          <cell r="A57" t="str">
            <v>1666</v>
          </cell>
        </row>
        <row r="58">
          <cell r="A58" t="str">
            <v>1666</v>
          </cell>
        </row>
        <row r="59">
          <cell r="A59" t="str">
            <v>1666</v>
          </cell>
        </row>
        <row r="60">
          <cell r="A60" t="str">
            <v>1667</v>
          </cell>
        </row>
        <row r="61">
          <cell r="A61" t="str">
            <v>1667</v>
          </cell>
        </row>
        <row r="62">
          <cell r="A62" t="str">
            <v>1667</v>
          </cell>
        </row>
        <row r="63">
          <cell r="A63" t="str">
            <v>1667</v>
          </cell>
        </row>
        <row r="64">
          <cell r="A64" t="str">
            <v>1668</v>
          </cell>
        </row>
        <row r="65">
          <cell r="A65" t="str">
            <v>1668</v>
          </cell>
        </row>
        <row r="66">
          <cell r="A66" t="str">
            <v>1668</v>
          </cell>
        </row>
        <row r="67">
          <cell r="A67" t="str">
            <v>1668</v>
          </cell>
        </row>
        <row r="68">
          <cell r="A68" t="str">
            <v>1668</v>
          </cell>
        </row>
        <row r="69">
          <cell r="A69" t="str">
            <v>1668</v>
          </cell>
        </row>
        <row r="70">
          <cell r="A70" t="str">
            <v>1668</v>
          </cell>
        </row>
        <row r="71">
          <cell r="A71" t="str">
            <v>1668</v>
          </cell>
        </row>
        <row r="72">
          <cell r="A72" t="str">
            <v>1668</v>
          </cell>
        </row>
        <row r="73">
          <cell r="A73" t="str">
            <v>1668</v>
          </cell>
        </row>
        <row r="74">
          <cell r="A74" t="str">
            <v>1669</v>
          </cell>
        </row>
        <row r="75">
          <cell r="A75" t="str">
            <v>1669</v>
          </cell>
        </row>
        <row r="76">
          <cell r="A76" t="str">
            <v>1670</v>
          </cell>
        </row>
        <row r="77">
          <cell r="A77" t="str">
            <v>1670</v>
          </cell>
        </row>
        <row r="78">
          <cell r="A78" t="str">
            <v>1671</v>
          </cell>
        </row>
        <row r="79">
          <cell r="A79" t="str">
            <v>1672</v>
          </cell>
        </row>
        <row r="80">
          <cell r="A80" t="str">
            <v>1672</v>
          </cell>
        </row>
        <row r="81">
          <cell r="A81" t="str">
            <v>1673</v>
          </cell>
        </row>
        <row r="82">
          <cell r="A82" t="str">
            <v>1674</v>
          </cell>
        </row>
        <row r="83">
          <cell r="A83" t="str">
            <v>1692</v>
          </cell>
        </row>
        <row r="84">
          <cell r="A84" t="str">
            <v>1692</v>
          </cell>
        </row>
        <row r="85">
          <cell r="A85" t="str">
            <v>1697</v>
          </cell>
        </row>
        <row r="86">
          <cell r="A86" t="str">
            <v>1698</v>
          </cell>
        </row>
        <row r="87">
          <cell r="A87" t="str">
            <v>1705</v>
          </cell>
        </row>
        <row r="88">
          <cell r="A88" t="str">
            <v>1705</v>
          </cell>
        </row>
        <row r="89">
          <cell r="A89" t="str">
            <v>1705</v>
          </cell>
        </row>
        <row r="90">
          <cell r="A90" t="str">
            <v>1705</v>
          </cell>
        </row>
        <row r="91">
          <cell r="A91" t="str">
            <v>1705</v>
          </cell>
        </row>
        <row r="92">
          <cell r="A92" t="str">
            <v>1706</v>
          </cell>
        </row>
        <row r="93">
          <cell r="A93" t="str">
            <v>1706</v>
          </cell>
        </row>
        <row r="94">
          <cell r="A94" t="str">
            <v>1706</v>
          </cell>
        </row>
        <row r="95">
          <cell r="A95" t="str">
            <v>1706</v>
          </cell>
        </row>
        <row r="96">
          <cell r="A96" t="str">
            <v>1706</v>
          </cell>
        </row>
        <row r="97">
          <cell r="A97" t="str">
            <v>1706</v>
          </cell>
        </row>
        <row r="98">
          <cell r="A98" t="str">
            <v>1706</v>
          </cell>
        </row>
        <row r="99">
          <cell r="A99" t="str">
            <v>1706</v>
          </cell>
        </row>
        <row r="100">
          <cell r="A100" t="str">
            <v>1706</v>
          </cell>
        </row>
        <row r="101">
          <cell r="A101" t="str">
            <v>1707</v>
          </cell>
        </row>
        <row r="102">
          <cell r="A102" t="str">
            <v>1708</v>
          </cell>
        </row>
        <row r="103">
          <cell r="A103" t="str">
            <v>1708</v>
          </cell>
        </row>
        <row r="104">
          <cell r="A104" t="str">
            <v>1708</v>
          </cell>
        </row>
        <row r="105">
          <cell r="A105" t="str">
            <v>1708</v>
          </cell>
        </row>
        <row r="106">
          <cell r="A106" t="str">
            <v>1708</v>
          </cell>
        </row>
        <row r="107">
          <cell r="A107" t="str">
            <v>1708</v>
          </cell>
        </row>
        <row r="108">
          <cell r="A108" t="str">
            <v>1708</v>
          </cell>
        </row>
        <row r="109">
          <cell r="A109" t="str">
            <v>1709</v>
          </cell>
        </row>
        <row r="110">
          <cell r="A110" t="str">
            <v>1709</v>
          </cell>
        </row>
        <row r="111">
          <cell r="A111" t="str">
            <v>1709</v>
          </cell>
        </row>
        <row r="112">
          <cell r="A112" t="str">
            <v>1709</v>
          </cell>
        </row>
        <row r="113">
          <cell r="A113" t="str">
            <v>1710</v>
          </cell>
        </row>
        <row r="114">
          <cell r="A114" t="str">
            <v>1722</v>
          </cell>
        </row>
        <row r="115">
          <cell r="A115" t="str">
            <v>1726</v>
          </cell>
        </row>
        <row r="116">
          <cell r="A116" t="str">
            <v>1749</v>
          </cell>
        </row>
        <row r="117">
          <cell r="A117" t="str">
            <v>1835</v>
          </cell>
        </row>
        <row r="118">
          <cell r="A118" t="str">
            <v>1835</v>
          </cell>
        </row>
        <row r="119">
          <cell r="A119" t="str">
            <v>1845</v>
          </cell>
        </row>
        <row r="120">
          <cell r="A120" t="str">
            <v>1845</v>
          </cell>
        </row>
        <row r="121">
          <cell r="A121" t="str">
            <v>1850</v>
          </cell>
        </row>
        <row r="122">
          <cell r="A122" t="str">
            <v>1850</v>
          </cell>
        </row>
        <row r="123">
          <cell r="A123" t="str">
            <v>1875</v>
          </cell>
        </row>
        <row r="124">
          <cell r="A124" t="str">
            <v>1875</v>
          </cell>
        </row>
        <row r="125">
          <cell r="A125" t="str">
            <v>1895</v>
          </cell>
        </row>
        <row r="126">
          <cell r="A126" t="str">
            <v>1895</v>
          </cell>
        </row>
        <row r="127">
          <cell r="A127" t="str">
            <v>1900</v>
          </cell>
        </row>
        <row r="128">
          <cell r="A128" t="str">
            <v>1900</v>
          </cell>
        </row>
        <row r="129">
          <cell r="A129" t="str">
            <v>1910</v>
          </cell>
        </row>
        <row r="130">
          <cell r="A130" t="str">
            <v>1910</v>
          </cell>
        </row>
        <row r="131">
          <cell r="A131" t="str">
            <v>1915</v>
          </cell>
        </row>
        <row r="132">
          <cell r="A132" t="str">
            <v>1915</v>
          </cell>
        </row>
        <row r="133">
          <cell r="A133" t="str">
            <v>1920</v>
          </cell>
        </row>
        <row r="134">
          <cell r="A134" t="str">
            <v>1920</v>
          </cell>
        </row>
        <row r="135">
          <cell r="A135" t="str">
            <v>1925</v>
          </cell>
        </row>
        <row r="136">
          <cell r="A136" t="str">
            <v>1925</v>
          </cell>
        </row>
        <row r="137">
          <cell r="A137" t="str">
            <v>1930</v>
          </cell>
        </row>
        <row r="138">
          <cell r="A138" t="str">
            <v>1930</v>
          </cell>
        </row>
        <row r="139">
          <cell r="A139" t="str">
            <v>1935</v>
          </cell>
        </row>
        <row r="140">
          <cell r="A140" t="str">
            <v>1935</v>
          </cell>
        </row>
        <row r="141">
          <cell r="A141" t="str">
            <v>1940</v>
          </cell>
        </row>
        <row r="142">
          <cell r="A142" t="str">
            <v>1940</v>
          </cell>
        </row>
        <row r="143">
          <cell r="A143" t="str">
            <v>1970</v>
          </cell>
        </row>
        <row r="144">
          <cell r="A144" t="str">
            <v>1970</v>
          </cell>
        </row>
        <row r="145">
          <cell r="A145" t="str">
            <v>1970</v>
          </cell>
        </row>
        <row r="146">
          <cell r="A146" t="str">
            <v>1975</v>
          </cell>
        </row>
        <row r="147">
          <cell r="A147" t="str">
            <v>1975</v>
          </cell>
        </row>
        <row r="148">
          <cell r="A148" t="str">
            <v>1975</v>
          </cell>
        </row>
        <row r="149">
          <cell r="A149" t="str">
            <v>1985</v>
          </cell>
        </row>
        <row r="150">
          <cell r="A150" t="str">
            <v>1985</v>
          </cell>
        </row>
        <row r="151">
          <cell r="A151" t="str">
            <v>1990</v>
          </cell>
        </row>
        <row r="152">
          <cell r="A152" t="str">
            <v>1990</v>
          </cell>
        </row>
        <row r="153">
          <cell r="A153" t="str">
            <v>2000</v>
          </cell>
        </row>
        <row r="154">
          <cell r="A154" t="str">
            <v>2000</v>
          </cell>
        </row>
        <row r="155">
          <cell r="A155" t="str">
            <v>2000</v>
          </cell>
        </row>
        <row r="156">
          <cell r="A156" t="str">
            <v>2030</v>
          </cell>
        </row>
        <row r="157">
          <cell r="A157" t="str">
            <v>2030</v>
          </cell>
        </row>
        <row r="158">
          <cell r="A158" t="str">
            <v>2055</v>
          </cell>
        </row>
        <row r="159">
          <cell r="A159" t="str">
            <v>2055</v>
          </cell>
        </row>
        <row r="160">
          <cell r="A160" t="str">
            <v>2075</v>
          </cell>
        </row>
        <row r="161">
          <cell r="A161" t="str">
            <v>2075</v>
          </cell>
        </row>
        <row r="162">
          <cell r="A162" t="str">
            <v>2105</v>
          </cell>
        </row>
        <row r="163">
          <cell r="A163" t="str">
            <v>2105</v>
          </cell>
        </row>
        <row r="164">
          <cell r="A164" t="str">
            <v>2110</v>
          </cell>
        </row>
        <row r="165">
          <cell r="A165" t="str">
            <v>2110</v>
          </cell>
        </row>
        <row r="166">
          <cell r="A166" t="str">
            <v>2160</v>
          </cell>
        </row>
        <row r="167">
          <cell r="A167" t="str">
            <v>2160</v>
          </cell>
        </row>
        <row r="168">
          <cell r="A168" t="str">
            <v>2230</v>
          </cell>
        </row>
        <row r="169">
          <cell r="A169" t="str">
            <v>2300</v>
          </cell>
        </row>
        <row r="170">
          <cell r="A170" t="str">
            <v>2300</v>
          </cell>
        </row>
        <row r="171">
          <cell r="A171" t="str">
            <v>2320</v>
          </cell>
        </row>
        <row r="172">
          <cell r="A172" t="str">
            <v>2325</v>
          </cell>
        </row>
        <row r="173">
          <cell r="A173" t="str">
            <v>2330</v>
          </cell>
        </row>
        <row r="174">
          <cell r="A174" t="str">
            <v>2335</v>
          </cell>
        </row>
        <row r="175">
          <cell r="A175" t="str">
            <v>2400</v>
          </cell>
        </row>
        <row r="176">
          <cell r="A176" t="str">
            <v>2400</v>
          </cell>
        </row>
        <row r="177">
          <cell r="A177" t="str">
            <v>2410</v>
          </cell>
        </row>
        <row r="178">
          <cell r="A178" t="str">
            <v>2420</v>
          </cell>
        </row>
        <row r="179">
          <cell r="A179" t="str">
            <v>2420</v>
          </cell>
        </row>
        <row r="180">
          <cell r="A180" t="str">
            <v>2425</v>
          </cell>
        </row>
        <row r="181">
          <cell r="A181" t="str">
            <v>2425</v>
          </cell>
        </row>
        <row r="182">
          <cell r="A182" t="str">
            <v>2640</v>
          </cell>
        </row>
        <row r="183">
          <cell r="A183" t="str">
            <v>2665</v>
          </cell>
        </row>
        <row r="184">
          <cell r="A184" t="str">
            <v>2675</v>
          </cell>
        </row>
        <row r="185">
          <cell r="A185" t="str">
            <v>2680</v>
          </cell>
        </row>
        <row r="186">
          <cell r="A186" t="str">
            <v>2685</v>
          </cell>
        </row>
        <row r="187">
          <cell r="A187" t="str">
            <v>2690</v>
          </cell>
        </row>
        <row r="188">
          <cell r="A188" t="str">
            <v>2710</v>
          </cell>
        </row>
        <row r="189">
          <cell r="A189" t="str">
            <v>2775</v>
          </cell>
        </row>
        <row r="190">
          <cell r="A190" t="str">
            <v>2785</v>
          </cell>
        </row>
        <row r="191">
          <cell r="A191" t="str">
            <v>2795</v>
          </cell>
        </row>
        <row r="192">
          <cell r="A192" t="str">
            <v>2855</v>
          </cell>
        </row>
        <row r="193">
          <cell r="A193" t="str">
            <v>2920</v>
          </cell>
        </row>
        <row r="194">
          <cell r="A194" t="str">
            <v>2930</v>
          </cell>
        </row>
        <row r="195">
          <cell r="A195" t="str">
            <v>2960</v>
          </cell>
        </row>
        <row r="196">
          <cell r="A196" t="str">
            <v>2965</v>
          </cell>
        </row>
        <row r="197">
          <cell r="A197" t="str">
            <v>2965</v>
          </cell>
        </row>
        <row r="198">
          <cell r="A198" t="str">
            <v>2980</v>
          </cell>
        </row>
        <row r="199">
          <cell r="A199" t="str">
            <v>3005</v>
          </cell>
        </row>
        <row r="200">
          <cell r="A200" t="str">
            <v>3040</v>
          </cell>
        </row>
        <row r="201">
          <cell r="A201" t="str">
            <v>3110</v>
          </cell>
        </row>
        <row r="202">
          <cell r="A202" t="str">
            <v>3120</v>
          </cell>
        </row>
        <row r="203">
          <cell r="A203" t="str">
            <v>3135</v>
          </cell>
        </row>
        <row r="204">
          <cell r="A204" t="str">
            <v>3160</v>
          </cell>
        </row>
        <row r="205">
          <cell r="A205" t="str">
            <v>3195</v>
          </cell>
        </row>
        <row r="206">
          <cell r="A206" t="str">
            <v>3430</v>
          </cell>
        </row>
        <row r="207">
          <cell r="A207" t="str">
            <v>3430</v>
          </cell>
        </row>
        <row r="208">
          <cell r="A208" t="str">
            <v>3435</v>
          </cell>
        </row>
        <row r="209">
          <cell r="A209" t="str">
            <v>3450</v>
          </cell>
        </row>
        <row r="210">
          <cell r="A210" t="str">
            <v>3455</v>
          </cell>
        </row>
        <row r="211">
          <cell r="A211" t="str">
            <v>3520</v>
          </cell>
        </row>
        <row r="212">
          <cell r="A212" t="str">
            <v>3520</v>
          </cell>
        </row>
        <row r="213">
          <cell r="A213" t="str">
            <v>3705</v>
          </cell>
        </row>
        <row r="214">
          <cell r="A214" t="str">
            <v>3720</v>
          </cell>
        </row>
        <row r="215">
          <cell r="A215" t="str">
            <v>3800</v>
          </cell>
        </row>
        <row r="216">
          <cell r="A216" t="str">
            <v>3975</v>
          </cell>
        </row>
        <row r="217">
          <cell r="A217" t="str">
            <v>3980</v>
          </cell>
        </row>
        <row r="218">
          <cell r="A218" t="str">
            <v>4000</v>
          </cell>
        </row>
        <row r="219">
          <cell r="A219" t="str">
            <v>4005</v>
          </cell>
        </row>
        <row r="220">
          <cell r="A220" t="str">
            <v>4030</v>
          </cell>
        </row>
        <row r="221">
          <cell r="A221" t="str">
            <v>4070</v>
          </cell>
        </row>
        <row r="222">
          <cell r="A222" t="str">
            <v>4265</v>
          </cell>
        </row>
        <row r="223">
          <cell r="A223" t="str">
            <v>4280</v>
          </cell>
        </row>
        <row r="224">
          <cell r="A224" t="str">
            <v>4369</v>
          </cell>
        </row>
        <row r="225">
          <cell r="A225" t="str">
            <v>4371</v>
          </cell>
        </row>
        <row r="226">
          <cell r="A226" t="str">
            <v>4377</v>
          </cell>
        </row>
        <row r="227">
          <cell r="A227" t="str">
            <v>4383</v>
          </cell>
        </row>
        <row r="228">
          <cell r="A228" t="str">
            <v>4385</v>
          </cell>
        </row>
        <row r="229">
          <cell r="A229" t="str">
            <v>4387</v>
          </cell>
        </row>
        <row r="230">
          <cell r="A230" t="str">
            <v>4387</v>
          </cell>
        </row>
        <row r="231">
          <cell r="A231" t="str">
            <v>4419</v>
          </cell>
        </row>
        <row r="232">
          <cell r="A232" t="str">
            <v>4421</v>
          </cell>
        </row>
        <row r="233">
          <cell r="A233" t="str">
            <v>4427</v>
          </cell>
        </row>
        <row r="234">
          <cell r="A234" t="str">
            <v>4433</v>
          </cell>
        </row>
        <row r="235">
          <cell r="A235" t="str">
            <v>4435</v>
          </cell>
        </row>
        <row r="236">
          <cell r="A236" t="str">
            <v>4437</v>
          </cell>
        </row>
        <row r="237">
          <cell r="A237" t="str">
            <v>4515</v>
          </cell>
        </row>
        <row r="238">
          <cell r="A238" t="str">
            <v>4525</v>
          </cell>
        </row>
        <row r="239">
          <cell r="A239" t="str">
            <v>4527</v>
          </cell>
        </row>
        <row r="240">
          <cell r="A240" t="str">
            <v>4535</v>
          </cell>
        </row>
        <row r="241">
          <cell r="A241" t="str">
            <v>4535</v>
          </cell>
        </row>
        <row r="242">
          <cell r="A242" t="str">
            <v>4535</v>
          </cell>
        </row>
        <row r="243">
          <cell r="A243" t="str">
            <v>4545</v>
          </cell>
        </row>
        <row r="244">
          <cell r="A244" t="str">
            <v>4545</v>
          </cell>
        </row>
        <row r="245">
          <cell r="A245" t="str">
            <v>4565</v>
          </cell>
        </row>
        <row r="246">
          <cell r="A246" t="str">
            <v>4565</v>
          </cell>
        </row>
        <row r="247">
          <cell r="A247" t="str">
            <v>4565</v>
          </cell>
        </row>
        <row r="248">
          <cell r="A248" t="str">
            <v>4595</v>
          </cell>
        </row>
        <row r="249">
          <cell r="A249" t="str">
            <v>4612</v>
          </cell>
        </row>
        <row r="250">
          <cell r="A250" t="str">
            <v>4614</v>
          </cell>
        </row>
        <row r="251">
          <cell r="A251" t="str">
            <v>4630</v>
          </cell>
        </row>
        <row r="252">
          <cell r="A252" t="str">
            <v>4634</v>
          </cell>
        </row>
        <row r="253">
          <cell r="A253" t="str">
            <v>4661</v>
          </cell>
        </row>
        <row r="254">
          <cell r="A254" t="str">
            <v>4685</v>
          </cell>
        </row>
        <row r="255">
          <cell r="A255" t="str">
            <v>4715</v>
          </cell>
        </row>
        <row r="256">
          <cell r="A256" t="str">
            <v>4735</v>
          </cell>
        </row>
        <row r="257">
          <cell r="A257" t="str">
            <v>4780</v>
          </cell>
        </row>
        <row r="258">
          <cell r="A258" t="str">
            <v>4785</v>
          </cell>
        </row>
        <row r="259">
          <cell r="A259" t="str">
            <v>4998</v>
          </cell>
        </row>
        <row r="260">
          <cell r="A260" t="str">
            <v>4998</v>
          </cell>
        </row>
        <row r="261">
          <cell r="A261" t="str">
            <v>4998</v>
          </cell>
        </row>
        <row r="262">
          <cell r="A262" t="str">
            <v>5025</v>
          </cell>
        </row>
        <row r="263">
          <cell r="A263" t="str">
            <v>5025</v>
          </cell>
        </row>
        <row r="264">
          <cell r="A264" t="str">
            <v>5025</v>
          </cell>
        </row>
        <row r="265">
          <cell r="A265" t="str">
            <v>5025</v>
          </cell>
        </row>
        <row r="266">
          <cell r="A266" t="str">
            <v>5025</v>
          </cell>
        </row>
        <row r="267">
          <cell r="A267" t="str">
            <v>5025</v>
          </cell>
        </row>
        <row r="268">
          <cell r="A268" t="str">
            <v>5025</v>
          </cell>
        </row>
        <row r="269">
          <cell r="A269" t="str">
            <v>5025</v>
          </cell>
        </row>
        <row r="270">
          <cell r="A270" t="str">
            <v>5025</v>
          </cell>
        </row>
        <row r="271">
          <cell r="A271" t="str">
            <v>5025</v>
          </cell>
        </row>
        <row r="272">
          <cell r="A272" t="str">
            <v>5025</v>
          </cell>
        </row>
        <row r="273">
          <cell r="A273" t="str">
            <v>5025</v>
          </cell>
        </row>
        <row r="274">
          <cell r="A274" t="str">
            <v>5025</v>
          </cell>
        </row>
        <row r="275">
          <cell r="A275" t="str">
            <v>5025</v>
          </cell>
        </row>
        <row r="276">
          <cell r="A276" t="str">
            <v>5025</v>
          </cell>
        </row>
        <row r="277">
          <cell r="A277" t="str">
            <v>5025</v>
          </cell>
        </row>
        <row r="278">
          <cell r="A278" t="str">
            <v>5025</v>
          </cell>
        </row>
        <row r="279">
          <cell r="A279" t="str">
            <v>5025</v>
          </cell>
        </row>
        <row r="280">
          <cell r="A280" t="str">
            <v>5025</v>
          </cell>
        </row>
        <row r="281">
          <cell r="A281" t="str">
            <v>5025</v>
          </cell>
        </row>
        <row r="282">
          <cell r="A282" t="str">
            <v>5030</v>
          </cell>
        </row>
        <row r="283">
          <cell r="A283" t="str">
            <v>5030</v>
          </cell>
        </row>
        <row r="284">
          <cell r="A284" t="str">
            <v>5030</v>
          </cell>
        </row>
        <row r="285">
          <cell r="A285" t="str">
            <v>5030</v>
          </cell>
        </row>
        <row r="286">
          <cell r="A286" t="str">
            <v>5030</v>
          </cell>
        </row>
        <row r="287">
          <cell r="A287" t="str">
            <v>5030</v>
          </cell>
        </row>
        <row r="288">
          <cell r="A288" t="str">
            <v>5030</v>
          </cell>
        </row>
        <row r="289">
          <cell r="A289" t="str">
            <v>5030</v>
          </cell>
        </row>
        <row r="290">
          <cell r="A290" t="str">
            <v>5030</v>
          </cell>
        </row>
        <row r="291">
          <cell r="A291" t="str">
            <v>5030</v>
          </cell>
        </row>
        <row r="292">
          <cell r="A292" t="str">
            <v>5030</v>
          </cell>
        </row>
        <row r="293">
          <cell r="A293" t="str">
            <v>5030</v>
          </cell>
        </row>
        <row r="294">
          <cell r="A294" t="str">
            <v>5030</v>
          </cell>
        </row>
        <row r="295">
          <cell r="A295" t="str">
            <v>5030</v>
          </cell>
        </row>
        <row r="296">
          <cell r="A296" t="str">
            <v>5030</v>
          </cell>
        </row>
        <row r="297">
          <cell r="A297" t="str">
            <v>5030</v>
          </cell>
        </row>
        <row r="298">
          <cell r="A298" t="str">
            <v>5030</v>
          </cell>
        </row>
        <row r="299">
          <cell r="A299" t="str">
            <v>5030</v>
          </cell>
        </row>
        <row r="300">
          <cell r="A300" t="str">
            <v>5030</v>
          </cell>
        </row>
        <row r="301">
          <cell r="A301" t="str">
            <v>5030</v>
          </cell>
        </row>
        <row r="302">
          <cell r="A302" t="str">
            <v>5035</v>
          </cell>
        </row>
        <row r="303">
          <cell r="A303" t="str">
            <v>5035</v>
          </cell>
        </row>
        <row r="304">
          <cell r="A304" t="str">
            <v>5035</v>
          </cell>
        </row>
        <row r="305">
          <cell r="A305" t="str">
            <v>5035</v>
          </cell>
        </row>
        <row r="306">
          <cell r="A306" t="str">
            <v>5035</v>
          </cell>
        </row>
        <row r="307">
          <cell r="A307" t="str">
            <v>5100</v>
          </cell>
        </row>
        <row r="308">
          <cell r="A308" t="str">
            <v>5100</v>
          </cell>
        </row>
        <row r="309">
          <cell r="A309" t="str">
            <v>5100</v>
          </cell>
        </row>
        <row r="310">
          <cell r="A310" t="str">
            <v>5100</v>
          </cell>
        </row>
        <row r="311">
          <cell r="A311" t="str">
            <v>5100</v>
          </cell>
        </row>
        <row r="312">
          <cell r="A312" t="str">
            <v>5105</v>
          </cell>
        </row>
        <row r="313">
          <cell r="A313" t="str">
            <v>5105</v>
          </cell>
        </row>
        <row r="314">
          <cell r="A314" t="str">
            <v>5105</v>
          </cell>
        </row>
        <row r="315">
          <cell r="A315" t="str">
            <v>5105</v>
          </cell>
        </row>
        <row r="316">
          <cell r="A316" t="str">
            <v>5105</v>
          </cell>
        </row>
        <row r="317">
          <cell r="A317" t="str">
            <v>5110</v>
          </cell>
        </row>
        <row r="318">
          <cell r="A318" t="str">
            <v>5110</v>
          </cell>
        </row>
        <row r="319">
          <cell r="A319" t="str">
            <v>5110</v>
          </cell>
        </row>
        <row r="320">
          <cell r="A320" t="str">
            <v>5265</v>
          </cell>
        </row>
        <row r="321">
          <cell r="A321" t="str">
            <v>5265</v>
          </cell>
        </row>
        <row r="322">
          <cell r="A322" t="str">
            <v>5265</v>
          </cell>
        </row>
        <row r="323">
          <cell r="A323" t="str">
            <v>5265</v>
          </cell>
        </row>
        <row r="324">
          <cell r="A324" t="str">
            <v>5265</v>
          </cell>
        </row>
        <row r="325">
          <cell r="A325" t="str">
            <v>5265</v>
          </cell>
        </row>
        <row r="326">
          <cell r="A326" t="str">
            <v>5265</v>
          </cell>
        </row>
        <row r="327">
          <cell r="A327" t="str">
            <v>5265</v>
          </cell>
        </row>
        <row r="328">
          <cell r="A328" t="str">
            <v>5265</v>
          </cell>
        </row>
        <row r="329">
          <cell r="A329" t="str">
            <v>5265</v>
          </cell>
        </row>
        <row r="330">
          <cell r="A330" t="str">
            <v>5265</v>
          </cell>
        </row>
        <row r="331">
          <cell r="A331" t="str">
            <v>5265</v>
          </cell>
        </row>
        <row r="332">
          <cell r="A332" t="str">
            <v>5265</v>
          </cell>
        </row>
        <row r="333">
          <cell r="A333" t="str">
            <v>5265</v>
          </cell>
        </row>
        <row r="334">
          <cell r="A334" t="str">
            <v>5265</v>
          </cell>
        </row>
        <row r="335">
          <cell r="A335" t="str">
            <v>5265</v>
          </cell>
        </row>
        <row r="336">
          <cell r="A336" t="str">
            <v>5265</v>
          </cell>
        </row>
        <row r="337">
          <cell r="A337" t="str">
            <v>5265</v>
          </cell>
        </row>
        <row r="338">
          <cell r="A338" t="str">
            <v>5265</v>
          </cell>
        </row>
        <row r="339">
          <cell r="A339" t="str">
            <v>5265</v>
          </cell>
        </row>
        <row r="340">
          <cell r="A340" t="str">
            <v>5270</v>
          </cell>
        </row>
        <row r="341">
          <cell r="A341" t="str">
            <v>5270</v>
          </cell>
        </row>
        <row r="342">
          <cell r="A342" t="str">
            <v>5270</v>
          </cell>
        </row>
        <row r="343">
          <cell r="A343" t="str">
            <v>5270</v>
          </cell>
        </row>
        <row r="344">
          <cell r="A344" t="str">
            <v>5270</v>
          </cell>
        </row>
        <row r="345">
          <cell r="A345" t="str">
            <v>5270</v>
          </cell>
        </row>
        <row r="346">
          <cell r="A346" t="str">
            <v>5270</v>
          </cell>
        </row>
        <row r="347">
          <cell r="A347" t="str">
            <v>5270</v>
          </cell>
        </row>
        <row r="348">
          <cell r="A348" t="str">
            <v>5270</v>
          </cell>
        </row>
        <row r="349">
          <cell r="A349" t="str">
            <v>5270</v>
          </cell>
        </row>
        <row r="350">
          <cell r="A350" t="str">
            <v>5270</v>
          </cell>
        </row>
        <row r="351">
          <cell r="A351" t="str">
            <v>5270</v>
          </cell>
        </row>
        <row r="352">
          <cell r="A352" t="str">
            <v>5270</v>
          </cell>
        </row>
        <row r="353">
          <cell r="A353" t="str">
            <v>5270</v>
          </cell>
        </row>
        <row r="354">
          <cell r="A354" t="str">
            <v>5270</v>
          </cell>
        </row>
        <row r="355">
          <cell r="A355" t="str">
            <v>5270</v>
          </cell>
        </row>
        <row r="356">
          <cell r="A356" t="str">
            <v>5270</v>
          </cell>
        </row>
        <row r="357">
          <cell r="A357" t="str">
            <v>5270</v>
          </cell>
        </row>
        <row r="358">
          <cell r="A358" t="str">
            <v>5270</v>
          </cell>
        </row>
        <row r="359">
          <cell r="A359" t="str">
            <v>5270</v>
          </cell>
        </row>
        <row r="360">
          <cell r="A360" t="str">
            <v>5455</v>
          </cell>
        </row>
        <row r="361">
          <cell r="A361" t="str">
            <v>5460</v>
          </cell>
        </row>
        <row r="362">
          <cell r="A362" t="str">
            <v>5465</v>
          </cell>
        </row>
        <row r="363">
          <cell r="A363" t="str">
            <v>5465</v>
          </cell>
        </row>
        <row r="364">
          <cell r="A364" t="str">
            <v>5465</v>
          </cell>
        </row>
        <row r="365">
          <cell r="A365" t="str">
            <v>5465</v>
          </cell>
        </row>
        <row r="366">
          <cell r="A366" t="str">
            <v>5465</v>
          </cell>
        </row>
        <row r="367">
          <cell r="A367" t="str">
            <v>5465</v>
          </cell>
        </row>
        <row r="368">
          <cell r="A368" t="str">
            <v>5465</v>
          </cell>
        </row>
        <row r="369">
          <cell r="A369" t="str">
            <v>5465</v>
          </cell>
        </row>
        <row r="370">
          <cell r="A370" t="str">
            <v>5465</v>
          </cell>
        </row>
        <row r="371">
          <cell r="A371" t="str">
            <v>5465</v>
          </cell>
        </row>
        <row r="372">
          <cell r="A372" t="str">
            <v>5465</v>
          </cell>
        </row>
        <row r="373">
          <cell r="A373" t="str">
            <v>5465</v>
          </cell>
        </row>
        <row r="374">
          <cell r="A374" t="str">
            <v>5465</v>
          </cell>
        </row>
        <row r="375">
          <cell r="A375" t="str">
            <v>5465</v>
          </cell>
        </row>
        <row r="376">
          <cell r="A376" t="str">
            <v>5465</v>
          </cell>
        </row>
        <row r="377">
          <cell r="A377" t="str">
            <v>5465</v>
          </cell>
        </row>
        <row r="378">
          <cell r="A378" t="str">
            <v>5465</v>
          </cell>
        </row>
        <row r="379">
          <cell r="A379" t="str">
            <v>5465</v>
          </cell>
        </row>
        <row r="380">
          <cell r="A380" t="str">
            <v>5465</v>
          </cell>
        </row>
        <row r="381">
          <cell r="A381" t="str">
            <v>5465</v>
          </cell>
        </row>
        <row r="382">
          <cell r="A382" t="str">
            <v>5465</v>
          </cell>
        </row>
        <row r="383">
          <cell r="A383" t="str">
            <v>5470</v>
          </cell>
        </row>
        <row r="384">
          <cell r="A384" t="str">
            <v>5470</v>
          </cell>
        </row>
        <row r="385">
          <cell r="A385" t="str">
            <v>5470</v>
          </cell>
        </row>
        <row r="386">
          <cell r="A386" t="str">
            <v>5480</v>
          </cell>
        </row>
        <row r="387">
          <cell r="A387" t="str">
            <v>5480</v>
          </cell>
        </row>
        <row r="388">
          <cell r="A388" t="str">
            <v>5480</v>
          </cell>
        </row>
        <row r="389">
          <cell r="A389" t="str">
            <v>5480</v>
          </cell>
        </row>
        <row r="390">
          <cell r="A390" t="str">
            <v>5480</v>
          </cell>
        </row>
        <row r="391">
          <cell r="A391" t="str">
            <v>5480</v>
          </cell>
        </row>
        <row r="392">
          <cell r="A392" t="str">
            <v>5480</v>
          </cell>
        </row>
        <row r="393">
          <cell r="A393" t="str">
            <v>5480</v>
          </cell>
        </row>
        <row r="394">
          <cell r="A394" t="str">
            <v>5480</v>
          </cell>
        </row>
        <row r="395">
          <cell r="A395" t="str">
            <v>5480</v>
          </cell>
        </row>
        <row r="396">
          <cell r="A396" t="str">
            <v>5480</v>
          </cell>
        </row>
        <row r="397">
          <cell r="A397" t="str">
            <v>5480</v>
          </cell>
        </row>
        <row r="398">
          <cell r="A398" t="str">
            <v>5480</v>
          </cell>
        </row>
        <row r="399">
          <cell r="A399" t="str">
            <v>5480</v>
          </cell>
        </row>
        <row r="400">
          <cell r="A400" t="str">
            <v>5480</v>
          </cell>
        </row>
        <row r="401">
          <cell r="A401" t="str">
            <v>5480</v>
          </cell>
        </row>
        <row r="402">
          <cell r="A402" t="str">
            <v>5485</v>
          </cell>
        </row>
        <row r="403">
          <cell r="A403" t="str">
            <v>5485</v>
          </cell>
        </row>
        <row r="404">
          <cell r="A404" t="str">
            <v>5490</v>
          </cell>
        </row>
        <row r="405">
          <cell r="A405" t="str">
            <v>5490</v>
          </cell>
        </row>
        <row r="406">
          <cell r="A406" t="str">
            <v>5490</v>
          </cell>
        </row>
        <row r="407">
          <cell r="A407" t="str">
            <v>5490</v>
          </cell>
        </row>
        <row r="408">
          <cell r="A408" t="str">
            <v>5490</v>
          </cell>
        </row>
        <row r="409">
          <cell r="A409" t="str">
            <v>5490</v>
          </cell>
        </row>
        <row r="410">
          <cell r="A410" t="str">
            <v>5490</v>
          </cell>
        </row>
        <row r="411">
          <cell r="A411" t="str">
            <v>5490</v>
          </cell>
        </row>
        <row r="412">
          <cell r="A412" t="str">
            <v>5490</v>
          </cell>
        </row>
        <row r="413">
          <cell r="A413" t="str">
            <v>5490</v>
          </cell>
        </row>
        <row r="414">
          <cell r="A414" t="str">
            <v>5490</v>
          </cell>
        </row>
        <row r="415">
          <cell r="A415" t="str">
            <v>5490</v>
          </cell>
        </row>
        <row r="416">
          <cell r="A416" t="str">
            <v>5490</v>
          </cell>
        </row>
        <row r="417">
          <cell r="A417" t="str">
            <v>5490</v>
          </cell>
        </row>
        <row r="418">
          <cell r="A418" t="str">
            <v>5490</v>
          </cell>
        </row>
        <row r="419">
          <cell r="A419" t="str">
            <v>5490</v>
          </cell>
        </row>
        <row r="420">
          <cell r="A420" t="str">
            <v>5490</v>
          </cell>
        </row>
        <row r="421">
          <cell r="A421" t="str">
            <v>5490</v>
          </cell>
        </row>
        <row r="422">
          <cell r="A422" t="str">
            <v>5490</v>
          </cell>
        </row>
        <row r="423">
          <cell r="A423" t="str">
            <v>5490</v>
          </cell>
        </row>
        <row r="424">
          <cell r="A424" t="str">
            <v>5495</v>
          </cell>
        </row>
        <row r="425">
          <cell r="A425" t="str">
            <v>5495</v>
          </cell>
        </row>
        <row r="426">
          <cell r="A426" t="str">
            <v>5495</v>
          </cell>
        </row>
        <row r="427">
          <cell r="A427" t="str">
            <v>5495</v>
          </cell>
        </row>
        <row r="428">
          <cell r="A428" t="str">
            <v>5495</v>
          </cell>
        </row>
        <row r="429">
          <cell r="A429" t="str">
            <v>5495</v>
          </cell>
        </row>
        <row r="430">
          <cell r="A430" t="str">
            <v>5495</v>
          </cell>
        </row>
        <row r="431">
          <cell r="A431" t="str">
            <v>5495</v>
          </cell>
        </row>
        <row r="432">
          <cell r="A432" t="str">
            <v>5495</v>
          </cell>
        </row>
        <row r="433">
          <cell r="A433" t="str">
            <v>5495</v>
          </cell>
        </row>
        <row r="434">
          <cell r="A434" t="str">
            <v>5495</v>
          </cell>
        </row>
        <row r="435">
          <cell r="A435" t="str">
            <v>5495</v>
          </cell>
        </row>
        <row r="436">
          <cell r="A436" t="str">
            <v>5495</v>
          </cell>
        </row>
        <row r="437">
          <cell r="A437" t="str">
            <v>5495</v>
          </cell>
        </row>
        <row r="438">
          <cell r="A438" t="str">
            <v>5495</v>
          </cell>
        </row>
        <row r="439">
          <cell r="A439" t="str">
            <v>5495</v>
          </cell>
        </row>
        <row r="440">
          <cell r="A440" t="str">
            <v>5495</v>
          </cell>
        </row>
        <row r="441">
          <cell r="A441" t="str">
            <v>5505</v>
          </cell>
        </row>
        <row r="442">
          <cell r="A442" t="str">
            <v>5505</v>
          </cell>
        </row>
        <row r="443">
          <cell r="A443" t="str">
            <v>5505</v>
          </cell>
        </row>
        <row r="444">
          <cell r="A444" t="str">
            <v>5505</v>
          </cell>
        </row>
        <row r="445">
          <cell r="A445" t="str">
            <v>5505</v>
          </cell>
        </row>
        <row r="446">
          <cell r="A446" t="str">
            <v>5510</v>
          </cell>
        </row>
        <row r="447">
          <cell r="A447" t="str">
            <v>5510</v>
          </cell>
        </row>
        <row r="448">
          <cell r="A448" t="str">
            <v>5510</v>
          </cell>
        </row>
        <row r="449">
          <cell r="A449" t="str">
            <v>5510</v>
          </cell>
        </row>
        <row r="450">
          <cell r="A450" t="str">
            <v>5510</v>
          </cell>
        </row>
        <row r="451">
          <cell r="A451" t="str">
            <v>5510</v>
          </cell>
        </row>
        <row r="452">
          <cell r="A452" t="str">
            <v>5510</v>
          </cell>
        </row>
        <row r="453">
          <cell r="A453" t="str">
            <v>5510</v>
          </cell>
        </row>
        <row r="454">
          <cell r="A454" t="str">
            <v>5510</v>
          </cell>
        </row>
        <row r="455">
          <cell r="A455" t="str">
            <v>5510</v>
          </cell>
        </row>
        <row r="456">
          <cell r="A456" t="str">
            <v>5510</v>
          </cell>
        </row>
        <row r="457">
          <cell r="A457" t="str">
            <v>5510</v>
          </cell>
        </row>
        <row r="458">
          <cell r="A458" t="str">
            <v>5510</v>
          </cell>
        </row>
        <row r="459">
          <cell r="A459" t="str">
            <v>5510</v>
          </cell>
        </row>
        <row r="460">
          <cell r="A460" t="str">
            <v>5510</v>
          </cell>
        </row>
        <row r="461">
          <cell r="A461" t="str">
            <v>5510</v>
          </cell>
        </row>
        <row r="462">
          <cell r="A462" t="str">
            <v>5510</v>
          </cell>
        </row>
        <row r="463">
          <cell r="A463" t="str">
            <v>5525</v>
          </cell>
        </row>
        <row r="464">
          <cell r="A464" t="str">
            <v>5525</v>
          </cell>
        </row>
        <row r="465">
          <cell r="A465" t="str">
            <v>5530</v>
          </cell>
        </row>
        <row r="466">
          <cell r="A466" t="str">
            <v>5530</v>
          </cell>
        </row>
        <row r="467">
          <cell r="A467" t="str">
            <v>5535</v>
          </cell>
        </row>
        <row r="468">
          <cell r="A468" t="str">
            <v>5535</v>
          </cell>
        </row>
        <row r="469">
          <cell r="A469" t="str">
            <v>5540</v>
          </cell>
        </row>
        <row r="470">
          <cell r="A470" t="str">
            <v>5540</v>
          </cell>
        </row>
        <row r="471">
          <cell r="A471" t="str">
            <v>5540</v>
          </cell>
        </row>
        <row r="472">
          <cell r="A472" t="str">
            <v>5545</v>
          </cell>
        </row>
        <row r="473">
          <cell r="A473" t="str">
            <v>5545</v>
          </cell>
        </row>
        <row r="474">
          <cell r="A474" t="str">
            <v>5545</v>
          </cell>
        </row>
        <row r="475">
          <cell r="A475" t="str">
            <v>5545</v>
          </cell>
        </row>
        <row r="476">
          <cell r="A476" t="str">
            <v>5545</v>
          </cell>
        </row>
        <row r="477">
          <cell r="A477" t="str">
            <v>5545</v>
          </cell>
        </row>
        <row r="478">
          <cell r="A478" t="str">
            <v>5545</v>
          </cell>
        </row>
        <row r="479">
          <cell r="A479" t="str">
            <v>5545</v>
          </cell>
        </row>
        <row r="480">
          <cell r="A480" t="str">
            <v>5545</v>
          </cell>
        </row>
        <row r="481">
          <cell r="A481" t="str">
            <v>5545</v>
          </cell>
        </row>
        <row r="482">
          <cell r="A482" t="str">
            <v>5545</v>
          </cell>
        </row>
        <row r="483">
          <cell r="A483" t="str">
            <v>5545</v>
          </cell>
        </row>
        <row r="484">
          <cell r="A484" t="str">
            <v>5545</v>
          </cell>
        </row>
        <row r="485">
          <cell r="A485" t="str">
            <v>5545</v>
          </cell>
        </row>
        <row r="486">
          <cell r="A486" t="str">
            <v>5545</v>
          </cell>
        </row>
        <row r="487">
          <cell r="A487" t="str">
            <v>5545</v>
          </cell>
        </row>
        <row r="488">
          <cell r="A488" t="str">
            <v>5545</v>
          </cell>
        </row>
        <row r="489">
          <cell r="A489" t="str">
            <v>5545</v>
          </cell>
        </row>
        <row r="490">
          <cell r="A490" t="str">
            <v>5545</v>
          </cell>
        </row>
        <row r="491">
          <cell r="A491" t="str">
            <v>5545</v>
          </cell>
        </row>
        <row r="492">
          <cell r="A492" t="str">
            <v>5545</v>
          </cell>
        </row>
        <row r="493">
          <cell r="A493" t="str">
            <v>5625</v>
          </cell>
        </row>
        <row r="494">
          <cell r="A494" t="str">
            <v>5625</v>
          </cell>
        </row>
        <row r="495">
          <cell r="A495" t="str">
            <v>5630</v>
          </cell>
        </row>
        <row r="496">
          <cell r="A496" t="str">
            <v>5630</v>
          </cell>
        </row>
        <row r="497">
          <cell r="A497" t="str">
            <v>5635</v>
          </cell>
        </row>
        <row r="498">
          <cell r="A498" t="str">
            <v>5635</v>
          </cell>
        </row>
        <row r="499">
          <cell r="A499" t="str">
            <v>5640</v>
          </cell>
        </row>
        <row r="500">
          <cell r="A500" t="str">
            <v>5645</v>
          </cell>
        </row>
        <row r="501">
          <cell r="A501" t="str">
            <v>5645</v>
          </cell>
        </row>
        <row r="502">
          <cell r="A502" t="str">
            <v>5650</v>
          </cell>
        </row>
        <row r="503">
          <cell r="A503" t="str">
            <v>5650</v>
          </cell>
        </row>
        <row r="504">
          <cell r="A504" t="str">
            <v>5655</v>
          </cell>
        </row>
        <row r="505">
          <cell r="A505" t="str">
            <v>5655</v>
          </cell>
        </row>
        <row r="506">
          <cell r="A506" t="str">
            <v>5660</v>
          </cell>
        </row>
        <row r="507">
          <cell r="A507" t="str">
            <v>5660</v>
          </cell>
        </row>
        <row r="508">
          <cell r="A508" t="str">
            <v>5660</v>
          </cell>
        </row>
        <row r="509">
          <cell r="A509" t="str">
            <v>5665</v>
          </cell>
        </row>
        <row r="510">
          <cell r="A510" t="str">
            <v>5665</v>
          </cell>
        </row>
        <row r="511">
          <cell r="A511" t="str">
            <v>5670</v>
          </cell>
        </row>
        <row r="512">
          <cell r="A512" t="str">
            <v>5670</v>
          </cell>
        </row>
        <row r="513">
          <cell r="A513" t="str">
            <v>5675</v>
          </cell>
        </row>
        <row r="514">
          <cell r="A514" t="str">
            <v>5680</v>
          </cell>
        </row>
        <row r="515">
          <cell r="A515" t="str">
            <v>5690</v>
          </cell>
        </row>
        <row r="516">
          <cell r="A516" t="str">
            <v>5690</v>
          </cell>
        </row>
        <row r="517">
          <cell r="A517" t="str">
            <v>5715</v>
          </cell>
        </row>
        <row r="518">
          <cell r="A518" t="str">
            <v>5715</v>
          </cell>
        </row>
        <row r="519">
          <cell r="A519" t="str">
            <v>5735</v>
          </cell>
        </row>
        <row r="520">
          <cell r="A520" t="str">
            <v>5735</v>
          </cell>
        </row>
        <row r="521">
          <cell r="A521" t="str">
            <v>5740</v>
          </cell>
        </row>
        <row r="522">
          <cell r="A522" t="str">
            <v>5740</v>
          </cell>
        </row>
        <row r="523">
          <cell r="A523" t="str">
            <v>5745</v>
          </cell>
        </row>
        <row r="524">
          <cell r="A524" t="str">
            <v>5745</v>
          </cell>
        </row>
        <row r="525">
          <cell r="A525" t="str">
            <v>5750</v>
          </cell>
        </row>
        <row r="526">
          <cell r="A526" t="str">
            <v>5750</v>
          </cell>
        </row>
        <row r="527">
          <cell r="A527" t="str">
            <v>5755</v>
          </cell>
        </row>
        <row r="528">
          <cell r="A528" t="str">
            <v>5755</v>
          </cell>
        </row>
        <row r="529">
          <cell r="A529" t="str">
            <v>5760</v>
          </cell>
        </row>
        <row r="530">
          <cell r="A530" t="str">
            <v>5760</v>
          </cell>
        </row>
        <row r="531">
          <cell r="A531" t="str">
            <v>5790</v>
          </cell>
        </row>
        <row r="532">
          <cell r="A532" t="str">
            <v>5790</v>
          </cell>
        </row>
        <row r="533">
          <cell r="A533" t="str">
            <v>5800</v>
          </cell>
        </row>
        <row r="534">
          <cell r="A534" t="str">
            <v>5810</v>
          </cell>
        </row>
        <row r="535">
          <cell r="A535" t="str">
            <v>5810</v>
          </cell>
        </row>
        <row r="536">
          <cell r="A536" t="str">
            <v>5810</v>
          </cell>
        </row>
        <row r="537">
          <cell r="A537" t="str">
            <v>5810</v>
          </cell>
        </row>
        <row r="538">
          <cell r="A538" t="str">
            <v>5810</v>
          </cell>
        </row>
        <row r="539">
          <cell r="A539" t="str">
            <v>5810</v>
          </cell>
        </row>
        <row r="540">
          <cell r="A540" t="str">
            <v>5810</v>
          </cell>
        </row>
        <row r="541">
          <cell r="A541" t="str">
            <v>5810</v>
          </cell>
        </row>
        <row r="542">
          <cell r="A542" t="str">
            <v>5810</v>
          </cell>
        </row>
        <row r="543">
          <cell r="A543" t="str">
            <v>5810</v>
          </cell>
        </row>
        <row r="544">
          <cell r="A544" t="str">
            <v>5820</v>
          </cell>
        </row>
        <row r="545">
          <cell r="A545" t="str">
            <v>5820</v>
          </cell>
        </row>
        <row r="546">
          <cell r="A546" t="str">
            <v>5820</v>
          </cell>
        </row>
        <row r="547">
          <cell r="A547" t="str">
            <v>5820</v>
          </cell>
        </row>
        <row r="548">
          <cell r="A548" t="str">
            <v>5820</v>
          </cell>
        </row>
        <row r="549">
          <cell r="A549" t="str">
            <v>5820</v>
          </cell>
        </row>
        <row r="550">
          <cell r="A550" t="str">
            <v>5820</v>
          </cell>
        </row>
        <row r="551">
          <cell r="A551" t="str">
            <v>5825</v>
          </cell>
        </row>
        <row r="552">
          <cell r="A552" t="str">
            <v>5825</v>
          </cell>
        </row>
        <row r="553">
          <cell r="A553" t="str">
            <v>5825</v>
          </cell>
        </row>
        <row r="554">
          <cell r="A554" t="str">
            <v>5855</v>
          </cell>
        </row>
        <row r="555">
          <cell r="A555" t="str">
            <v>5855</v>
          </cell>
        </row>
        <row r="556">
          <cell r="A556" t="str">
            <v>5860</v>
          </cell>
        </row>
        <row r="557">
          <cell r="A557" t="str">
            <v>5860</v>
          </cell>
        </row>
        <row r="558">
          <cell r="A558" t="str">
            <v>5860</v>
          </cell>
        </row>
        <row r="559">
          <cell r="A559" t="str">
            <v>5865</v>
          </cell>
        </row>
        <row r="560">
          <cell r="A560" t="str">
            <v>5865</v>
          </cell>
        </row>
        <row r="561">
          <cell r="A561" t="str">
            <v>5880</v>
          </cell>
        </row>
        <row r="562">
          <cell r="A562" t="str">
            <v>5880</v>
          </cell>
        </row>
        <row r="563">
          <cell r="A563" t="str">
            <v>5885</v>
          </cell>
        </row>
        <row r="564">
          <cell r="A564" t="str">
            <v>5885</v>
          </cell>
        </row>
        <row r="565">
          <cell r="A565" t="str">
            <v>5885</v>
          </cell>
        </row>
        <row r="566">
          <cell r="A566" t="str">
            <v>5885</v>
          </cell>
        </row>
        <row r="567">
          <cell r="A567" t="str">
            <v>5885</v>
          </cell>
        </row>
        <row r="568">
          <cell r="A568" t="str">
            <v>5885</v>
          </cell>
        </row>
        <row r="569">
          <cell r="A569" t="str">
            <v>5885</v>
          </cell>
        </row>
        <row r="570">
          <cell r="A570" t="str">
            <v>5885</v>
          </cell>
        </row>
        <row r="571">
          <cell r="A571" t="str">
            <v>5885</v>
          </cell>
        </row>
        <row r="572">
          <cell r="A572" t="str">
            <v>5885</v>
          </cell>
        </row>
        <row r="573">
          <cell r="A573" t="str">
            <v>5885</v>
          </cell>
        </row>
        <row r="574">
          <cell r="A574" t="str">
            <v>5885</v>
          </cell>
        </row>
        <row r="575">
          <cell r="A575" t="str">
            <v>5885</v>
          </cell>
        </row>
        <row r="576">
          <cell r="A576" t="str">
            <v>5885</v>
          </cell>
        </row>
        <row r="577">
          <cell r="A577" t="str">
            <v>5885</v>
          </cell>
        </row>
        <row r="578">
          <cell r="A578" t="str">
            <v>5885</v>
          </cell>
        </row>
        <row r="579">
          <cell r="A579" t="str">
            <v>5885</v>
          </cell>
        </row>
        <row r="580">
          <cell r="A580" t="str">
            <v>5885</v>
          </cell>
        </row>
        <row r="581">
          <cell r="A581" t="str">
            <v>5885</v>
          </cell>
        </row>
        <row r="582">
          <cell r="A582" t="str">
            <v>5885</v>
          </cell>
        </row>
        <row r="583">
          <cell r="A583" t="str">
            <v>5885</v>
          </cell>
        </row>
        <row r="584">
          <cell r="A584" t="str">
            <v>5885</v>
          </cell>
        </row>
        <row r="585">
          <cell r="A585" t="str">
            <v>5885</v>
          </cell>
        </row>
        <row r="586">
          <cell r="A586" t="str">
            <v>5890</v>
          </cell>
        </row>
        <row r="587">
          <cell r="A587" t="str">
            <v>5890</v>
          </cell>
        </row>
        <row r="588">
          <cell r="A588" t="str">
            <v>5890</v>
          </cell>
        </row>
        <row r="589">
          <cell r="A589" t="str">
            <v>5890</v>
          </cell>
        </row>
        <row r="590">
          <cell r="A590" t="str">
            <v>5890</v>
          </cell>
        </row>
        <row r="591">
          <cell r="A591" t="str">
            <v>5895</v>
          </cell>
        </row>
        <row r="592">
          <cell r="A592" t="str">
            <v>5895</v>
          </cell>
        </row>
        <row r="593">
          <cell r="A593" t="str">
            <v>5895</v>
          </cell>
        </row>
        <row r="594">
          <cell r="A594" t="str">
            <v>5895</v>
          </cell>
        </row>
        <row r="595">
          <cell r="A595" t="str">
            <v>5895</v>
          </cell>
        </row>
        <row r="596">
          <cell r="A596" t="str">
            <v>5895</v>
          </cell>
        </row>
        <row r="597">
          <cell r="A597" t="str">
            <v>5895</v>
          </cell>
        </row>
        <row r="598">
          <cell r="A598" t="str">
            <v>5895</v>
          </cell>
        </row>
        <row r="599">
          <cell r="A599" t="str">
            <v>5895</v>
          </cell>
        </row>
        <row r="600">
          <cell r="A600" t="str">
            <v>5895</v>
          </cell>
        </row>
        <row r="601">
          <cell r="A601" t="str">
            <v>5895</v>
          </cell>
        </row>
        <row r="602">
          <cell r="A602" t="str">
            <v>5895</v>
          </cell>
        </row>
        <row r="603">
          <cell r="A603" t="str">
            <v>5895</v>
          </cell>
        </row>
        <row r="604">
          <cell r="A604" t="str">
            <v>5895</v>
          </cell>
        </row>
        <row r="605">
          <cell r="A605" t="str">
            <v>5895</v>
          </cell>
        </row>
        <row r="606">
          <cell r="A606" t="str">
            <v>5895</v>
          </cell>
        </row>
        <row r="607">
          <cell r="A607" t="str">
            <v>5895</v>
          </cell>
        </row>
        <row r="608">
          <cell r="A608" t="str">
            <v>5895</v>
          </cell>
        </row>
        <row r="609">
          <cell r="A609" t="str">
            <v>5895</v>
          </cell>
        </row>
        <row r="610">
          <cell r="A610" t="str">
            <v>5900</v>
          </cell>
        </row>
        <row r="611">
          <cell r="A611" t="str">
            <v>5900</v>
          </cell>
        </row>
        <row r="612">
          <cell r="A612" t="str">
            <v>5900</v>
          </cell>
        </row>
        <row r="613">
          <cell r="A613" t="str">
            <v>5900</v>
          </cell>
        </row>
        <row r="614">
          <cell r="A614" t="str">
            <v>5900</v>
          </cell>
        </row>
        <row r="615">
          <cell r="A615" t="str">
            <v>5900</v>
          </cell>
        </row>
        <row r="616">
          <cell r="A616" t="str">
            <v>5900</v>
          </cell>
        </row>
        <row r="617">
          <cell r="A617" t="str">
            <v>5900</v>
          </cell>
        </row>
        <row r="618">
          <cell r="A618" t="str">
            <v>5900</v>
          </cell>
        </row>
        <row r="619">
          <cell r="A619" t="str">
            <v>5900</v>
          </cell>
        </row>
        <row r="620">
          <cell r="A620" t="str">
            <v>5900</v>
          </cell>
        </row>
        <row r="621">
          <cell r="A621" t="str">
            <v>5900</v>
          </cell>
        </row>
        <row r="622">
          <cell r="A622" t="str">
            <v>5900</v>
          </cell>
        </row>
        <row r="623">
          <cell r="A623" t="str">
            <v>5900</v>
          </cell>
        </row>
        <row r="624">
          <cell r="A624" t="str">
            <v>5930</v>
          </cell>
        </row>
        <row r="625">
          <cell r="A625" t="str">
            <v>5930</v>
          </cell>
        </row>
        <row r="626">
          <cell r="A626" t="str">
            <v>5930</v>
          </cell>
        </row>
        <row r="627">
          <cell r="A627" t="str">
            <v>5930</v>
          </cell>
        </row>
        <row r="628">
          <cell r="A628" t="str">
            <v>5935</v>
          </cell>
        </row>
        <row r="629">
          <cell r="A629" t="str">
            <v>5935</v>
          </cell>
        </row>
        <row r="630">
          <cell r="A630" t="str">
            <v>5935</v>
          </cell>
        </row>
        <row r="631">
          <cell r="A631" t="str">
            <v>5935</v>
          </cell>
        </row>
        <row r="632">
          <cell r="A632" t="str">
            <v>5940</v>
          </cell>
        </row>
        <row r="633">
          <cell r="A633" t="str">
            <v>5940</v>
          </cell>
        </row>
        <row r="634">
          <cell r="A634" t="str">
            <v>5945</v>
          </cell>
        </row>
        <row r="635">
          <cell r="A635" t="str">
            <v>5945</v>
          </cell>
        </row>
        <row r="636">
          <cell r="A636" t="str">
            <v>5945</v>
          </cell>
        </row>
        <row r="637">
          <cell r="A637" t="str">
            <v>5945</v>
          </cell>
        </row>
        <row r="638">
          <cell r="A638" t="str">
            <v>5945</v>
          </cell>
        </row>
        <row r="639">
          <cell r="A639" t="str">
            <v>5945</v>
          </cell>
        </row>
        <row r="640">
          <cell r="A640" t="str">
            <v>5945</v>
          </cell>
        </row>
        <row r="641">
          <cell r="A641" t="str">
            <v>5945</v>
          </cell>
        </row>
        <row r="642">
          <cell r="A642" t="str">
            <v>5945</v>
          </cell>
        </row>
        <row r="643">
          <cell r="A643" t="str">
            <v>5950</v>
          </cell>
        </row>
        <row r="644">
          <cell r="A644" t="str">
            <v>5950</v>
          </cell>
        </row>
        <row r="645">
          <cell r="A645" t="str">
            <v>5950</v>
          </cell>
        </row>
        <row r="646">
          <cell r="A646" t="str">
            <v>5950</v>
          </cell>
        </row>
        <row r="647">
          <cell r="A647" t="str">
            <v>5950</v>
          </cell>
        </row>
        <row r="648">
          <cell r="A648" t="str">
            <v>5950</v>
          </cell>
        </row>
        <row r="649">
          <cell r="A649" t="str">
            <v>5955</v>
          </cell>
        </row>
        <row r="650">
          <cell r="A650" t="str">
            <v>5955</v>
          </cell>
        </row>
        <row r="651">
          <cell r="A651" t="str">
            <v>5955</v>
          </cell>
        </row>
        <row r="652">
          <cell r="A652" t="str">
            <v>5955</v>
          </cell>
        </row>
        <row r="653">
          <cell r="A653" t="str">
            <v>5955</v>
          </cell>
        </row>
        <row r="654">
          <cell r="A654" t="str">
            <v>5955</v>
          </cell>
        </row>
        <row r="655">
          <cell r="A655" t="str">
            <v>5955</v>
          </cell>
        </row>
        <row r="656">
          <cell r="A656" t="str">
            <v>5955</v>
          </cell>
        </row>
        <row r="657">
          <cell r="A657" t="str">
            <v>5955</v>
          </cell>
        </row>
        <row r="658">
          <cell r="A658" t="str">
            <v>5955</v>
          </cell>
        </row>
        <row r="659">
          <cell r="A659" t="str">
            <v>5955</v>
          </cell>
        </row>
        <row r="660">
          <cell r="A660" t="str">
            <v>5955</v>
          </cell>
        </row>
        <row r="661">
          <cell r="A661" t="str">
            <v>5955</v>
          </cell>
        </row>
        <row r="662">
          <cell r="A662" t="str">
            <v>5955</v>
          </cell>
        </row>
        <row r="663">
          <cell r="A663" t="str">
            <v>5955</v>
          </cell>
        </row>
        <row r="664">
          <cell r="A664" t="str">
            <v>5955</v>
          </cell>
        </row>
        <row r="665">
          <cell r="A665" t="str">
            <v>5955</v>
          </cell>
        </row>
        <row r="666">
          <cell r="A666" t="str">
            <v>5955</v>
          </cell>
        </row>
        <row r="667">
          <cell r="A667" t="str">
            <v>5960</v>
          </cell>
        </row>
        <row r="668">
          <cell r="A668" t="str">
            <v>5960</v>
          </cell>
        </row>
        <row r="669">
          <cell r="A669" t="str">
            <v>5960</v>
          </cell>
        </row>
        <row r="670">
          <cell r="A670" t="str">
            <v>5960</v>
          </cell>
        </row>
        <row r="671">
          <cell r="A671" t="str">
            <v>5960</v>
          </cell>
        </row>
        <row r="672">
          <cell r="A672" t="str">
            <v>5960</v>
          </cell>
        </row>
        <row r="673">
          <cell r="A673" t="str">
            <v>5965</v>
          </cell>
        </row>
        <row r="674">
          <cell r="A674" t="str">
            <v>5965</v>
          </cell>
        </row>
        <row r="675">
          <cell r="A675" t="str">
            <v>5970</v>
          </cell>
        </row>
        <row r="676">
          <cell r="A676" t="str">
            <v>5970</v>
          </cell>
        </row>
        <row r="677">
          <cell r="A677" t="str">
            <v>5975</v>
          </cell>
        </row>
        <row r="678">
          <cell r="A678" t="str">
            <v>5975</v>
          </cell>
        </row>
        <row r="679">
          <cell r="A679" t="str">
            <v>5985</v>
          </cell>
        </row>
        <row r="680">
          <cell r="A680" t="str">
            <v>5985</v>
          </cell>
        </row>
        <row r="681">
          <cell r="A681" t="str">
            <v>5985</v>
          </cell>
        </row>
        <row r="682">
          <cell r="A682" t="str">
            <v>5985</v>
          </cell>
        </row>
        <row r="683">
          <cell r="A683" t="str">
            <v>5985</v>
          </cell>
        </row>
        <row r="684">
          <cell r="A684" t="str">
            <v>6005</v>
          </cell>
        </row>
        <row r="685">
          <cell r="A685" t="str">
            <v>6005</v>
          </cell>
        </row>
        <row r="686">
          <cell r="A686" t="str">
            <v>6010</v>
          </cell>
        </row>
        <row r="687">
          <cell r="A687" t="str">
            <v>6010</v>
          </cell>
        </row>
        <row r="688">
          <cell r="A688" t="str">
            <v>6015</v>
          </cell>
        </row>
        <row r="689">
          <cell r="A689" t="str">
            <v>6015</v>
          </cell>
        </row>
        <row r="690">
          <cell r="A690" t="str">
            <v>6020</v>
          </cell>
        </row>
        <row r="691">
          <cell r="A691" t="str">
            <v>6025</v>
          </cell>
        </row>
        <row r="692">
          <cell r="A692" t="str">
            <v>6025</v>
          </cell>
        </row>
        <row r="693">
          <cell r="A693" t="str">
            <v>6025</v>
          </cell>
        </row>
        <row r="694">
          <cell r="A694" t="str">
            <v>6035</v>
          </cell>
        </row>
        <row r="695">
          <cell r="A695" t="str">
            <v>6035</v>
          </cell>
        </row>
        <row r="696">
          <cell r="A696" t="str">
            <v>6040</v>
          </cell>
        </row>
        <row r="697">
          <cell r="A697" t="str">
            <v>6040</v>
          </cell>
        </row>
        <row r="698">
          <cell r="A698" t="str">
            <v>6045</v>
          </cell>
        </row>
        <row r="699">
          <cell r="A699" t="str">
            <v>6045</v>
          </cell>
        </row>
        <row r="700">
          <cell r="A700" t="str">
            <v>6050</v>
          </cell>
        </row>
        <row r="701">
          <cell r="A701" t="str">
            <v>6050</v>
          </cell>
        </row>
        <row r="702">
          <cell r="A702" t="str">
            <v>6065</v>
          </cell>
        </row>
        <row r="703">
          <cell r="A703" t="str">
            <v>6065</v>
          </cell>
        </row>
        <row r="704">
          <cell r="A704" t="str">
            <v>6090</v>
          </cell>
        </row>
        <row r="705">
          <cell r="A705" t="str">
            <v>6090</v>
          </cell>
        </row>
        <row r="706">
          <cell r="A706" t="str">
            <v>6090</v>
          </cell>
        </row>
        <row r="707">
          <cell r="A707" t="str">
            <v>6105</v>
          </cell>
        </row>
        <row r="708">
          <cell r="A708" t="str">
            <v>6105</v>
          </cell>
        </row>
        <row r="709">
          <cell r="A709" t="str">
            <v>6110</v>
          </cell>
        </row>
        <row r="710">
          <cell r="A710" t="str">
            <v>6110</v>
          </cell>
        </row>
        <row r="711">
          <cell r="A711" t="str">
            <v>6115</v>
          </cell>
        </row>
        <row r="712">
          <cell r="A712" t="str">
            <v>6115</v>
          </cell>
        </row>
        <row r="713">
          <cell r="A713" t="str">
            <v>6120</v>
          </cell>
        </row>
        <row r="714">
          <cell r="A714" t="str">
            <v>6120</v>
          </cell>
        </row>
        <row r="715">
          <cell r="A715" t="str">
            <v>6125</v>
          </cell>
        </row>
        <row r="716">
          <cell r="A716" t="str">
            <v>6125</v>
          </cell>
        </row>
        <row r="717">
          <cell r="A717" t="str">
            <v>6130</v>
          </cell>
        </row>
        <row r="718">
          <cell r="A718" t="str">
            <v>6130</v>
          </cell>
        </row>
        <row r="719">
          <cell r="A719" t="str">
            <v>6135</v>
          </cell>
        </row>
        <row r="720">
          <cell r="A720" t="str">
            <v>6135</v>
          </cell>
        </row>
        <row r="721">
          <cell r="A721" t="str">
            <v>6140</v>
          </cell>
        </row>
        <row r="722">
          <cell r="A722" t="str">
            <v>6140</v>
          </cell>
        </row>
        <row r="723">
          <cell r="A723" t="str">
            <v>6145</v>
          </cell>
        </row>
        <row r="724">
          <cell r="A724" t="str">
            <v>6150</v>
          </cell>
        </row>
        <row r="725">
          <cell r="A725" t="str">
            <v>6155</v>
          </cell>
        </row>
        <row r="726">
          <cell r="A726" t="str">
            <v>6155</v>
          </cell>
        </row>
        <row r="727">
          <cell r="A727" t="str">
            <v>6160</v>
          </cell>
        </row>
        <row r="728">
          <cell r="A728" t="str">
            <v>6160</v>
          </cell>
        </row>
        <row r="729">
          <cell r="A729" t="str">
            <v>6160</v>
          </cell>
        </row>
        <row r="730">
          <cell r="A730" t="str">
            <v>6160</v>
          </cell>
        </row>
        <row r="731">
          <cell r="A731" t="str">
            <v>6160</v>
          </cell>
        </row>
        <row r="732">
          <cell r="A732" t="str">
            <v>6160</v>
          </cell>
        </row>
        <row r="733">
          <cell r="A733" t="str">
            <v>6160</v>
          </cell>
        </row>
        <row r="734">
          <cell r="A734" t="str">
            <v>6160</v>
          </cell>
        </row>
        <row r="735">
          <cell r="A735" t="str">
            <v>6165</v>
          </cell>
        </row>
        <row r="736">
          <cell r="A736" t="str">
            <v>6165</v>
          </cell>
        </row>
        <row r="737">
          <cell r="A737" t="str">
            <v>6165</v>
          </cell>
        </row>
        <row r="738">
          <cell r="A738" t="str">
            <v>6185</v>
          </cell>
        </row>
        <row r="739">
          <cell r="A739" t="str">
            <v>6185</v>
          </cell>
        </row>
        <row r="740">
          <cell r="A740" t="str">
            <v>6185</v>
          </cell>
        </row>
        <row r="741">
          <cell r="A741" t="str">
            <v>6185</v>
          </cell>
        </row>
        <row r="742">
          <cell r="A742" t="str">
            <v>6185</v>
          </cell>
        </row>
        <row r="743">
          <cell r="A743" t="str">
            <v>6185</v>
          </cell>
        </row>
        <row r="744">
          <cell r="A744" t="str">
            <v>6200</v>
          </cell>
        </row>
        <row r="745">
          <cell r="A745" t="str">
            <v>6200</v>
          </cell>
        </row>
        <row r="746">
          <cell r="A746" t="str">
            <v>6200</v>
          </cell>
        </row>
        <row r="747">
          <cell r="A747" t="str">
            <v>6200</v>
          </cell>
        </row>
        <row r="748">
          <cell r="A748" t="str">
            <v>6200</v>
          </cell>
        </row>
        <row r="749">
          <cell r="A749" t="str">
            <v>6200</v>
          </cell>
        </row>
        <row r="750">
          <cell r="A750" t="str">
            <v>6200</v>
          </cell>
        </row>
        <row r="751">
          <cell r="A751" t="str">
            <v>6200</v>
          </cell>
        </row>
        <row r="752">
          <cell r="A752" t="str">
            <v>6215</v>
          </cell>
        </row>
        <row r="753">
          <cell r="A753" t="str">
            <v>6220</v>
          </cell>
        </row>
        <row r="754">
          <cell r="A754" t="str">
            <v>6225</v>
          </cell>
        </row>
        <row r="755">
          <cell r="A755" t="str">
            <v>6225</v>
          </cell>
        </row>
        <row r="756">
          <cell r="A756" t="str">
            <v>6230</v>
          </cell>
        </row>
        <row r="757">
          <cell r="A757" t="str">
            <v>6230</v>
          </cell>
        </row>
        <row r="758">
          <cell r="A758" t="str">
            <v>6255</v>
          </cell>
        </row>
        <row r="759">
          <cell r="A759" t="str">
            <v>6255</v>
          </cell>
        </row>
        <row r="760">
          <cell r="A760" t="str">
            <v>6255</v>
          </cell>
        </row>
        <row r="761">
          <cell r="A761" t="str">
            <v>6255</v>
          </cell>
        </row>
        <row r="762">
          <cell r="A762" t="str">
            <v>6255</v>
          </cell>
        </row>
        <row r="763">
          <cell r="A763" t="str">
            <v>6255</v>
          </cell>
        </row>
        <row r="764">
          <cell r="A764" t="str">
            <v>6255</v>
          </cell>
        </row>
        <row r="765">
          <cell r="A765" t="str">
            <v>6255</v>
          </cell>
        </row>
        <row r="766">
          <cell r="A766" t="str">
            <v>6255</v>
          </cell>
        </row>
        <row r="767">
          <cell r="A767" t="str">
            <v>6255</v>
          </cell>
        </row>
        <row r="768">
          <cell r="A768" t="str">
            <v>6255</v>
          </cell>
        </row>
        <row r="769">
          <cell r="A769" t="str">
            <v>6255</v>
          </cell>
        </row>
        <row r="770">
          <cell r="A770" t="str">
            <v>6255</v>
          </cell>
        </row>
        <row r="771">
          <cell r="A771" t="str">
            <v>6255</v>
          </cell>
        </row>
        <row r="772">
          <cell r="A772" t="str">
            <v>6255</v>
          </cell>
        </row>
        <row r="773">
          <cell r="A773" t="str">
            <v>6255</v>
          </cell>
        </row>
        <row r="774">
          <cell r="A774" t="str">
            <v>6255</v>
          </cell>
        </row>
        <row r="775">
          <cell r="A775" t="str">
            <v>6255</v>
          </cell>
        </row>
        <row r="776">
          <cell r="A776" t="str">
            <v>6255</v>
          </cell>
        </row>
        <row r="777">
          <cell r="A777" t="str">
            <v>6255</v>
          </cell>
        </row>
        <row r="778">
          <cell r="A778" t="str">
            <v>6255</v>
          </cell>
        </row>
        <row r="779">
          <cell r="A779" t="str">
            <v>6260</v>
          </cell>
        </row>
        <row r="780">
          <cell r="A780" t="str">
            <v>6260</v>
          </cell>
        </row>
        <row r="781">
          <cell r="A781" t="str">
            <v>6260</v>
          </cell>
        </row>
        <row r="782">
          <cell r="A782" t="str">
            <v>6260</v>
          </cell>
        </row>
        <row r="783">
          <cell r="A783" t="str">
            <v>6260</v>
          </cell>
        </row>
        <row r="784">
          <cell r="A784" t="str">
            <v>6260</v>
          </cell>
        </row>
        <row r="785">
          <cell r="A785" t="str">
            <v>6260</v>
          </cell>
        </row>
        <row r="786">
          <cell r="A786" t="str">
            <v>6260</v>
          </cell>
        </row>
        <row r="787">
          <cell r="A787" t="str">
            <v>6260</v>
          </cell>
        </row>
        <row r="788">
          <cell r="A788" t="str">
            <v>6260</v>
          </cell>
        </row>
        <row r="789">
          <cell r="A789" t="str">
            <v>6260</v>
          </cell>
        </row>
        <row r="790">
          <cell r="A790" t="str">
            <v>6260</v>
          </cell>
        </row>
        <row r="791">
          <cell r="A791" t="str">
            <v>6260</v>
          </cell>
        </row>
        <row r="792">
          <cell r="A792" t="str">
            <v>6270</v>
          </cell>
        </row>
        <row r="793">
          <cell r="A793" t="str">
            <v>6270</v>
          </cell>
        </row>
        <row r="794">
          <cell r="A794" t="str">
            <v>6270</v>
          </cell>
        </row>
        <row r="795">
          <cell r="A795" t="str">
            <v>6285</v>
          </cell>
        </row>
        <row r="796">
          <cell r="A796" t="str">
            <v>6285</v>
          </cell>
        </row>
        <row r="797">
          <cell r="A797" t="str">
            <v>6285</v>
          </cell>
        </row>
        <row r="798">
          <cell r="A798" t="str">
            <v>6285</v>
          </cell>
        </row>
        <row r="799">
          <cell r="A799" t="str">
            <v>6285</v>
          </cell>
        </row>
        <row r="800">
          <cell r="A800" t="str">
            <v>6285</v>
          </cell>
        </row>
        <row r="801">
          <cell r="A801" t="str">
            <v>6285</v>
          </cell>
        </row>
        <row r="802">
          <cell r="A802" t="str">
            <v>6285</v>
          </cell>
        </row>
        <row r="803">
          <cell r="A803" t="str">
            <v>6285</v>
          </cell>
        </row>
        <row r="804">
          <cell r="A804" t="str">
            <v>6285</v>
          </cell>
        </row>
        <row r="805">
          <cell r="A805" t="str">
            <v>6285</v>
          </cell>
        </row>
        <row r="806">
          <cell r="A806" t="str">
            <v>6285</v>
          </cell>
        </row>
        <row r="807">
          <cell r="A807" t="str">
            <v>6285</v>
          </cell>
        </row>
        <row r="808">
          <cell r="A808" t="str">
            <v>6285</v>
          </cell>
        </row>
        <row r="809">
          <cell r="A809" t="str">
            <v>6285</v>
          </cell>
        </row>
        <row r="810">
          <cell r="A810" t="str">
            <v>6285</v>
          </cell>
        </row>
        <row r="811">
          <cell r="A811" t="str">
            <v>6285</v>
          </cell>
        </row>
        <row r="812">
          <cell r="A812" t="str">
            <v>6285</v>
          </cell>
        </row>
        <row r="813">
          <cell r="A813" t="str">
            <v>6290</v>
          </cell>
        </row>
        <row r="814">
          <cell r="A814" t="str">
            <v>6290</v>
          </cell>
        </row>
        <row r="815">
          <cell r="A815" t="str">
            <v>6290</v>
          </cell>
        </row>
        <row r="816">
          <cell r="A816" t="str">
            <v>6290</v>
          </cell>
        </row>
        <row r="817">
          <cell r="A817" t="str">
            <v>6290</v>
          </cell>
        </row>
        <row r="818">
          <cell r="A818" t="str">
            <v>6290</v>
          </cell>
        </row>
        <row r="819">
          <cell r="A819" t="str">
            <v>6290</v>
          </cell>
        </row>
        <row r="820">
          <cell r="A820" t="str">
            <v>6290</v>
          </cell>
        </row>
        <row r="821">
          <cell r="A821" t="str">
            <v>6290</v>
          </cell>
        </row>
        <row r="822">
          <cell r="A822" t="str">
            <v>6290</v>
          </cell>
        </row>
        <row r="823">
          <cell r="A823" t="str">
            <v>6290</v>
          </cell>
        </row>
        <row r="824">
          <cell r="A824" t="str">
            <v>6295</v>
          </cell>
        </row>
        <row r="825">
          <cell r="A825" t="str">
            <v>6295</v>
          </cell>
        </row>
        <row r="826">
          <cell r="A826" t="str">
            <v>6295</v>
          </cell>
        </row>
        <row r="827">
          <cell r="A827" t="str">
            <v>6295</v>
          </cell>
        </row>
        <row r="828">
          <cell r="A828" t="str">
            <v>6295</v>
          </cell>
        </row>
        <row r="829">
          <cell r="A829" t="str">
            <v>6295</v>
          </cell>
        </row>
        <row r="830">
          <cell r="A830" t="str">
            <v>6295</v>
          </cell>
        </row>
        <row r="831">
          <cell r="A831" t="str">
            <v>6300</v>
          </cell>
        </row>
        <row r="832">
          <cell r="A832" t="str">
            <v>6300</v>
          </cell>
        </row>
        <row r="833">
          <cell r="A833" t="str">
            <v>6300</v>
          </cell>
        </row>
        <row r="834">
          <cell r="A834" t="str">
            <v>6300</v>
          </cell>
        </row>
        <row r="835">
          <cell r="A835" t="str">
            <v>6300</v>
          </cell>
        </row>
        <row r="836">
          <cell r="A836" t="str">
            <v>6300</v>
          </cell>
        </row>
        <row r="837">
          <cell r="A837" t="str">
            <v>6300</v>
          </cell>
        </row>
        <row r="838">
          <cell r="A838" t="str">
            <v>6300</v>
          </cell>
        </row>
        <row r="839">
          <cell r="A839" t="str">
            <v>6305</v>
          </cell>
        </row>
        <row r="840">
          <cell r="A840" t="str">
            <v>6305</v>
          </cell>
        </row>
        <row r="841">
          <cell r="A841" t="str">
            <v>6305</v>
          </cell>
        </row>
        <row r="842">
          <cell r="A842" t="str">
            <v>6305</v>
          </cell>
        </row>
        <row r="843">
          <cell r="A843" t="str">
            <v>6305</v>
          </cell>
        </row>
        <row r="844">
          <cell r="A844" t="str">
            <v>6305</v>
          </cell>
        </row>
        <row r="845">
          <cell r="A845" t="str">
            <v>6305</v>
          </cell>
        </row>
        <row r="846">
          <cell r="A846" t="str">
            <v>6305</v>
          </cell>
        </row>
        <row r="847">
          <cell r="A847" t="str">
            <v>6305</v>
          </cell>
        </row>
        <row r="848">
          <cell r="A848" t="str">
            <v>6305</v>
          </cell>
        </row>
        <row r="849">
          <cell r="A849" t="str">
            <v>6305</v>
          </cell>
        </row>
        <row r="850">
          <cell r="A850" t="str">
            <v>6305</v>
          </cell>
        </row>
        <row r="851">
          <cell r="A851" t="str">
            <v>6305</v>
          </cell>
        </row>
        <row r="852">
          <cell r="A852" t="str">
            <v>6305</v>
          </cell>
        </row>
        <row r="853">
          <cell r="A853" t="str">
            <v>6305</v>
          </cell>
        </row>
        <row r="854">
          <cell r="A854" t="str">
            <v>6305</v>
          </cell>
        </row>
        <row r="855">
          <cell r="A855" t="str">
            <v>6305</v>
          </cell>
        </row>
        <row r="856">
          <cell r="A856" t="str">
            <v>6305</v>
          </cell>
        </row>
        <row r="857">
          <cell r="A857" t="str">
            <v>6305</v>
          </cell>
        </row>
        <row r="858">
          <cell r="A858" t="str">
            <v>6310</v>
          </cell>
        </row>
        <row r="859">
          <cell r="A859" t="str">
            <v>6310</v>
          </cell>
        </row>
        <row r="860">
          <cell r="A860" t="str">
            <v>6310</v>
          </cell>
        </row>
        <row r="861">
          <cell r="A861" t="str">
            <v>6310</v>
          </cell>
        </row>
        <row r="862">
          <cell r="A862" t="str">
            <v>6310</v>
          </cell>
        </row>
        <row r="863">
          <cell r="A863" t="str">
            <v>6310</v>
          </cell>
        </row>
        <row r="864">
          <cell r="A864" t="str">
            <v>6310</v>
          </cell>
        </row>
        <row r="865">
          <cell r="A865" t="str">
            <v>6310</v>
          </cell>
        </row>
        <row r="866">
          <cell r="A866" t="str">
            <v>6310</v>
          </cell>
        </row>
        <row r="867">
          <cell r="A867" t="str">
            <v>6310</v>
          </cell>
        </row>
        <row r="868">
          <cell r="A868" t="str">
            <v>6310</v>
          </cell>
        </row>
        <row r="869">
          <cell r="A869" t="str">
            <v>6310</v>
          </cell>
        </row>
        <row r="870">
          <cell r="A870" t="str">
            <v>6310</v>
          </cell>
        </row>
        <row r="871">
          <cell r="A871" t="str">
            <v>6310</v>
          </cell>
        </row>
        <row r="872">
          <cell r="A872" t="str">
            <v>6310</v>
          </cell>
        </row>
        <row r="873">
          <cell r="A873" t="str">
            <v>6310</v>
          </cell>
        </row>
        <row r="874">
          <cell r="A874" t="str">
            <v>6310</v>
          </cell>
        </row>
        <row r="875">
          <cell r="A875" t="str">
            <v>6320</v>
          </cell>
        </row>
        <row r="876">
          <cell r="A876" t="str">
            <v>6320</v>
          </cell>
        </row>
        <row r="877">
          <cell r="A877" t="str">
            <v>6325</v>
          </cell>
        </row>
        <row r="878">
          <cell r="A878" t="str">
            <v>6325</v>
          </cell>
        </row>
        <row r="879">
          <cell r="A879" t="str">
            <v>6325</v>
          </cell>
        </row>
        <row r="880">
          <cell r="A880" t="str">
            <v>6325</v>
          </cell>
        </row>
        <row r="881">
          <cell r="A881" t="str">
            <v>6330</v>
          </cell>
        </row>
        <row r="882">
          <cell r="A882" t="str">
            <v>6330</v>
          </cell>
        </row>
        <row r="883">
          <cell r="A883" t="str">
            <v>6330</v>
          </cell>
        </row>
        <row r="884">
          <cell r="A884" t="str">
            <v>6335</v>
          </cell>
        </row>
        <row r="885">
          <cell r="A885" t="str">
            <v>6335</v>
          </cell>
        </row>
        <row r="886">
          <cell r="A886" t="str">
            <v>6335</v>
          </cell>
        </row>
        <row r="887">
          <cell r="A887" t="str">
            <v>6340</v>
          </cell>
        </row>
        <row r="888">
          <cell r="A888" t="str">
            <v>6340</v>
          </cell>
        </row>
        <row r="889">
          <cell r="A889" t="str">
            <v>6345</v>
          </cell>
        </row>
        <row r="890">
          <cell r="A890" t="str">
            <v>6345</v>
          </cell>
        </row>
        <row r="891">
          <cell r="A891" t="str">
            <v>6345</v>
          </cell>
        </row>
        <row r="892">
          <cell r="A892" t="str">
            <v>6345</v>
          </cell>
        </row>
        <row r="893">
          <cell r="A893" t="str">
            <v>6355</v>
          </cell>
        </row>
        <row r="894">
          <cell r="A894" t="str">
            <v>6360</v>
          </cell>
        </row>
        <row r="895">
          <cell r="A895" t="str">
            <v>6360</v>
          </cell>
        </row>
        <row r="896">
          <cell r="A896" t="str">
            <v>6360</v>
          </cell>
        </row>
        <row r="897">
          <cell r="A897" t="str">
            <v>6360</v>
          </cell>
        </row>
        <row r="898">
          <cell r="A898" t="str">
            <v>6360</v>
          </cell>
        </row>
        <row r="899">
          <cell r="A899" t="str">
            <v>6360</v>
          </cell>
        </row>
        <row r="900">
          <cell r="A900" t="str">
            <v>6360</v>
          </cell>
        </row>
        <row r="901">
          <cell r="A901" t="str">
            <v>6360</v>
          </cell>
        </row>
        <row r="902">
          <cell r="A902" t="str">
            <v>6360</v>
          </cell>
        </row>
        <row r="903">
          <cell r="A903" t="str">
            <v>6370</v>
          </cell>
        </row>
        <row r="904">
          <cell r="A904" t="str">
            <v>6385</v>
          </cell>
        </row>
        <row r="905">
          <cell r="A905" t="str">
            <v>6385</v>
          </cell>
        </row>
        <row r="906">
          <cell r="A906" t="str">
            <v>6385</v>
          </cell>
        </row>
        <row r="907">
          <cell r="A907" t="str">
            <v>6385</v>
          </cell>
        </row>
        <row r="908">
          <cell r="A908" t="str">
            <v>6390</v>
          </cell>
        </row>
        <row r="909">
          <cell r="A909" t="str">
            <v>6400</v>
          </cell>
        </row>
        <row r="910">
          <cell r="A910" t="str">
            <v>6400</v>
          </cell>
        </row>
        <row r="911">
          <cell r="A911" t="str">
            <v>6400</v>
          </cell>
        </row>
        <row r="912">
          <cell r="A912" t="str">
            <v>6410</v>
          </cell>
        </row>
        <row r="913">
          <cell r="A913" t="str">
            <v>6410</v>
          </cell>
        </row>
        <row r="914">
          <cell r="A914" t="str">
            <v>6410</v>
          </cell>
        </row>
        <row r="915">
          <cell r="A915" t="str">
            <v>6410</v>
          </cell>
        </row>
        <row r="916">
          <cell r="A916" t="str">
            <v>6445</v>
          </cell>
        </row>
        <row r="917">
          <cell r="A917" t="str">
            <v>6445</v>
          </cell>
        </row>
        <row r="918">
          <cell r="A918" t="str">
            <v>6445</v>
          </cell>
        </row>
        <row r="919">
          <cell r="A919" t="str">
            <v>6445</v>
          </cell>
        </row>
        <row r="920">
          <cell r="A920" t="str">
            <v>6445</v>
          </cell>
        </row>
        <row r="921">
          <cell r="A921" t="str">
            <v>6445</v>
          </cell>
        </row>
        <row r="922">
          <cell r="A922" t="str">
            <v>6445</v>
          </cell>
        </row>
        <row r="923">
          <cell r="A923" t="str">
            <v>6445</v>
          </cell>
        </row>
        <row r="924">
          <cell r="A924" t="str">
            <v>6445</v>
          </cell>
        </row>
        <row r="925">
          <cell r="A925" t="str">
            <v>6445</v>
          </cell>
        </row>
        <row r="926">
          <cell r="A926" t="str">
            <v>6445</v>
          </cell>
        </row>
        <row r="927">
          <cell r="A927" t="str">
            <v>6445</v>
          </cell>
        </row>
        <row r="928">
          <cell r="A928" t="str">
            <v>6445</v>
          </cell>
        </row>
        <row r="929">
          <cell r="A929" t="str">
            <v>6445</v>
          </cell>
        </row>
        <row r="930">
          <cell r="A930" t="str">
            <v>6445</v>
          </cell>
        </row>
        <row r="931">
          <cell r="A931" t="str">
            <v>6445</v>
          </cell>
        </row>
        <row r="932">
          <cell r="A932" t="str">
            <v>6445</v>
          </cell>
        </row>
        <row r="933">
          <cell r="A933" t="str">
            <v>6445</v>
          </cell>
        </row>
        <row r="934">
          <cell r="A934" t="str">
            <v>6445</v>
          </cell>
        </row>
        <row r="935">
          <cell r="A935" t="str">
            <v>6445</v>
          </cell>
        </row>
        <row r="936">
          <cell r="A936" t="str">
            <v>6445</v>
          </cell>
        </row>
        <row r="937">
          <cell r="A937" t="str">
            <v>6445</v>
          </cell>
        </row>
        <row r="938">
          <cell r="A938" t="str">
            <v>6445</v>
          </cell>
        </row>
        <row r="939">
          <cell r="A939" t="str">
            <v>6445</v>
          </cell>
        </row>
        <row r="940">
          <cell r="A940" t="str">
            <v>6455</v>
          </cell>
        </row>
        <row r="941">
          <cell r="A941" t="str">
            <v>6455</v>
          </cell>
        </row>
        <row r="942">
          <cell r="A942" t="str">
            <v>6455</v>
          </cell>
        </row>
        <row r="943">
          <cell r="A943" t="str">
            <v>6455</v>
          </cell>
        </row>
        <row r="944">
          <cell r="A944" t="str">
            <v>6455</v>
          </cell>
        </row>
        <row r="945">
          <cell r="A945" t="str">
            <v>6455</v>
          </cell>
        </row>
        <row r="946">
          <cell r="A946" t="str">
            <v>6455</v>
          </cell>
        </row>
        <row r="947">
          <cell r="A947" t="str">
            <v>6455</v>
          </cell>
        </row>
        <row r="948">
          <cell r="A948" t="str">
            <v>6455</v>
          </cell>
        </row>
        <row r="949">
          <cell r="A949" t="str">
            <v>6455</v>
          </cell>
        </row>
        <row r="950">
          <cell r="A950" t="str">
            <v>6455</v>
          </cell>
        </row>
        <row r="951">
          <cell r="A951" t="str">
            <v>6455</v>
          </cell>
        </row>
        <row r="952">
          <cell r="A952" t="str">
            <v>6455</v>
          </cell>
        </row>
        <row r="953">
          <cell r="A953" t="str">
            <v>6455</v>
          </cell>
        </row>
        <row r="954">
          <cell r="A954" t="str">
            <v>6455</v>
          </cell>
        </row>
        <row r="955">
          <cell r="A955" t="str">
            <v>6455</v>
          </cell>
        </row>
        <row r="956">
          <cell r="A956" t="str">
            <v>6455</v>
          </cell>
        </row>
        <row r="957">
          <cell r="A957" t="str">
            <v>6455</v>
          </cell>
        </row>
        <row r="958">
          <cell r="A958" t="str">
            <v>6460</v>
          </cell>
        </row>
        <row r="959">
          <cell r="A959" t="str">
            <v>6460</v>
          </cell>
        </row>
        <row r="960">
          <cell r="A960" t="str">
            <v>6460</v>
          </cell>
        </row>
        <row r="961">
          <cell r="A961" t="str">
            <v>6460</v>
          </cell>
        </row>
        <row r="962">
          <cell r="A962" t="str">
            <v>6460</v>
          </cell>
        </row>
        <row r="963">
          <cell r="A963" t="str">
            <v>6460</v>
          </cell>
        </row>
        <row r="964">
          <cell r="A964" t="str">
            <v>6460</v>
          </cell>
        </row>
        <row r="965">
          <cell r="A965" t="str">
            <v>6460</v>
          </cell>
        </row>
        <row r="966">
          <cell r="A966" t="str">
            <v>6460</v>
          </cell>
        </row>
        <row r="967">
          <cell r="A967" t="str">
            <v>6460</v>
          </cell>
        </row>
        <row r="968">
          <cell r="A968" t="str">
            <v>6460</v>
          </cell>
        </row>
        <row r="969">
          <cell r="A969" t="str">
            <v>6460</v>
          </cell>
        </row>
        <row r="970">
          <cell r="A970" t="str">
            <v>6460</v>
          </cell>
        </row>
        <row r="971">
          <cell r="A971" t="str">
            <v>6460</v>
          </cell>
        </row>
        <row r="972">
          <cell r="A972" t="str">
            <v>6460</v>
          </cell>
        </row>
        <row r="973">
          <cell r="A973" t="str">
            <v>6460</v>
          </cell>
        </row>
        <row r="974">
          <cell r="A974" t="str">
            <v>6460</v>
          </cell>
        </row>
        <row r="975">
          <cell r="A975" t="str">
            <v>6460</v>
          </cell>
        </row>
        <row r="976">
          <cell r="A976" t="str">
            <v>6460</v>
          </cell>
        </row>
        <row r="977">
          <cell r="A977" t="str">
            <v>6460</v>
          </cell>
        </row>
        <row r="978">
          <cell r="A978" t="str">
            <v>6460</v>
          </cell>
        </row>
        <row r="979">
          <cell r="A979" t="str">
            <v>6485</v>
          </cell>
        </row>
        <row r="980">
          <cell r="A980" t="str">
            <v>6485</v>
          </cell>
        </row>
        <row r="981">
          <cell r="A981" t="str">
            <v>6485</v>
          </cell>
        </row>
        <row r="982">
          <cell r="A982" t="str">
            <v>6485</v>
          </cell>
        </row>
        <row r="983">
          <cell r="A983" t="str">
            <v>6485</v>
          </cell>
        </row>
        <row r="984">
          <cell r="A984" t="str">
            <v>6485</v>
          </cell>
        </row>
        <row r="985">
          <cell r="A985" t="str">
            <v>6485</v>
          </cell>
        </row>
        <row r="986">
          <cell r="A986" t="str">
            <v>6485</v>
          </cell>
        </row>
        <row r="987">
          <cell r="A987" t="str">
            <v>6485</v>
          </cell>
        </row>
        <row r="988">
          <cell r="A988" t="str">
            <v>6485</v>
          </cell>
        </row>
        <row r="989">
          <cell r="A989" t="str">
            <v>6485</v>
          </cell>
        </row>
        <row r="990">
          <cell r="A990" t="str">
            <v>6485</v>
          </cell>
        </row>
        <row r="991">
          <cell r="A991" t="str">
            <v>6485</v>
          </cell>
        </row>
        <row r="992">
          <cell r="A992" t="str">
            <v>6485</v>
          </cell>
        </row>
        <row r="993">
          <cell r="A993" t="str">
            <v>6485</v>
          </cell>
        </row>
        <row r="994">
          <cell r="A994" t="str">
            <v>6485</v>
          </cell>
        </row>
        <row r="995">
          <cell r="A995" t="str">
            <v>6485</v>
          </cell>
        </row>
        <row r="996">
          <cell r="A996" t="str">
            <v>6485</v>
          </cell>
        </row>
        <row r="997">
          <cell r="A997" t="str">
            <v>6485</v>
          </cell>
        </row>
        <row r="998">
          <cell r="A998" t="str">
            <v>6505</v>
          </cell>
        </row>
        <row r="999">
          <cell r="A999" t="str">
            <v>6505</v>
          </cell>
        </row>
        <row r="1000">
          <cell r="A1000" t="str">
            <v>6505</v>
          </cell>
        </row>
        <row r="1001">
          <cell r="A1001" t="str">
            <v>6510</v>
          </cell>
        </row>
        <row r="1002">
          <cell r="A1002" t="str">
            <v>6510</v>
          </cell>
        </row>
        <row r="1003">
          <cell r="A1003" t="str">
            <v>6510</v>
          </cell>
        </row>
        <row r="1004">
          <cell r="A1004" t="str">
            <v>6510</v>
          </cell>
        </row>
        <row r="1005">
          <cell r="A1005" t="str">
            <v>6510</v>
          </cell>
        </row>
        <row r="1006">
          <cell r="A1006" t="str">
            <v>6510</v>
          </cell>
        </row>
        <row r="1007">
          <cell r="A1007" t="str">
            <v>6510</v>
          </cell>
        </row>
        <row r="1008">
          <cell r="A1008" t="str">
            <v>6510</v>
          </cell>
        </row>
        <row r="1009">
          <cell r="A1009" t="str">
            <v>6510</v>
          </cell>
        </row>
        <row r="1010">
          <cell r="A1010" t="str">
            <v>6510</v>
          </cell>
        </row>
        <row r="1011">
          <cell r="A1011" t="str">
            <v>6510</v>
          </cell>
        </row>
        <row r="1012">
          <cell r="A1012" t="str">
            <v>6510</v>
          </cell>
        </row>
        <row r="1013">
          <cell r="A1013" t="str">
            <v>6510</v>
          </cell>
        </row>
        <row r="1014">
          <cell r="A1014" t="str">
            <v>6510</v>
          </cell>
        </row>
        <row r="1015">
          <cell r="A1015" t="str">
            <v>6510</v>
          </cell>
        </row>
        <row r="1016">
          <cell r="A1016" t="str">
            <v>6510</v>
          </cell>
        </row>
        <row r="1017">
          <cell r="A1017" t="str">
            <v>6510</v>
          </cell>
        </row>
        <row r="1018">
          <cell r="A1018" t="str">
            <v>6510</v>
          </cell>
        </row>
        <row r="1019">
          <cell r="A1019" t="str">
            <v>6510</v>
          </cell>
        </row>
        <row r="1020">
          <cell r="A1020" t="str">
            <v>6510</v>
          </cell>
        </row>
        <row r="1021">
          <cell r="A1021" t="str">
            <v>6520</v>
          </cell>
        </row>
        <row r="1022">
          <cell r="A1022" t="str">
            <v>6520</v>
          </cell>
        </row>
        <row r="1023">
          <cell r="A1023" t="str">
            <v>6520</v>
          </cell>
        </row>
        <row r="1024">
          <cell r="A1024" t="str">
            <v>6520</v>
          </cell>
        </row>
        <row r="1025">
          <cell r="A1025" t="str">
            <v>6520</v>
          </cell>
        </row>
        <row r="1026">
          <cell r="A1026" t="str">
            <v>6520</v>
          </cell>
        </row>
        <row r="1027">
          <cell r="A1027" t="str">
            <v>6520</v>
          </cell>
        </row>
        <row r="1028">
          <cell r="A1028" t="str">
            <v>6520</v>
          </cell>
        </row>
        <row r="1029">
          <cell r="A1029" t="str">
            <v>6520</v>
          </cell>
        </row>
        <row r="1030">
          <cell r="A1030" t="str">
            <v>6520</v>
          </cell>
        </row>
        <row r="1031">
          <cell r="A1031" t="str">
            <v>6520</v>
          </cell>
        </row>
        <row r="1032">
          <cell r="A1032" t="str">
            <v>6520</v>
          </cell>
        </row>
        <row r="1033">
          <cell r="A1033" t="str">
            <v>6520</v>
          </cell>
        </row>
        <row r="1034">
          <cell r="A1034" t="str">
            <v>6520</v>
          </cell>
        </row>
        <row r="1035">
          <cell r="A1035" t="str">
            <v>6520</v>
          </cell>
        </row>
        <row r="1036">
          <cell r="A1036" t="str">
            <v>6520</v>
          </cell>
        </row>
        <row r="1037">
          <cell r="A1037" t="str">
            <v>6520</v>
          </cell>
        </row>
        <row r="1038">
          <cell r="A1038" t="str">
            <v>6520</v>
          </cell>
        </row>
        <row r="1039">
          <cell r="A1039" t="str">
            <v>6520</v>
          </cell>
        </row>
        <row r="1040">
          <cell r="A1040" t="str">
            <v>6520</v>
          </cell>
        </row>
        <row r="1041">
          <cell r="A1041" t="str">
            <v>6520</v>
          </cell>
        </row>
        <row r="1042">
          <cell r="A1042" t="str">
            <v>6525</v>
          </cell>
        </row>
        <row r="1043">
          <cell r="A1043" t="str">
            <v>6525</v>
          </cell>
        </row>
        <row r="1044">
          <cell r="A1044" t="str">
            <v>6525</v>
          </cell>
        </row>
        <row r="1045">
          <cell r="A1045" t="str">
            <v>6525</v>
          </cell>
        </row>
        <row r="1046">
          <cell r="A1046" t="str">
            <v>6525</v>
          </cell>
        </row>
        <row r="1047">
          <cell r="A1047" t="str">
            <v>6525</v>
          </cell>
        </row>
        <row r="1048">
          <cell r="A1048" t="str">
            <v>6525</v>
          </cell>
        </row>
        <row r="1049">
          <cell r="A1049" t="str">
            <v>6525</v>
          </cell>
        </row>
        <row r="1050">
          <cell r="A1050" t="str">
            <v>6525</v>
          </cell>
        </row>
        <row r="1051">
          <cell r="A1051" t="str">
            <v>6525</v>
          </cell>
        </row>
        <row r="1052">
          <cell r="A1052" t="str">
            <v>6525</v>
          </cell>
        </row>
        <row r="1053">
          <cell r="A1053" t="str">
            <v>6525</v>
          </cell>
        </row>
        <row r="1054">
          <cell r="A1054" t="str">
            <v>6525</v>
          </cell>
        </row>
        <row r="1055">
          <cell r="A1055" t="str">
            <v>6525</v>
          </cell>
        </row>
        <row r="1056">
          <cell r="A1056" t="str">
            <v>6525</v>
          </cell>
        </row>
        <row r="1057">
          <cell r="A1057" t="str">
            <v>6525</v>
          </cell>
        </row>
        <row r="1058">
          <cell r="A1058" t="str">
            <v>6525</v>
          </cell>
        </row>
        <row r="1059">
          <cell r="A1059" t="str">
            <v>6525</v>
          </cell>
        </row>
        <row r="1060">
          <cell r="A1060" t="str">
            <v>6525</v>
          </cell>
        </row>
        <row r="1061">
          <cell r="A1061" t="str">
            <v>6525</v>
          </cell>
        </row>
        <row r="1062">
          <cell r="A1062" t="str">
            <v>6525</v>
          </cell>
        </row>
        <row r="1063">
          <cell r="A1063" t="str">
            <v>6530</v>
          </cell>
        </row>
        <row r="1064">
          <cell r="A1064" t="str">
            <v>6530</v>
          </cell>
        </row>
        <row r="1065">
          <cell r="A1065" t="str">
            <v>6530</v>
          </cell>
        </row>
        <row r="1066">
          <cell r="A1066" t="str">
            <v>6530</v>
          </cell>
        </row>
        <row r="1067">
          <cell r="A1067" t="str">
            <v>6530</v>
          </cell>
        </row>
        <row r="1068">
          <cell r="A1068" t="str">
            <v>6530</v>
          </cell>
        </row>
        <row r="1069">
          <cell r="A1069" t="str">
            <v>6530</v>
          </cell>
        </row>
        <row r="1070">
          <cell r="A1070" t="str">
            <v>6530</v>
          </cell>
        </row>
        <row r="1071">
          <cell r="A1071" t="str">
            <v>6530</v>
          </cell>
        </row>
        <row r="1072">
          <cell r="A1072" t="str">
            <v>6530</v>
          </cell>
        </row>
        <row r="1073">
          <cell r="A1073" t="str">
            <v>6530</v>
          </cell>
        </row>
        <row r="1074">
          <cell r="A1074" t="str">
            <v>6530</v>
          </cell>
        </row>
        <row r="1075">
          <cell r="A1075" t="str">
            <v>6530</v>
          </cell>
        </row>
        <row r="1076">
          <cell r="A1076" t="str">
            <v>6530</v>
          </cell>
        </row>
        <row r="1077">
          <cell r="A1077" t="str">
            <v>6530</v>
          </cell>
        </row>
        <row r="1078">
          <cell r="A1078" t="str">
            <v>6530</v>
          </cell>
        </row>
        <row r="1079">
          <cell r="A1079" t="str">
            <v>6530</v>
          </cell>
        </row>
        <row r="1080">
          <cell r="A1080" t="str">
            <v>6530</v>
          </cell>
        </row>
        <row r="1081">
          <cell r="A1081" t="str">
            <v>6530</v>
          </cell>
        </row>
        <row r="1082">
          <cell r="A1082" t="str">
            <v>6530</v>
          </cell>
        </row>
        <row r="1083">
          <cell r="A1083" t="str">
            <v>6530</v>
          </cell>
        </row>
        <row r="1084">
          <cell r="A1084" t="str">
            <v>6530</v>
          </cell>
        </row>
        <row r="1085">
          <cell r="A1085" t="str">
            <v>6535</v>
          </cell>
        </row>
        <row r="1086">
          <cell r="A1086" t="str">
            <v>6535</v>
          </cell>
        </row>
        <row r="1087">
          <cell r="A1087" t="str">
            <v>6535</v>
          </cell>
        </row>
        <row r="1088">
          <cell r="A1088" t="str">
            <v>6535</v>
          </cell>
        </row>
        <row r="1089">
          <cell r="A1089" t="str">
            <v>6535</v>
          </cell>
        </row>
        <row r="1090">
          <cell r="A1090" t="str">
            <v>6535</v>
          </cell>
        </row>
        <row r="1091">
          <cell r="A1091" t="str">
            <v>6535</v>
          </cell>
        </row>
        <row r="1092">
          <cell r="A1092" t="str">
            <v>6535</v>
          </cell>
        </row>
        <row r="1093">
          <cell r="A1093" t="str">
            <v>6535</v>
          </cell>
        </row>
        <row r="1094">
          <cell r="A1094" t="str">
            <v>6535</v>
          </cell>
        </row>
        <row r="1095">
          <cell r="A1095" t="str">
            <v>6535</v>
          </cell>
        </row>
        <row r="1096">
          <cell r="A1096" t="str">
            <v>6535</v>
          </cell>
        </row>
        <row r="1097">
          <cell r="A1097" t="str">
            <v>6535</v>
          </cell>
        </row>
        <row r="1098">
          <cell r="A1098" t="str">
            <v>6535</v>
          </cell>
        </row>
        <row r="1099">
          <cell r="A1099" t="str">
            <v>6535</v>
          </cell>
        </row>
        <row r="1100">
          <cell r="A1100" t="str">
            <v>6535</v>
          </cell>
        </row>
        <row r="1101">
          <cell r="A1101" t="str">
            <v>6535</v>
          </cell>
        </row>
        <row r="1102">
          <cell r="A1102" t="str">
            <v>6535</v>
          </cell>
        </row>
        <row r="1103">
          <cell r="A1103" t="str">
            <v>6535</v>
          </cell>
        </row>
        <row r="1104">
          <cell r="A1104" t="str">
            <v>6535</v>
          </cell>
        </row>
        <row r="1105">
          <cell r="A1105" t="str">
            <v>6540</v>
          </cell>
        </row>
        <row r="1106">
          <cell r="A1106" t="str">
            <v>6540</v>
          </cell>
        </row>
        <row r="1107">
          <cell r="A1107" t="str">
            <v>6540</v>
          </cell>
        </row>
        <row r="1108">
          <cell r="A1108" t="str">
            <v>6540</v>
          </cell>
        </row>
        <row r="1109">
          <cell r="A1109" t="str">
            <v>6540</v>
          </cell>
        </row>
        <row r="1110">
          <cell r="A1110" t="str">
            <v>6540</v>
          </cell>
        </row>
        <row r="1111">
          <cell r="A1111" t="str">
            <v>6540</v>
          </cell>
        </row>
        <row r="1112">
          <cell r="A1112" t="str">
            <v>6540</v>
          </cell>
        </row>
        <row r="1113">
          <cell r="A1113" t="str">
            <v>6540</v>
          </cell>
        </row>
        <row r="1114">
          <cell r="A1114" t="str">
            <v>6540</v>
          </cell>
        </row>
        <row r="1115">
          <cell r="A1115" t="str">
            <v>6540</v>
          </cell>
        </row>
        <row r="1116">
          <cell r="A1116" t="str">
            <v>6540</v>
          </cell>
        </row>
        <row r="1117">
          <cell r="A1117" t="str">
            <v>6540</v>
          </cell>
        </row>
        <row r="1118">
          <cell r="A1118" t="str">
            <v>6540</v>
          </cell>
        </row>
        <row r="1119">
          <cell r="A1119" t="str">
            <v>6540</v>
          </cell>
        </row>
        <row r="1120">
          <cell r="A1120" t="str">
            <v>6540</v>
          </cell>
        </row>
        <row r="1121">
          <cell r="A1121" t="str">
            <v>6540</v>
          </cell>
        </row>
        <row r="1122">
          <cell r="A1122" t="str">
            <v>6540</v>
          </cell>
        </row>
        <row r="1123">
          <cell r="A1123" t="str">
            <v>6540</v>
          </cell>
        </row>
        <row r="1124">
          <cell r="A1124" t="str">
            <v>6540</v>
          </cell>
        </row>
        <row r="1125">
          <cell r="A1125" t="str">
            <v>6545</v>
          </cell>
        </row>
        <row r="1126">
          <cell r="A1126" t="str">
            <v>6545</v>
          </cell>
        </row>
        <row r="1127">
          <cell r="A1127" t="str">
            <v>6545</v>
          </cell>
        </row>
        <row r="1128">
          <cell r="A1128" t="str">
            <v>6545</v>
          </cell>
        </row>
        <row r="1129">
          <cell r="A1129" t="str">
            <v>6545</v>
          </cell>
        </row>
        <row r="1130">
          <cell r="A1130" t="str">
            <v>6545</v>
          </cell>
        </row>
        <row r="1131">
          <cell r="A1131" t="str">
            <v>6545</v>
          </cell>
        </row>
        <row r="1132">
          <cell r="A1132" t="str">
            <v>6545</v>
          </cell>
        </row>
        <row r="1133">
          <cell r="A1133" t="str">
            <v>6545</v>
          </cell>
        </row>
        <row r="1134">
          <cell r="A1134" t="str">
            <v>6545</v>
          </cell>
        </row>
        <row r="1135">
          <cell r="A1135" t="str">
            <v>6545</v>
          </cell>
        </row>
        <row r="1136">
          <cell r="A1136" t="str">
            <v>6545</v>
          </cell>
        </row>
        <row r="1137">
          <cell r="A1137" t="str">
            <v>6545</v>
          </cell>
        </row>
        <row r="1138">
          <cell r="A1138" t="str">
            <v>6545</v>
          </cell>
        </row>
        <row r="1139">
          <cell r="A1139" t="str">
            <v>6545</v>
          </cell>
        </row>
        <row r="1140">
          <cell r="A1140" t="str">
            <v>6545</v>
          </cell>
        </row>
        <row r="1141">
          <cell r="A1141" t="str">
            <v>6545</v>
          </cell>
        </row>
        <row r="1142">
          <cell r="A1142" t="str">
            <v>6550</v>
          </cell>
        </row>
        <row r="1143">
          <cell r="A1143" t="str">
            <v>6550</v>
          </cell>
        </row>
        <row r="1144">
          <cell r="A1144" t="str">
            <v>6550</v>
          </cell>
        </row>
        <row r="1145">
          <cell r="A1145" t="str">
            <v>6550</v>
          </cell>
        </row>
        <row r="1146">
          <cell r="A1146" t="str">
            <v>6550</v>
          </cell>
        </row>
        <row r="1147">
          <cell r="A1147" t="str">
            <v>6550</v>
          </cell>
        </row>
        <row r="1148">
          <cell r="A1148" t="str">
            <v>6550</v>
          </cell>
        </row>
        <row r="1149">
          <cell r="A1149" t="str">
            <v>6550</v>
          </cell>
        </row>
        <row r="1150">
          <cell r="A1150" t="str">
            <v>6580</v>
          </cell>
        </row>
        <row r="1151">
          <cell r="A1151" t="str">
            <v>6580</v>
          </cell>
        </row>
        <row r="1152">
          <cell r="A1152" t="str">
            <v>6580</v>
          </cell>
        </row>
        <row r="1153">
          <cell r="A1153" t="str">
            <v>6580</v>
          </cell>
        </row>
        <row r="1154">
          <cell r="A1154" t="str">
            <v>6580</v>
          </cell>
        </row>
        <row r="1155">
          <cell r="A1155" t="str">
            <v>6580</v>
          </cell>
        </row>
        <row r="1156">
          <cell r="A1156" t="str">
            <v>6580</v>
          </cell>
        </row>
        <row r="1157">
          <cell r="A1157" t="str">
            <v>6580</v>
          </cell>
        </row>
        <row r="1158">
          <cell r="A1158" t="str">
            <v>6585</v>
          </cell>
        </row>
        <row r="1159">
          <cell r="A1159" t="str">
            <v>6585</v>
          </cell>
        </row>
        <row r="1160">
          <cell r="A1160" t="str">
            <v>6585</v>
          </cell>
        </row>
        <row r="1161">
          <cell r="A1161" t="str">
            <v>6585</v>
          </cell>
        </row>
        <row r="1162">
          <cell r="A1162" t="str">
            <v>6585</v>
          </cell>
        </row>
        <row r="1163">
          <cell r="A1163" t="str">
            <v>6585</v>
          </cell>
        </row>
        <row r="1164">
          <cell r="A1164" t="str">
            <v>6585</v>
          </cell>
        </row>
        <row r="1165">
          <cell r="A1165" t="str">
            <v>6585</v>
          </cell>
        </row>
        <row r="1166">
          <cell r="A1166" t="str">
            <v>6595</v>
          </cell>
        </row>
        <row r="1167">
          <cell r="A1167" t="str">
            <v>6595</v>
          </cell>
        </row>
        <row r="1168">
          <cell r="A1168" t="str">
            <v>6595</v>
          </cell>
        </row>
        <row r="1169">
          <cell r="A1169" t="str">
            <v>6595</v>
          </cell>
        </row>
        <row r="1170">
          <cell r="A1170" t="str">
            <v>6595</v>
          </cell>
        </row>
        <row r="1171">
          <cell r="A1171" t="str">
            <v>6595</v>
          </cell>
        </row>
        <row r="1172">
          <cell r="A1172" t="str">
            <v>6595</v>
          </cell>
        </row>
        <row r="1173">
          <cell r="A1173" t="str">
            <v>6595</v>
          </cell>
        </row>
        <row r="1174">
          <cell r="A1174" t="str">
            <v>6595</v>
          </cell>
        </row>
        <row r="1175">
          <cell r="A1175" t="str">
            <v>6595</v>
          </cell>
        </row>
        <row r="1176">
          <cell r="A1176" t="str">
            <v>6595</v>
          </cell>
        </row>
        <row r="1177">
          <cell r="A1177" t="str">
            <v>6595</v>
          </cell>
        </row>
        <row r="1178">
          <cell r="A1178" t="str">
            <v>6595</v>
          </cell>
        </row>
        <row r="1179">
          <cell r="A1179" t="str">
            <v>6595</v>
          </cell>
        </row>
        <row r="1180">
          <cell r="A1180" t="str">
            <v>6600</v>
          </cell>
        </row>
        <row r="1181">
          <cell r="A1181" t="str">
            <v>6600</v>
          </cell>
        </row>
        <row r="1182">
          <cell r="A1182" t="str">
            <v>6600</v>
          </cell>
        </row>
        <row r="1183">
          <cell r="A1183" t="str">
            <v>6600</v>
          </cell>
        </row>
        <row r="1184">
          <cell r="A1184" t="str">
            <v>6600</v>
          </cell>
        </row>
        <row r="1185">
          <cell r="A1185" t="str">
            <v>6610</v>
          </cell>
        </row>
        <row r="1186">
          <cell r="A1186" t="str">
            <v>6610</v>
          </cell>
        </row>
        <row r="1187">
          <cell r="A1187" t="str">
            <v>6610</v>
          </cell>
        </row>
        <row r="1188">
          <cell r="A1188" t="str">
            <v>6610</v>
          </cell>
        </row>
        <row r="1189">
          <cell r="A1189" t="str">
            <v>6610</v>
          </cell>
        </row>
        <row r="1190">
          <cell r="A1190" t="str">
            <v>6610</v>
          </cell>
        </row>
        <row r="1191">
          <cell r="A1191" t="str">
            <v>6610</v>
          </cell>
        </row>
        <row r="1192">
          <cell r="A1192" t="str">
            <v>6610</v>
          </cell>
        </row>
        <row r="1193">
          <cell r="A1193" t="str">
            <v>6610</v>
          </cell>
        </row>
        <row r="1194">
          <cell r="A1194" t="str">
            <v>6640</v>
          </cell>
        </row>
        <row r="1195">
          <cell r="A1195" t="str">
            <v>6640</v>
          </cell>
        </row>
        <row r="1196">
          <cell r="A1196" t="str">
            <v>6640</v>
          </cell>
        </row>
        <row r="1197">
          <cell r="A1197" t="str">
            <v>6640</v>
          </cell>
        </row>
        <row r="1198">
          <cell r="A1198" t="str">
            <v>6640</v>
          </cell>
        </row>
        <row r="1199">
          <cell r="A1199" t="str">
            <v>6640</v>
          </cell>
        </row>
        <row r="1200">
          <cell r="A1200" t="str">
            <v>6660</v>
          </cell>
        </row>
        <row r="1201">
          <cell r="A1201" t="str">
            <v>6660</v>
          </cell>
        </row>
        <row r="1202">
          <cell r="A1202" t="str">
            <v>6660</v>
          </cell>
        </row>
        <row r="1203">
          <cell r="A1203" t="str">
            <v>6660</v>
          </cell>
        </row>
        <row r="1204">
          <cell r="A1204" t="str">
            <v>6660</v>
          </cell>
        </row>
        <row r="1205">
          <cell r="A1205" t="str">
            <v>6680</v>
          </cell>
        </row>
        <row r="1206">
          <cell r="A1206" t="str">
            <v>6680</v>
          </cell>
        </row>
        <row r="1207">
          <cell r="A1207" t="str">
            <v>6680</v>
          </cell>
        </row>
        <row r="1208">
          <cell r="A1208" t="str">
            <v>6680</v>
          </cell>
        </row>
        <row r="1209">
          <cell r="A1209" t="str">
            <v>6680</v>
          </cell>
        </row>
        <row r="1210">
          <cell r="A1210" t="str">
            <v>6710</v>
          </cell>
        </row>
        <row r="1211">
          <cell r="A1211" t="str">
            <v>6710</v>
          </cell>
        </row>
        <row r="1212">
          <cell r="A1212" t="str">
            <v>6710</v>
          </cell>
        </row>
        <row r="1213">
          <cell r="A1213" t="str">
            <v>6710</v>
          </cell>
        </row>
        <row r="1214">
          <cell r="A1214" t="str">
            <v>6710</v>
          </cell>
        </row>
        <row r="1215">
          <cell r="A1215" t="str">
            <v>6715</v>
          </cell>
        </row>
        <row r="1216">
          <cell r="A1216" t="str">
            <v>6715</v>
          </cell>
        </row>
        <row r="1217">
          <cell r="A1217" t="str">
            <v>6715</v>
          </cell>
        </row>
        <row r="1218">
          <cell r="A1218" t="str">
            <v>6715</v>
          </cell>
        </row>
        <row r="1219">
          <cell r="A1219" t="str">
            <v>6715</v>
          </cell>
        </row>
        <row r="1220">
          <cell r="A1220" t="str">
            <v>6765</v>
          </cell>
        </row>
        <row r="1221">
          <cell r="A1221" t="str">
            <v>6765</v>
          </cell>
        </row>
        <row r="1222">
          <cell r="A1222" t="str">
            <v>6765</v>
          </cell>
        </row>
        <row r="1223">
          <cell r="A1223" t="str">
            <v>6765</v>
          </cell>
        </row>
        <row r="1224">
          <cell r="A1224" t="str">
            <v>6765</v>
          </cell>
        </row>
        <row r="1225">
          <cell r="A1225" t="str">
            <v>6835</v>
          </cell>
        </row>
        <row r="1226">
          <cell r="A1226" t="str">
            <v>6835</v>
          </cell>
        </row>
        <row r="1227">
          <cell r="A1227" t="str">
            <v>6905</v>
          </cell>
        </row>
        <row r="1228">
          <cell r="A1228" t="str">
            <v>6905</v>
          </cell>
        </row>
        <row r="1229">
          <cell r="A1229" t="str">
            <v>6905</v>
          </cell>
        </row>
        <row r="1230">
          <cell r="A1230" t="str">
            <v>6920</v>
          </cell>
        </row>
        <row r="1231">
          <cell r="A1231" t="str">
            <v>6920</v>
          </cell>
        </row>
        <row r="1232">
          <cell r="A1232" t="str">
            <v>6960</v>
          </cell>
        </row>
        <row r="1233">
          <cell r="A1233" t="str">
            <v>6960</v>
          </cell>
        </row>
        <row r="1234">
          <cell r="A1234" t="str">
            <v>6960</v>
          </cell>
        </row>
        <row r="1235">
          <cell r="A1235" t="str">
            <v>6960</v>
          </cell>
        </row>
        <row r="1236">
          <cell r="A1236" t="str">
            <v>6960</v>
          </cell>
        </row>
        <row r="1237">
          <cell r="A1237" t="str">
            <v>6960</v>
          </cell>
        </row>
        <row r="1238">
          <cell r="A1238" t="str">
            <v>6960</v>
          </cell>
        </row>
        <row r="1239">
          <cell r="A1239" t="str">
            <v>6960</v>
          </cell>
        </row>
        <row r="1240">
          <cell r="A1240" t="str">
            <v>6960</v>
          </cell>
        </row>
        <row r="1241">
          <cell r="A1241" t="str">
            <v>6960</v>
          </cell>
        </row>
        <row r="1242">
          <cell r="A1242" t="str">
            <v>6960</v>
          </cell>
        </row>
        <row r="1243">
          <cell r="A1243" t="str">
            <v>6960</v>
          </cell>
        </row>
        <row r="1244">
          <cell r="A1244" t="str">
            <v>6960</v>
          </cell>
        </row>
        <row r="1245">
          <cell r="A1245" t="str">
            <v>6960</v>
          </cell>
        </row>
        <row r="1246">
          <cell r="A1246" t="str">
            <v>6960</v>
          </cell>
        </row>
        <row r="1247">
          <cell r="A1247" t="str">
            <v>6960</v>
          </cell>
        </row>
        <row r="1248">
          <cell r="A1248" t="str">
            <v>6960</v>
          </cell>
        </row>
        <row r="1249">
          <cell r="A1249" t="str">
            <v>6960</v>
          </cell>
        </row>
        <row r="1250">
          <cell r="A1250" t="str">
            <v>6960</v>
          </cell>
        </row>
        <row r="1251">
          <cell r="A1251" t="str">
            <v>6965</v>
          </cell>
        </row>
        <row r="1252">
          <cell r="A1252" t="str">
            <v>6965</v>
          </cell>
        </row>
        <row r="1253">
          <cell r="A1253" t="str">
            <v>6965</v>
          </cell>
        </row>
        <row r="1254">
          <cell r="A1254" t="str">
            <v>6965</v>
          </cell>
        </row>
        <row r="1255">
          <cell r="A1255" t="str">
            <v>6965</v>
          </cell>
        </row>
        <row r="1256">
          <cell r="A1256" t="str">
            <v>6985</v>
          </cell>
        </row>
        <row r="1257">
          <cell r="A1257" t="str">
            <v>6985</v>
          </cell>
        </row>
        <row r="1258">
          <cell r="A1258" t="str">
            <v>6985</v>
          </cell>
        </row>
        <row r="1259">
          <cell r="A1259" t="str">
            <v>6985</v>
          </cell>
        </row>
        <row r="1260">
          <cell r="A1260" t="str">
            <v>6985</v>
          </cell>
        </row>
        <row r="1261">
          <cell r="A1261" t="str">
            <v>6985</v>
          </cell>
        </row>
        <row r="1262">
          <cell r="A1262" t="str">
            <v>6985</v>
          </cell>
        </row>
        <row r="1263">
          <cell r="A1263" t="str">
            <v>6985</v>
          </cell>
        </row>
        <row r="1264">
          <cell r="A1264" t="str">
            <v>6985</v>
          </cell>
        </row>
        <row r="1265">
          <cell r="A1265" t="str">
            <v>6985</v>
          </cell>
        </row>
        <row r="1266">
          <cell r="A1266" t="str">
            <v>6985</v>
          </cell>
        </row>
        <row r="1267">
          <cell r="A1267" t="str">
            <v>6985</v>
          </cell>
        </row>
        <row r="1268">
          <cell r="A1268" t="str">
            <v>6985</v>
          </cell>
        </row>
        <row r="1269">
          <cell r="A1269" t="str">
            <v>6985</v>
          </cell>
        </row>
        <row r="1270">
          <cell r="A1270" t="str">
            <v>6985</v>
          </cell>
        </row>
        <row r="1271">
          <cell r="A1271" t="str">
            <v>6985</v>
          </cell>
        </row>
        <row r="1272">
          <cell r="A1272" t="str">
            <v>6985</v>
          </cell>
        </row>
        <row r="1273">
          <cell r="A1273" t="str">
            <v>7160</v>
          </cell>
        </row>
        <row r="1274">
          <cell r="A1274" t="str">
            <v>7160</v>
          </cell>
        </row>
        <row r="1275">
          <cell r="A1275" t="str">
            <v>7160</v>
          </cell>
        </row>
        <row r="1276">
          <cell r="A1276" t="str">
            <v>7160</v>
          </cell>
        </row>
        <row r="1277">
          <cell r="A1277" t="str">
            <v>7160</v>
          </cell>
        </row>
        <row r="1278">
          <cell r="A1278" t="str">
            <v>7160</v>
          </cell>
        </row>
        <row r="1279">
          <cell r="A1279" t="str">
            <v>7160</v>
          </cell>
        </row>
        <row r="1280">
          <cell r="A1280" t="str">
            <v>7160</v>
          </cell>
        </row>
        <row r="1281">
          <cell r="A1281" t="str">
            <v>7160</v>
          </cell>
        </row>
        <row r="1282">
          <cell r="A1282" t="str">
            <v>7160</v>
          </cell>
        </row>
        <row r="1283">
          <cell r="A1283" t="str">
            <v>7160</v>
          </cell>
        </row>
        <row r="1284">
          <cell r="A1284" t="str">
            <v>7160</v>
          </cell>
        </row>
        <row r="1285">
          <cell r="A1285" t="str">
            <v>7160</v>
          </cell>
        </row>
        <row r="1286">
          <cell r="A1286" t="str">
            <v>7160</v>
          </cell>
        </row>
        <row r="1287">
          <cell r="A1287" t="str">
            <v>7160</v>
          </cell>
        </row>
        <row r="1288">
          <cell r="A1288" t="str">
            <v>7160</v>
          </cell>
        </row>
        <row r="1289">
          <cell r="A1289" t="str">
            <v>7165</v>
          </cell>
        </row>
        <row r="1290">
          <cell r="A1290" t="str">
            <v>7165</v>
          </cell>
        </row>
        <row r="1291">
          <cell r="A1291" t="str">
            <v>7165</v>
          </cell>
        </row>
        <row r="1292">
          <cell r="A1292" t="str">
            <v>7165</v>
          </cell>
        </row>
        <row r="1293">
          <cell r="A1293" t="str">
            <v>7165</v>
          </cell>
        </row>
        <row r="1294">
          <cell r="A1294" t="str">
            <v>7165</v>
          </cell>
        </row>
        <row r="1295">
          <cell r="A1295" t="str">
            <v>7165</v>
          </cell>
        </row>
        <row r="1296">
          <cell r="A1296" t="str">
            <v>7165</v>
          </cell>
        </row>
        <row r="1297">
          <cell r="A1297" t="str">
            <v>7165</v>
          </cell>
        </row>
        <row r="1298">
          <cell r="A1298" t="str">
            <v>7180</v>
          </cell>
        </row>
        <row r="1299">
          <cell r="A1299" t="str">
            <v>7180</v>
          </cell>
        </row>
        <row r="1300">
          <cell r="A1300" t="str">
            <v>7180</v>
          </cell>
        </row>
        <row r="1301">
          <cell r="A1301" t="str">
            <v>7185</v>
          </cell>
        </row>
        <row r="1302">
          <cell r="A1302" t="str">
            <v>7185</v>
          </cell>
        </row>
        <row r="1303">
          <cell r="A1303" t="str">
            <v>7185</v>
          </cell>
        </row>
        <row r="1304">
          <cell r="A1304" t="str">
            <v>7185</v>
          </cell>
        </row>
        <row r="1305">
          <cell r="A1305" t="str">
            <v>7185</v>
          </cell>
        </row>
        <row r="1306">
          <cell r="A1306" t="str">
            <v>7185</v>
          </cell>
        </row>
        <row r="1307">
          <cell r="A1307" t="str">
            <v>7205</v>
          </cell>
        </row>
        <row r="1308">
          <cell r="A1308" t="str">
            <v>7205</v>
          </cell>
        </row>
        <row r="1309">
          <cell r="A1309" t="str">
            <v>7205</v>
          </cell>
        </row>
        <row r="1310">
          <cell r="A1310" t="str">
            <v>7245</v>
          </cell>
        </row>
        <row r="1311">
          <cell r="A1311" t="str">
            <v>7245</v>
          </cell>
        </row>
        <row r="1312">
          <cell r="A1312" t="str">
            <v>7245</v>
          </cell>
        </row>
        <row r="1313">
          <cell r="A1313" t="str">
            <v>7430</v>
          </cell>
        </row>
        <row r="1314">
          <cell r="A1314" t="str">
            <v>7430</v>
          </cell>
        </row>
        <row r="1315">
          <cell r="A1315" t="str">
            <v>7430</v>
          </cell>
        </row>
        <row r="1316">
          <cell r="A1316" t="str">
            <v>7445</v>
          </cell>
        </row>
        <row r="1317">
          <cell r="A1317" t="str">
            <v>7445</v>
          </cell>
        </row>
        <row r="1318">
          <cell r="A1318" t="str">
            <v>7445</v>
          </cell>
        </row>
        <row r="1319">
          <cell r="A1319" t="str">
            <v>7510</v>
          </cell>
        </row>
        <row r="1320">
          <cell r="A1320" t="str">
            <v>7510</v>
          </cell>
        </row>
        <row r="1321">
          <cell r="A1321" t="str">
            <v>7515</v>
          </cell>
        </row>
        <row r="1322">
          <cell r="A1322" t="str">
            <v>7515</v>
          </cell>
        </row>
        <row r="1323">
          <cell r="A1323" t="str">
            <v>7520</v>
          </cell>
        </row>
        <row r="1324">
          <cell r="A1324" t="str">
            <v>7520</v>
          </cell>
        </row>
        <row r="1325">
          <cell r="A1325" t="str">
            <v>7540</v>
          </cell>
        </row>
        <row r="1326">
          <cell r="A1326" t="str">
            <v>7545</v>
          </cell>
        </row>
        <row r="1327">
          <cell r="A1327" t="str">
            <v>7545</v>
          </cell>
        </row>
        <row r="1328">
          <cell r="A1328" t="str">
            <v>7545</v>
          </cell>
        </row>
        <row r="1329">
          <cell r="A1329" t="str">
            <v>7550</v>
          </cell>
        </row>
        <row r="1330">
          <cell r="A1330" t="str">
            <v>7550</v>
          </cell>
        </row>
        <row r="1331">
          <cell r="A1331" t="str">
            <v>7550</v>
          </cell>
        </row>
        <row r="1332">
          <cell r="A1332" t="str">
            <v>7555</v>
          </cell>
        </row>
        <row r="1333">
          <cell r="A1333" t="str">
            <v>7555</v>
          </cell>
        </row>
        <row r="1334">
          <cell r="A1334" t="str">
            <v>7555</v>
          </cell>
        </row>
        <row r="1335">
          <cell r="A1335" t="str">
            <v>7555</v>
          </cell>
        </row>
        <row r="1336">
          <cell r="A1336" t="str">
            <v>7555</v>
          </cell>
        </row>
        <row r="1337">
          <cell r="A1337" t="str">
            <v>7555</v>
          </cell>
        </row>
        <row r="1338">
          <cell r="A1338" t="str">
            <v>7555</v>
          </cell>
        </row>
        <row r="1339">
          <cell r="A1339" t="str">
            <v>7555</v>
          </cell>
        </row>
        <row r="1340">
          <cell r="A1340" t="str">
            <v>7555</v>
          </cell>
        </row>
        <row r="1341">
          <cell r="A1341" t="str">
            <v>7555</v>
          </cell>
        </row>
        <row r="1342">
          <cell r="A1342" t="str">
            <v>7555</v>
          </cell>
        </row>
        <row r="1343">
          <cell r="A1343" t="str">
            <v>7555</v>
          </cell>
        </row>
        <row r="1344">
          <cell r="A1344" t="str">
            <v>7555</v>
          </cell>
        </row>
        <row r="1345">
          <cell r="A1345" t="str">
            <v>7555</v>
          </cell>
        </row>
        <row r="1346">
          <cell r="A1346" t="str">
            <v>7555</v>
          </cell>
        </row>
        <row r="1347">
          <cell r="A1347" t="str">
            <v>7555</v>
          </cell>
        </row>
        <row r="1348">
          <cell r="A1348" t="str">
            <v>7555</v>
          </cell>
        </row>
        <row r="1349">
          <cell r="A1349" t="str">
            <v>7560</v>
          </cell>
        </row>
        <row r="1350">
          <cell r="A1350" t="str">
            <v>7570</v>
          </cell>
        </row>
        <row r="1351">
          <cell r="A1351" t="str">
            <v>7710</v>
          </cell>
        </row>
        <row r="1352">
          <cell r="A1352" t="str">
            <v>7710</v>
          </cell>
        </row>
        <row r="1353">
          <cell r="A1353" t="str">
            <v>7735</v>
          </cell>
        </row>
        <row r="1354">
          <cell r="A1354" t="str">
            <v>7735</v>
          </cell>
        </row>
        <row r="1355">
          <cell r="A1355" t="str">
            <v>7735</v>
          </cell>
        </row>
        <row r="1356">
          <cell r="A1356" t="str">
            <v>7735</v>
          </cell>
        </row>
        <row r="1357">
          <cell r="A1357" t="str">
            <v>7735</v>
          </cell>
        </row>
        <row r="1358">
          <cell r="A1358" t="str">
            <v>7735</v>
          </cell>
        </row>
        <row r="1359">
          <cell r="A1359" t="str">
            <v>7735</v>
          </cell>
        </row>
        <row r="1360">
          <cell r="A1360" t="str">
            <v>7735</v>
          </cell>
        </row>
        <row r="1361">
          <cell r="A1361" t="str">
            <v>7735</v>
          </cell>
        </row>
        <row r="1362">
          <cell r="A1362" t="str">
            <v>7735</v>
          </cell>
        </row>
        <row r="1363">
          <cell r="A1363" t="str">
            <v>7735</v>
          </cell>
        </row>
        <row r="1364">
          <cell r="A1364" t="str">
            <v>7735</v>
          </cell>
        </row>
        <row r="1365">
          <cell r="A1365" t="str">
            <v>7735</v>
          </cell>
        </row>
        <row r="1366">
          <cell r="A1366" t="str">
            <v>7735</v>
          </cell>
        </row>
        <row r="1367">
          <cell r="A1367" t="str">
            <v>7735</v>
          </cell>
        </row>
        <row r="1368">
          <cell r="A1368" t="str">
            <v>7735</v>
          </cell>
        </row>
        <row r="1369">
          <cell r="A1369" t="str">
            <v>7735</v>
          </cell>
        </row>
        <row r="1370">
          <cell r="A1370" t="str">
            <v>7735</v>
          </cell>
        </row>
        <row r="1371">
          <cell r="A1371" t="str">
            <v>7735</v>
          </cell>
        </row>
        <row r="1372">
          <cell r="A1372" t="str">
            <v>7735</v>
          </cell>
        </row>
        <row r="1373">
          <cell r="A1373" t="str">
            <v>7735</v>
          </cell>
        </row>
        <row r="1374">
          <cell r="A1374" t="str">
            <v>7735</v>
          </cell>
        </row>
        <row r="1375">
          <cell r="A1375" t="str">
            <v>7750</v>
          </cell>
        </row>
        <row r="1376">
          <cell r="A1376" t="str">
            <v>7750</v>
          </cell>
        </row>
        <row r="1377">
          <cell r="A1377" t="str">
            <v>7750</v>
          </cell>
        </row>
        <row r="1378">
          <cell r="A1378" t="str">
            <v>7750</v>
          </cell>
        </row>
        <row r="1379">
          <cell r="A1379" t="str">
            <v>7750</v>
          </cell>
        </row>
        <row r="1380">
          <cell r="A1380" t="str">
            <v>7750</v>
          </cell>
        </row>
        <row r="1381">
          <cell r="A1381" t="str">
            <v>7750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Sch.D&amp;E-REV"/>
      <sheetName val="Sch.F-growth"/>
      <sheetName val="wp.a-uncoll"/>
      <sheetName val="wp-b-salary"/>
      <sheetName val="wp-b2-ops charged to plant"/>
      <sheetName val="wp-c-def charges"/>
      <sheetName val="wp-c2-calc of def charges"/>
      <sheetName val="wp-d-rc.exp"/>
      <sheetName val="wp-e-toi"/>
      <sheetName val="wp-f-depr"/>
      <sheetName val="wp-g-inc.tx"/>
      <sheetName val="wp.h-cap.struc"/>
      <sheetName val="wp-i-wc"/>
      <sheetName val="wp-j-pf.plant"/>
      <sheetName val="wp-k-retirements"/>
      <sheetName val="wp-l-GL additions"/>
      <sheetName val="wp-m-penalties"/>
      <sheetName val="wp-n-CPI"/>
      <sheetName val="wp-o-project phoenix "/>
      <sheetName val="wp-p1-allocation of vehicles"/>
      <sheetName val="wp-p1a-adjustment to trans exp"/>
      <sheetName val="wp-p2-allocation of computers"/>
      <sheetName val="wp-p3-allocations of WSC base"/>
      <sheetName val="wp-p4-allocation of WSC expense"/>
      <sheetName val="wp-p5-alloc of cws office exp"/>
      <sheetName val="wp-p6-closed office exp"/>
      <sheetName val="wp-u-Insurance Exp"/>
      <sheetName val="wp-appendix"/>
      <sheetName val="xxxRate-Rev Comp"/>
      <sheetName val="Allocation data summary"/>
      <sheetName val="Allocation data"/>
      <sheetName val="Consumption Data"/>
      <sheetName val="ERC Count NB 12-07"/>
      <sheetName val="wp-q-Def Chrgs"/>
      <sheetName val="CWS Systems 08 RC template"/>
    </sheetNames>
    <sheetDataSet>
      <sheetData sheetId="0" refreshError="1">
        <row r="3">
          <cell r="C3" t="str">
            <v>CWS Systems, Inc.</v>
          </cell>
        </row>
        <row r="5">
          <cell r="C5" t="str">
            <v>W-778, Sub XXX</v>
          </cell>
        </row>
        <row r="7">
          <cell r="C7">
            <v>39447</v>
          </cell>
        </row>
        <row r="11">
          <cell r="C11">
            <v>8658</v>
          </cell>
        </row>
        <row r="12">
          <cell r="C12">
            <v>4085.7</v>
          </cell>
        </row>
      </sheetData>
      <sheetData sheetId="1" refreshError="1"/>
      <sheetData sheetId="2" refreshError="1">
        <row r="1">
          <cell r="A1" t="str">
            <v>Account Number</v>
          </cell>
          <cell r="B1" t="str">
            <v>Account Name</v>
          </cell>
          <cell r="C1" t="str">
            <v>IS/BS</v>
          </cell>
          <cell r="D1" t="str">
            <v>Balance DR/(CR)</v>
          </cell>
        </row>
        <row r="2">
          <cell r="A2" t="str">
            <v>1020</v>
          </cell>
          <cell r="B2" t="str">
            <v>ORGANIZATION</v>
          </cell>
          <cell r="C2" t="str">
            <v>BS</v>
          </cell>
          <cell r="D2">
            <v>189479.66</v>
          </cell>
          <cell r="E2" t="b">
            <v>0</v>
          </cell>
        </row>
        <row r="3">
          <cell r="A3" t="str">
            <v>1045</v>
          </cell>
          <cell r="B3" t="str">
            <v>LAND &amp; LAND RIGHTS GEN PLT</v>
          </cell>
          <cell r="C3" t="str">
            <v>BS</v>
          </cell>
          <cell r="D3">
            <v>50949.45</v>
          </cell>
          <cell r="E3" t="b">
            <v>0</v>
          </cell>
        </row>
        <row r="4">
          <cell r="A4" t="str">
            <v>1050</v>
          </cell>
          <cell r="B4" t="str">
            <v>STRUCT &amp; IMPRV SRC SUPPLY</v>
          </cell>
          <cell r="C4" t="str">
            <v>BS</v>
          </cell>
          <cell r="D4">
            <v>452181.11</v>
          </cell>
          <cell r="E4" t="b">
            <v>0</v>
          </cell>
        </row>
        <row r="5">
          <cell r="A5" t="str">
            <v>1055</v>
          </cell>
          <cell r="B5" t="str">
            <v>STRUCT &amp; IMPRV WTR TRT PLT</v>
          </cell>
          <cell r="C5" t="str">
            <v>BS</v>
          </cell>
          <cell r="D5">
            <v>184343.38</v>
          </cell>
          <cell r="E5" t="b">
            <v>0</v>
          </cell>
        </row>
        <row r="6">
          <cell r="A6" t="str">
            <v>1080</v>
          </cell>
          <cell r="B6" t="str">
            <v>WELLS &amp; SPRINGS</v>
          </cell>
          <cell r="C6" t="str">
            <v>BS</v>
          </cell>
          <cell r="D6">
            <v>1687630.31</v>
          </cell>
          <cell r="E6" t="b">
            <v>0</v>
          </cell>
        </row>
        <row r="7">
          <cell r="A7" t="str">
            <v>1100</v>
          </cell>
          <cell r="B7" t="str">
            <v>ELECTRIC PUMP EQUIP SRC PUMP</v>
          </cell>
          <cell r="C7" t="str">
            <v>BS</v>
          </cell>
          <cell r="D7">
            <v>490</v>
          </cell>
          <cell r="E7" t="b">
            <v>0</v>
          </cell>
        </row>
        <row r="8">
          <cell r="A8" t="str">
            <v>1105</v>
          </cell>
          <cell r="B8" t="str">
            <v>ELECTRIC PUMP EQUIP WTP</v>
          </cell>
          <cell r="C8" t="str">
            <v>BS</v>
          </cell>
          <cell r="D8">
            <v>942325.82</v>
          </cell>
          <cell r="E8" t="b">
            <v>0</v>
          </cell>
        </row>
        <row r="9">
          <cell r="A9" t="str">
            <v>1115</v>
          </cell>
          <cell r="B9" t="str">
            <v>WATER TREATMENT EQPT</v>
          </cell>
          <cell r="C9" t="str">
            <v>BS</v>
          </cell>
          <cell r="D9">
            <v>304205.25</v>
          </cell>
          <cell r="E9" t="b">
            <v>0</v>
          </cell>
        </row>
        <row r="10">
          <cell r="A10" t="str">
            <v>1120</v>
          </cell>
          <cell r="B10" t="str">
            <v>DIST RESV &amp; STANDPIPES</v>
          </cell>
          <cell r="C10" t="str">
            <v>BS</v>
          </cell>
          <cell r="D10">
            <v>1231742.08</v>
          </cell>
          <cell r="E10" t="b">
            <v>0</v>
          </cell>
        </row>
        <row r="11">
          <cell r="A11" t="str">
            <v>1125</v>
          </cell>
          <cell r="B11" t="str">
            <v>TRANS &amp; DISTR MAINS</v>
          </cell>
          <cell r="C11" t="str">
            <v>BS</v>
          </cell>
          <cell r="D11">
            <v>5047635.62</v>
          </cell>
          <cell r="E11" t="b">
            <v>0</v>
          </cell>
        </row>
        <row r="12">
          <cell r="A12" t="str">
            <v>1130</v>
          </cell>
          <cell r="B12" t="str">
            <v>SERVICE LINES</v>
          </cell>
          <cell r="C12" t="str">
            <v>BS</v>
          </cell>
          <cell r="D12">
            <v>1382625.43</v>
          </cell>
          <cell r="E12" t="b">
            <v>0</v>
          </cell>
        </row>
        <row r="13">
          <cell r="A13" t="str">
            <v>1135</v>
          </cell>
          <cell r="B13" t="str">
            <v>METERS</v>
          </cell>
          <cell r="C13" t="str">
            <v>BS</v>
          </cell>
          <cell r="D13">
            <v>382942.89</v>
          </cell>
          <cell r="E13" t="b">
            <v>0</v>
          </cell>
        </row>
        <row r="14">
          <cell r="A14" t="str">
            <v>1140</v>
          </cell>
          <cell r="B14" t="str">
            <v>METER INSTALLATIONS</v>
          </cell>
          <cell r="C14" t="str">
            <v>BS</v>
          </cell>
          <cell r="D14">
            <v>94239.85</v>
          </cell>
          <cell r="E14" t="b">
            <v>0</v>
          </cell>
        </row>
        <row r="15">
          <cell r="A15" t="str">
            <v>1145</v>
          </cell>
          <cell r="B15" t="str">
            <v>HYDRANTS</v>
          </cell>
          <cell r="C15" t="str">
            <v>BS</v>
          </cell>
          <cell r="D15">
            <v>245340.06</v>
          </cell>
          <cell r="E15" t="b">
            <v>0</v>
          </cell>
        </row>
        <row r="16">
          <cell r="A16" t="str">
            <v>1175</v>
          </cell>
          <cell r="B16" t="str">
            <v>OFFICE STRUCT &amp; IMPRV</v>
          </cell>
          <cell r="C16" t="str">
            <v>BS</v>
          </cell>
          <cell r="D16">
            <v>135331.54999999999</v>
          </cell>
          <cell r="E16" t="b">
            <v>0</v>
          </cell>
        </row>
        <row r="17">
          <cell r="A17" t="str">
            <v>1180</v>
          </cell>
          <cell r="B17" t="str">
            <v>OFFICE FURN &amp; EQPT</v>
          </cell>
          <cell r="C17" t="str">
            <v>BS</v>
          </cell>
          <cell r="D17">
            <v>57413.88</v>
          </cell>
          <cell r="E17" t="b">
            <v>0</v>
          </cell>
        </row>
        <row r="18">
          <cell r="A18" t="str">
            <v>1190</v>
          </cell>
          <cell r="B18" t="str">
            <v>TOOL SHOP &amp; MISC EQPT</v>
          </cell>
          <cell r="C18" t="str">
            <v>BS</v>
          </cell>
          <cell r="D18">
            <v>200282.85</v>
          </cell>
          <cell r="E18" t="b">
            <v>0</v>
          </cell>
        </row>
        <row r="19">
          <cell r="A19" t="str">
            <v>1195</v>
          </cell>
          <cell r="B19" t="str">
            <v>LABORATORY EQUIPMENT</v>
          </cell>
          <cell r="C19" t="str">
            <v>BS</v>
          </cell>
          <cell r="D19">
            <v>10394.76</v>
          </cell>
          <cell r="E19" t="b">
            <v>0</v>
          </cell>
        </row>
        <row r="20">
          <cell r="A20" t="str">
            <v>1205</v>
          </cell>
          <cell r="B20" t="str">
            <v>COMMUNICATION EQPT</v>
          </cell>
          <cell r="C20" t="str">
            <v>BS</v>
          </cell>
          <cell r="D20">
            <v>44641.02</v>
          </cell>
          <cell r="E20" t="b">
            <v>0</v>
          </cell>
        </row>
        <row r="21">
          <cell r="A21" t="str">
            <v>1245</v>
          </cell>
          <cell r="B21" t="str">
            <v>ORGANIZATION</v>
          </cell>
          <cell r="C21" t="str">
            <v>BS</v>
          </cell>
          <cell r="D21">
            <v>21939.08</v>
          </cell>
          <cell r="E21" t="b">
            <v>0</v>
          </cell>
        </row>
        <row r="22">
          <cell r="A22" t="str">
            <v>1295</v>
          </cell>
          <cell r="B22" t="str">
            <v>STRUCT/IMPRV PUMP PLT LS</v>
          </cell>
          <cell r="C22" t="str">
            <v>BS</v>
          </cell>
          <cell r="D22">
            <v>911729.54</v>
          </cell>
          <cell r="E22" t="b">
            <v>0</v>
          </cell>
        </row>
        <row r="23">
          <cell r="A23" t="str">
            <v>1315</v>
          </cell>
          <cell r="B23" t="str">
            <v>STRUCT/IMPRV GEN PLT</v>
          </cell>
          <cell r="C23" t="str">
            <v>BS</v>
          </cell>
          <cell r="D23">
            <v>223512.25</v>
          </cell>
          <cell r="E23" t="b">
            <v>0</v>
          </cell>
        </row>
        <row r="24">
          <cell r="A24" t="str">
            <v>1345</v>
          </cell>
          <cell r="B24" t="str">
            <v>SEWER FORCE MAIN/SRVC LINES</v>
          </cell>
          <cell r="C24" t="str">
            <v>BS</v>
          </cell>
          <cell r="D24">
            <v>551516.54</v>
          </cell>
          <cell r="E24" t="b">
            <v>0</v>
          </cell>
        </row>
        <row r="25">
          <cell r="A25" t="str">
            <v>1350</v>
          </cell>
          <cell r="B25" t="str">
            <v>SEWER GRAVITY MAIN/MANHOLES</v>
          </cell>
          <cell r="C25" t="str">
            <v>BS</v>
          </cell>
          <cell r="D25">
            <v>4613708.05</v>
          </cell>
          <cell r="E25" t="b">
            <v>0</v>
          </cell>
        </row>
        <row r="26">
          <cell r="A26" t="str">
            <v>1400</v>
          </cell>
          <cell r="B26" t="str">
            <v>TREAT/DISP EQUIP TRT PLT</v>
          </cell>
          <cell r="C26" t="str">
            <v>BS</v>
          </cell>
          <cell r="D26">
            <v>2884960.49</v>
          </cell>
          <cell r="E26" t="b">
            <v>0</v>
          </cell>
        </row>
        <row r="27">
          <cell r="A27" t="str">
            <v>1470</v>
          </cell>
          <cell r="B27" t="str">
            <v>TOOL SHOP &amp; MISC EQPT</v>
          </cell>
          <cell r="C27" t="str">
            <v>BS</v>
          </cell>
          <cell r="D27">
            <v>25316</v>
          </cell>
          <cell r="E27" t="b">
            <v>0</v>
          </cell>
        </row>
        <row r="28">
          <cell r="A28" t="str">
            <v>1555</v>
          </cell>
          <cell r="B28" t="str">
            <v>TRANSPORTATION EQPT WTR</v>
          </cell>
          <cell r="C28" t="str">
            <v>BS</v>
          </cell>
          <cell r="D28">
            <v>122297</v>
          </cell>
          <cell r="E28" t="b">
            <v>0</v>
          </cell>
        </row>
        <row r="29">
          <cell r="A29" t="str">
            <v>1580</v>
          </cell>
          <cell r="B29" t="str">
            <v>MAINFRAME COMPUTER WTR</v>
          </cell>
          <cell r="C29" t="str">
            <v>BS</v>
          </cell>
          <cell r="D29">
            <v>23721</v>
          </cell>
          <cell r="E29" t="b">
            <v>0</v>
          </cell>
        </row>
        <row r="30">
          <cell r="A30" t="str">
            <v>1585</v>
          </cell>
          <cell r="B30" t="str">
            <v>MINI COMPUTERS WTR</v>
          </cell>
          <cell r="C30" t="str">
            <v>BS</v>
          </cell>
          <cell r="D30">
            <v>49541</v>
          </cell>
          <cell r="E30" t="b">
            <v>0</v>
          </cell>
        </row>
        <row r="31">
          <cell r="A31" t="str">
            <v>1590</v>
          </cell>
          <cell r="B31" t="str">
            <v>COMP SYS COST WTR</v>
          </cell>
          <cell r="C31" t="str">
            <v>BS</v>
          </cell>
          <cell r="D31">
            <v>35153</v>
          </cell>
          <cell r="E31" t="b">
            <v>0</v>
          </cell>
        </row>
        <row r="32">
          <cell r="A32" t="str">
            <v>1595</v>
          </cell>
          <cell r="B32" t="str">
            <v>MICRO SYS COST WTR</v>
          </cell>
          <cell r="C32" t="str">
            <v>BS</v>
          </cell>
          <cell r="D32">
            <v>20956</v>
          </cell>
          <cell r="E32" t="b">
            <v>0</v>
          </cell>
        </row>
        <row r="33">
          <cell r="A33" t="str">
            <v>1665</v>
          </cell>
          <cell r="B33" t="str">
            <v>WIP - CAPITALIZED TIME</v>
          </cell>
          <cell r="C33" t="str">
            <v>BS</v>
          </cell>
          <cell r="D33">
            <v>9054.2999999999993</v>
          </cell>
          <cell r="E33" t="b">
            <v>0</v>
          </cell>
        </row>
        <row r="34">
          <cell r="A34" t="str">
            <v>1666</v>
          </cell>
          <cell r="B34" t="str">
            <v>WIP - INTEREST DURING CONSTR</v>
          </cell>
          <cell r="C34" t="str">
            <v>BS</v>
          </cell>
          <cell r="D34">
            <v>35020.559999999998</v>
          </cell>
          <cell r="E34" t="b">
            <v>0</v>
          </cell>
        </row>
        <row r="35">
          <cell r="A35" t="str">
            <v>1667</v>
          </cell>
          <cell r="B35" t="str">
            <v>WIP - ENGINEERING</v>
          </cell>
          <cell r="C35" t="str">
            <v>BS</v>
          </cell>
          <cell r="D35">
            <v>49126.77</v>
          </cell>
          <cell r="E35" t="b">
            <v>0</v>
          </cell>
        </row>
        <row r="36">
          <cell r="A36" t="str">
            <v>1668</v>
          </cell>
          <cell r="B36" t="str">
            <v>WIP - LABOR/INSTALLATION</v>
          </cell>
          <cell r="C36" t="str">
            <v>BS</v>
          </cell>
          <cell r="D36">
            <v>563730.27</v>
          </cell>
          <cell r="E36" t="b">
            <v>0</v>
          </cell>
        </row>
        <row r="37">
          <cell r="A37" t="str">
            <v>1669</v>
          </cell>
          <cell r="B37" t="str">
            <v>WIP - EQUIPMENT</v>
          </cell>
          <cell r="C37" t="str">
            <v>BS</v>
          </cell>
          <cell r="D37">
            <v>35221.550000000003</v>
          </cell>
          <cell r="E37" t="b">
            <v>0</v>
          </cell>
        </row>
        <row r="38">
          <cell r="A38" t="str">
            <v>1670</v>
          </cell>
          <cell r="B38" t="str">
            <v>WIP - MATERIAL</v>
          </cell>
          <cell r="C38" t="str">
            <v>BS</v>
          </cell>
          <cell r="D38">
            <v>14662.02</v>
          </cell>
          <cell r="E38" t="b">
            <v>0</v>
          </cell>
        </row>
        <row r="39">
          <cell r="A39" t="str">
            <v>1671</v>
          </cell>
          <cell r="B39" t="str">
            <v>WIP - ELECTRICAL</v>
          </cell>
          <cell r="C39" t="str">
            <v>BS</v>
          </cell>
          <cell r="D39">
            <v>1678.03</v>
          </cell>
          <cell r="E39" t="b">
            <v>0</v>
          </cell>
        </row>
        <row r="40">
          <cell r="A40" t="str">
            <v>1672</v>
          </cell>
          <cell r="B40" t="str">
            <v>WIP - PIPING</v>
          </cell>
          <cell r="C40" t="str">
            <v>BS</v>
          </cell>
          <cell r="D40">
            <v>79047.41</v>
          </cell>
          <cell r="E40" t="b">
            <v>0</v>
          </cell>
        </row>
        <row r="41">
          <cell r="A41" t="str">
            <v>1673</v>
          </cell>
          <cell r="B41" t="str">
            <v>WIP - SITE WORK</v>
          </cell>
          <cell r="C41" t="str">
            <v>BS</v>
          </cell>
          <cell r="D41">
            <v>6645</v>
          </cell>
          <cell r="E41" t="b">
            <v>0</v>
          </cell>
        </row>
        <row r="42">
          <cell r="A42" t="str">
            <v>1674</v>
          </cell>
          <cell r="B42" t="str">
            <v>WIP - BUILDING ADDITION</v>
          </cell>
          <cell r="C42" t="str">
            <v>BS</v>
          </cell>
          <cell r="D42">
            <v>4631.18</v>
          </cell>
          <cell r="E42" t="b">
            <v>0</v>
          </cell>
        </row>
        <row r="43">
          <cell r="A43" t="str">
            <v>1692</v>
          </cell>
          <cell r="B43" t="str">
            <v>WIP - WELL HOUSE</v>
          </cell>
          <cell r="C43" t="str">
            <v>BS</v>
          </cell>
          <cell r="D43">
            <v>24942.22</v>
          </cell>
          <cell r="E43" t="b">
            <v>0</v>
          </cell>
        </row>
        <row r="44">
          <cell r="A44" t="str">
            <v>1697</v>
          </cell>
          <cell r="B44" t="str">
            <v>WIP - CLOSE CP TO GL LEGACY</v>
          </cell>
          <cell r="C44" t="str">
            <v>BS</v>
          </cell>
          <cell r="D44">
            <v>-67742.179999999993</v>
          </cell>
          <cell r="E44" t="b">
            <v>0</v>
          </cell>
        </row>
        <row r="45">
          <cell r="A45" t="str">
            <v>1698</v>
          </cell>
          <cell r="B45" t="str">
            <v>WIP - J/E CLEARING LEGACY</v>
          </cell>
          <cell r="C45" t="str">
            <v>BS</v>
          </cell>
          <cell r="D45">
            <v>67742.179999999993</v>
          </cell>
          <cell r="E45" t="b">
            <v>0</v>
          </cell>
        </row>
        <row r="46">
          <cell r="A46" t="str">
            <v>1705</v>
          </cell>
          <cell r="B46" t="str">
            <v>WIP - CAPITALIZED TIME</v>
          </cell>
          <cell r="C46" t="str">
            <v>BS</v>
          </cell>
          <cell r="D46">
            <v>4029.81</v>
          </cell>
          <cell r="E46" t="b">
            <v>0</v>
          </cell>
        </row>
        <row r="47">
          <cell r="A47" t="str">
            <v>1706</v>
          </cell>
          <cell r="B47" t="str">
            <v>WIP - INTEREST DURING CONSTR</v>
          </cell>
          <cell r="C47" t="str">
            <v>BS</v>
          </cell>
          <cell r="D47">
            <v>5289.94</v>
          </cell>
          <cell r="E47" t="b">
            <v>0</v>
          </cell>
        </row>
        <row r="48">
          <cell r="A48" t="str">
            <v>1707</v>
          </cell>
          <cell r="B48" t="str">
            <v>WIP - ENGINEERING</v>
          </cell>
          <cell r="C48" t="str">
            <v>BS</v>
          </cell>
          <cell r="D48">
            <v>55875.55</v>
          </cell>
          <cell r="E48" t="b">
            <v>0</v>
          </cell>
        </row>
        <row r="49">
          <cell r="A49" t="str">
            <v>1708</v>
          </cell>
          <cell r="B49" t="str">
            <v>WIP - LABOR/INSTALLATION</v>
          </cell>
          <cell r="C49" t="str">
            <v>BS</v>
          </cell>
          <cell r="D49">
            <v>233617.36</v>
          </cell>
          <cell r="E49" t="b">
            <v>0</v>
          </cell>
        </row>
        <row r="50">
          <cell r="A50" t="str">
            <v>1709</v>
          </cell>
          <cell r="B50" t="str">
            <v>WIP - EQUIPMENT</v>
          </cell>
          <cell r="C50" t="str">
            <v>BS</v>
          </cell>
          <cell r="D50">
            <v>183106.77</v>
          </cell>
          <cell r="E50" t="b">
            <v>0</v>
          </cell>
        </row>
        <row r="51">
          <cell r="A51" t="str">
            <v>1710</v>
          </cell>
          <cell r="B51" t="str">
            <v>WIP - MATERIAL</v>
          </cell>
          <cell r="C51" t="str">
            <v>BS</v>
          </cell>
          <cell r="D51">
            <v>11144</v>
          </cell>
          <cell r="E51" t="b">
            <v>0</v>
          </cell>
        </row>
        <row r="52">
          <cell r="A52" t="str">
            <v>1722</v>
          </cell>
          <cell r="B52" t="str">
            <v>WIP - MODIFICATION/LIFT STN</v>
          </cell>
          <cell r="C52" t="str">
            <v>BS</v>
          </cell>
          <cell r="D52">
            <v>2546.73</v>
          </cell>
          <cell r="E52" t="b">
            <v>0</v>
          </cell>
        </row>
        <row r="53">
          <cell r="A53" t="str">
            <v>1726</v>
          </cell>
          <cell r="B53" t="str">
            <v>WIP - PUMPS/EQUIPMENT</v>
          </cell>
          <cell r="C53" t="str">
            <v>BS</v>
          </cell>
          <cell r="D53">
            <v>24926.95</v>
          </cell>
          <cell r="E53" t="b">
            <v>0</v>
          </cell>
        </row>
        <row r="54">
          <cell r="A54" t="str">
            <v>1749</v>
          </cell>
          <cell r="B54" t="str">
            <v>WIP - MATERIAL</v>
          </cell>
          <cell r="C54" t="str">
            <v>BS</v>
          </cell>
          <cell r="D54">
            <v>476539</v>
          </cell>
          <cell r="E54" t="b">
            <v>0</v>
          </cell>
        </row>
        <row r="55">
          <cell r="A55" t="str">
            <v>1835</v>
          </cell>
          <cell r="B55" t="str">
            <v>ACC DEPR-ORGANIZATION</v>
          </cell>
          <cell r="C55" t="str">
            <v>BS</v>
          </cell>
          <cell r="D55">
            <v>30335.48</v>
          </cell>
          <cell r="E55" t="b">
            <v>0</v>
          </cell>
        </row>
        <row r="56">
          <cell r="A56" t="str">
            <v>1845</v>
          </cell>
          <cell r="B56" t="str">
            <v>ACC DEPR-STRUCT&amp;IMPRV SRC SPLY</v>
          </cell>
          <cell r="C56" t="str">
            <v>BS</v>
          </cell>
          <cell r="D56">
            <v>-90364.34</v>
          </cell>
          <cell r="E56" t="b">
            <v>0</v>
          </cell>
        </row>
        <row r="57">
          <cell r="A57" t="str">
            <v>1850</v>
          </cell>
          <cell r="B57" t="str">
            <v>ACC DEPR-STRUCT&amp;IMPRV WTP</v>
          </cell>
          <cell r="C57" t="str">
            <v>BS</v>
          </cell>
          <cell r="D57">
            <v>703.09</v>
          </cell>
          <cell r="E57" t="b">
            <v>0</v>
          </cell>
        </row>
        <row r="58">
          <cell r="A58" t="str">
            <v>1875</v>
          </cell>
          <cell r="B58" t="str">
            <v>ACC DEPR-WELLS &amp; SPRINGS</v>
          </cell>
          <cell r="C58" t="str">
            <v>BS</v>
          </cell>
          <cell r="D58">
            <v>-306071.78999999998</v>
          </cell>
          <cell r="E58" t="b">
            <v>0</v>
          </cell>
        </row>
        <row r="59">
          <cell r="A59" t="str">
            <v>1895</v>
          </cell>
          <cell r="B59" t="str">
            <v>ACC DEPR-ELECT PUMP EQUIP SRC PUMP</v>
          </cell>
          <cell r="C59" t="str">
            <v>BS</v>
          </cell>
          <cell r="D59">
            <v>7151.25</v>
          </cell>
          <cell r="E59" t="b">
            <v>0</v>
          </cell>
        </row>
        <row r="60">
          <cell r="A60" t="str">
            <v>1900</v>
          </cell>
          <cell r="B60" t="str">
            <v>ACC DEPR-ELECT PUMP EQUIP WTP</v>
          </cell>
          <cell r="C60" t="str">
            <v>BS</v>
          </cell>
          <cell r="D60">
            <v>-186369.45</v>
          </cell>
          <cell r="E60" t="b">
            <v>0</v>
          </cell>
        </row>
        <row r="61">
          <cell r="A61" t="str">
            <v>1910</v>
          </cell>
          <cell r="B61" t="str">
            <v>ACC DEPR-WATER TREATMENT EQPT</v>
          </cell>
          <cell r="C61" t="str">
            <v>BS</v>
          </cell>
          <cell r="D61">
            <v>-52957.78</v>
          </cell>
          <cell r="E61" t="b">
            <v>0</v>
          </cell>
        </row>
        <row r="62">
          <cell r="A62" t="str">
            <v>1915</v>
          </cell>
          <cell r="B62" t="str">
            <v>ACC DEPR-DIST RESV &amp; STANDPIPE</v>
          </cell>
          <cell r="C62" t="str">
            <v>BS</v>
          </cell>
          <cell r="D62">
            <v>-251998.26</v>
          </cell>
          <cell r="E62" t="b">
            <v>0</v>
          </cell>
        </row>
        <row r="63">
          <cell r="A63" t="str">
            <v>1920</v>
          </cell>
          <cell r="B63" t="str">
            <v>ACC DEPR-TRANS &amp; DISTR MAINS</v>
          </cell>
          <cell r="C63" t="str">
            <v>BS</v>
          </cell>
          <cell r="D63">
            <v>-1032300.64</v>
          </cell>
          <cell r="E63" t="b">
            <v>0</v>
          </cell>
        </row>
        <row r="64">
          <cell r="A64" t="str">
            <v>1925</v>
          </cell>
          <cell r="B64" t="str">
            <v>ACC DEPR-SERVICE LINES</v>
          </cell>
          <cell r="C64" t="str">
            <v>BS</v>
          </cell>
          <cell r="D64">
            <v>-255462.81</v>
          </cell>
          <cell r="E64" t="b">
            <v>0</v>
          </cell>
        </row>
        <row r="65">
          <cell r="A65" t="str">
            <v>1930</v>
          </cell>
          <cell r="B65" t="str">
            <v>ACC DEPR-METERS</v>
          </cell>
          <cell r="C65" t="str">
            <v>BS</v>
          </cell>
          <cell r="D65">
            <v>-64577.56</v>
          </cell>
          <cell r="E65" t="b">
            <v>0</v>
          </cell>
        </row>
        <row r="66">
          <cell r="A66" t="str">
            <v>1935</v>
          </cell>
          <cell r="B66" t="str">
            <v>ACC DEPR-METER INSTALLS</v>
          </cell>
          <cell r="C66" t="str">
            <v>BS</v>
          </cell>
          <cell r="D66">
            <v>-18378.68</v>
          </cell>
          <cell r="E66" t="b">
            <v>0</v>
          </cell>
        </row>
        <row r="67">
          <cell r="A67" t="str">
            <v>1940</v>
          </cell>
          <cell r="B67" t="str">
            <v>ACC DEPR-HYDRANTS</v>
          </cell>
          <cell r="C67" t="str">
            <v>BS</v>
          </cell>
          <cell r="D67">
            <v>-45588.43</v>
          </cell>
          <cell r="E67" t="b">
            <v>0</v>
          </cell>
        </row>
        <row r="68">
          <cell r="A68" t="str">
            <v>1970</v>
          </cell>
          <cell r="B68" t="str">
            <v>ACC DEPR-OFFICE STRUCTURE</v>
          </cell>
          <cell r="C68" t="str">
            <v>BS</v>
          </cell>
          <cell r="D68">
            <v>-54125.64</v>
          </cell>
          <cell r="E68" t="b">
            <v>0</v>
          </cell>
        </row>
        <row r="69">
          <cell r="A69" t="str">
            <v>1975</v>
          </cell>
          <cell r="B69" t="str">
            <v>ACC DEPR-OFFICE FURN/EQPT</v>
          </cell>
          <cell r="C69" t="str">
            <v>BS</v>
          </cell>
          <cell r="D69">
            <v>-43798.75</v>
          </cell>
          <cell r="E69" t="b">
            <v>0</v>
          </cell>
        </row>
        <row r="70">
          <cell r="A70" t="str">
            <v>1985</v>
          </cell>
          <cell r="B70" t="str">
            <v>ACC DEPR-TOOL SHOP &amp; MISC EQPT</v>
          </cell>
          <cell r="C70" t="str">
            <v>BS</v>
          </cell>
          <cell r="D70">
            <v>-41202.620000000003</v>
          </cell>
          <cell r="E70" t="b">
            <v>0</v>
          </cell>
        </row>
        <row r="71">
          <cell r="A71" t="str">
            <v>1990</v>
          </cell>
          <cell r="B71" t="str">
            <v>ACC DEPR-LABORATORY EQUIPMENT</v>
          </cell>
          <cell r="C71" t="str">
            <v>BS</v>
          </cell>
          <cell r="D71">
            <v>-2144.7199999999998</v>
          </cell>
          <cell r="E71" t="b">
            <v>0</v>
          </cell>
        </row>
        <row r="72">
          <cell r="A72" t="str">
            <v>2000</v>
          </cell>
          <cell r="B72" t="str">
            <v>ACC DEPR-COMMUNICATION EQPT</v>
          </cell>
          <cell r="C72" t="str">
            <v>BS</v>
          </cell>
          <cell r="D72">
            <v>-18254.939999999999</v>
          </cell>
          <cell r="E72" t="b">
            <v>0</v>
          </cell>
        </row>
        <row r="73">
          <cell r="A73" t="str">
            <v>2030</v>
          </cell>
          <cell r="B73" t="str">
            <v>ACC DEPR-ORGANIZATION</v>
          </cell>
          <cell r="C73" t="str">
            <v>BS</v>
          </cell>
          <cell r="D73">
            <v>16483.27</v>
          </cell>
          <cell r="E73" t="b">
            <v>0</v>
          </cell>
        </row>
        <row r="74">
          <cell r="A74" t="str">
            <v>2055</v>
          </cell>
          <cell r="B74" t="str">
            <v>ACC DEPR-STRUCT/IMPRV PUMP PLT LS</v>
          </cell>
          <cell r="C74" t="str">
            <v>BS</v>
          </cell>
          <cell r="D74">
            <v>-173394.09</v>
          </cell>
          <cell r="E74" t="b">
            <v>0</v>
          </cell>
        </row>
        <row r="75">
          <cell r="A75" t="str">
            <v>2075</v>
          </cell>
          <cell r="B75" t="str">
            <v>ACC DEPR-STRUCT/IMPRV GEN PLT</v>
          </cell>
          <cell r="C75" t="str">
            <v>BS</v>
          </cell>
          <cell r="D75">
            <v>-35024.949999999997</v>
          </cell>
          <cell r="E75" t="b">
            <v>0</v>
          </cell>
        </row>
        <row r="76">
          <cell r="A76" t="str">
            <v>2105</v>
          </cell>
          <cell r="B76" t="str">
            <v>ACC DEPR-SEWER FORCE MAIN/SRVC LINES</v>
          </cell>
          <cell r="C76" t="str">
            <v>BS</v>
          </cell>
          <cell r="D76">
            <v>-131555.21</v>
          </cell>
          <cell r="E76" t="b">
            <v>0</v>
          </cell>
        </row>
        <row r="77">
          <cell r="A77" t="str">
            <v>2110</v>
          </cell>
          <cell r="B77" t="str">
            <v>ACC DEPR-SEWER GRVTY MAIN/MAN</v>
          </cell>
          <cell r="C77" t="str">
            <v>BS</v>
          </cell>
          <cell r="D77">
            <v>-927119.53</v>
          </cell>
          <cell r="E77" t="b">
            <v>0</v>
          </cell>
        </row>
        <row r="78">
          <cell r="A78" t="str">
            <v>2160</v>
          </cell>
          <cell r="B78" t="str">
            <v>ACC DEPR-TREAT/DISP EQP TRT PLT</v>
          </cell>
          <cell r="C78" t="str">
            <v>BS</v>
          </cell>
          <cell r="D78">
            <v>-561701.07999999996</v>
          </cell>
          <cell r="E78" t="b">
            <v>0</v>
          </cell>
        </row>
        <row r="79">
          <cell r="A79" t="str">
            <v>2230</v>
          </cell>
          <cell r="B79" t="str">
            <v>ACC DEPR-TOOL SHOP &amp; MISC EQPT</v>
          </cell>
          <cell r="C79" t="str">
            <v>BS</v>
          </cell>
          <cell r="D79">
            <v>-6148.34</v>
          </cell>
          <cell r="E79" t="b">
            <v>0</v>
          </cell>
        </row>
        <row r="80">
          <cell r="A80" t="str">
            <v>2300</v>
          </cell>
          <cell r="B80" t="str">
            <v>ACC DEPR-TRANSPORTATION WTR</v>
          </cell>
          <cell r="C80" t="str">
            <v>BS</v>
          </cell>
          <cell r="D80">
            <v>-75633.990000000005</v>
          </cell>
          <cell r="E80" t="b">
            <v>0</v>
          </cell>
        </row>
        <row r="81">
          <cell r="A81" t="str">
            <v>2320</v>
          </cell>
          <cell r="B81" t="str">
            <v>ACC DEPR-MAINFRAME COMP WTR</v>
          </cell>
          <cell r="C81" t="str">
            <v>BS</v>
          </cell>
          <cell r="D81">
            <v>-22758</v>
          </cell>
          <cell r="E81" t="b">
            <v>0</v>
          </cell>
        </row>
        <row r="82">
          <cell r="A82" t="str">
            <v>2325</v>
          </cell>
          <cell r="B82" t="str">
            <v>ACC DEPR-MINI COMP WTR</v>
          </cell>
          <cell r="C82" t="str">
            <v>BS</v>
          </cell>
          <cell r="D82">
            <v>-38433</v>
          </cell>
          <cell r="E82" t="b">
            <v>0</v>
          </cell>
        </row>
        <row r="83">
          <cell r="A83" t="str">
            <v>2330</v>
          </cell>
          <cell r="B83" t="str">
            <v>COMP SYS AMORTIZATION WTR</v>
          </cell>
          <cell r="C83" t="str">
            <v>BS</v>
          </cell>
          <cell r="D83">
            <v>-34446</v>
          </cell>
          <cell r="E83" t="b">
            <v>0</v>
          </cell>
        </row>
        <row r="84">
          <cell r="A84" t="str">
            <v>2335</v>
          </cell>
          <cell r="B84" t="str">
            <v>MICRO SYS AMORTIZATION WTR</v>
          </cell>
          <cell r="C84" t="str">
            <v>BS</v>
          </cell>
          <cell r="D84">
            <v>-10714</v>
          </cell>
          <cell r="E84" t="b">
            <v>0</v>
          </cell>
        </row>
        <row r="85">
          <cell r="A85" t="str">
            <v>2400</v>
          </cell>
          <cell r="B85" t="str">
            <v>UTILITY PAA WTR PLANT AMORT</v>
          </cell>
          <cell r="C85" t="str">
            <v>BS</v>
          </cell>
          <cell r="D85">
            <v>-641167.39</v>
          </cell>
          <cell r="E85" t="b">
            <v>0</v>
          </cell>
        </row>
        <row r="86">
          <cell r="A86" t="str">
            <v>2410</v>
          </cell>
          <cell r="B86" t="str">
            <v>UTILITY PAA SWR PLANT AMORT</v>
          </cell>
          <cell r="C86" t="str">
            <v>BS</v>
          </cell>
          <cell r="D86">
            <v>-60675.85</v>
          </cell>
          <cell r="E86" t="b">
            <v>0</v>
          </cell>
        </row>
        <row r="87">
          <cell r="A87" t="str">
            <v>2420</v>
          </cell>
          <cell r="B87" t="str">
            <v>ACC AMORT UTIL PAA-WATER</v>
          </cell>
          <cell r="C87" t="str">
            <v>BS</v>
          </cell>
          <cell r="D87">
            <v>126171</v>
          </cell>
          <cell r="E87" t="b">
            <v>0</v>
          </cell>
        </row>
        <row r="88">
          <cell r="A88" t="str">
            <v>2425</v>
          </cell>
          <cell r="B88" t="str">
            <v>ACC AMORT UTIL PAA-SEWER</v>
          </cell>
          <cell r="C88" t="str">
            <v>BS</v>
          </cell>
          <cell r="D88">
            <v>21848.79</v>
          </cell>
          <cell r="E88" t="b">
            <v>0</v>
          </cell>
        </row>
        <row r="89">
          <cell r="A89" t="str">
            <v>2640</v>
          </cell>
          <cell r="B89" t="str">
            <v>CASH-CHASE-WSC DISBURSEMENT</v>
          </cell>
          <cell r="C89" t="str">
            <v>BS</v>
          </cell>
          <cell r="D89">
            <v>-14.59</v>
          </cell>
          <cell r="E89" t="b">
            <v>0</v>
          </cell>
        </row>
        <row r="90">
          <cell r="A90" t="str">
            <v>2665</v>
          </cell>
          <cell r="B90" t="str">
            <v>CASH UNAPPLIED</v>
          </cell>
          <cell r="C90" t="str">
            <v>BS</v>
          </cell>
          <cell r="D90">
            <v>-2216.33</v>
          </cell>
          <cell r="E90" t="b">
            <v>0</v>
          </cell>
        </row>
        <row r="91">
          <cell r="A91" t="str">
            <v>2675</v>
          </cell>
          <cell r="B91" t="str">
            <v>A/R-CUSTOMER TRADE CC&amp;B</v>
          </cell>
          <cell r="C91" t="str">
            <v>BS</v>
          </cell>
          <cell r="D91">
            <v>325247.61</v>
          </cell>
          <cell r="E91" t="b">
            <v>0</v>
          </cell>
        </row>
        <row r="92">
          <cell r="A92" t="str">
            <v>2680</v>
          </cell>
          <cell r="B92" t="str">
            <v>A/R-CUSTOMER ACCRUAL</v>
          </cell>
          <cell r="C92" t="str">
            <v>BS</v>
          </cell>
          <cell r="D92">
            <v>216135</v>
          </cell>
          <cell r="E92" t="b">
            <v>0</v>
          </cell>
        </row>
        <row r="93">
          <cell r="A93" t="str">
            <v>2685</v>
          </cell>
          <cell r="B93" t="str">
            <v>A/R-CUSTOMER REFUNDS</v>
          </cell>
          <cell r="C93" t="str">
            <v>BS</v>
          </cell>
          <cell r="D93">
            <v>-8552.57</v>
          </cell>
          <cell r="E93" t="b">
            <v>0</v>
          </cell>
        </row>
        <row r="94">
          <cell r="A94" t="str">
            <v>2690</v>
          </cell>
          <cell r="B94" t="str">
            <v>ACCUM PROV UNCOLLECT ACCTS</v>
          </cell>
          <cell r="C94" t="str">
            <v>BS</v>
          </cell>
          <cell r="D94">
            <v>-71930.97</v>
          </cell>
          <cell r="E94" t="b">
            <v>0</v>
          </cell>
        </row>
        <row r="95">
          <cell r="A95" t="str">
            <v>2710</v>
          </cell>
          <cell r="B95" t="str">
            <v>A/R ASSOC COS</v>
          </cell>
          <cell r="C95" t="str">
            <v>BS</v>
          </cell>
          <cell r="D95">
            <v>-291543.51</v>
          </cell>
          <cell r="E95" t="b">
            <v>0</v>
          </cell>
        </row>
        <row r="96">
          <cell r="A96" t="str">
            <v>2775</v>
          </cell>
          <cell r="B96" t="str">
            <v>SPECIAL DEPOSITS</v>
          </cell>
          <cell r="C96" t="str">
            <v>BS</v>
          </cell>
          <cell r="D96">
            <v>20</v>
          </cell>
          <cell r="E96" t="b">
            <v>0</v>
          </cell>
        </row>
        <row r="97">
          <cell r="A97" t="str">
            <v>2785</v>
          </cell>
          <cell r="B97" t="str">
            <v>PREPAYMENTS</v>
          </cell>
          <cell r="C97" t="str">
            <v>BS</v>
          </cell>
          <cell r="D97">
            <v>0</v>
          </cell>
          <cell r="E97" t="b">
            <v>0</v>
          </cell>
        </row>
        <row r="98">
          <cell r="A98" t="str">
            <v>2795</v>
          </cell>
          <cell r="B98" t="str">
            <v>PREPAID REIMBURSEMENTS</v>
          </cell>
          <cell r="C98" t="str">
            <v>BS</v>
          </cell>
          <cell r="D98">
            <v>5307.49</v>
          </cell>
          <cell r="E98" t="b">
            <v>0</v>
          </cell>
        </row>
        <row r="99">
          <cell r="A99" t="str">
            <v>2855</v>
          </cell>
          <cell r="B99" t="str">
            <v>PRELIMINARY SURVEY</v>
          </cell>
          <cell r="C99" t="str">
            <v>BS</v>
          </cell>
          <cell r="D99">
            <v>127</v>
          </cell>
          <cell r="E99" t="b">
            <v>0</v>
          </cell>
        </row>
        <row r="100">
          <cell r="A100" t="str">
            <v>2920</v>
          </cell>
          <cell r="B100" t="str">
            <v>RATE CASE ACCUM AMORT</v>
          </cell>
          <cell r="C100" t="str">
            <v>BS</v>
          </cell>
          <cell r="D100">
            <v>0.01</v>
          </cell>
          <cell r="E100" t="b">
            <v>0</v>
          </cell>
        </row>
        <row r="101">
          <cell r="A101" t="str">
            <v>2930</v>
          </cell>
          <cell r="B101" t="str">
            <v>MISC REG ACCUM AMORT</v>
          </cell>
          <cell r="C101" t="str">
            <v>BS</v>
          </cell>
          <cell r="D101">
            <v>1158.28</v>
          </cell>
          <cell r="E101" t="b">
            <v>0</v>
          </cell>
        </row>
        <row r="102">
          <cell r="A102" t="str">
            <v>2960</v>
          </cell>
          <cell r="B102" t="str">
            <v>DEF CHGS-TANK MAINT&amp;REP WTR</v>
          </cell>
          <cell r="C102" t="str">
            <v>BS</v>
          </cell>
          <cell r="D102">
            <v>63645</v>
          </cell>
          <cell r="E102" t="b">
            <v>0</v>
          </cell>
        </row>
        <row r="103">
          <cell r="A103" t="str">
            <v>2965</v>
          </cell>
          <cell r="B103" t="str">
            <v>DEF CHGS-RELOCATION EXPENSES</v>
          </cell>
          <cell r="C103" t="str">
            <v>BS</v>
          </cell>
          <cell r="D103">
            <v>7406.24</v>
          </cell>
          <cell r="E103" t="b">
            <v>0</v>
          </cell>
        </row>
        <row r="104">
          <cell r="A104" t="str">
            <v>2980</v>
          </cell>
          <cell r="B104" t="str">
            <v>DEF CHGS-EMP FEES</v>
          </cell>
          <cell r="C104" t="str">
            <v>BS</v>
          </cell>
          <cell r="D104">
            <v>5341</v>
          </cell>
          <cell r="E104" t="b">
            <v>0</v>
          </cell>
        </row>
        <row r="105">
          <cell r="A105" t="str">
            <v>3005</v>
          </cell>
          <cell r="B105" t="str">
            <v>DEF CHGS-VOC TESTING</v>
          </cell>
          <cell r="C105" t="str">
            <v>BS</v>
          </cell>
          <cell r="D105">
            <v>47656.75</v>
          </cell>
          <cell r="E105" t="b">
            <v>0</v>
          </cell>
        </row>
        <row r="106">
          <cell r="A106" t="str">
            <v>3040</v>
          </cell>
          <cell r="B106" t="str">
            <v>DEF CHGS-TANK MAINT&amp;REP SWR</v>
          </cell>
          <cell r="C106" t="str">
            <v>BS</v>
          </cell>
          <cell r="D106">
            <v>33200</v>
          </cell>
          <cell r="E106" t="b">
            <v>0</v>
          </cell>
        </row>
        <row r="107">
          <cell r="A107" t="str">
            <v>3110</v>
          </cell>
          <cell r="B107" t="str">
            <v>AMORT - TANK MAINT&amp;REP WTR</v>
          </cell>
          <cell r="C107" t="str">
            <v>BS</v>
          </cell>
          <cell r="D107">
            <v>-49579</v>
          </cell>
          <cell r="E107" t="b">
            <v>0</v>
          </cell>
        </row>
        <row r="108">
          <cell r="A108" t="str">
            <v>3120</v>
          </cell>
          <cell r="B108" t="str">
            <v>AMORT - RELOCATION EXP</v>
          </cell>
          <cell r="C108" t="str">
            <v>BS</v>
          </cell>
          <cell r="D108">
            <v>-2512.0500000000002</v>
          </cell>
          <cell r="E108" t="b">
            <v>0</v>
          </cell>
        </row>
        <row r="109">
          <cell r="A109" t="str">
            <v>3135</v>
          </cell>
          <cell r="B109" t="str">
            <v>AMORT - EMPLOYEE FEES</v>
          </cell>
          <cell r="C109" t="str">
            <v>BS</v>
          </cell>
          <cell r="D109">
            <v>-59</v>
          </cell>
          <cell r="E109" t="b">
            <v>0</v>
          </cell>
        </row>
        <row r="110">
          <cell r="A110" t="str">
            <v>3160</v>
          </cell>
          <cell r="B110" t="str">
            <v>AMORT - VOC TESTING</v>
          </cell>
          <cell r="C110" t="str">
            <v>BS</v>
          </cell>
          <cell r="D110">
            <v>-29698.61</v>
          </cell>
          <cell r="E110" t="b">
            <v>0</v>
          </cell>
        </row>
        <row r="111">
          <cell r="A111" t="str">
            <v>3195</v>
          </cell>
          <cell r="B111" t="str">
            <v>AMORT - TANK MAINT&amp;REP SWR</v>
          </cell>
          <cell r="C111" t="str">
            <v>BS</v>
          </cell>
          <cell r="D111">
            <v>-31068</v>
          </cell>
          <cell r="E111" t="b">
            <v>0</v>
          </cell>
        </row>
        <row r="112">
          <cell r="A112" t="str">
            <v>3430</v>
          </cell>
          <cell r="B112" t="str">
            <v>CIAC-OTHER TANGIBLE PLT WATER</v>
          </cell>
          <cell r="C112" t="str">
            <v>BS</v>
          </cell>
          <cell r="D112">
            <v>-4994188.88</v>
          </cell>
          <cell r="E112" t="b">
            <v>0</v>
          </cell>
        </row>
        <row r="113">
          <cell r="A113" t="str">
            <v>3435</v>
          </cell>
          <cell r="B113" t="str">
            <v>CIAC-WATER-TAP</v>
          </cell>
          <cell r="C113" t="str">
            <v>BS</v>
          </cell>
          <cell r="D113">
            <v>-1149303.08</v>
          </cell>
          <cell r="E113" t="b">
            <v>0</v>
          </cell>
        </row>
        <row r="114">
          <cell r="A114" t="str">
            <v>3450</v>
          </cell>
          <cell r="B114" t="str">
            <v>CIAC-WTR PLT MOD FEE</v>
          </cell>
          <cell r="C114" t="str">
            <v>BS</v>
          </cell>
          <cell r="D114">
            <v>-179355</v>
          </cell>
          <cell r="E114" t="b">
            <v>0</v>
          </cell>
        </row>
        <row r="115">
          <cell r="A115" t="str">
            <v>3455</v>
          </cell>
          <cell r="B115" t="str">
            <v>CIAC-WTR PLT MTR FEE</v>
          </cell>
          <cell r="C115" t="str">
            <v>BS</v>
          </cell>
          <cell r="D115">
            <v>-33025</v>
          </cell>
          <cell r="E115" t="b">
            <v>0</v>
          </cell>
        </row>
        <row r="116">
          <cell r="A116" t="str">
            <v>3520</v>
          </cell>
          <cell r="B116" t="str">
            <v>CIAC-STRUCT/IMPRV GEN PLT</v>
          </cell>
          <cell r="C116" t="str">
            <v>BS</v>
          </cell>
          <cell r="D116">
            <v>-6128482.1799999997</v>
          </cell>
          <cell r="E116" t="b">
            <v>0</v>
          </cell>
        </row>
        <row r="117">
          <cell r="A117" t="str">
            <v>3705</v>
          </cell>
          <cell r="B117" t="str">
            <v>CIAC-SEWER-TAP</v>
          </cell>
          <cell r="C117" t="str">
            <v>BS</v>
          </cell>
          <cell r="D117">
            <v>-1060950.04</v>
          </cell>
          <cell r="E117" t="b">
            <v>0</v>
          </cell>
        </row>
        <row r="118">
          <cell r="A118" t="str">
            <v>3720</v>
          </cell>
          <cell r="B118" t="str">
            <v>CIAC-SWR PLT MOD FEE</v>
          </cell>
          <cell r="C118" t="str">
            <v>BS</v>
          </cell>
          <cell r="D118">
            <v>-262275</v>
          </cell>
          <cell r="E118" t="b">
            <v>0</v>
          </cell>
        </row>
        <row r="119">
          <cell r="A119" t="str">
            <v>3800</v>
          </cell>
          <cell r="B119" t="str">
            <v>ACC AMORT ORGANIZATION</v>
          </cell>
          <cell r="C119" t="str">
            <v>BS</v>
          </cell>
          <cell r="D119">
            <v>-3789.7</v>
          </cell>
          <cell r="E119" t="b">
            <v>0</v>
          </cell>
        </row>
        <row r="120">
          <cell r="A120" t="str">
            <v>3975</v>
          </cell>
          <cell r="B120" t="str">
            <v>ACC AMORT OTHER TANG PLT WATER</v>
          </cell>
          <cell r="C120" t="str">
            <v>BS</v>
          </cell>
          <cell r="D120">
            <v>1110012.94</v>
          </cell>
          <cell r="E120" t="b">
            <v>0</v>
          </cell>
        </row>
        <row r="121">
          <cell r="A121" t="str">
            <v>3980</v>
          </cell>
          <cell r="B121" t="str">
            <v>ACC AMORT WATER-CIAC TAP</v>
          </cell>
          <cell r="C121" t="str">
            <v>BS</v>
          </cell>
          <cell r="D121">
            <v>34955.230000000003</v>
          </cell>
          <cell r="E121" t="b">
            <v>0</v>
          </cell>
        </row>
        <row r="122">
          <cell r="A122" t="str">
            <v>4000</v>
          </cell>
          <cell r="B122" t="str">
            <v>ACC AMORT WTR PLT MOD FEE-NC</v>
          </cell>
          <cell r="C122" t="str">
            <v>BS</v>
          </cell>
          <cell r="D122">
            <v>3094.26</v>
          </cell>
          <cell r="E122" t="b">
            <v>0</v>
          </cell>
        </row>
        <row r="123">
          <cell r="A123" t="str">
            <v>4005</v>
          </cell>
          <cell r="B123" t="str">
            <v>ACC AMORT WTR PLT MTR FEE-NC</v>
          </cell>
          <cell r="C123" t="str">
            <v>BS</v>
          </cell>
          <cell r="D123">
            <v>574.28</v>
          </cell>
          <cell r="E123" t="b">
            <v>0</v>
          </cell>
        </row>
        <row r="124">
          <cell r="A124" t="str">
            <v>4030</v>
          </cell>
          <cell r="B124" t="str">
            <v>ACC AMORT ORGANIZATION</v>
          </cell>
          <cell r="C124" t="str">
            <v>BS</v>
          </cell>
          <cell r="D124">
            <v>0</v>
          </cell>
          <cell r="E124" t="b">
            <v>0</v>
          </cell>
        </row>
        <row r="125">
          <cell r="A125" t="str">
            <v>4070</v>
          </cell>
          <cell r="B125" t="str">
            <v>ACC AMORTSTRUCT/IMPRV GEN PLT</v>
          </cell>
          <cell r="C125" t="str">
            <v>BS</v>
          </cell>
          <cell r="D125">
            <v>1522574.99</v>
          </cell>
          <cell r="E125" t="b">
            <v>0</v>
          </cell>
        </row>
        <row r="126">
          <cell r="A126" t="str">
            <v>4265</v>
          </cell>
          <cell r="B126" t="str">
            <v>ACC AMORT SEWER-TAP</v>
          </cell>
          <cell r="C126" t="str">
            <v>BS</v>
          </cell>
          <cell r="D126">
            <v>26182.34</v>
          </cell>
          <cell r="E126" t="b">
            <v>0</v>
          </cell>
        </row>
        <row r="127">
          <cell r="A127" t="str">
            <v>4280</v>
          </cell>
          <cell r="B127" t="str">
            <v>ACC AMORT SWR PLT MOD FEE-NC</v>
          </cell>
          <cell r="C127" t="str">
            <v>BS</v>
          </cell>
          <cell r="D127">
            <v>4561.0200000000004</v>
          </cell>
          <cell r="E127" t="b">
            <v>0</v>
          </cell>
        </row>
        <row r="128">
          <cell r="A128" t="str">
            <v>4369</v>
          </cell>
          <cell r="B128" t="str">
            <v>DEF FED TAX - CIAC PRE 1987</v>
          </cell>
          <cell r="C128" t="str">
            <v>BS</v>
          </cell>
          <cell r="D128">
            <v>75068</v>
          </cell>
          <cell r="E128" t="b">
            <v>0</v>
          </cell>
        </row>
        <row r="129">
          <cell r="A129" t="str">
            <v>4371</v>
          </cell>
          <cell r="B129" t="str">
            <v>DEF FED TAX - TAP FEE POST 2000</v>
          </cell>
          <cell r="C129" t="str">
            <v>BS</v>
          </cell>
          <cell r="D129">
            <v>694298</v>
          </cell>
          <cell r="E129" t="b">
            <v>0</v>
          </cell>
        </row>
        <row r="130">
          <cell r="A130" t="str">
            <v>4377</v>
          </cell>
          <cell r="B130" t="str">
            <v>DEF FED TAX - DEF MAINT</v>
          </cell>
          <cell r="C130" t="str">
            <v>BS</v>
          </cell>
          <cell r="D130">
            <v>-20325</v>
          </cell>
          <cell r="E130" t="b">
            <v>0</v>
          </cell>
        </row>
        <row r="131">
          <cell r="A131" t="str">
            <v>4383</v>
          </cell>
          <cell r="B131" t="str">
            <v>DEF FED TAX - ORGN EXP</v>
          </cell>
          <cell r="C131" t="str">
            <v>BS</v>
          </cell>
          <cell r="D131">
            <v>-75212</v>
          </cell>
          <cell r="E131" t="b">
            <v>0</v>
          </cell>
        </row>
        <row r="132">
          <cell r="A132" t="str">
            <v>4385</v>
          </cell>
          <cell r="B132" t="str">
            <v>DEF FED TAX - BAD DEBT</v>
          </cell>
          <cell r="C132" t="str">
            <v>BS</v>
          </cell>
          <cell r="D132">
            <v>48776</v>
          </cell>
          <cell r="E132" t="b">
            <v>0</v>
          </cell>
        </row>
        <row r="133">
          <cell r="A133" t="str">
            <v>4387</v>
          </cell>
          <cell r="B133" t="str">
            <v>DEF FED TAX - DEPRECIATION</v>
          </cell>
          <cell r="C133" t="str">
            <v>BS</v>
          </cell>
          <cell r="D133">
            <v>-1318655</v>
          </cell>
          <cell r="E133" t="b">
            <v>0</v>
          </cell>
        </row>
        <row r="134">
          <cell r="A134" t="str">
            <v>4419</v>
          </cell>
          <cell r="B134" t="str">
            <v>DEF ST TAX - CIAC PRE 1987</v>
          </cell>
          <cell r="C134" t="str">
            <v>BS</v>
          </cell>
          <cell r="D134">
            <v>18331</v>
          </cell>
          <cell r="E134" t="b">
            <v>0</v>
          </cell>
        </row>
        <row r="135">
          <cell r="A135" t="str">
            <v>4421</v>
          </cell>
          <cell r="B135" t="str">
            <v>DEF ST TAX - TAP FEE POST 2000</v>
          </cell>
          <cell r="C135" t="str">
            <v>BS</v>
          </cell>
          <cell r="D135">
            <v>153686</v>
          </cell>
          <cell r="E135" t="b">
            <v>0</v>
          </cell>
        </row>
        <row r="136">
          <cell r="A136" t="str">
            <v>4427</v>
          </cell>
          <cell r="B136" t="str">
            <v>DEF ST TAX - DEF MAINT</v>
          </cell>
          <cell r="C136" t="str">
            <v>BS</v>
          </cell>
          <cell r="D136">
            <v>-4431</v>
          </cell>
          <cell r="E136" t="b">
            <v>0</v>
          </cell>
        </row>
        <row r="137">
          <cell r="A137" t="str">
            <v>4433</v>
          </cell>
          <cell r="B137" t="str">
            <v>DEF ST TAX - ORGN EXP</v>
          </cell>
          <cell r="C137" t="str">
            <v>BS</v>
          </cell>
          <cell r="D137">
            <v>-488</v>
          </cell>
          <cell r="E137" t="b">
            <v>0</v>
          </cell>
        </row>
        <row r="138">
          <cell r="A138" t="str">
            <v>4435</v>
          </cell>
          <cell r="B138" t="str">
            <v>DEF ST TAX - BAD DEBT</v>
          </cell>
          <cell r="C138" t="str">
            <v>BS</v>
          </cell>
          <cell r="D138">
            <v>-191</v>
          </cell>
          <cell r="E138" t="b">
            <v>0</v>
          </cell>
        </row>
        <row r="139">
          <cell r="A139" t="str">
            <v>4437</v>
          </cell>
          <cell r="B139" t="str">
            <v>DEF ST TAX - DEPRECIATION</v>
          </cell>
          <cell r="C139" t="str">
            <v>BS</v>
          </cell>
          <cell r="D139">
            <v>-245103</v>
          </cell>
          <cell r="E139" t="b">
            <v>0</v>
          </cell>
        </row>
        <row r="140">
          <cell r="A140" t="str">
            <v>4515</v>
          </cell>
          <cell r="B140" t="str">
            <v>A/P TRADE</v>
          </cell>
          <cell r="C140" t="str">
            <v>BS</v>
          </cell>
          <cell r="D140">
            <v>-100763.32</v>
          </cell>
          <cell r="E140" t="b">
            <v>0</v>
          </cell>
        </row>
        <row r="141">
          <cell r="A141" t="str">
            <v>4525</v>
          </cell>
          <cell r="B141" t="str">
            <v>A/P TRADE - ACCRUAL</v>
          </cell>
          <cell r="C141" t="str">
            <v>BS</v>
          </cell>
          <cell r="D141">
            <v>-22838.400000000001</v>
          </cell>
          <cell r="E141" t="b">
            <v>0</v>
          </cell>
        </row>
        <row r="142">
          <cell r="A142" t="str">
            <v>4527</v>
          </cell>
          <cell r="B142" t="str">
            <v>A/P TRADE - RECD NOT VOUCHERED</v>
          </cell>
          <cell r="C142" t="str">
            <v>BS</v>
          </cell>
          <cell r="D142">
            <v>-84617.77</v>
          </cell>
          <cell r="E142" t="b">
            <v>0</v>
          </cell>
        </row>
        <row r="143">
          <cell r="A143" t="str">
            <v>4535</v>
          </cell>
          <cell r="B143" t="str">
            <v>A/P-ASSOC COMPANIES</v>
          </cell>
          <cell r="C143" t="str">
            <v>BS</v>
          </cell>
          <cell r="D143">
            <v>12229199.16</v>
          </cell>
          <cell r="E143" t="b">
            <v>0</v>
          </cell>
        </row>
        <row r="144">
          <cell r="A144" t="str">
            <v>4545</v>
          </cell>
          <cell r="B144" t="str">
            <v>A/P MISCELLANEOUS</v>
          </cell>
          <cell r="C144" t="str">
            <v>BS</v>
          </cell>
          <cell r="D144">
            <v>194180.94</v>
          </cell>
          <cell r="E144" t="b">
            <v>0</v>
          </cell>
        </row>
        <row r="145">
          <cell r="A145" t="str">
            <v>4565</v>
          </cell>
          <cell r="B145" t="str">
            <v>ADVANCES FROM UTILITIES INC</v>
          </cell>
          <cell r="C145" t="str">
            <v>BS</v>
          </cell>
          <cell r="D145">
            <v>-8918414.7899999991</v>
          </cell>
          <cell r="E145" t="b">
            <v>0</v>
          </cell>
        </row>
        <row r="146">
          <cell r="A146" t="str">
            <v>4595</v>
          </cell>
          <cell r="B146" t="str">
            <v>CUSTOMER DEPOSITS</v>
          </cell>
          <cell r="C146" t="str">
            <v>BS</v>
          </cell>
          <cell r="D146">
            <v>-91705</v>
          </cell>
          <cell r="E146" t="b">
            <v>0</v>
          </cell>
        </row>
        <row r="147">
          <cell r="A147" t="str">
            <v>4612</v>
          </cell>
          <cell r="B147" t="str">
            <v>ACCRUED TAXES GENERAL</v>
          </cell>
          <cell r="C147" t="str">
            <v>BS</v>
          </cell>
          <cell r="D147">
            <v>-4936.16</v>
          </cell>
          <cell r="E147" t="b">
            <v>0</v>
          </cell>
        </row>
        <row r="148">
          <cell r="A148" t="str">
            <v>4614</v>
          </cell>
          <cell r="B148" t="str">
            <v>ACCRUED GROSS RECEIPT TAX</v>
          </cell>
          <cell r="C148" t="str">
            <v>BS</v>
          </cell>
          <cell r="D148">
            <v>-34276</v>
          </cell>
          <cell r="E148" t="b">
            <v>0</v>
          </cell>
        </row>
        <row r="149">
          <cell r="A149" t="str">
            <v>4630</v>
          </cell>
          <cell r="B149" t="str">
            <v>ACCRUED PERS PROP &amp; ICT TAX</v>
          </cell>
          <cell r="C149" t="str">
            <v>BS</v>
          </cell>
          <cell r="D149">
            <v>-1800</v>
          </cell>
          <cell r="E149" t="b">
            <v>0</v>
          </cell>
        </row>
        <row r="150">
          <cell r="A150" t="str">
            <v>4634</v>
          </cell>
          <cell r="B150" t="str">
            <v>ACCRUED SALES TAX</v>
          </cell>
          <cell r="C150" t="str">
            <v>BS</v>
          </cell>
          <cell r="D150">
            <v>-64.099999999999994</v>
          </cell>
          <cell r="E150" t="b">
            <v>0</v>
          </cell>
        </row>
        <row r="151">
          <cell r="A151" t="str">
            <v>4661</v>
          </cell>
          <cell r="B151" t="str">
            <v>ACCRUED ST INCOME TAX</v>
          </cell>
          <cell r="C151" t="str">
            <v>BS</v>
          </cell>
          <cell r="D151">
            <v>74448</v>
          </cell>
          <cell r="E151" t="b">
            <v>0</v>
          </cell>
        </row>
        <row r="152">
          <cell r="A152" t="str">
            <v>4685</v>
          </cell>
          <cell r="B152" t="str">
            <v>ACCRUED CUST DEP INTEREST</v>
          </cell>
          <cell r="C152" t="str">
            <v>BS</v>
          </cell>
          <cell r="D152">
            <v>-19570.3</v>
          </cell>
          <cell r="E152" t="b">
            <v>0</v>
          </cell>
        </row>
        <row r="153">
          <cell r="A153" t="str">
            <v>4715</v>
          </cell>
          <cell r="B153" t="str">
            <v>DEFERRED REVENUE</v>
          </cell>
          <cell r="C153" t="str">
            <v>BS</v>
          </cell>
          <cell r="D153">
            <v>-55535</v>
          </cell>
          <cell r="E153" t="b">
            <v>0</v>
          </cell>
        </row>
        <row r="154">
          <cell r="A154" t="str">
            <v>4735</v>
          </cell>
          <cell r="B154" t="str">
            <v>PAYABLE TO DEVELOPER</v>
          </cell>
          <cell r="C154" t="str">
            <v>BS</v>
          </cell>
          <cell r="D154">
            <v>-96778.83</v>
          </cell>
          <cell r="E154" t="b">
            <v>0</v>
          </cell>
        </row>
        <row r="155">
          <cell r="A155" t="str">
            <v>4780</v>
          </cell>
          <cell r="B155" t="str">
            <v>PAID IN CAPITAL</v>
          </cell>
          <cell r="C155" t="str">
            <v>BS</v>
          </cell>
          <cell r="D155">
            <v>-2600000</v>
          </cell>
          <cell r="E155" t="b">
            <v>0</v>
          </cell>
        </row>
        <row r="156">
          <cell r="A156" t="str">
            <v>4785</v>
          </cell>
          <cell r="B156" t="str">
            <v>MISC PAID IN CAPITAL</v>
          </cell>
          <cell r="C156" t="str">
            <v>BS</v>
          </cell>
          <cell r="D156">
            <v>-2766343.12</v>
          </cell>
          <cell r="E156" t="b">
            <v>0</v>
          </cell>
        </row>
        <row r="157">
          <cell r="A157" t="str">
            <v>4998</v>
          </cell>
          <cell r="B157" t="str">
            <v>RETAINED EARN-PRIOR YEARS</v>
          </cell>
          <cell r="C157" t="str">
            <v>BS</v>
          </cell>
          <cell r="D157">
            <v>-4683394.33</v>
          </cell>
          <cell r="E157" t="b">
            <v>0</v>
          </cell>
        </row>
        <row r="158">
          <cell r="A158" t="str">
            <v>5025</v>
          </cell>
          <cell r="B158" t="str">
            <v>WATER REVENUE-RESIDENTIAL</v>
          </cell>
          <cell r="C158" t="str">
            <v>IS</v>
          </cell>
          <cell r="D158">
            <v>-1722662.95</v>
          </cell>
          <cell r="E158" t="b">
            <v>0</v>
          </cell>
        </row>
        <row r="159">
          <cell r="A159" t="str">
            <v>5030</v>
          </cell>
          <cell r="B159" t="str">
            <v>WATER REVENUE-ACCRUALS</v>
          </cell>
          <cell r="C159" t="str">
            <v>IS</v>
          </cell>
          <cell r="D159">
            <v>-1433</v>
          </cell>
          <cell r="E159" t="b">
            <v>0</v>
          </cell>
        </row>
        <row r="160">
          <cell r="A160" t="str">
            <v>5035</v>
          </cell>
          <cell r="B160" t="str">
            <v>WATER REVENUE-COMMERCIAL</v>
          </cell>
          <cell r="C160" t="str">
            <v>IS</v>
          </cell>
          <cell r="D160">
            <v>-141408.35999999999</v>
          </cell>
          <cell r="E160" t="b">
            <v>0</v>
          </cell>
        </row>
        <row r="161">
          <cell r="A161" t="str">
            <v>5100</v>
          </cell>
          <cell r="B161" t="str">
            <v>SEWER REVENUE-RESIDENTIAL</v>
          </cell>
          <cell r="C161" t="str">
            <v>IS</v>
          </cell>
          <cell r="D161">
            <v>-969752.58</v>
          </cell>
          <cell r="E161" t="b">
            <v>0</v>
          </cell>
        </row>
        <row r="162">
          <cell r="A162" t="str">
            <v>5105</v>
          </cell>
          <cell r="B162" t="str">
            <v>SEWER REVENUE-ACCRUALS</v>
          </cell>
          <cell r="C162" t="str">
            <v>IS</v>
          </cell>
          <cell r="D162">
            <v>5887</v>
          </cell>
          <cell r="E162" t="b">
            <v>0</v>
          </cell>
        </row>
        <row r="163">
          <cell r="A163" t="str">
            <v>5110</v>
          </cell>
          <cell r="B163" t="str">
            <v>SEWER REVENUE-COMMERCIAL</v>
          </cell>
          <cell r="C163" t="str">
            <v>IS</v>
          </cell>
          <cell r="D163">
            <v>-135811.04</v>
          </cell>
          <cell r="E163" t="b">
            <v>0</v>
          </cell>
        </row>
        <row r="164">
          <cell r="A164" t="str">
            <v>5265</v>
          </cell>
          <cell r="B164" t="str">
            <v>FORFEITED DISCOUNTS</v>
          </cell>
          <cell r="C164" t="str">
            <v>IS</v>
          </cell>
          <cell r="D164">
            <v>-11600.3</v>
          </cell>
          <cell r="E164" t="b">
            <v>0</v>
          </cell>
        </row>
        <row r="165">
          <cell r="A165" t="str">
            <v>5270</v>
          </cell>
          <cell r="B165" t="str">
            <v>MISC SERVICE REVENUE</v>
          </cell>
          <cell r="C165" t="str">
            <v>IS</v>
          </cell>
          <cell r="D165">
            <v>-51128.160000000003</v>
          </cell>
          <cell r="E165" t="b">
            <v>0</v>
          </cell>
        </row>
        <row r="166">
          <cell r="A166" t="str">
            <v>5455</v>
          </cell>
          <cell r="B166" t="str">
            <v>PURCHASED SEWER TREATMENT</v>
          </cell>
          <cell r="C166" t="str">
            <v>IS</v>
          </cell>
          <cell r="D166">
            <v>161100</v>
          </cell>
          <cell r="E166" t="b">
            <v>0</v>
          </cell>
        </row>
        <row r="167">
          <cell r="A167" t="str">
            <v>5460</v>
          </cell>
          <cell r="B167" t="str">
            <v>PURCHASED SEWER - BILLINGS</v>
          </cell>
          <cell r="C167" t="str">
            <v>IS</v>
          </cell>
          <cell r="D167">
            <v>-152144.29999999999</v>
          </cell>
          <cell r="E167" t="b">
            <v>0</v>
          </cell>
        </row>
        <row r="168">
          <cell r="A168" t="str">
            <v>5465</v>
          </cell>
          <cell r="B168" t="str">
            <v>ELEC PWR - WATER SYSTEM</v>
          </cell>
          <cell r="C168" t="str">
            <v>IS</v>
          </cell>
          <cell r="D168">
            <v>166203.19</v>
          </cell>
          <cell r="E168" t="b">
            <v>0</v>
          </cell>
        </row>
        <row r="169">
          <cell r="A169" t="str">
            <v>5470</v>
          </cell>
          <cell r="B169" t="str">
            <v>ELEC PWR - SWR SYSTEM</v>
          </cell>
          <cell r="C169" t="str">
            <v>IS</v>
          </cell>
          <cell r="D169">
            <v>151512.17000000001</v>
          </cell>
          <cell r="E169" t="b">
            <v>0</v>
          </cell>
        </row>
        <row r="170">
          <cell r="A170" t="str">
            <v>5480</v>
          </cell>
          <cell r="B170" t="str">
            <v>CHLORINE</v>
          </cell>
          <cell r="C170" t="str">
            <v>IS</v>
          </cell>
          <cell r="D170">
            <v>20993.919999999998</v>
          </cell>
          <cell r="E170" t="b">
            <v>0</v>
          </cell>
        </row>
        <row r="171">
          <cell r="A171" t="str">
            <v>5485</v>
          </cell>
          <cell r="B171" t="str">
            <v>ODOR CONTROL CHEMICALS</v>
          </cell>
          <cell r="C171" t="str">
            <v>IS</v>
          </cell>
          <cell r="D171">
            <v>1335.2</v>
          </cell>
          <cell r="E171" t="b">
            <v>0</v>
          </cell>
        </row>
        <row r="172">
          <cell r="A172" t="str">
            <v>5490</v>
          </cell>
          <cell r="B172" t="str">
            <v>OTHER TREATMENT CHEMICALS</v>
          </cell>
          <cell r="C172" t="str">
            <v>IS</v>
          </cell>
          <cell r="D172">
            <v>66984</v>
          </cell>
          <cell r="E172" t="b">
            <v>0</v>
          </cell>
        </row>
        <row r="173">
          <cell r="A173" t="str">
            <v>5495</v>
          </cell>
          <cell r="B173" t="str">
            <v>METER READING</v>
          </cell>
          <cell r="C173" t="str">
            <v>IS</v>
          </cell>
          <cell r="D173">
            <v>42094.78</v>
          </cell>
          <cell r="E173" t="b">
            <v>0</v>
          </cell>
        </row>
        <row r="174">
          <cell r="A174" t="str">
            <v>5505</v>
          </cell>
          <cell r="B174" t="str">
            <v>AGENCY EXPENSE</v>
          </cell>
          <cell r="C174" t="str">
            <v>IS</v>
          </cell>
          <cell r="D174">
            <v>797.96</v>
          </cell>
          <cell r="E174" t="b">
            <v>0</v>
          </cell>
        </row>
        <row r="175">
          <cell r="A175" t="str">
            <v>5510</v>
          </cell>
          <cell r="B175" t="str">
            <v>UNCOLLECTIBLE ACCOUNTS</v>
          </cell>
          <cell r="C175" t="str">
            <v>IS</v>
          </cell>
          <cell r="D175">
            <v>10423.36</v>
          </cell>
          <cell r="E175" t="b">
            <v>0</v>
          </cell>
        </row>
        <row r="176">
          <cell r="A176" t="str">
            <v>5525</v>
          </cell>
          <cell r="B176" t="str">
            <v>BILL STOCK</v>
          </cell>
          <cell r="C176" t="str">
            <v>IS</v>
          </cell>
          <cell r="D176">
            <v>2279</v>
          </cell>
          <cell r="E176" t="b">
            <v>0</v>
          </cell>
        </row>
        <row r="177">
          <cell r="A177" t="str">
            <v>5530</v>
          </cell>
          <cell r="B177" t="str">
            <v>BILLING COMPUTER SUPPLIES</v>
          </cell>
          <cell r="C177" t="str">
            <v>IS</v>
          </cell>
          <cell r="D177">
            <v>1178</v>
          </cell>
          <cell r="E177" t="b">
            <v>0</v>
          </cell>
        </row>
        <row r="178">
          <cell r="A178" t="str">
            <v>5535</v>
          </cell>
          <cell r="B178" t="str">
            <v>BILLING ENVELOPES</v>
          </cell>
          <cell r="C178" t="str">
            <v>IS</v>
          </cell>
          <cell r="D178">
            <v>5337</v>
          </cell>
          <cell r="E178" t="b">
            <v>0</v>
          </cell>
        </row>
        <row r="179">
          <cell r="A179" t="str">
            <v>5540</v>
          </cell>
          <cell r="B179" t="str">
            <v>BILLING POSTAGE</v>
          </cell>
          <cell r="C179" t="str">
            <v>IS</v>
          </cell>
          <cell r="D179">
            <v>39424</v>
          </cell>
          <cell r="E179" t="b">
            <v>0</v>
          </cell>
        </row>
        <row r="180">
          <cell r="A180" t="str">
            <v>5545</v>
          </cell>
          <cell r="B180" t="str">
            <v>CUSTOMER SERVICE PRINTING</v>
          </cell>
          <cell r="C180" t="str">
            <v>IS</v>
          </cell>
          <cell r="D180">
            <v>1169.1500000000001</v>
          </cell>
          <cell r="E180" t="b">
            <v>0</v>
          </cell>
        </row>
        <row r="181">
          <cell r="A181" t="str">
            <v>5625</v>
          </cell>
          <cell r="B181" t="str">
            <v>401K/ESOP CONTRIBUTIONS</v>
          </cell>
          <cell r="C181" t="str">
            <v>IS</v>
          </cell>
          <cell r="D181">
            <v>20172</v>
          </cell>
          <cell r="E181" t="b">
            <v>0</v>
          </cell>
        </row>
        <row r="182">
          <cell r="A182" t="str">
            <v>5630</v>
          </cell>
          <cell r="B182" t="str">
            <v>DENTAL PREMIUMS</v>
          </cell>
          <cell r="C182" t="str">
            <v>IS</v>
          </cell>
          <cell r="D182">
            <v>440</v>
          </cell>
          <cell r="E182" t="b">
            <v>0</v>
          </cell>
        </row>
        <row r="183">
          <cell r="A183" t="str">
            <v>5635</v>
          </cell>
          <cell r="B183" t="str">
            <v>DENTAL INS REIMBURSEMENTS</v>
          </cell>
          <cell r="C183" t="str">
            <v>IS</v>
          </cell>
          <cell r="D183">
            <v>2994</v>
          </cell>
          <cell r="E183" t="b">
            <v>0</v>
          </cell>
        </row>
        <row r="184">
          <cell r="A184" t="str">
            <v>5640</v>
          </cell>
          <cell r="B184" t="str">
            <v>EMP PENSIONS &amp; BENEFITS</v>
          </cell>
          <cell r="C184" t="str">
            <v>IS</v>
          </cell>
          <cell r="D184">
            <v>7</v>
          </cell>
          <cell r="E184" t="b">
            <v>0</v>
          </cell>
        </row>
        <row r="185">
          <cell r="A185" t="str">
            <v>5645</v>
          </cell>
          <cell r="B185" t="str">
            <v>EMPLOYEE INS DEDUCTIONS</v>
          </cell>
          <cell r="C185" t="str">
            <v>IS</v>
          </cell>
          <cell r="D185">
            <v>-10059</v>
          </cell>
          <cell r="E185" t="b">
            <v>0</v>
          </cell>
        </row>
        <row r="186">
          <cell r="A186" t="str">
            <v>5650</v>
          </cell>
          <cell r="B186" t="str">
            <v>HEALTH COSTS &amp; OTHER</v>
          </cell>
          <cell r="C186" t="str">
            <v>IS</v>
          </cell>
          <cell r="D186">
            <v>821</v>
          </cell>
          <cell r="E186" t="b">
            <v>0</v>
          </cell>
        </row>
        <row r="187">
          <cell r="A187" t="str">
            <v>5655</v>
          </cell>
          <cell r="B187" t="str">
            <v>HEALTH INS REIMBURSEMENTS</v>
          </cell>
          <cell r="C187" t="str">
            <v>IS</v>
          </cell>
          <cell r="D187">
            <v>97118</v>
          </cell>
          <cell r="E187" t="b">
            <v>0</v>
          </cell>
        </row>
        <row r="188">
          <cell r="A188" t="str">
            <v>5660</v>
          </cell>
          <cell r="B188" t="str">
            <v>OTHER EMP PENSION/BENEFITS</v>
          </cell>
          <cell r="C188" t="str">
            <v>IS</v>
          </cell>
          <cell r="D188">
            <v>10012.34</v>
          </cell>
          <cell r="E188" t="b">
            <v>0</v>
          </cell>
        </row>
        <row r="189">
          <cell r="A189" t="str">
            <v>5665</v>
          </cell>
          <cell r="B189" t="str">
            <v>PENSION CONTRIBUTIONS</v>
          </cell>
          <cell r="C189" t="str">
            <v>IS</v>
          </cell>
          <cell r="D189">
            <v>15207</v>
          </cell>
          <cell r="E189" t="b">
            <v>0</v>
          </cell>
        </row>
        <row r="190">
          <cell r="A190" t="str">
            <v>5670</v>
          </cell>
          <cell r="B190" t="str">
            <v>TERM LIFE INS</v>
          </cell>
          <cell r="C190" t="str">
            <v>IS</v>
          </cell>
          <cell r="D190">
            <v>1426</v>
          </cell>
          <cell r="E190" t="b">
            <v>0</v>
          </cell>
        </row>
        <row r="191">
          <cell r="A191" t="str">
            <v>5675</v>
          </cell>
          <cell r="B191" t="str">
            <v>TERM LIFE INS-OPT</v>
          </cell>
          <cell r="C191" t="str">
            <v>IS</v>
          </cell>
          <cell r="D191">
            <v>24</v>
          </cell>
          <cell r="E191" t="b">
            <v>0</v>
          </cell>
        </row>
        <row r="192">
          <cell r="A192" t="str">
            <v>5680</v>
          </cell>
          <cell r="B192" t="str">
            <v>DEPEND LIFE INS-OPT</v>
          </cell>
          <cell r="C192" t="str">
            <v>IS</v>
          </cell>
          <cell r="D192">
            <v>2</v>
          </cell>
          <cell r="E192" t="b">
            <v>0</v>
          </cell>
        </row>
        <row r="193">
          <cell r="A193" t="str">
            <v>5690</v>
          </cell>
          <cell r="B193" t="str">
            <v>TUITION</v>
          </cell>
          <cell r="C193" t="str">
            <v>IS</v>
          </cell>
          <cell r="D193">
            <v>564</v>
          </cell>
          <cell r="E193" t="b">
            <v>0</v>
          </cell>
        </row>
        <row r="194">
          <cell r="A194" t="str">
            <v>5715</v>
          </cell>
          <cell r="B194" t="str">
            <v>INSURANCE-OTHER</v>
          </cell>
          <cell r="C194" t="str">
            <v>IS</v>
          </cell>
          <cell r="D194">
            <v>36266</v>
          </cell>
          <cell r="E194" t="b">
            <v>0</v>
          </cell>
        </row>
        <row r="195">
          <cell r="A195" t="str">
            <v>5735</v>
          </cell>
          <cell r="B195" t="str">
            <v>COMPUTER MAINTENANCE</v>
          </cell>
          <cell r="C195" t="str">
            <v>IS</v>
          </cell>
          <cell r="D195">
            <v>38458</v>
          </cell>
          <cell r="E195" t="b">
            <v>0</v>
          </cell>
        </row>
        <row r="196">
          <cell r="A196" t="str">
            <v>5740</v>
          </cell>
          <cell r="B196" t="str">
            <v>COMPUTER SUPPLIES</v>
          </cell>
          <cell r="C196" t="str">
            <v>IS</v>
          </cell>
          <cell r="D196">
            <v>1709</v>
          </cell>
          <cell r="E196" t="b">
            <v>0</v>
          </cell>
        </row>
        <row r="197">
          <cell r="A197" t="str">
            <v>5745</v>
          </cell>
          <cell r="B197" t="str">
            <v>COMPUTER AMORT &amp; PROG COST</v>
          </cell>
          <cell r="C197" t="str">
            <v>IS</v>
          </cell>
          <cell r="D197">
            <v>5052</v>
          </cell>
          <cell r="E197" t="b">
            <v>0</v>
          </cell>
        </row>
        <row r="198">
          <cell r="A198" t="str">
            <v>5750</v>
          </cell>
          <cell r="B198" t="str">
            <v>INTERNET SUPPLIER</v>
          </cell>
          <cell r="C198" t="str">
            <v>IS</v>
          </cell>
          <cell r="D198">
            <v>2311</v>
          </cell>
          <cell r="E198" t="b">
            <v>0</v>
          </cell>
        </row>
        <row r="199">
          <cell r="A199" t="str">
            <v>5755</v>
          </cell>
          <cell r="B199" t="str">
            <v>MICROFILMING</v>
          </cell>
          <cell r="C199" t="str">
            <v>IS</v>
          </cell>
          <cell r="D199">
            <v>409</v>
          </cell>
          <cell r="E199" t="b">
            <v>0</v>
          </cell>
        </row>
        <row r="200">
          <cell r="A200" t="str">
            <v>5760</v>
          </cell>
          <cell r="B200" t="str">
            <v>WEBSITE DEVELOPMENT</v>
          </cell>
          <cell r="C200" t="str">
            <v>IS</v>
          </cell>
          <cell r="D200">
            <v>988</v>
          </cell>
          <cell r="E200" t="b">
            <v>0</v>
          </cell>
        </row>
        <row r="201">
          <cell r="A201" t="str">
            <v>5790</v>
          </cell>
          <cell r="B201" t="str">
            <v>BANK SERVICE CHARGE</v>
          </cell>
          <cell r="C201" t="str">
            <v>IS</v>
          </cell>
          <cell r="D201">
            <v>12495</v>
          </cell>
          <cell r="E201" t="b">
            <v>0</v>
          </cell>
        </row>
        <row r="202">
          <cell r="A202" t="str">
            <v>5800</v>
          </cell>
          <cell r="B202" t="str">
            <v>LETTER OF CREDIT FEE</v>
          </cell>
          <cell r="C202" t="str">
            <v>IS</v>
          </cell>
          <cell r="D202">
            <v>40105.33</v>
          </cell>
          <cell r="E202" t="b">
            <v>0</v>
          </cell>
        </row>
        <row r="203">
          <cell r="A203" t="str">
            <v>5810</v>
          </cell>
          <cell r="B203" t="str">
            <v>MEMBERSHIPS</v>
          </cell>
          <cell r="C203" t="str">
            <v>IS</v>
          </cell>
          <cell r="D203">
            <v>2421</v>
          </cell>
          <cell r="E203" t="b">
            <v>0</v>
          </cell>
        </row>
        <row r="204">
          <cell r="A204" t="str">
            <v>5820</v>
          </cell>
          <cell r="B204" t="str">
            <v>TRAINING EXPENSE</v>
          </cell>
          <cell r="C204" t="str">
            <v>IS</v>
          </cell>
          <cell r="D204">
            <v>6550.84</v>
          </cell>
          <cell r="E204" t="b">
            <v>0</v>
          </cell>
        </row>
        <row r="205">
          <cell r="A205" t="str">
            <v>5825</v>
          </cell>
          <cell r="B205" t="str">
            <v>OTHER MISC EXPENSE</v>
          </cell>
          <cell r="C205" t="str">
            <v>IS</v>
          </cell>
          <cell r="D205">
            <v>7774.72</v>
          </cell>
          <cell r="E205" t="b">
            <v>0</v>
          </cell>
        </row>
        <row r="206">
          <cell r="A206" t="str">
            <v>5855</v>
          </cell>
          <cell r="B206" t="str">
            <v>ANSWERING SERVICE</v>
          </cell>
          <cell r="C206" t="str">
            <v>IS</v>
          </cell>
          <cell r="D206">
            <v>3809</v>
          </cell>
          <cell r="E206" t="b">
            <v>0</v>
          </cell>
        </row>
        <row r="207">
          <cell r="A207" t="str">
            <v>5860</v>
          </cell>
          <cell r="B207" t="str">
            <v>CLEANING SUPPLIES</v>
          </cell>
          <cell r="C207" t="str">
            <v>IS</v>
          </cell>
          <cell r="D207">
            <v>276.19</v>
          </cell>
          <cell r="E207" t="b">
            <v>0</v>
          </cell>
        </row>
        <row r="208">
          <cell r="A208" t="str">
            <v>5865</v>
          </cell>
          <cell r="B208" t="str">
            <v>COPY MACHINE</v>
          </cell>
          <cell r="C208" t="str">
            <v>IS</v>
          </cell>
          <cell r="D208">
            <v>3465</v>
          </cell>
          <cell r="E208" t="b">
            <v>0</v>
          </cell>
        </row>
        <row r="209">
          <cell r="A209" t="str">
            <v>5880</v>
          </cell>
          <cell r="B209" t="str">
            <v>OFFICE SUPPLY STORES</v>
          </cell>
          <cell r="C209" t="str">
            <v>IS</v>
          </cell>
          <cell r="D209">
            <v>3869</v>
          </cell>
          <cell r="E209" t="b">
            <v>0</v>
          </cell>
        </row>
        <row r="210">
          <cell r="A210" t="str">
            <v>5885</v>
          </cell>
          <cell r="B210" t="str">
            <v>PRINTING/BLUEPRINTS</v>
          </cell>
          <cell r="C210" t="str">
            <v>IS</v>
          </cell>
          <cell r="D210">
            <v>1729.01</v>
          </cell>
          <cell r="E210" t="b">
            <v>0</v>
          </cell>
        </row>
        <row r="211">
          <cell r="A211" t="str">
            <v>5890</v>
          </cell>
          <cell r="B211" t="str">
            <v>PUBL SUBSCRIPTIONS/TAPES</v>
          </cell>
          <cell r="C211" t="str">
            <v>IS</v>
          </cell>
          <cell r="D211">
            <v>1291.44</v>
          </cell>
          <cell r="E211" t="b">
            <v>0</v>
          </cell>
        </row>
        <row r="212">
          <cell r="A212" t="str">
            <v>5895</v>
          </cell>
          <cell r="B212" t="str">
            <v>SHIPPING CHARGES</v>
          </cell>
          <cell r="C212" t="str">
            <v>IS</v>
          </cell>
          <cell r="D212">
            <v>7466.77</v>
          </cell>
          <cell r="E212" t="b">
            <v>0</v>
          </cell>
        </row>
        <row r="213">
          <cell r="A213" t="str">
            <v>5900</v>
          </cell>
          <cell r="B213" t="str">
            <v>OTHER OFFICE EXPENSES</v>
          </cell>
          <cell r="C213" t="str">
            <v>IS</v>
          </cell>
          <cell r="D213">
            <v>25701.32</v>
          </cell>
          <cell r="E213" t="b">
            <v>0</v>
          </cell>
        </row>
        <row r="214">
          <cell r="A214" t="str">
            <v>5930</v>
          </cell>
          <cell r="B214" t="str">
            <v>OFFICE ELECTRIC</v>
          </cell>
          <cell r="C214" t="str">
            <v>IS</v>
          </cell>
          <cell r="D214">
            <v>3532.48</v>
          </cell>
          <cell r="E214" t="b">
            <v>0</v>
          </cell>
        </row>
        <row r="215">
          <cell r="A215" t="str">
            <v>5935</v>
          </cell>
          <cell r="B215" t="str">
            <v>OFFICE GAS</v>
          </cell>
          <cell r="C215" t="str">
            <v>IS</v>
          </cell>
          <cell r="D215">
            <v>1070.56</v>
          </cell>
          <cell r="E215" t="b">
            <v>0</v>
          </cell>
        </row>
        <row r="216">
          <cell r="A216" t="str">
            <v>5940</v>
          </cell>
          <cell r="B216" t="str">
            <v>OFFICE WATER</v>
          </cell>
          <cell r="C216" t="str">
            <v>IS</v>
          </cell>
          <cell r="D216">
            <v>120</v>
          </cell>
          <cell r="E216" t="b">
            <v>0</v>
          </cell>
        </row>
        <row r="217">
          <cell r="A217" t="str">
            <v>5945</v>
          </cell>
          <cell r="B217" t="str">
            <v>OFFICE TELECOM</v>
          </cell>
          <cell r="C217" t="str">
            <v>IS</v>
          </cell>
          <cell r="D217">
            <v>52337.29</v>
          </cell>
          <cell r="E217" t="b">
            <v>0</v>
          </cell>
        </row>
        <row r="218">
          <cell r="A218" t="str">
            <v>5950</v>
          </cell>
          <cell r="B218" t="str">
            <v>OFFICE GARBAGE REMOVAL</v>
          </cell>
          <cell r="C218" t="str">
            <v>IS</v>
          </cell>
          <cell r="D218">
            <v>5453.61</v>
          </cell>
          <cell r="E218" t="b">
            <v>0</v>
          </cell>
        </row>
        <row r="219">
          <cell r="A219" t="str">
            <v>5955</v>
          </cell>
          <cell r="B219" t="str">
            <v>OFFICE LANDSCAPE / MOW / PLOW</v>
          </cell>
          <cell r="C219" t="str">
            <v>IS</v>
          </cell>
          <cell r="D219">
            <v>39959</v>
          </cell>
          <cell r="E219" t="b">
            <v>0</v>
          </cell>
        </row>
        <row r="220">
          <cell r="A220" t="str">
            <v>5960</v>
          </cell>
          <cell r="B220" t="str">
            <v>OFFICE ALARM SYS PHONE EXP</v>
          </cell>
          <cell r="C220" t="str">
            <v>IS</v>
          </cell>
          <cell r="D220">
            <v>5646.87</v>
          </cell>
          <cell r="E220" t="b">
            <v>0</v>
          </cell>
        </row>
        <row r="221">
          <cell r="A221" t="str">
            <v>5965</v>
          </cell>
          <cell r="B221" t="str">
            <v>OFFICE MAINTENANCE</v>
          </cell>
          <cell r="C221" t="str">
            <v>IS</v>
          </cell>
          <cell r="D221">
            <v>3670</v>
          </cell>
          <cell r="E221" t="b">
            <v>0</v>
          </cell>
        </row>
        <row r="222">
          <cell r="A222" t="str">
            <v>5970</v>
          </cell>
          <cell r="B222" t="str">
            <v>OFFICE CLEANING SERVICE</v>
          </cell>
          <cell r="C222" t="str">
            <v>IS</v>
          </cell>
          <cell r="D222">
            <v>2902</v>
          </cell>
          <cell r="E222" t="b">
            <v>0</v>
          </cell>
        </row>
        <row r="223">
          <cell r="A223" t="str">
            <v>5975</v>
          </cell>
          <cell r="B223" t="str">
            <v>OFFICE MACHINE/HEAT&amp;COOL</v>
          </cell>
          <cell r="C223" t="str">
            <v>IS</v>
          </cell>
          <cell r="D223">
            <v>245</v>
          </cell>
          <cell r="E223" t="b">
            <v>0</v>
          </cell>
        </row>
        <row r="224">
          <cell r="A224" t="str">
            <v>5985</v>
          </cell>
          <cell r="B224" t="str">
            <v>TELEMETERING PHONE EXPENSE</v>
          </cell>
          <cell r="C224" t="str">
            <v>IS</v>
          </cell>
          <cell r="D224">
            <v>2222</v>
          </cell>
          <cell r="E224" t="b">
            <v>0</v>
          </cell>
        </row>
        <row r="225">
          <cell r="A225" t="str">
            <v>6005</v>
          </cell>
          <cell r="B225" t="str">
            <v>ACCOUNTING STUDIES</v>
          </cell>
          <cell r="C225" t="str">
            <v>IS</v>
          </cell>
          <cell r="D225">
            <v>6826</v>
          </cell>
          <cell r="E225" t="b">
            <v>0</v>
          </cell>
        </row>
        <row r="226">
          <cell r="A226" t="str">
            <v>6010</v>
          </cell>
          <cell r="B226" t="str">
            <v>AUDIT FEES</v>
          </cell>
          <cell r="C226" t="str">
            <v>IS</v>
          </cell>
          <cell r="D226">
            <v>7890</v>
          </cell>
          <cell r="E226" t="b">
            <v>0</v>
          </cell>
        </row>
        <row r="227">
          <cell r="A227" t="str">
            <v>6015</v>
          </cell>
          <cell r="B227" t="str">
            <v>EMPLOY FINDER FEES</v>
          </cell>
          <cell r="C227" t="str">
            <v>IS</v>
          </cell>
          <cell r="D227">
            <v>14522</v>
          </cell>
          <cell r="E227" t="b">
            <v>0</v>
          </cell>
        </row>
        <row r="228">
          <cell r="A228" t="str">
            <v>6020</v>
          </cell>
          <cell r="B228" t="str">
            <v>ENGINEERING FEES</v>
          </cell>
          <cell r="C228" t="str">
            <v>IS</v>
          </cell>
          <cell r="D228">
            <v>138.75</v>
          </cell>
          <cell r="E228" t="b">
            <v>0</v>
          </cell>
        </row>
        <row r="229">
          <cell r="A229" t="str">
            <v>6025</v>
          </cell>
          <cell r="B229" t="str">
            <v>LEGAL FEES</v>
          </cell>
          <cell r="C229" t="str">
            <v>IS</v>
          </cell>
          <cell r="D229">
            <v>5044.5</v>
          </cell>
          <cell r="E229" t="b">
            <v>0</v>
          </cell>
        </row>
        <row r="230">
          <cell r="A230" t="str">
            <v>6035</v>
          </cell>
          <cell r="B230" t="str">
            <v>PAYROLL SERVICES</v>
          </cell>
          <cell r="C230" t="str">
            <v>IS</v>
          </cell>
          <cell r="D230">
            <v>2665</v>
          </cell>
          <cell r="E230" t="b">
            <v>0</v>
          </cell>
        </row>
        <row r="231">
          <cell r="A231" t="str">
            <v>6040</v>
          </cell>
          <cell r="B231" t="str">
            <v>TAX RETURN REVIEW</v>
          </cell>
          <cell r="C231" t="str">
            <v>IS</v>
          </cell>
          <cell r="D231">
            <v>2035</v>
          </cell>
          <cell r="E231" t="b">
            <v>0</v>
          </cell>
        </row>
        <row r="232">
          <cell r="A232" t="str">
            <v>6045</v>
          </cell>
          <cell r="B232" t="str">
            <v>TEMP EMPLOY - CLERICAL</v>
          </cell>
          <cell r="C232" t="str">
            <v>IS</v>
          </cell>
          <cell r="D232">
            <v>16490</v>
          </cell>
          <cell r="E232" t="b">
            <v>0</v>
          </cell>
        </row>
        <row r="233">
          <cell r="A233" t="str">
            <v>6050</v>
          </cell>
          <cell r="B233" t="str">
            <v>OTHER OUTSIDE SERVICES</v>
          </cell>
          <cell r="C233" t="str">
            <v>IS</v>
          </cell>
          <cell r="D233">
            <v>2846</v>
          </cell>
          <cell r="E233" t="b">
            <v>0</v>
          </cell>
        </row>
        <row r="234">
          <cell r="A234" t="str">
            <v>6065</v>
          </cell>
          <cell r="B234" t="str">
            <v>RATE CASE AMORT EXPENSE</v>
          </cell>
          <cell r="C234" t="str">
            <v>IS</v>
          </cell>
          <cell r="D234">
            <v>280.22000000000003</v>
          </cell>
          <cell r="E234" t="b">
            <v>0</v>
          </cell>
        </row>
        <row r="235">
          <cell r="A235" t="str">
            <v>6090</v>
          </cell>
          <cell r="B235" t="str">
            <v>RENT</v>
          </cell>
          <cell r="C235" t="str">
            <v>IS</v>
          </cell>
          <cell r="D235">
            <v>34077.879999999997</v>
          </cell>
          <cell r="E235" t="b">
            <v>0</v>
          </cell>
        </row>
        <row r="236">
          <cell r="A236" t="str">
            <v>6105</v>
          </cell>
          <cell r="B236" t="str">
            <v>SALARIES-SYSTEM PROJECT</v>
          </cell>
          <cell r="C236" t="str">
            <v>IS</v>
          </cell>
          <cell r="D236">
            <v>16150</v>
          </cell>
          <cell r="E236" t="b">
            <v>0</v>
          </cell>
        </row>
        <row r="237">
          <cell r="A237" t="str">
            <v>6110</v>
          </cell>
          <cell r="B237" t="str">
            <v>SALARIES-ACCTG/FINANCE</v>
          </cell>
          <cell r="C237" t="str">
            <v>IS</v>
          </cell>
          <cell r="D237">
            <v>39554</v>
          </cell>
          <cell r="E237" t="b">
            <v>0</v>
          </cell>
        </row>
        <row r="238">
          <cell r="A238" t="str">
            <v>6115</v>
          </cell>
          <cell r="B238" t="str">
            <v>SALARIES-ADMIN</v>
          </cell>
          <cell r="C238" t="str">
            <v>IS</v>
          </cell>
          <cell r="D238">
            <v>9578</v>
          </cell>
          <cell r="E238" t="b">
            <v>0</v>
          </cell>
        </row>
        <row r="239">
          <cell r="A239" t="str">
            <v>6120</v>
          </cell>
          <cell r="B239" t="str">
            <v>SALARIES-OFFICERS/STKHLDR</v>
          </cell>
          <cell r="C239" t="str">
            <v>IS</v>
          </cell>
          <cell r="D239">
            <v>40809</v>
          </cell>
          <cell r="E239" t="b">
            <v>0</v>
          </cell>
        </row>
        <row r="240">
          <cell r="A240" t="str">
            <v>6125</v>
          </cell>
          <cell r="B240" t="str">
            <v>SALARIES-HR</v>
          </cell>
          <cell r="C240" t="str">
            <v>IS</v>
          </cell>
          <cell r="D240">
            <v>15655</v>
          </cell>
          <cell r="E240" t="b">
            <v>0</v>
          </cell>
        </row>
        <row r="241">
          <cell r="A241" t="str">
            <v>6130</v>
          </cell>
          <cell r="B241" t="str">
            <v>SALARIES-MIS</v>
          </cell>
          <cell r="C241" t="str">
            <v>IS</v>
          </cell>
          <cell r="D241">
            <v>13147</v>
          </cell>
          <cell r="E241" t="b">
            <v>0</v>
          </cell>
        </row>
        <row r="242">
          <cell r="A242" t="str">
            <v>6135</v>
          </cell>
          <cell r="B242" t="str">
            <v>SALARIES-LEADERSHIP OPS</v>
          </cell>
          <cell r="C242" t="str">
            <v>IS</v>
          </cell>
          <cell r="D242">
            <v>12732</v>
          </cell>
          <cell r="E242" t="b">
            <v>0</v>
          </cell>
        </row>
        <row r="243">
          <cell r="A243" t="str">
            <v>6140</v>
          </cell>
          <cell r="B243" t="str">
            <v>SALARIES-REGULATORY</v>
          </cell>
          <cell r="C243" t="str">
            <v>IS</v>
          </cell>
          <cell r="D243">
            <v>31715</v>
          </cell>
          <cell r="E243" t="b">
            <v>0</v>
          </cell>
        </row>
        <row r="244">
          <cell r="A244" t="str">
            <v>6145</v>
          </cell>
          <cell r="B244" t="str">
            <v>SALARIES-CUSTOMER SERVICE</v>
          </cell>
          <cell r="C244" t="str">
            <v>IS</v>
          </cell>
          <cell r="D244">
            <v>245</v>
          </cell>
          <cell r="E244" t="b">
            <v>0</v>
          </cell>
        </row>
        <row r="245">
          <cell r="A245" t="str">
            <v>6150</v>
          </cell>
          <cell r="B245" t="str">
            <v>SALARIES-OPERATIONS FIELD</v>
          </cell>
          <cell r="C245" t="str">
            <v>IS</v>
          </cell>
          <cell r="D245">
            <v>451427</v>
          </cell>
          <cell r="E245" t="b">
            <v>0</v>
          </cell>
        </row>
        <row r="246">
          <cell r="A246" t="str">
            <v>6155</v>
          </cell>
          <cell r="B246" t="str">
            <v>SALARIES-OPERATIONS OFFICE</v>
          </cell>
          <cell r="C246" t="str">
            <v>IS</v>
          </cell>
          <cell r="D246">
            <v>93948</v>
          </cell>
          <cell r="E246" t="b">
            <v>0</v>
          </cell>
        </row>
        <row r="247">
          <cell r="A247" t="str">
            <v>6160</v>
          </cell>
          <cell r="B247" t="str">
            <v>SALARIES-CHGD TO PLT-WSC</v>
          </cell>
          <cell r="C247" t="str">
            <v>IS</v>
          </cell>
          <cell r="D247">
            <v>-110584.68</v>
          </cell>
          <cell r="E247" t="b">
            <v>0</v>
          </cell>
        </row>
        <row r="248">
          <cell r="A248" t="str">
            <v>6165</v>
          </cell>
          <cell r="B248" t="str">
            <v>CAPITALIZED TIME ADJUSTMENT</v>
          </cell>
          <cell r="C248" t="str">
            <v>IS</v>
          </cell>
          <cell r="D248">
            <v>-2222.35</v>
          </cell>
          <cell r="E248" t="b">
            <v>0</v>
          </cell>
        </row>
        <row r="249">
          <cell r="A249" t="str">
            <v>6185</v>
          </cell>
          <cell r="B249" t="str">
            <v>MARKETING: TRAVELS/LODGING</v>
          </cell>
          <cell r="C249" t="str">
            <v>IS</v>
          </cell>
          <cell r="D249">
            <v>10112.68</v>
          </cell>
          <cell r="E249" t="b">
            <v>0</v>
          </cell>
        </row>
        <row r="250">
          <cell r="A250" t="str">
            <v>6200</v>
          </cell>
          <cell r="B250" t="str">
            <v>MARKETING: MEALS &amp; RELATED EXP</v>
          </cell>
          <cell r="C250" t="str">
            <v>IS</v>
          </cell>
          <cell r="D250">
            <v>2277.9</v>
          </cell>
          <cell r="E250" t="b">
            <v>0</v>
          </cell>
        </row>
        <row r="251">
          <cell r="A251" t="str">
            <v>6215</v>
          </cell>
          <cell r="B251" t="str">
            <v>FUEL</v>
          </cell>
          <cell r="C251" t="str">
            <v>IS</v>
          </cell>
          <cell r="D251">
            <v>30973.66</v>
          </cell>
          <cell r="E251" t="b">
            <v>0</v>
          </cell>
        </row>
        <row r="252">
          <cell r="A252" t="str">
            <v>6220</v>
          </cell>
          <cell r="B252" t="str">
            <v>AUTO REPAIR/TIRES</v>
          </cell>
          <cell r="C252" t="str">
            <v>IS</v>
          </cell>
          <cell r="D252">
            <v>12446.35</v>
          </cell>
          <cell r="E252" t="b">
            <v>0</v>
          </cell>
        </row>
        <row r="253">
          <cell r="A253" t="str">
            <v>6225</v>
          </cell>
          <cell r="B253" t="str">
            <v>AUTO LICENSES</v>
          </cell>
          <cell r="C253" t="str">
            <v>IS</v>
          </cell>
          <cell r="D253">
            <v>2560.3000000000002</v>
          </cell>
          <cell r="E253" t="b">
            <v>0</v>
          </cell>
        </row>
        <row r="254">
          <cell r="A254" t="str">
            <v>6230</v>
          </cell>
          <cell r="B254" t="str">
            <v>OTHER TRANS EXPENSES</v>
          </cell>
          <cell r="C254" t="str">
            <v>IS</v>
          </cell>
          <cell r="D254">
            <v>917</v>
          </cell>
          <cell r="E254" t="b">
            <v>0</v>
          </cell>
        </row>
        <row r="255">
          <cell r="A255" t="str">
            <v>6255</v>
          </cell>
          <cell r="B255" t="str">
            <v>TEST-WATER</v>
          </cell>
          <cell r="C255" t="str">
            <v>IS</v>
          </cell>
          <cell r="D255">
            <v>32727.37</v>
          </cell>
          <cell r="E255" t="b">
            <v>0</v>
          </cell>
        </row>
        <row r="256">
          <cell r="A256" t="str">
            <v>6260</v>
          </cell>
          <cell r="B256" t="str">
            <v>TEST-EQUIP/CHEMICAL</v>
          </cell>
          <cell r="C256" t="str">
            <v>IS</v>
          </cell>
          <cell r="D256">
            <v>9462.18</v>
          </cell>
          <cell r="E256" t="b">
            <v>0</v>
          </cell>
        </row>
        <row r="257">
          <cell r="A257" t="str">
            <v>6270</v>
          </cell>
          <cell r="B257" t="str">
            <v>TEST-SEWER</v>
          </cell>
          <cell r="C257" t="str">
            <v>IS</v>
          </cell>
          <cell r="D257">
            <v>13522</v>
          </cell>
          <cell r="E257" t="b">
            <v>0</v>
          </cell>
        </row>
        <row r="258">
          <cell r="A258" t="str">
            <v>6285</v>
          </cell>
          <cell r="B258" t="str">
            <v>WATER-MAINT SUPPLIES</v>
          </cell>
          <cell r="C258" t="str">
            <v>IS</v>
          </cell>
          <cell r="D258">
            <v>7256.43</v>
          </cell>
          <cell r="E258" t="b">
            <v>0</v>
          </cell>
        </row>
        <row r="259">
          <cell r="A259" t="str">
            <v>6290</v>
          </cell>
          <cell r="B259" t="str">
            <v>WATER-MAINT REPAIRS</v>
          </cell>
          <cell r="C259" t="str">
            <v>IS</v>
          </cell>
          <cell r="D259">
            <v>32511.13</v>
          </cell>
          <cell r="E259" t="b">
            <v>0</v>
          </cell>
        </row>
        <row r="260">
          <cell r="A260" t="str">
            <v>6295</v>
          </cell>
          <cell r="B260" t="str">
            <v>WATER-MAIN BREAKS</v>
          </cell>
          <cell r="C260" t="str">
            <v>IS</v>
          </cell>
          <cell r="D260">
            <v>9266.1</v>
          </cell>
          <cell r="E260" t="b">
            <v>0</v>
          </cell>
        </row>
        <row r="261">
          <cell r="A261" t="str">
            <v>6300</v>
          </cell>
          <cell r="B261" t="str">
            <v>WATER-ELEC EQUIPT REPAIR</v>
          </cell>
          <cell r="C261" t="str">
            <v>IS</v>
          </cell>
          <cell r="D261">
            <v>6185.92</v>
          </cell>
          <cell r="E261" t="b">
            <v>0</v>
          </cell>
        </row>
        <row r="262">
          <cell r="A262" t="str">
            <v>6305</v>
          </cell>
          <cell r="B262" t="str">
            <v>WATER-PERMITS</v>
          </cell>
          <cell r="C262" t="str">
            <v>IS</v>
          </cell>
          <cell r="D262">
            <v>17421</v>
          </cell>
          <cell r="E262" t="b">
            <v>0</v>
          </cell>
        </row>
        <row r="263">
          <cell r="A263" t="str">
            <v>6310</v>
          </cell>
          <cell r="B263" t="str">
            <v>WATER-OTHER MAINT EXP</v>
          </cell>
          <cell r="C263" t="str">
            <v>IS</v>
          </cell>
          <cell r="D263">
            <v>19800.23</v>
          </cell>
          <cell r="E263" t="b">
            <v>0</v>
          </cell>
        </row>
        <row r="264">
          <cell r="A264" t="str">
            <v>6320</v>
          </cell>
          <cell r="B264" t="str">
            <v>SEWER-MAINT SUPPLIES</v>
          </cell>
          <cell r="C264" t="str">
            <v>IS</v>
          </cell>
          <cell r="D264">
            <v>1269.28</v>
          </cell>
          <cell r="E264" t="b">
            <v>0</v>
          </cell>
        </row>
        <row r="265">
          <cell r="A265" t="str">
            <v>6325</v>
          </cell>
          <cell r="B265" t="str">
            <v>SEWER-MAINT REPAIRS</v>
          </cell>
          <cell r="C265" t="str">
            <v>IS</v>
          </cell>
          <cell r="D265">
            <v>2810.49</v>
          </cell>
          <cell r="E265" t="b">
            <v>0</v>
          </cell>
        </row>
        <row r="266">
          <cell r="A266" t="str">
            <v>6330</v>
          </cell>
          <cell r="B266" t="str">
            <v>SEWER-MAIN BREAKS</v>
          </cell>
          <cell r="C266" t="str">
            <v>IS</v>
          </cell>
          <cell r="D266">
            <v>3277.64</v>
          </cell>
          <cell r="E266" t="b">
            <v>0</v>
          </cell>
        </row>
        <row r="267">
          <cell r="A267" t="str">
            <v>6335</v>
          </cell>
          <cell r="B267" t="str">
            <v>SEWER-ELEC EQUIPT REPAIR</v>
          </cell>
          <cell r="C267" t="str">
            <v>IS</v>
          </cell>
          <cell r="D267">
            <v>7034.48</v>
          </cell>
          <cell r="E267" t="b">
            <v>0</v>
          </cell>
        </row>
        <row r="268">
          <cell r="A268" t="str">
            <v>6340</v>
          </cell>
          <cell r="B268" t="str">
            <v>SEWER-PERMITS</v>
          </cell>
          <cell r="C268" t="str">
            <v>IS</v>
          </cell>
          <cell r="D268">
            <v>3070</v>
          </cell>
          <cell r="E268" t="b">
            <v>0</v>
          </cell>
        </row>
        <row r="269">
          <cell r="A269" t="str">
            <v>6345</v>
          </cell>
          <cell r="B269" t="str">
            <v>SEWER-OTHER MAINT EXP</v>
          </cell>
          <cell r="C269" t="str">
            <v>IS</v>
          </cell>
          <cell r="D269">
            <v>12004.53</v>
          </cell>
          <cell r="E269" t="b">
            <v>0</v>
          </cell>
        </row>
        <row r="270">
          <cell r="A270" t="str">
            <v>6355</v>
          </cell>
          <cell r="B270" t="str">
            <v>DEFERRED MAINT EXPENSE</v>
          </cell>
          <cell r="C270" t="str">
            <v>IS</v>
          </cell>
          <cell r="D270">
            <v>35318.660000000003</v>
          </cell>
          <cell r="E270" t="b">
            <v>0</v>
          </cell>
        </row>
        <row r="271">
          <cell r="A271" t="str">
            <v>6360</v>
          </cell>
          <cell r="B271" t="str">
            <v>COMMUNICATION EXPENSE</v>
          </cell>
          <cell r="C271" t="str">
            <v>IS</v>
          </cell>
          <cell r="D271">
            <v>21088.61</v>
          </cell>
          <cell r="E271" t="b">
            <v>0</v>
          </cell>
        </row>
        <row r="272">
          <cell r="A272" t="str">
            <v>6370</v>
          </cell>
          <cell r="B272" t="str">
            <v>OPER CONTRACTED WORKERS</v>
          </cell>
          <cell r="C272" t="str">
            <v>IS</v>
          </cell>
          <cell r="D272">
            <v>4275</v>
          </cell>
          <cell r="E272" t="b">
            <v>0</v>
          </cell>
        </row>
        <row r="273">
          <cell r="A273" t="str">
            <v>6385</v>
          </cell>
          <cell r="B273" t="str">
            <v>UNIFORMS</v>
          </cell>
          <cell r="C273" t="str">
            <v>IS</v>
          </cell>
          <cell r="D273">
            <v>1756.13</v>
          </cell>
          <cell r="E273" t="b">
            <v>0</v>
          </cell>
        </row>
        <row r="274">
          <cell r="A274" t="str">
            <v>6390</v>
          </cell>
          <cell r="B274" t="str">
            <v>WEATHER/HURRICANE COSTS</v>
          </cell>
          <cell r="C274" t="str">
            <v>IS</v>
          </cell>
          <cell r="D274">
            <v>125.98</v>
          </cell>
          <cell r="E274" t="b">
            <v>0</v>
          </cell>
        </row>
        <row r="275">
          <cell r="A275" t="str">
            <v>6400</v>
          </cell>
          <cell r="B275" t="str">
            <v>SEWER RODDING</v>
          </cell>
          <cell r="C275" t="str">
            <v>IS</v>
          </cell>
          <cell r="D275">
            <v>9235</v>
          </cell>
          <cell r="E275" t="b">
            <v>0</v>
          </cell>
        </row>
        <row r="276">
          <cell r="A276" t="str">
            <v>6410</v>
          </cell>
          <cell r="B276" t="str">
            <v>SLUDGE HAULING</v>
          </cell>
          <cell r="C276" t="str">
            <v>IS</v>
          </cell>
          <cell r="D276">
            <v>44332</v>
          </cell>
          <cell r="E276" t="b">
            <v>0</v>
          </cell>
        </row>
        <row r="277">
          <cell r="A277" t="str">
            <v>6445</v>
          </cell>
          <cell r="B277" t="str">
            <v>DEPREC-WATER PLANT</v>
          </cell>
          <cell r="C277" t="str">
            <v>IS</v>
          </cell>
          <cell r="D277">
            <v>6644.58</v>
          </cell>
          <cell r="E277" t="b">
            <v>0</v>
          </cell>
        </row>
        <row r="278">
          <cell r="A278" t="str">
            <v>6455</v>
          </cell>
          <cell r="B278" t="str">
            <v>DEPREC-STRUCT &amp; IMPRV SRC SUPPLY</v>
          </cell>
          <cell r="C278" t="str">
            <v>IS</v>
          </cell>
          <cell r="D278">
            <v>8343.48</v>
          </cell>
          <cell r="E278" t="b">
            <v>0</v>
          </cell>
        </row>
        <row r="279">
          <cell r="A279" t="str">
            <v>6460</v>
          </cell>
          <cell r="B279" t="str">
            <v>DEPREC-STRUCT &amp; IMPRV WTP</v>
          </cell>
          <cell r="C279" t="str">
            <v>IS</v>
          </cell>
          <cell r="D279">
            <v>3483.69</v>
          </cell>
          <cell r="E279" t="b">
            <v>0</v>
          </cell>
        </row>
        <row r="280">
          <cell r="A280" t="str">
            <v>6485</v>
          </cell>
          <cell r="B280" t="str">
            <v>DEPREC-WELLS &amp; SPRINGS</v>
          </cell>
          <cell r="C280" t="str">
            <v>IS</v>
          </cell>
          <cell r="D280">
            <v>32258.79</v>
          </cell>
          <cell r="E280" t="b">
            <v>0</v>
          </cell>
        </row>
        <row r="281">
          <cell r="A281" t="str">
            <v>6505</v>
          </cell>
          <cell r="B281" t="str">
            <v>DEPREC-ELEC PUMP EQP SRC PUMP</v>
          </cell>
          <cell r="C281" t="str">
            <v>IS</v>
          </cell>
          <cell r="D281">
            <v>-595.17999999999995</v>
          </cell>
          <cell r="E281" t="b">
            <v>0</v>
          </cell>
        </row>
        <row r="282">
          <cell r="A282" t="str">
            <v>6510</v>
          </cell>
          <cell r="B282" t="str">
            <v>DEPREC-ELEC PUMP EQP WTP</v>
          </cell>
          <cell r="C282" t="str">
            <v>IS</v>
          </cell>
          <cell r="D282">
            <v>18535.57</v>
          </cell>
          <cell r="E282" t="b">
            <v>0</v>
          </cell>
        </row>
        <row r="283">
          <cell r="A283" t="str">
            <v>6520</v>
          </cell>
          <cell r="B283" t="str">
            <v>DEPREC-WATER TREATMENT EQPT</v>
          </cell>
          <cell r="C283" t="str">
            <v>IS</v>
          </cell>
          <cell r="D283">
            <v>5880.47</v>
          </cell>
          <cell r="E283" t="b">
            <v>0</v>
          </cell>
        </row>
        <row r="284">
          <cell r="A284" t="str">
            <v>6525</v>
          </cell>
          <cell r="B284" t="str">
            <v>DEPREC-DIST RESV &amp; STANDPIPES</v>
          </cell>
          <cell r="C284" t="str">
            <v>IS</v>
          </cell>
          <cell r="D284">
            <v>21995.84</v>
          </cell>
          <cell r="E284" t="b">
            <v>0</v>
          </cell>
        </row>
        <row r="285">
          <cell r="A285" t="str">
            <v>6530</v>
          </cell>
          <cell r="B285" t="str">
            <v>DEPREC-TRANS &amp; DISTR MAINS</v>
          </cell>
          <cell r="C285" t="str">
            <v>IS</v>
          </cell>
          <cell r="D285">
            <v>88386.58</v>
          </cell>
          <cell r="E285" t="b">
            <v>0</v>
          </cell>
        </row>
        <row r="286">
          <cell r="A286" t="str">
            <v>6535</v>
          </cell>
          <cell r="B286" t="str">
            <v>DEPREC-SERVICE LINES</v>
          </cell>
          <cell r="C286" t="str">
            <v>IS</v>
          </cell>
          <cell r="D286">
            <v>26065.77</v>
          </cell>
          <cell r="E286" t="b">
            <v>0</v>
          </cell>
        </row>
        <row r="287">
          <cell r="A287" t="str">
            <v>6540</v>
          </cell>
          <cell r="B287" t="str">
            <v>DEPREC-METERS</v>
          </cell>
          <cell r="C287" t="str">
            <v>IS</v>
          </cell>
          <cell r="D287">
            <v>7213.06</v>
          </cell>
          <cell r="E287" t="b">
            <v>0</v>
          </cell>
        </row>
        <row r="288">
          <cell r="A288" t="str">
            <v>6545</v>
          </cell>
          <cell r="B288" t="str">
            <v>DEPREC-METER INSTALLS</v>
          </cell>
          <cell r="C288" t="str">
            <v>IS</v>
          </cell>
          <cell r="D288">
            <v>1763.55</v>
          </cell>
          <cell r="E288" t="b">
            <v>0</v>
          </cell>
        </row>
        <row r="289">
          <cell r="A289" t="str">
            <v>6550</v>
          </cell>
          <cell r="B289" t="str">
            <v>DEPREC-HYDRANTS</v>
          </cell>
          <cell r="C289" t="str">
            <v>IS</v>
          </cell>
          <cell r="D289">
            <v>4489.3999999999996</v>
          </cell>
          <cell r="E289" t="b">
            <v>0</v>
          </cell>
        </row>
        <row r="290">
          <cell r="A290" t="str">
            <v>6580</v>
          </cell>
          <cell r="B290" t="str">
            <v>DEPREC-OFFICE STRUCTURE</v>
          </cell>
          <cell r="C290" t="str">
            <v>IS</v>
          </cell>
          <cell r="D290">
            <v>2280</v>
          </cell>
          <cell r="E290" t="b">
            <v>0</v>
          </cell>
        </row>
        <row r="291">
          <cell r="A291" t="str">
            <v>6585</v>
          </cell>
          <cell r="B291" t="str">
            <v>DEPREC-OFFICE FURN/EQPT</v>
          </cell>
          <cell r="C291" t="str">
            <v>IS</v>
          </cell>
          <cell r="D291">
            <v>847.4</v>
          </cell>
          <cell r="E291" t="b">
            <v>0</v>
          </cell>
        </row>
        <row r="292">
          <cell r="A292" t="str">
            <v>6595</v>
          </cell>
          <cell r="B292" t="str">
            <v>DEPREC-TOOL SHOP &amp; MISC EQPT</v>
          </cell>
          <cell r="C292" t="str">
            <v>IS</v>
          </cell>
          <cell r="D292">
            <v>3730.18</v>
          </cell>
          <cell r="E292" t="b">
            <v>0</v>
          </cell>
        </row>
        <row r="293">
          <cell r="A293" t="str">
            <v>6600</v>
          </cell>
          <cell r="B293" t="str">
            <v>DEPREC-LABORATORY EQUIPMENT</v>
          </cell>
          <cell r="C293" t="str">
            <v>IS</v>
          </cell>
          <cell r="D293">
            <v>175.88</v>
          </cell>
          <cell r="E293" t="b">
            <v>0</v>
          </cell>
        </row>
        <row r="294">
          <cell r="A294" t="str">
            <v>6610</v>
          </cell>
          <cell r="B294" t="str">
            <v>DEPREC-COMMUNICATION EQPT</v>
          </cell>
          <cell r="C294" t="str">
            <v>IS</v>
          </cell>
          <cell r="D294">
            <v>552.08000000000004</v>
          </cell>
          <cell r="E294" t="b">
            <v>0</v>
          </cell>
        </row>
        <row r="295">
          <cell r="A295" t="str">
            <v>6640</v>
          </cell>
          <cell r="B295" t="str">
            <v>DEPREC-ORGANIZATION</v>
          </cell>
          <cell r="C295" t="str">
            <v>IS</v>
          </cell>
          <cell r="D295">
            <v>389.8</v>
          </cell>
          <cell r="E295" t="b">
            <v>0</v>
          </cell>
        </row>
        <row r="296">
          <cell r="A296" t="str">
            <v>6660</v>
          </cell>
          <cell r="B296" t="str">
            <v>DEPREC-STRUCT/IMPRV PUMP</v>
          </cell>
          <cell r="C296" t="str">
            <v>IS</v>
          </cell>
          <cell r="D296">
            <v>14702.52</v>
          </cell>
          <cell r="E296" t="b">
            <v>0</v>
          </cell>
        </row>
        <row r="297">
          <cell r="A297" t="str">
            <v>6680</v>
          </cell>
          <cell r="B297" t="str">
            <v>DEPREC-STRUCT/IMPRV GEN PLT</v>
          </cell>
          <cell r="C297" t="str">
            <v>IS</v>
          </cell>
          <cell r="D297">
            <v>2776.85</v>
          </cell>
          <cell r="E297" t="b">
            <v>0</v>
          </cell>
        </row>
        <row r="298">
          <cell r="A298" t="str">
            <v>6710</v>
          </cell>
          <cell r="B298" t="str">
            <v>DEPREC-SEWER FORCE MAIN/SRVC</v>
          </cell>
          <cell r="C298" t="str">
            <v>IS</v>
          </cell>
          <cell r="D298">
            <v>10786.75</v>
          </cell>
          <cell r="E298" t="b">
            <v>0</v>
          </cell>
        </row>
        <row r="299">
          <cell r="A299" t="str">
            <v>6715</v>
          </cell>
          <cell r="B299" t="str">
            <v>DEPREC-SEWER GRAVITY MAIN/MANH</v>
          </cell>
          <cell r="C299" t="str">
            <v>IS</v>
          </cell>
          <cell r="D299">
            <v>74899.59</v>
          </cell>
          <cell r="E299" t="b">
            <v>0</v>
          </cell>
        </row>
        <row r="300">
          <cell r="A300" t="str">
            <v>6765</v>
          </cell>
          <cell r="B300" t="str">
            <v>DEPREC-TREAT/DISP EQ TRT PLT</v>
          </cell>
          <cell r="C300" t="str">
            <v>IS</v>
          </cell>
          <cell r="D300">
            <v>47227.26</v>
          </cell>
          <cell r="E300" t="b">
            <v>0</v>
          </cell>
        </row>
        <row r="301">
          <cell r="A301" t="str">
            <v>6835</v>
          </cell>
          <cell r="B301" t="str">
            <v>DEPREC-TOOL SHOP &amp; MISC EQPT</v>
          </cell>
          <cell r="C301" t="str">
            <v>IS</v>
          </cell>
          <cell r="D301">
            <v>399.99</v>
          </cell>
          <cell r="E301" t="b">
            <v>0</v>
          </cell>
        </row>
        <row r="302">
          <cell r="A302" t="str">
            <v>6905</v>
          </cell>
          <cell r="B302" t="str">
            <v>DEPREC-AUTO TRANS</v>
          </cell>
          <cell r="C302" t="str">
            <v>IS</v>
          </cell>
          <cell r="D302">
            <v>3074.99</v>
          </cell>
          <cell r="E302" t="b">
            <v>0</v>
          </cell>
        </row>
        <row r="303">
          <cell r="A303" t="str">
            <v>6920</v>
          </cell>
          <cell r="B303" t="str">
            <v xml:space="preserve">DEPREC-COMPUTER </v>
          </cell>
          <cell r="C303" t="str">
            <v>IS</v>
          </cell>
          <cell r="D303">
            <v>15586</v>
          </cell>
          <cell r="E303" t="b">
            <v>0</v>
          </cell>
        </row>
        <row r="304">
          <cell r="A304" t="str">
            <v>6960</v>
          </cell>
          <cell r="B304" t="str">
            <v>AMORT OF UTIL PAA-WATER</v>
          </cell>
          <cell r="C304" t="str">
            <v>IS</v>
          </cell>
          <cell r="D304">
            <v>-6270.2</v>
          </cell>
          <cell r="E304" t="b">
            <v>0</v>
          </cell>
        </row>
        <row r="305">
          <cell r="A305" t="str">
            <v>6965</v>
          </cell>
          <cell r="B305" t="str">
            <v>AMORT OF UTIL PAA-SEWER</v>
          </cell>
          <cell r="C305" t="str">
            <v>IS</v>
          </cell>
          <cell r="D305">
            <v>-1278.94</v>
          </cell>
          <cell r="E305" t="b">
            <v>0</v>
          </cell>
        </row>
        <row r="306">
          <cell r="A306" t="str">
            <v>6985</v>
          </cell>
          <cell r="B306" t="str">
            <v>AMORT EXP-CIA-WATER</v>
          </cell>
          <cell r="C306" t="str">
            <v>IS</v>
          </cell>
          <cell r="D306">
            <v>-72.709999999999994</v>
          </cell>
          <cell r="E306" t="b">
            <v>0</v>
          </cell>
        </row>
        <row r="307">
          <cell r="A307" t="str">
            <v>7160</v>
          </cell>
          <cell r="B307" t="str">
            <v>AMORT-OTHER TANGIBLE PLT WATER</v>
          </cell>
          <cell r="C307" t="str">
            <v>IS</v>
          </cell>
          <cell r="D307">
            <v>-99796.18</v>
          </cell>
          <cell r="E307" t="b">
            <v>0</v>
          </cell>
        </row>
        <row r="308">
          <cell r="A308" t="str">
            <v>7165</v>
          </cell>
          <cell r="B308" t="str">
            <v>AMORT-WATER-TAP</v>
          </cell>
          <cell r="C308" t="str">
            <v>IS</v>
          </cell>
          <cell r="D308">
            <v>-22374.09</v>
          </cell>
          <cell r="E308" t="b">
            <v>0</v>
          </cell>
        </row>
        <row r="309">
          <cell r="A309" t="str">
            <v>7180</v>
          </cell>
          <cell r="B309" t="str">
            <v>AMORT-WTR PLT MOD FEE</v>
          </cell>
          <cell r="C309" t="str">
            <v>IS</v>
          </cell>
          <cell r="D309">
            <v>-3094.26</v>
          </cell>
          <cell r="E309" t="b">
            <v>0</v>
          </cell>
        </row>
        <row r="310">
          <cell r="A310" t="str">
            <v>7185</v>
          </cell>
          <cell r="B310" t="str">
            <v>AMORT-WTR PLT MTR FEE</v>
          </cell>
          <cell r="C310" t="str">
            <v>IS</v>
          </cell>
          <cell r="D310">
            <v>-574.28</v>
          </cell>
          <cell r="E310" t="b">
            <v>0</v>
          </cell>
        </row>
        <row r="311">
          <cell r="A311" t="str">
            <v>7205</v>
          </cell>
          <cell r="B311" t="str">
            <v>AMORT-ORGANIZATION</v>
          </cell>
          <cell r="C311" t="str">
            <v>IS</v>
          </cell>
          <cell r="D311">
            <v>0</v>
          </cell>
          <cell r="E311" t="b">
            <v>0</v>
          </cell>
        </row>
        <row r="312">
          <cell r="A312" t="str">
            <v>7245</v>
          </cell>
          <cell r="B312" t="str">
            <v>AMORT-STRUCT/IMPRV GEN PLT</v>
          </cell>
          <cell r="C312" t="str">
            <v>IS</v>
          </cell>
          <cell r="D312">
            <v>-122587.09</v>
          </cell>
          <cell r="E312" t="b">
            <v>0</v>
          </cell>
        </row>
        <row r="313">
          <cell r="A313" t="str">
            <v>7430</v>
          </cell>
          <cell r="B313" t="str">
            <v>AMORT-SEWER-TAP</v>
          </cell>
          <cell r="C313" t="str">
            <v>IS</v>
          </cell>
          <cell r="D313">
            <v>-21055.82</v>
          </cell>
          <cell r="E313" t="b">
            <v>0</v>
          </cell>
        </row>
        <row r="314">
          <cell r="A314" t="str">
            <v>7445</v>
          </cell>
          <cell r="B314" t="str">
            <v>AMORT-SWR PLT MOD FEE</v>
          </cell>
          <cell r="C314" t="str">
            <v>IS</v>
          </cell>
          <cell r="D314">
            <v>-4561.0200000000004</v>
          </cell>
          <cell r="E314" t="b">
            <v>0</v>
          </cell>
        </row>
        <row r="315">
          <cell r="A315" t="str">
            <v>7510</v>
          </cell>
          <cell r="B315" t="str">
            <v>FICA EXPENSE</v>
          </cell>
          <cell r="C315" t="str">
            <v>IS</v>
          </cell>
          <cell r="D315">
            <v>55868</v>
          </cell>
          <cell r="E315" t="b">
            <v>0</v>
          </cell>
        </row>
        <row r="316">
          <cell r="A316" t="str">
            <v>7515</v>
          </cell>
          <cell r="B316" t="str">
            <v>FEDERAL UNEMPLOYMENT TAX</v>
          </cell>
          <cell r="C316" t="str">
            <v>IS</v>
          </cell>
          <cell r="D316">
            <v>1318</v>
          </cell>
          <cell r="E316" t="b">
            <v>0</v>
          </cell>
        </row>
        <row r="317">
          <cell r="A317" t="str">
            <v>7520</v>
          </cell>
          <cell r="B317" t="str">
            <v>STATE UNEMPLOYMENT TAX</v>
          </cell>
          <cell r="C317" t="str">
            <v>IS</v>
          </cell>
          <cell r="D317">
            <v>4893</v>
          </cell>
          <cell r="E317" t="b">
            <v>0</v>
          </cell>
        </row>
        <row r="318">
          <cell r="A318" t="str">
            <v>7540</v>
          </cell>
          <cell r="B318" t="str">
            <v>GROSS RECEIPTS TAX</v>
          </cell>
          <cell r="C318" t="str">
            <v>IS</v>
          </cell>
          <cell r="D318">
            <v>141261</v>
          </cell>
          <cell r="E318" t="b">
            <v>0</v>
          </cell>
        </row>
        <row r="319">
          <cell r="A319" t="str">
            <v>7545</v>
          </cell>
          <cell r="B319" t="str">
            <v>PERSONAL PROPERTY/ICT TAX</v>
          </cell>
          <cell r="C319" t="str">
            <v>IS</v>
          </cell>
          <cell r="D319">
            <v>10340.540000000001</v>
          </cell>
          <cell r="E319" t="b">
            <v>0</v>
          </cell>
        </row>
        <row r="320">
          <cell r="A320" t="str">
            <v>7550</v>
          </cell>
          <cell r="B320" t="str">
            <v>PROPERTY/OTHER GENERAL TAX</v>
          </cell>
          <cell r="C320" t="str">
            <v>IS</v>
          </cell>
          <cell r="D320">
            <v>5072.16</v>
          </cell>
          <cell r="E320" t="b">
            <v>0</v>
          </cell>
        </row>
        <row r="321">
          <cell r="A321" t="str">
            <v>7555</v>
          </cell>
          <cell r="B321" t="str">
            <v>REAL ESTATE TAX</v>
          </cell>
          <cell r="C321" t="str">
            <v>IS</v>
          </cell>
          <cell r="D321">
            <v>8990.58</v>
          </cell>
          <cell r="E321" t="b">
            <v>0</v>
          </cell>
        </row>
        <row r="322">
          <cell r="A322" t="str">
            <v>7560</v>
          </cell>
          <cell r="B322" t="str">
            <v>SALES/USE TAX EXPENSE</v>
          </cell>
          <cell r="C322" t="str">
            <v>IS</v>
          </cell>
          <cell r="D322">
            <v>418.17</v>
          </cell>
          <cell r="E322" t="b">
            <v>0</v>
          </cell>
        </row>
        <row r="323">
          <cell r="A323" t="str">
            <v>7570</v>
          </cell>
          <cell r="B323" t="str">
            <v>UTILITY/COMMISSION TAX</v>
          </cell>
          <cell r="C323" t="str">
            <v>IS</v>
          </cell>
          <cell r="D323">
            <v>3556.72</v>
          </cell>
          <cell r="E323" t="b">
            <v>0</v>
          </cell>
        </row>
        <row r="324">
          <cell r="A324" t="str">
            <v>7610</v>
          </cell>
          <cell r="B324" t="str">
            <v>INCOME TAXES-STATE</v>
          </cell>
          <cell r="C324" t="str">
            <v>IS</v>
          </cell>
          <cell r="D324">
            <v>0</v>
          </cell>
          <cell r="E324" t="b">
            <v>0</v>
          </cell>
        </row>
        <row r="325">
          <cell r="A325" t="str">
            <v>7691</v>
          </cell>
          <cell r="B325" t="str">
            <v>NET BOOK VALUE-DISPOSAL</v>
          </cell>
          <cell r="C325" t="str">
            <v>IS</v>
          </cell>
          <cell r="D325">
            <v>0</v>
          </cell>
          <cell r="E325" t="b">
            <v>0</v>
          </cell>
        </row>
        <row r="326">
          <cell r="A326" t="str">
            <v>7710</v>
          </cell>
          <cell r="B326" t="str">
            <v>INTEREST EXPENSE-INTERCO</v>
          </cell>
          <cell r="C326" t="str">
            <v>IS</v>
          </cell>
          <cell r="D326">
            <v>242307.5</v>
          </cell>
          <cell r="E326" t="b">
            <v>0</v>
          </cell>
        </row>
        <row r="327">
          <cell r="A327" t="str">
            <v>7735</v>
          </cell>
          <cell r="B327" t="str">
            <v>S/T INT EXP BANK ONE</v>
          </cell>
          <cell r="C327" t="str">
            <v>IS</v>
          </cell>
          <cell r="D327">
            <v>5379.91</v>
          </cell>
          <cell r="E327" t="b">
            <v>0</v>
          </cell>
        </row>
        <row r="328">
          <cell r="A328" t="str">
            <v>7750</v>
          </cell>
          <cell r="B328" t="str">
            <v>INTEREST DURING CONSTRUCTION</v>
          </cell>
          <cell r="C328" t="str">
            <v>IS</v>
          </cell>
          <cell r="D328">
            <v>-27361.35</v>
          </cell>
          <cell r="E328" t="b">
            <v>0</v>
          </cell>
        </row>
        <row r="329">
          <cell r="D329">
            <v>0</v>
          </cell>
        </row>
        <row r="330">
          <cell r="A330" t="str">
            <v>Trial balance variance</v>
          </cell>
          <cell r="D330">
            <v>-1.6552803572267294E-9</v>
          </cell>
        </row>
        <row r="332">
          <cell r="A332" t="str">
            <v>Balance Sheet</v>
          </cell>
          <cell r="C332" t="str">
            <v>BS</v>
          </cell>
          <cell r="D332">
            <v>420906.28999999817</v>
          </cell>
        </row>
        <row r="333">
          <cell r="A333" t="str">
            <v>Income Statement</v>
          </cell>
          <cell r="C333" t="str">
            <v>IS</v>
          </cell>
          <cell r="D333">
            <v>-420906.29000000126</v>
          </cell>
        </row>
        <row r="334">
          <cell r="A334" t="str">
            <v>Trial balance variance</v>
          </cell>
          <cell r="D334">
            <v>-3.0850060284137726E-9</v>
          </cell>
        </row>
      </sheetData>
      <sheetData sheetId="3" refreshError="1">
        <row r="531">
          <cell r="B531" t="str">
            <v>CUSTOMERS</v>
          </cell>
          <cell r="C531">
            <v>8658</v>
          </cell>
          <cell r="D531">
            <v>4085.7</v>
          </cell>
          <cell r="E531">
            <v>12743.7</v>
          </cell>
          <cell r="F531">
            <v>0.67939452435320979</v>
          </cell>
          <cell r="G531">
            <v>0.32060547564679015</v>
          </cell>
          <cell r="H531">
            <v>1</v>
          </cell>
        </row>
        <row r="532">
          <cell r="B532" t="str">
            <v>REVENUES</v>
          </cell>
          <cell r="C532">
            <v>-1865504.31</v>
          </cell>
          <cell r="D532">
            <v>-1099676.6199999999</v>
          </cell>
          <cell r="E532">
            <v>-2965180.9299999997</v>
          </cell>
          <cell r="F532">
            <v>0.62913675557734017</v>
          </cell>
          <cell r="G532">
            <v>0.37086324442265989</v>
          </cell>
          <cell r="H532">
            <v>1</v>
          </cell>
        </row>
        <row r="533">
          <cell r="B533" t="str">
            <v>PLANT IN SERVICE</v>
          </cell>
          <cell r="C533">
            <v>12644194.970000001</v>
          </cell>
          <cell r="D533">
            <v>9232681.9499999993</v>
          </cell>
          <cell r="E533">
            <v>21876876.920000002</v>
          </cell>
          <cell r="F533">
            <v>0.57797075040636103</v>
          </cell>
          <cell r="G533">
            <v>0.42202924959363891</v>
          </cell>
          <cell r="H533">
            <v>1</v>
          </cell>
        </row>
        <row r="534">
          <cell r="B534" t="str">
            <v>NET PLANT</v>
          </cell>
          <cell r="C534">
            <v>10036803.390000001</v>
          </cell>
          <cell r="D534">
            <v>7414222.0199999996</v>
          </cell>
          <cell r="E534">
            <v>17451025.41</v>
          </cell>
          <cell r="F534">
            <v>0.5751411824916941</v>
          </cell>
          <cell r="G534">
            <v>0.4248588175083059</v>
          </cell>
          <cell r="H534">
            <v>1</v>
          </cell>
        </row>
        <row r="535">
          <cell r="B535" t="str">
            <v>DEFERRED MAINTENANCE</v>
          </cell>
          <cell r="C535">
            <v>33967.245631959326</v>
          </cell>
          <cell r="D535">
            <v>11523.37436804069</v>
          </cell>
          <cell r="E535">
            <v>45490.620000000017</v>
          </cell>
          <cell r="F535">
            <v>0.74668680338846372</v>
          </cell>
          <cell r="G535">
            <v>0.25331319661153628</v>
          </cell>
          <cell r="H535">
            <v>1</v>
          </cell>
        </row>
        <row r="536">
          <cell r="B536" t="str">
            <v>CIAC</v>
          </cell>
          <cell r="C536">
            <v>-5211024.95</v>
          </cell>
          <cell r="D536">
            <v>-5898388.8700000001</v>
          </cell>
          <cell r="E536">
            <v>-11109413.82</v>
          </cell>
          <cell r="F536">
            <v>0.46906389791860326</v>
          </cell>
          <cell r="G536">
            <v>0.53093610208139674</v>
          </cell>
          <cell r="H53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Index"/>
      <sheetName val="Water - Return - RB"/>
      <sheetName val="Sewer - Return - RB"/>
      <sheetName val="Combined  Rate Base"/>
      <sheetName val="Water Rate Base"/>
      <sheetName val="Sewer Rate Base "/>
      <sheetName val="Plant Adj"/>
      <sheetName val="Total accum. deprec."/>
      <sheetName val="transfer accum. deprec."/>
      <sheetName val="accum. deprec."/>
      <sheetName val="CIAC"/>
      <sheetName val="WSC RB"/>
      <sheetName val="CWS Off RB"/>
      <sheetName val="Deferred Charges-rate base"/>
      <sheetName val="ADIT"/>
      <sheetName val="Combined noi"/>
      <sheetName val="Water noi"/>
      <sheetName val="Water footnotes"/>
      <sheetName val="Sewer noi"/>
      <sheetName val="Sewer footnotes"/>
      <sheetName val="Uncollect"/>
      <sheetName val="Adj-Exp"/>
      <sheetName val="Power"/>
      <sheetName val="Salaries"/>
      <sheetName val="Maint - Common"/>
      <sheetName val="Trans"/>
      <sheetName val="Rate Case"/>
      <sheetName val="WSC Exp"/>
      <sheetName val="WSC Exp Adj"/>
      <sheetName val="WSC Adj Factors"/>
      <sheetName val="CWS Off Exp"/>
      <sheetName val="CWS Off Factor"/>
      <sheetName val="Water Inc. Taxes"/>
      <sheetName val="Prod Deduct"/>
      <sheetName val="Sewer Inc. Taxes"/>
      <sheetName val="Water Rev. Req."/>
      <sheetName val="Sewer Rev. Req."/>
      <sheetName val="Water - Return - OR"/>
      <sheetName val="Water Ratios"/>
      <sheetName val="Sewer - Return - OR"/>
      <sheetName val="Sewer Ratios"/>
      <sheetName val="Plant Detail"/>
      <sheetName val="Book Expenses"/>
      <sheetName val="Vehicles"/>
      <sheetName val="WSC Salary"/>
      <sheetName val="Cust Equiv"/>
      <sheetName val="WSC Detail"/>
      <sheetName val="WSC Detail-PS"/>
      <sheetName val="WSC RB Compare"/>
      <sheetName val="Out Svc"/>
      <sheetName val="Insur"/>
      <sheetName val="Rents"/>
      <sheetName val="Prop Tax"/>
      <sheetName val="Amortization"/>
      <sheetName val="Misc Rev"/>
    </sheetNames>
    <sheetDataSet>
      <sheetData sheetId="0">
        <row r="2">
          <cell r="C2" t="str">
            <v>TRANSYLVANIA UTILITIES, INC.</v>
          </cell>
        </row>
        <row r="5">
          <cell r="C5" t="str">
            <v xml:space="preserve">  </v>
          </cell>
        </row>
      </sheetData>
      <sheetData sheetId="1"/>
      <sheetData sheetId="2"/>
      <sheetData sheetId="3"/>
      <sheetData sheetId="4">
        <row r="12">
          <cell r="I12">
            <v>4145611</v>
          </cell>
        </row>
      </sheetData>
      <sheetData sheetId="5"/>
      <sheetData sheetId="6"/>
      <sheetData sheetId="7"/>
      <sheetData sheetId="8">
        <row r="16">
          <cell r="E16">
            <v>2800232</v>
          </cell>
        </row>
      </sheetData>
      <sheetData sheetId="9">
        <row r="17">
          <cell r="G17">
            <v>368529</v>
          </cell>
        </row>
      </sheetData>
      <sheetData sheetId="10">
        <row r="117">
          <cell r="D117">
            <v>1406993</v>
          </cell>
        </row>
      </sheetData>
      <sheetData sheetId="11">
        <row r="34">
          <cell r="E34">
            <v>-310890</v>
          </cell>
        </row>
      </sheetData>
      <sheetData sheetId="12">
        <row r="48">
          <cell r="J48">
            <v>7631</v>
          </cell>
        </row>
      </sheetData>
      <sheetData sheetId="13">
        <row r="26">
          <cell r="H26">
            <v>12615</v>
          </cell>
        </row>
      </sheetData>
      <sheetData sheetId="14">
        <row r="21">
          <cell r="E21">
            <v>48293</v>
          </cell>
        </row>
      </sheetData>
      <sheetData sheetId="15">
        <row r="21">
          <cell r="I21">
            <v>-247366</v>
          </cell>
        </row>
      </sheetData>
      <sheetData sheetId="16"/>
      <sheetData sheetId="17">
        <row r="44">
          <cell r="I44">
            <v>288289</v>
          </cell>
        </row>
      </sheetData>
      <sheetData sheetId="18"/>
      <sheetData sheetId="19">
        <row r="44">
          <cell r="I44">
            <v>243099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Sch.D&amp;E-REV"/>
      <sheetName val="wp.a-uncoll"/>
      <sheetName val="wp-b salary"/>
      <sheetName val="wp-b salary2"/>
      <sheetName val="wp-b3 calc of health and other "/>
      <sheetName val="wp-c-def charges"/>
      <sheetName val="wp-c2-calc of def charges"/>
      <sheetName val="wp-c3-acc def inc taxes"/>
      <sheetName val="wp-c3a-adj acc def inc taxes"/>
      <sheetName val="wp-c3b-adit vehicle"/>
      <sheetName val="wp-c3c-adit computers"/>
      <sheetName val="wp-c3d-adit gross plant"/>
      <sheetName val="wp-3e-calc intial basis"/>
      <sheetName val="wp-d-rc.exp"/>
      <sheetName val="wp-e-toi"/>
      <sheetName val="wp-f-depr"/>
      <sheetName val="wp-f2 depr recal"/>
      <sheetName val="wp f3 plant held for future use"/>
      <sheetName val="wp-f4"/>
      <sheetName val="CP COA"/>
      <sheetName val="wp-g-inc.tx"/>
      <sheetName val="wp.h-cap.struc"/>
      <sheetName val="wp-i-wc"/>
      <sheetName val="wp-l-GL additions"/>
      <sheetName val="wp-n-CPI"/>
      <sheetName val="wp-p1 Allocation of Expenses"/>
      <sheetName val="wp-p1a Allocation of Rate base"/>
      <sheetName val="wp-p2 Allocation of Vehicles"/>
      <sheetName val="wp-p2a Allocation of Trans Exp"/>
      <sheetName val="wp-p3-alloc of State computers"/>
      <sheetName val="wp-p4-alloc of WSC computers"/>
      <sheetName val="wp-p5 WSC Salary Allocation"/>
      <sheetName val="wp-p6 wsc legal fees"/>
      <sheetName val="wp-p7 WSC outside services"/>
      <sheetName val="wp-appendix"/>
      <sheetName val="xxxRate-Rev Comp"/>
      <sheetName val="Consumption Data"/>
      <sheetName val="ERC Count NB 12-07"/>
      <sheetName val="93008 ERC with avail adjust  "/>
      <sheetName val="Allocation data summary"/>
      <sheetName val="Allocation data"/>
      <sheetName val="wp-b2-ops charged to plant"/>
      <sheetName val="wp-o-project phoenix "/>
      <sheetName val="wp-p6-closed office exp"/>
      <sheetName val="wp-u-Insurance Exp"/>
      <sheetName val="wp-p2 Allocated Rate Base"/>
      <sheetName val="wp-px Allocation of Exp"/>
      <sheetName val="COAs"/>
      <sheetName val="wp-m-penalties"/>
      <sheetName val="wp-p1-allocation of vehicles"/>
      <sheetName val="wp-px Allocation of Vehicles"/>
      <sheetName val="wp-px Allocation of Trans Exp"/>
      <sheetName val="wp-p1a-adjustment to trans exp"/>
      <sheetName val="wp-p2-allocation of computers"/>
      <sheetName val="wp-p3-allocations of WSC base"/>
      <sheetName val="wp-p4-allocation of WSC expense"/>
      <sheetName val="wp-p5-alloc of cws office exp"/>
    </sheetNames>
    <sheetDataSet>
      <sheetData sheetId="0" refreshError="1">
        <row r="39">
          <cell r="D39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E50 JE Clear WSC"/>
      <sheetName val="SE50 JE WSC"/>
      <sheetName val="SE50 JE Benefits"/>
      <sheetName val="SE50 JE Sal &amp; PR Tax"/>
      <sheetName val="Summary by State"/>
      <sheetName val="Summary by Co"/>
      <sheetName val="Salary Alloc"/>
      <sheetName val="FICA Alloc"/>
      <sheetName val="FUT Alloc"/>
      <sheetName val="SUT Alloc"/>
      <sheetName val="Pension Alloc"/>
      <sheetName val="401k Alloc"/>
      <sheetName val="Health Alloc"/>
      <sheetName val="Other Alloc"/>
      <sheetName val="Cust Eq %"/>
      <sheetName val="Cust Eq Allocation"/>
      <sheetName val="Benefits Rates Input"/>
      <sheetName val="GL Detail"/>
      <sheetName val="Salary Input"/>
      <sheetName val="Employee Info Input"/>
      <sheetName val="Employee by Sub Input"/>
      <sheetName val="Cust Eq Input"/>
      <sheetName val="InvoiceBill Count Input"/>
      <sheetName val="Prior Allocations Input"/>
      <sheetName val="FORM.COS.SUBS.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12.31.11 ERC avail adjust  "/>
      <sheetName val="Control Panel"/>
      <sheetName val="Sheet1"/>
      <sheetName val="COPY ELECTRONIC TB HERE"/>
      <sheetName val="Linked TB"/>
      <sheetName val="Sch.A-B.S"/>
      <sheetName val="wp-f-depr"/>
      <sheetName val="Sch.B-I.S"/>
      <sheetName val="Sch.C-R.B"/>
      <sheetName val="Sch.D&amp;E-REV"/>
      <sheetName val="xxxRate-Rev Comp"/>
      <sheetName val="Consumption Data"/>
      <sheetName val="wp-appendix"/>
      <sheetName val="wp.a-uncoll"/>
      <sheetName val="Wp-b Salary"/>
      <sheetName val="wp-b1 Allocation of Staff"/>
      <sheetName val="Wp-b Salary Captime"/>
      <sheetName val="wp-b3 Calc of Health and Other "/>
      <sheetName val="wp-b4 office salaries"/>
      <sheetName val="WSC Salaries"/>
      <sheetName val="wp-c-def charges"/>
      <sheetName val="wp-c2-calc of def charges"/>
      <sheetName val="wp-c3-acc def inc taxes"/>
      <sheetName val="wp-c3a-adj acc def inc taxes"/>
      <sheetName val="wp-c3d-diff between tax and boo"/>
      <sheetName val="wp-d-rc.exp"/>
      <sheetName val="wp-e-toi"/>
      <sheetName val="wp-g-inc.tx"/>
      <sheetName val="WP g-2 Calculation of DPFD %"/>
      <sheetName val="WP g-3 Calculation of DPFD"/>
      <sheetName val="wp.h-cap.struc"/>
      <sheetName val="wp-i-wc1"/>
      <sheetName val="wp-i-wc2"/>
      <sheetName val="wp-j-pf.plant"/>
      <sheetName val="wp k Water Ex. Cap."/>
      <sheetName val="wp-l-GL additions"/>
      <sheetName val="wp-m-penalties"/>
      <sheetName val="wp-n-CPI"/>
      <sheetName val="Wp-o-repression adjustment"/>
      <sheetName val="wp-p1 Allocation of Expenses"/>
      <sheetName val="Wp-p1 foot notes"/>
      <sheetName val="wp-p1a Allocation of Rate base"/>
      <sheetName val="wp-p1a foot notes"/>
      <sheetName val="wp-p2 Allocation of Vehicles"/>
      <sheetName val="wp-p2a Allocation of Trans Exp"/>
      <sheetName val="wp-p3-alloc of State computers"/>
      <sheetName val="wp-p4-alloc of WSC computers"/>
      <sheetName val="wp-p5 WSC Salary Allocation"/>
      <sheetName val="wp-p6 wsc legal fees"/>
      <sheetName val="wp-p7 WSC outside services"/>
      <sheetName val="Fairfield Harbour Bill Sheet"/>
      <sheetName val="wp-r  Insurance"/>
      <sheetName val="Sheet2"/>
    </sheetNames>
    <sheetDataSet>
      <sheetData sheetId="0">
        <row r="3">
          <cell r="C3" t="str">
            <v>CWS Systems</v>
          </cell>
        </row>
        <row r="5">
          <cell r="C5" t="str">
            <v>Fairfield Harbour</v>
          </cell>
        </row>
        <row r="7">
          <cell r="C7" t="str">
            <v>W-778, Sub 89</v>
          </cell>
        </row>
        <row r="9">
          <cell r="C9">
            <v>40908</v>
          </cell>
        </row>
        <row r="13">
          <cell r="C13">
            <v>2021.1999999999998</v>
          </cell>
          <cell r="D13">
            <v>0.50711929045450554</v>
          </cell>
        </row>
        <row r="14">
          <cell r="C14">
            <v>1964.4499999999998</v>
          </cell>
          <cell r="D14">
            <v>0.49288070954549446</v>
          </cell>
        </row>
        <row r="15">
          <cell r="C15">
            <v>3985.6499999999996</v>
          </cell>
        </row>
        <row r="18">
          <cell r="D18">
            <v>1.5483715923995551E-2</v>
          </cell>
        </row>
        <row r="19">
          <cell r="D19">
            <v>4.0121486368871848E-2</v>
          </cell>
        </row>
        <row r="20">
          <cell r="D20">
            <v>5.9637350324936889E-2</v>
          </cell>
        </row>
        <row r="21">
          <cell r="D21">
            <v>8.0576473606461571E-2</v>
          </cell>
        </row>
        <row r="29">
          <cell r="C29">
            <v>1.8499999999999999E-2</v>
          </cell>
          <cell r="D29">
            <v>1.6299999999999999E-2</v>
          </cell>
        </row>
        <row r="30">
          <cell r="C30">
            <v>0.125</v>
          </cell>
        </row>
        <row r="31">
          <cell r="C31">
            <v>0.25</v>
          </cell>
        </row>
      </sheetData>
      <sheetData sheetId="1" refreshError="1"/>
      <sheetData sheetId="2" refreshError="1"/>
      <sheetData sheetId="3" refreshError="1"/>
      <sheetData sheetId="4">
        <row r="2">
          <cell r="A2">
            <v>1020</v>
          </cell>
          <cell r="B2" t="str">
            <v xml:space="preserve">     ORGANIZATION</v>
          </cell>
          <cell r="L2">
            <v>0</v>
          </cell>
        </row>
        <row r="3">
          <cell r="A3">
            <v>1025</v>
          </cell>
          <cell r="B3" t="str">
            <v xml:space="preserve">     FRANCHISES</v>
          </cell>
          <cell r="L3">
            <v>0</v>
          </cell>
        </row>
        <row r="4">
          <cell r="A4">
            <v>1030</v>
          </cell>
          <cell r="B4" t="str">
            <v xml:space="preserve">     LAND &amp; LAND RIGHTS PUMP</v>
          </cell>
          <cell r="L4">
            <v>0</v>
          </cell>
        </row>
        <row r="5">
          <cell r="A5">
            <v>1035</v>
          </cell>
          <cell r="B5" t="str">
            <v xml:space="preserve">     LAND &amp; LAND RIGHTS WTR TR</v>
          </cell>
          <cell r="L5">
            <v>0</v>
          </cell>
        </row>
        <row r="6">
          <cell r="A6">
            <v>1040</v>
          </cell>
          <cell r="B6" t="str">
            <v xml:space="preserve">     LAND &amp; LAND RIGHTS TRANS</v>
          </cell>
          <cell r="L6">
            <v>0</v>
          </cell>
        </row>
        <row r="7">
          <cell r="A7">
            <v>1045</v>
          </cell>
          <cell r="B7" t="str">
            <v xml:space="preserve">     LAND &amp; LAND RIGHTS GEN PL</v>
          </cell>
          <cell r="L7">
            <v>0</v>
          </cell>
        </row>
        <row r="8">
          <cell r="A8">
            <v>1050</v>
          </cell>
          <cell r="B8" t="str">
            <v xml:space="preserve">     STRUCT &amp; IMPRV SRC SUPPLY</v>
          </cell>
          <cell r="L8">
            <v>0</v>
          </cell>
        </row>
        <row r="9">
          <cell r="A9">
            <v>1055</v>
          </cell>
          <cell r="B9" t="str">
            <v xml:space="preserve">     STRUCT &amp; IMPRV WTR TRT PL</v>
          </cell>
          <cell r="L9">
            <v>0</v>
          </cell>
        </row>
        <row r="10">
          <cell r="A10">
            <v>1060</v>
          </cell>
          <cell r="B10" t="str">
            <v xml:space="preserve">     STRUCT &amp; IMPRV TRANS DIST</v>
          </cell>
          <cell r="L10">
            <v>0</v>
          </cell>
        </row>
        <row r="11">
          <cell r="A11">
            <v>1065</v>
          </cell>
          <cell r="B11" t="str">
            <v xml:space="preserve">     STRUCT &amp; IMPRV GEN PLT</v>
          </cell>
          <cell r="L11">
            <v>0</v>
          </cell>
        </row>
        <row r="12">
          <cell r="A12">
            <v>1080</v>
          </cell>
          <cell r="B12" t="str">
            <v xml:space="preserve">     WELLS &amp; SPRINGS</v>
          </cell>
          <cell r="L12">
            <v>0</v>
          </cell>
        </row>
        <row r="13">
          <cell r="A13">
            <v>1085</v>
          </cell>
          <cell r="B13" t="str">
            <v xml:space="preserve">     INFILTRATION GALLERY</v>
          </cell>
          <cell r="L13">
            <v>0</v>
          </cell>
        </row>
        <row r="14">
          <cell r="A14">
            <v>1090</v>
          </cell>
          <cell r="B14" t="str">
            <v xml:space="preserve">     SUPPLY MAINS</v>
          </cell>
          <cell r="L14">
            <v>0</v>
          </cell>
        </row>
        <row r="15">
          <cell r="A15">
            <v>1095</v>
          </cell>
          <cell r="B15" t="str">
            <v xml:space="preserve">     POWER GENERATION EQUIP</v>
          </cell>
          <cell r="L15">
            <v>0</v>
          </cell>
        </row>
        <row r="16">
          <cell r="A16">
            <v>1100</v>
          </cell>
          <cell r="B16" t="str">
            <v xml:space="preserve">     ELECTRIC PUMP EQUIP SRC P</v>
          </cell>
          <cell r="L16">
            <v>0</v>
          </cell>
        </row>
        <row r="17">
          <cell r="A17">
            <v>1105</v>
          </cell>
          <cell r="B17" t="str">
            <v xml:space="preserve">     ELECTRIC PUMP EQUIP WTP</v>
          </cell>
          <cell r="L17">
            <v>0</v>
          </cell>
        </row>
        <row r="18">
          <cell r="A18">
            <v>1110</v>
          </cell>
          <cell r="B18" t="str">
            <v xml:space="preserve">     ELECTRIC PUMP EQUIP TRANS</v>
          </cell>
          <cell r="L18">
            <v>0</v>
          </cell>
        </row>
        <row r="19">
          <cell r="A19">
            <v>1115</v>
          </cell>
          <cell r="B19" t="str">
            <v xml:space="preserve">     WATER TREATMENT EQPT</v>
          </cell>
          <cell r="L19">
            <v>0</v>
          </cell>
        </row>
        <row r="20">
          <cell r="A20">
            <v>1120</v>
          </cell>
          <cell r="B20" t="str">
            <v xml:space="preserve">     DIST RESV &amp; STANDPIPES</v>
          </cell>
          <cell r="L20">
            <v>0</v>
          </cell>
        </row>
        <row r="21">
          <cell r="A21">
            <v>1125</v>
          </cell>
          <cell r="B21" t="str">
            <v xml:space="preserve">     TRANS &amp; DISTR MAINS</v>
          </cell>
          <cell r="L21">
            <v>0</v>
          </cell>
        </row>
        <row r="22">
          <cell r="A22">
            <v>1130</v>
          </cell>
          <cell r="B22" t="str">
            <v xml:space="preserve">     SERVICE LINES</v>
          </cell>
          <cell r="L22">
            <v>0</v>
          </cell>
        </row>
        <row r="23">
          <cell r="A23">
            <v>1135</v>
          </cell>
          <cell r="B23" t="str">
            <v xml:space="preserve">     METERS</v>
          </cell>
          <cell r="L23">
            <v>0</v>
          </cell>
        </row>
        <row r="24">
          <cell r="A24">
            <v>1140</v>
          </cell>
          <cell r="B24" t="str">
            <v xml:space="preserve">     METER INSTALLATIONS</v>
          </cell>
          <cell r="L24">
            <v>0</v>
          </cell>
        </row>
        <row r="25">
          <cell r="A25">
            <v>1145</v>
          </cell>
          <cell r="B25" t="str">
            <v xml:space="preserve">     HYDRANTS</v>
          </cell>
          <cell r="L25">
            <v>0</v>
          </cell>
        </row>
        <row r="26">
          <cell r="A26">
            <v>1150</v>
          </cell>
          <cell r="B26" t="str">
            <v xml:space="preserve">     BACKFLOW PREVENTION DEVIC</v>
          </cell>
          <cell r="L26">
            <v>0</v>
          </cell>
        </row>
        <row r="27">
          <cell r="A27">
            <v>1160</v>
          </cell>
          <cell r="B27" t="str">
            <v xml:space="preserve">     OTH PLT&amp;MISC EQUIP SRC SU</v>
          </cell>
          <cell r="L27">
            <v>0</v>
          </cell>
        </row>
        <row r="28">
          <cell r="A28">
            <v>1165</v>
          </cell>
          <cell r="B28" t="str">
            <v xml:space="preserve">     OTH PLT&amp;MISC EQUIP WTP</v>
          </cell>
          <cell r="L28">
            <v>0</v>
          </cell>
        </row>
        <row r="29">
          <cell r="A29">
            <v>1175</v>
          </cell>
          <cell r="B29" t="str">
            <v xml:space="preserve">     OFFICE STRUCT &amp; IMPRV</v>
          </cell>
          <cell r="L29">
            <v>0</v>
          </cell>
        </row>
        <row r="30">
          <cell r="A30">
            <v>1180</v>
          </cell>
          <cell r="B30" t="str">
            <v xml:space="preserve">     OFFICE FURN &amp; EQPT</v>
          </cell>
          <cell r="L30">
            <v>0</v>
          </cell>
        </row>
        <row r="31">
          <cell r="A31">
            <v>1185</v>
          </cell>
          <cell r="B31" t="str">
            <v xml:space="preserve">     STORES EQUIPMENT</v>
          </cell>
          <cell r="L31">
            <v>0</v>
          </cell>
        </row>
        <row r="32">
          <cell r="A32">
            <v>1190</v>
          </cell>
          <cell r="B32" t="str">
            <v xml:space="preserve">     TOOL SHOP &amp; MISC EQPT</v>
          </cell>
          <cell r="L32">
            <v>0</v>
          </cell>
        </row>
        <row r="33">
          <cell r="A33">
            <v>1195</v>
          </cell>
          <cell r="B33" t="str">
            <v xml:space="preserve">     LABORATORY EQUIPMENT</v>
          </cell>
          <cell r="L33">
            <v>0</v>
          </cell>
        </row>
        <row r="34">
          <cell r="A34">
            <v>1200</v>
          </cell>
          <cell r="B34" t="str">
            <v xml:space="preserve">     POWER OPERATED EQUIP</v>
          </cell>
          <cell r="L34">
            <v>0</v>
          </cell>
        </row>
        <row r="35">
          <cell r="A35">
            <v>1205</v>
          </cell>
          <cell r="B35" t="str">
            <v xml:space="preserve">     COMMUNICATION EQPT</v>
          </cell>
          <cell r="L35">
            <v>0</v>
          </cell>
        </row>
        <row r="36">
          <cell r="A36">
            <v>1210</v>
          </cell>
          <cell r="B36" t="str">
            <v xml:space="preserve">     MISC EQUIPMENT</v>
          </cell>
          <cell r="L36">
            <v>0</v>
          </cell>
        </row>
        <row r="37">
          <cell r="A37">
            <v>1215</v>
          </cell>
          <cell r="B37" t="str">
            <v xml:space="preserve">     WATER PLANT ALLOCATED</v>
          </cell>
          <cell r="L37">
            <v>0</v>
          </cell>
        </row>
        <row r="38">
          <cell r="A38">
            <v>1220</v>
          </cell>
          <cell r="B38" t="str">
            <v xml:space="preserve">     OTHER TANGIBLE PLT WATER</v>
          </cell>
          <cell r="L38">
            <v>0</v>
          </cell>
        </row>
        <row r="39">
          <cell r="A39">
            <v>1245</v>
          </cell>
          <cell r="B39" t="str">
            <v xml:space="preserve">     ORGANIZATION</v>
          </cell>
          <cell r="L39">
            <v>0</v>
          </cell>
        </row>
        <row r="40">
          <cell r="A40">
            <v>1250</v>
          </cell>
          <cell r="B40" t="str">
            <v xml:space="preserve">     FRANCHISES INTANG PLT</v>
          </cell>
          <cell r="L40">
            <v>0</v>
          </cell>
        </row>
        <row r="41">
          <cell r="A41">
            <v>1275</v>
          </cell>
          <cell r="B41" t="str">
            <v xml:space="preserve">     LAND &amp; LAND RIGHTS RECLAI</v>
          </cell>
          <cell r="L41">
            <v>0</v>
          </cell>
        </row>
        <row r="42">
          <cell r="A42">
            <v>1285</v>
          </cell>
          <cell r="B42" t="str">
            <v xml:space="preserve">     LAND &amp; LAND RIGHTS GEN PL</v>
          </cell>
          <cell r="L42">
            <v>0</v>
          </cell>
        </row>
        <row r="43">
          <cell r="A43">
            <v>1290</v>
          </cell>
          <cell r="B43" t="str">
            <v xml:space="preserve">     STRUCT/IMPRV COLL PLT</v>
          </cell>
          <cell r="L43">
            <v>0</v>
          </cell>
        </row>
        <row r="44">
          <cell r="A44">
            <v>1295</v>
          </cell>
          <cell r="B44" t="str">
            <v xml:space="preserve">     STRUCT/IMPRV PUMP PLT LS</v>
          </cell>
          <cell r="L44">
            <v>0</v>
          </cell>
        </row>
        <row r="45">
          <cell r="A45">
            <v>1300</v>
          </cell>
          <cell r="B45" t="str">
            <v xml:space="preserve">     STRUCT/IMPRV TREAT PLT</v>
          </cell>
          <cell r="L45">
            <v>0</v>
          </cell>
        </row>
        <row r="46">
          <cell r="A46">
            <v>1305</v>
          </cell>
          <cell r="B46" t="str">
            <v xml:space="preserve">     STRUCT/IMPRV RECLAIM WTP</v>
          </cell>
          <cell r="L46">
            <v>0</v>
          </cell>
        </row>
        <row r="47">
          <cell r="A47">
            <v>1310</v>
          </cell>
          <cell r="B47" t="str">
            <v xml:space="preserve">     STRUCT/IMPRV RECLAIM WTR</v>
          </cell>
          <cell r="L47">
            <v>0</v>
          </cell>
        </row>
        <row r="48">
          <cell r="A48">
            <v>1315</v>
          </cell>
          <cell r="B48" t="str">
            <v xml:space="preserve">     STRUCT/IMPRV GEN PLT</v>
          </cell>
          <cell r="L48">
            <v>0</v>
          </cell>
        </row>
        <row r="49">
          <cell r="A49">
            <v>1320</v>
          </cell>
          <cell r="B49" t="str">
            <v xml:space="preserve">     POWER GEN EQUIP COLL PLT</v>
          </cell>
          <cell r="L49">
            <v>0</v>
          </cell>
        </row>
        <row r="50">
          <cell r="A50">
            <v>1325</v>
          </cell>
          <cell r="B50" t="str">
            <v xml:space="preserve">     POWER GEN EQUIP PUMP PLT</v>
          </cell>
          <cell r="L50">
            <v>0</v>
          </cell>
        </row>
        <row r="51">
          <cell r="A51">
            <v>1330</v>
          </cell>
          <cell r="B51" t="str">
            <v xml:space="preserve">     POWER GEN EQUIP TREAT PLT</v>
          </cell>
          <cell r="L51">
            <v>0</v>
          </cell>
        </row>
        <row r="52">
          <cell r="A52">
            <v>1345</v>
          </cell>
          <cell r="B52" t="str">
            <v xml:space="preserve">     SEWER FORCE MAIN</v>
          </cell>
          <cell r="L52">
            <v>0</v>
          </cell>
        </row>
        <row r="53">
          <cell r="A53">
            <v>1350</v>
          </cell>
          <cell r="B53" t="str">
            <v xml:space="preserve">     SEWER GRAVITY MAIN</v>
          </cell>
          <cell r="L53">
            <v>0</v>
          </cell>
        </row>
        <row r="54">
          <cell r="A54">
            <v>1353</v>
          </cell>
          <cell r="B54" t="str">
            <v xml:space="preserve">     MANHOLES</v>
          </cell>
          <cell r="L54">
            <v>0</v>
          </cell>
        </row>
        <row r="55">
          <cell r="A55">
            <v>1355</v>
          </cell>
          <cell r="B55" t="str">
            <v xml:space="preserve">     SPECIAL COLL STRUCTURES</v>
          </cell>
          <cell r="L55">
            <v>0</v>
          </cell>
        </row>
        <row r="56">
          <cell r="A56">
            <v>1360</v>
          </cell>
          <cell r="B56" t="str">
            <v xml:space="preserve">     SERVICES TO CUSTOMERS</v>
          </cell>
          <cell r="L56">
            <v>0</v>
          </cell>
        </row>
        <row r="57">
          <cell r="A57">
            <v>1365</v>
          </cell>
          <cell r="B57" t="str">
            <v xml:space="preserve">     FLOW MEASURE DEVICES</v>
          </cell>
          <cell r="L57">
            <v>0</v>
          </cell>
        </row>
        <row r="58">
          <cell r="A58">
            <v>1370</v>
          </cell>
          <cell r="B58" t="str">
            <v xml:space="preserve">     FLOW MEASURE INSTALL</v>
          </cell>
          <cell r="L58">
            <v>0</v>
          </cell>
        </row>
        <row r="59">
          <cell r="A59">
            <v>1375</v>
          </cell>
          <cell r="B59" t="str">
            <v xml:space="preserve">     RECEIVING WELLS</v>
          </cell>
          <cell r="L59">
            <v>0</v>
          </cell>
        </row>
        <row r="60">
          <cell r="A60">
            <v>1380</v>
          </cell>
          <cell r="B60" t="str">
            <v xml:space="preserve">     PUMPING EQUIPMENT PUMP PL</v>
          </cell>
          <cell r="L60">
            <v>0</v>
          </cell>
        </row>
        <row r="61">
          <cell r="A61">
            <v>1385</v>
          </cell>
          <cell r="B61" t="str">
            <v xml:space="preserve">     PUMPING EQUIPMENT RECLAIM</v>
          </cell>
          <cell r="L61">
            <v>0</v>
          </cell>
        </row>
        <row r="62">
          <cell r="A62">
            <v>1390</v>
          </cell>
          <cell r="B62" t="str">
            <v xml:space="preserve">     PUMPING EQUIPMENT RCL WTR</v>
          </cell>
          <cell r="L62">
            <v>0</v>
          </cell>
        </row>
        <row r="63">
          <cell r="A63">
            <v>1395</v>
          </cell>
          <cell r="B63" t="str">
            <v xml:space="preserve">     TREAT/DISP EQUIP LAGOON</v>
          </cell>
          <cell r="L63">
            <v>0</v>
          </cell>
        </row>
        <row r="64">
          <cell r="A64">
            <v>1400</v>
          </cell>
          <cell r="B64" t="str">
            <v xml:space="preserve">     TREAT/DISP EQUIP TRT PLT</v>
          </cell>
          <cell r="L64">
            <v>0</v>
          </cell>
        </row>
        <row r="65">
          <cell r="A65">
            <v>1405</v>
          </cell>
          <cell r="B65" t="str">
            <v xml:space="preserve">     TREAT/DISP EQUIP RCL WTP</v>
          </cell>
          <cell r="L65">
            <v>0</v>
          </cell>
        </row>
        <row r="66">
          <cell r="A66">
            <v>1410</v>
          </cell>
          <cell r="B66" t="str">
            <v xml:space="preserve">     PLANT SEWERS TRTMT PLT</v>
          </cell>
          <cell r="L66">
            <v>0</v>
          </cell>
        </row>
        <row r="67">
          <cell r="A67">
            <v>1415</v>
          </cell>
          <cell r="B67" t="str">
            <v xml:space="preserve">     PLANT SEWERS RECLAIM WTP</v>
          </cell>
          <cell r="L67">
            <v>0</v>
          </cell>
        </row>
        <row r="68">
          <cell r="A68">
            <v>1420</v>
          </cell>
          <cell r="B68" t="str">
            <v xml:space="preserve">     OUTFALL LINES</v>
          </cell>
          <cell r="L68">
            <v>0</v>
          </cell>
        </row>
        <row r="69">
          <cell r="A69">
            <v>1425</v>
          </cell>
          <cell r="B69" t="str">
            <v xml:space="preserve">     OTHER PLT TANGIBLE</v>
          </cell>
          <cell r="L69">
            <v>0</v>
          </cell>
        </row>
        <row r="70">
          <cell r="A70">
            <v>1430</v>
          </cell>
          <cell r="B70" t="str">
            <v xml:space="preserve">     OTHER PLT COLLECTION</v>
          </cell>
          <cell r="L70">
            <v>0</v>
          </cell>
        </row>
        <row r="71">
          <cell r="A71">
            <v>1435</v>
          </cell>
          <cell r="B71" t="str">
            <v xml:space="preserve">     OTHER PLT PUMP</v>
          </cell>
          <cell r="L71">
            <v>0</v>
          </cell>
        </row>
        <row r="72">
          <cell r="A72">
            <v>1440</v>
          </cell>
          <cell r="B72" t="str">
            <v xml:space="preserve">     OTHER PLT TREATMENT</v>
          </cell>
          <cell r="L72">
            <v>0</v>
          </cell>
        </row>
        <row r="73">
          <cell r="A73">
            <v>1445</v>
          </cell>
          <cell r="B73" t="str">
            <v xml:space="preserve">     OTHER PLT RECLAIM WTR TRT</v>
          </cell>
          <cell r="L73">
            <v>0</v>
          </cell>
        </row>
        <row r="74">
          <cell r="A74">
            <v>1450</v>
          </cell>
          <cell r="B74" t="str">
            <v xml:space="preserve">     OTHER PLT RECLAIM WTR DIS</v>
          </cell>
          <cell r="L74">
            <v>0</v>
          </cell>
        </row>
        <row r="75">
          <cell r="A75">
            <v>1455</v>
          </cell>
          <cell r="B75" t="str">
            <v xml:space="preserve">     OFFICE STRUCT &amp; IMPRV</v>
          </cell>
          <cell r="L75">
            <v>0</v>
          </cell>
        </row>
        <row r="76">
          <cell r="A76">
            <v>1460</v>
          </cell>
          <cell r="B76" t="str">
            <v xml:space="preserve">     OFFICE FURN &amp; EQPT</v>
          </cell>
          <cell r="L76">
            <v>0</v>
          </cell>
        </row>
        <row r="77">
          <cell r="A77">
            <v>1465</v>
          </cell>
          <cell r="B77" t="str">
            <v xml:space="preserve">     STORES EQUIPMENT</v>
          </cell>
          <cell r="L77">
            <v>0</v>
          </cell>
        </row>
        <row r="78">
          <cell r="A78">
            <v>1470</v>
          </cell>
          <cell r="B78" t="str">
            <v xml:space="preserve">     TOOL SHOP &amp; MISC EQPT</v>
          </cell>
          <cell r="L78">
            <v>0</v>
          </cell>
        </row>
        <row r="79">
          <cell r="A79">
            <v>1475</v>
          </cell>
          <cell r="B79" t="str">
            <v xml:space="preserve">     LABORATORY EQPT</v>
          </cell>
          <cell r="L79">
            <v>0</v>
          </cell>
        </row>
        <row r="80">
          <cell r="A80">
            <v>1480</v>
          </cell>
          <cell r="B80" t="str">
            <v xml:space="preserve">     POWER OPERATED EQUIP</v>
          </cell>
          <cell r="L80">
            <v>0</v>
          </cell>
        </row>
        <row r="81">
          <cell r="A81">
            <v>1485</v>
          </cell>
          <cell r="B81" t="str">
            <v xml:space="preserve">     COMMUNICATION EQPT</v>
          </cell>
          <cell r="L81">
            <v>0</v>
          </cell>
        </row>
        <row r="82">
          <cell r="A82">
            <v>1490</v>
          </cell>
          <cell r="B82" t="str">
            <v xml:space="preserve">     MISC EQUIP SEWER</v>
          </cell>
          <cell r="L82">
            <v>0</v>
          </cell>
        </row>
        <row r="83">
          <cell r="A83">
            <v>1495</v>
          </cell>
          <cell r="B83" t="str">
            <v xml:space="preserve">     SEWER PLANT ALLOCATED</v>
          </cell>
          <cell r="L83">
            <v>0</v>
          </cell>
        </row>
        <row r="84">
          <cell r="A84">
            <v>1500</v>
          </cell>
          <cell r="B84" t="str">
            <v xml:space="preserve">     OTHER TANGIBLE PLT SEWER</v>
          </cell>
          <cell r="L84">
            <v>0</v>
          </cell>
        </row>
        <row r="85">
          <cell r="A85">
            <v>1535</v>
          </cell>
          <cell r="B85" t="str">
            <v xml:space="preserve">     REUSE DIST RESERVOIRS</v>
          </cell>
          <cell r="L85">
            <v>0</v>
          </cell>
        </row>
        <row r="86">
          <cell r="A86">
            <v>1540</v>
          </cell>
          <cell r="B86" t="str">
            <v xml:space="preserve">     REUSE TRANMISSION &amp; DIST</v>
          </cell>
          <cell r="L86">
            <v>0</v>
          </cell>
        </row>
        <row r="87">
          <cell r="B87" t="str">
            <v>Plant (Water)</v>
          </cell>
          <cell r="L87">
            <v>3477305.0780995362</v>
          </cell>
        </row>
        <row r="88">
          <cell r="B88" t="str">
            <v>Plant (Sewer)</v>
          </cell>
          <cell r="L88">
            <v>7912390.1987983584</v>
          </cell>
        </row>
        <row r="89">
          <cell r="A89">
            <v>1699</v>
          </cell>
          <cell r="B89" t="str">
            <v xml:space="preserve">     WATER PLANT IN PROCESS</v>
          </cell>
          <cell r="L89" t="e">
            <v>#VALUE!</v>
          </cell>
        </row>
        <row r="90">
          <cell r="A90">
            <v>1739</v>
          </cell>
          <cell r="B90" t="str">
            <v xml:space="preserve">     SEWER PLANT IN PROCESS</v>
          </cell>
          <cell r="L90" t="e">
            <v>#VALUE!</v>
          </cell>
        </row>
        <row r="91">
          <cell r="A91">
            <v>1769</v>
          </cell>
          <cell r="B91" t="str">
            <v xml:space="preserve">     OTHER PLANT IN PROCESS</v>
          </cell>
          <cell r="L91" t="e">
            <v>#VALUE!</v>
          </cell>
        </row>
        <row r="92">
          <cell r="A92">
            <v>1799</v>
          </cell>
          <cell r="B92" t="str">
            <v xml:space="preserve">     DEFERRED PLANT IN PROCESS</v>
          </cell>
          <cell r="L92" t="e">
            <v>#VALUE!</v>
          </cell>
        </row>
        <row r="93">
          <cell r="A93">
            <v>1805</v>
          </cell>
          <cell r="B93" t="str">
            <v xml:space="preserve">    PLT HELD FUTURE USE-WTR</v>
          </cell>
          <cell r="L93" t="e">
            <v>#VALUE!</v>
          </cell>
        </row>
        <row r="94">
          <cell r="A94">
            <v>1810</v>
          </cell>
          <cell r="B94" t="str">
            <v xml:space="preserve">    PLT HELD FUTURE USE-SWR</v>
          </cell>
          <cell r="L94" t="e">
            <v>#VALUE!</v>
          </cell>
        </row>
        <row r="95">
          <cell r="A95">
            <v>1835</v>
          </cell>
          <cell r="B95" t="str">
            <v xml:space="preserve">     ACC DEPR-ORGANIZATION</v>
          </cell>
          <cell r="L95">
            <v>0</v>
          </cell>
        </row>
        <row r="96">
          <cell r="A96">
            <v>1840</v>
          </cell>
          <cell r="B96" t="str">
            <v xml:space="preserve">     ACC DEPR-FRANCHISES</v>
          </cell>
          <cell r="L96">
            <v>0</v>
          </cell>
        </row>
        <row r="97">
          <cell r="A97">
            <v>1845</v>
          </cell>
          <cell r="B97" t="str">
            <v xml:space="preserve">     ACC DEPR-STRUCT&amp;IMPRV SRC</v>
          </cell>
          <cell r="L97">
            <v>0</v>
          </cell>
        </row>
        <row r="98">
          <cell r="A98">
            <v>1850</v>
          </cell>
          <cell r="B98" t="str">
            <v xml:space="preserve">     ACC DEPR-STRUCT&amp;IMPRV WTP</v>
          </cell>
          <cell r="L98">
            <v>0</v>
          </cell>
        </row>
        <row r="99">
          <cell r="A99">
            <v>1855</v>
          </cell>
          <cell r="B99" t="str">
            <v xml:space="preserve">     ACC DEPR-STRUCT&amp;IMPRV TRN</v>
          </cell>
          <cell r="L99">
            <v>0</v>
          </cell>
        </row>
        <row r="100">
          <cell r="A100">
            <v>1860</v>
          </cell>
          <cell r="B100" t="str">
            <v xml:space="preserve">     ACC DEPR-STRUCT&amp;IMPRV GEN</v>
          </cell>
          <cell r="L100">
            <v>0</v>
          </cell>
        </row>
        <row r="101">
          <cell r="A101">
            <v>1875</v>
          </cell>
          <cell r="B101" t="str">
            <v xml:space="preserve">     ACC DEPR-WELLS &amp; SPRINGS</v>
          </cell>
          <cell r="L101">
            <v>0</v>
          </cell>
        </row>
        <row r="102">
          <cell r="A102">
            <v>1880</v>
          </cell>
          <cell r="B102" t="str">
            <v xml:space="preserve">     ACC DEPR-INFILTRATION GAL</v>
          </cell>
          <cell r="L102">
            <v>0</v>
          </cell>
        </row>
        <row r="103">
          <cell r="A103">
            <v>1885</v>
          </cell>
          <cell r="B103" t="str">
            <v xml:space="preserve">     ACC DEPR-SUPPLY MAINS</v>
          </cell>
          <cell r="L103">
            <v>0</v>
          </cell>
        </row>
        <row r="104">
          <cell r="A104">
            <v>1890</v>
          </cell>
          <cell r="B104" t="str">
            <v xml:space="preserve">     ACC DEPR-POWER GENERATION</v>
          </cell>
          <cell r="L104">
            <v>0</v>
          </cell>
        </row>
        <row r="105">
          <cell r="A105">
            <v>1895</v>
          </cell>
          <cell r="B105" t="str">
            <v xml:space="preserve">     ACC DEPR-ELECT PUMP EQUIP</v>
          </cell>
          <cell r="L105">
            <v>0</v>
          </cell>
        </row>
        <row r="106">
          <cell r="A106">
            <v>1900</v>
          </cell>
          <cell r="B106" t="str">
            <v xml:space="preserve">     ACC DEPR-ELECT PUMP EQUIP</v>
          </cell>
          <cell r="L106">
            <v>0</v>
          </cell>
        </row>
        <row r="107">
          <cell r="A107">
            <v>1905</v>
          </cell>
          <cell r="B107" t="str">
            <v xml:space="preserve">     ACC DEPR-ELECT PUMP EQUIP</v>
          </cell>
          <cell r="L107">
            <v>0</v>
          </cell>
        </row>
        <row r="108">
          <cell r="A108">
            <v>1910</v>
          </cell>
          <cell r="B108" t="str">
            <v xml:space="preserve">     ACC DEPR-WATER TREATMENT</v>
          </cell>
          <cell r="L108">
            <v>0</v>
          </cell>
        </row>
        <row r="109">
          <cell r="A109">
            <v>1915</v>
          </cell>
          <cell r="B109" t="str">
            <v xml:space="preserve">     ACC DEPR-DIST RESV &amp; STAN</v>
          </cell>
          <cell r="L109">
            <v>0</v>
          </cell>
        </row>
        <row r="110">
          <cell r="A110">
            <v>1920</v>
          </cell>
          <cell r="B110" t="str">
            <v xml:space="preserve">     ACC DEPR-TRANS &amp; DISTR MA</v>
          </cell>
          <cell r="L110">
            <v>0</v>
          </cell>
        </row>
        <row r="111">
          <cell r="A111">
            <v>1925</v>
          </cell>
          <cell r="B111" t="str">
            <v xml:space="preserve">     ACC DEPR-SERVICE LINES</v>
          </cell>
          <cell r="L111">
            <v>0</v>
          </cell>
        </row>
        <row r="112">
          <cell r="A112">
            <v>1930</v>
          </cell>
          <cell r="B112" t="str">
            <v xml:space="preserve">     ACC DEPR-METERS</v>
          </cell>
          <cell r="L112">
            <v>0</v>
          </cell>
        </row>
        <row r="113">
          <cell r="A113">
            <v>1935</v>
          </cell>
          <cell r="B113" t="str">
            <v xml:space="preserve">     ACC DEPR-METER INSTALLS</v>
          </cell>
          <cell r="L113">
            <v>0</v>
          </cell>
        </row>
        <row r="114">
          <cell r="A114">
            <v>1940</v>
          </cell>
          <cell r="B114" t="str">
            <v xml:space="preserve">     ACC DEPR-HYDRANTS</v>
          </cell>
          <cell r="L114">
            <v>0</v>
          </cell>
        </row>
        <row r="115">
          <cell r="A115">
            <v>1945</v>
          </cell>
          <cell r="B115" t="str">
            <v xml:space="preserve">     ACC DEPR-BACKFLOW PREVENT</v>
          </cell>
          <cell r="L115">
            <v>0</v>
          </cell>
        </row>
        <row r="116">
          <cell r="A116">
            <v>1955</v>
          </cell>
          <cell r="B116" t="str">
            <v xml:space="preserve">     ACC DEPR-OTH PLANT&amp;MISC S</v>
          </cell>
          <cell r="L116">
            <v>0</v>
          </cell>
        </row>
        <row r="117">
          <cell r="A117">
            <v>1960</v>
          </cell>
          <cell r="B117" t="str">
            <v xml:space="preserve">     ACC DEPR-OTH PLANT&amp;MISC W</v>
          </cell>
          <cell r="L117">
            <v>0</v>
          </cell>
        </row>
        <row r="118">
          <cell r="A118">
            <v>1970</v>
          </cell>
          <cell r="B118" t="str">
            <v xml:space="preserve">     ACC DEPR-OFFICE STRUCTURE</v>
          </cell>
          <cell r="L118">
            <v>0</v>
          </cell>
        </row>
        <row r="119">
          <cell r="A119">
            <v>1975</v>
          </cell>
          <cell r="B119" t="str">
            <v xml:space="preserve">     ACC DEPR-OFFICE FURN/EQPT</v>
          </cell>
          <cell r="L119">
            <v>0</v>
          </cell>
        </row>
        <row r="120">
          <cell r="A120">
            <v>1980</v>
          </cell>
          <cell r="B120" t="str">
            <v xml:space="preserve">     ACC DEPR-STORES EQUIPMENT</v>
          </cell>
          <cell r="L120">
            <v>0</v>
          </cell>
        </row>
        <row r="121">
          <cell r="A121">
            <v>1985</v>
          </cell>
          <cell r="B121" t="str">
            <v xml:space="preserve">     ACC DEPR-TOOL SHOP &amp; MISC</v>
          </cell>
          <cell r="L121">
            <v>0</v>
          </cell>
        </row>
        <row r="122">
          <cell r="A122">
            <v>1990</v>
          </cell>
          <cell r="B122" t="str">
            <v xml:space="preserve">     ACC DEPR-LABORATORY EQUIP</v>
          </cell>
          <cell r="L122">
            <v>0</v>
          </cell>
        </row>
        <row r="123">
          <cell r="A123">
            <v>1995</v>
          </cell>
          <cell r="B123" t="str">
            <v xml:space="preserve">     ACC DEPR-POWER OPERATED E</v>
          </cell>
          <cell r="L123">
            <v>0</v>
          </cell>
        </row>
        <row r="124">
          <cell r="A124">
            <v>2000</v>
          </cell>
          <cell r="B124" t="str">
            <v xml:space="preserve">     ACC DEPR-COMMUNICATION EQ</v>
          </cell>
          <cell r="L124">
            <v>0</v>
          </cell>
        </row>
        <row r="125">
          <cell r="A125">
            <v>2005</v>
          </cell>
          <cell r="B125" t="str">
            <v xml:space="preserve">     ACC DEPR-MISC EQUIPMENT</v>
          </cell>
          <cell r="L125">
            <v>0</v>
          </cell>
        </row>
        <row r="126">
          <cell r="A126">
            <v>2010</v>
          </cell>
          <cell r="B126" t="str">
            <v xml:space="preserve">     ACC DEPR-OTHER TANG PLT W</v>
          </cell>
          <cell r="L126">
            <v>0</v>
          </cell>
        </row>
        <row r="127">
          <cell r="A127">
            <v>2030</v>
          </cell>
          <cell r="B127" t="str">
            <v xml:space="preserve">     ACC DEPR-ORGANIZATION</v>
          </cell>
          <cell r="L127">
            <v>0</v>
          </cell>
        </row>
        <row r="128">
          <cell r="A128">
            <v>2040</v>
          </cell>
          <cell r="B128" t="str">
            <v xml:space="preserve">     ACC DEPR FRANCHISES INTAN</v>
          </cell>
          <cell r="L128">
            <v>0</v>
          </cell>
        </row>
        <row r="129">
          <cell r="A129">
            <v>2050</v>
          </cell>
          <cell r="B129" t="str">
            <v xml:space="preserve">     ACC DEPR-STRUCT/IMPRV COL</v>
          </cell>
          <cell r="L129">
            <v>0</v>
          </cell>
        </row>
        <row r="130">
          <cell r="A130">
            <v>2055</v>
          </cell>
          <cell r="B130" t="str">
            <v xml:space="preserve">     ACC DEPR-STRUCT/IMPRV PUM</v>
          </cell>
          <cell r="L130">
            <v>0</v>
          </cell>
        </row>
        <row r="131">
          <cell r="A131">
            <v>2060</v>
          </cell>
          <cell r="B131" t="str">
            <v xml:space="preserve">     ACC DEPR-STRUCT/IMPRV TRE</v>
          </cell>
          <cell r="L131">
            <v>0</v>
          </cell>
        </row>
        <row r="132">
          <cell r="A132">
            <v>2065</v>
          </cell>
          <cell r="B132" t="str">
            <v xml:space="preserve">     ACC DEPR-STRUCT/IMPRV RCL</v>
          </cell>
          <cell r="L132">
            <v>0</v>
          </cell>
        </row>
        <row r="133">
          <cell r="A133">
            <v>2070</v>
          </cell>
          <cell r="B133" t="str">
            <v xml:space="preserve">     ACC DEPR-STRUCT/IMPRV RCL</v>
          </cell>
          <cell r="L133">
            <v>0</v>
          </cell>
        </row>
        <row r="134">
          <cell r="A134">
            <v>2075</v>
          </cell>
          <cell r="B134" t="str">
            <v xml:space="preserve">     ACC DEPR-STRUCT/IMPRV GEN</v>
          </cell>
          <cell r="L134">
            <v>0</v>
          </cell>
        </row>
        <row r="135">
          <cell r="A135">
            <v>2080</v>
          </cell>
          <cell r="B135" t="str">
            <v xml:space="preserve">     ACC DEPR-PWR GEN EQP COLL</v>
          </cell>
          <cell r="L135">
            <v>0</v>
          </cell>
        </row>
        <row r="136">
          <cell r="A136">
            <v>2085</v>
          </cell>
          <cell r="B136" t="str">
            <v xml:space="preserve">     ACC DEPR-PWR GEN EQP PUMP</v>
          </cell>
          <cell r="L136">
            <v>0</v>
          </cell>
        </row>
        <row r="137">
          <cell r="A137">
            <v>2090</v>
          </cell>
          <cell r="B137" t="str">
            <v xml:space="preserve">     ACC DEPR-PWR GEN EQP TRT</v>
          </cell>
          <cell r="L137">
            <v>0</v>
          </cell>
        </row>
        <row r="138">
          <cell r="A138">
            <v>2105</v>
          </cell>
          <cell r="B138" t="str">
            <v xml:space="preserve">     ACC DEPR-SEWER FORCE MAIN</v>
          </cell>
          <cell r="L138">
            <v>0</v>
          </cell>
        </row>
        <row r="139">
          <cell r="A139">
            <v>2110</v>
          </cell>
          <cell r="B139" t="str">
            <v xml:space="preserve">     ACC DEPR-SEWER GRAVITY MA</v>
          </cell>
          <cell r="L139">
            <v>0</v>
          </cell>
        </row>
        <row r="140">
          <cell r="A140">
            <v>2113</v>
          </cell>
          <cell r="B140" t="str">
            <v xml:space="preserve">     ACC DEPR-MANHOLES</v>
          </cell>
          <cell r="L140">
            <v>0</v>
          </cell>
        </row>
        <row r="141">
          <cell r="A141">
            <v>2115</v>
          </cell>
          <cell r="B141" t="str">
            <v xml:space="preserve">     ACC DEPR-SPECIAL COLL STR</v>
          </cell>
          <cell r="L141">
            <v>0</v>
          </cell>
        </row>
        <row r="142">
          <cell r="A142">
            <v>2120</v>
          </cell>
          <cell r="B142" t="str">
            <v xml:space="preserve">     ACC DEPR-SERVICES TO CUST</v>
          </cell>
          <cell r="L142">
            <v>0</v>
          </cell>
        </row>
        <row r="143">
          <cell r="A143">
            <v>2125</v>
          </cell>
          <cell r="B143" t="str">
            <v xml:space="preserve">     ACC DEPR-FLOW MEASURE DEV</v>
          </cell>
          <cell r="L143">
            <v>0</v>
          </cell>
        </row>
        <row r="144">
          <cell r="A144">
            <v>2130</v>
          </cell>
          <cell r="B144" t="str">
            <v xml:space="preserve">     ACC DEPR-FLOW MEASURE INS</v>
          </cell>
          <cell r="L144">
            <v>0</v>
          </cell>
        </row>
        <row r="145">
          <cell r="A145">
            <v>2135</v>
          </cell>
          <cell r="B145" t="str">
            <v xml:space="preserve">     ACC DEPR-RECEIVING WELLS</v>
          </cell>
          <cell r="L145">
            <v>0</v>
          </cell>
        </row>
        <row r="146">
          <cell r="A146">
            <v>2140</v>
          </cell>
          <cell r="B146" t="str">
            <v xml:space="preserve">     ACC DEPR-PUMP EQP PUMP PL</v>
          </cell>
          <cell r="L146">
            <v>0</v>
          </cell>
        </row>
        <row r="147">
          <cell r="A147">
            <v>2145</v>
          </cell>
          <cell r="B147" t="str">
            <v xml:space="preserve">     ACC DEPR-PUMP EQP RCLM WT</v>
          </cell>
          <cell r="L147">
            <v>0</v>
          </cell>
        </row>
        <row r="148">
          <cell r="A148">
            <v>2150</v>
          </cell>
          <cell r="B148" t="str">
            <v xml:space="preserve">     ACC DEPR-PUMP EQP RCLM DI</v>
          </cell>
          <cell r="L148">
            <v>0</v>
          </cell>
        </row>
        <row r="149">
          <cell r="A149">
            <v>2155</v>
          </cell>
          <cell r="B149" t="str">
            <v xml:space="preserve">     ACC DEPR-TREAT/DISP EQP L</v>
          </cell>
          <cell r="L149">
            <v>0</v>
          </cell>
        </row>
        <row r="150">
          <cell r="A150">
            <v>2160</v>
          </cell>
          <cell r="B150" t="str">
            <v xml:space="preserve">     ACC DEPR-TREAT/DISP EQP T</v>
          </cell>
          <cell r="L150">
            <v>0</v>
          </cell>
        </row>
        <row r="151">
          <cell r="A151">
            <v>2165</v>
          </cell>
          <cell r="B151" t="str">
            <v xml:space="preserve">     ACC DEPR-TREAT/DISP EQP R</v>
          </cell>
          <cell r="L151">
            <v>0</v>
          </cell>
        </row>
        <row r="152">
          <cell r="A152">
            <v>2170</v>
          </cell>
          <cell r="B152" t="str">
            <v xml:space="preserve">     ACC DEPR-PLANT SEWERS TRT</v>
          </cell>
          <cell r="L152">
            <v>0</v>
          </cell>
        </row>
        <row r="153">
          <cell r="A153">
            <v>2175</v>
          </cell>
          <cell r="B153" t="str">
            <v xml:space="preserve">     ACC DEPR-PLANT SEWERS REC</v>
          </cell>
          <cell r="L153">
            <v>0</v>
          </cell>
        </row>
        <row r="154">
          <cell r="A154">
            <v>2180</v>
          </cell>
          <cell r="B154" t="str">
            <v xml:space="preserve">     ACC DEPR-OUTFALL LINES</v>
          </cell>
          <cell r="L154">
            <v>0</v>
          </cell>
        </row>
        <row r="155">
          <cell r="A155">
            <v>2185</v>
          </cell>
          <cell r="B155" t="str">
            <v xml:space="preserve">     ACC DEPR-OTHER PLT TANGIB</v>
          </cell>
          <cell r="L155">
            <v>0</v>
          </cell>
        </row>
        <row r="156">
          <cell r="A156">
            <v>2190</v>
          </cell>
          <cell r="B156" t="str">
            <v xml:space="preserve">     ACC DEPR-OTHER PLT COLLEC</v>
          </cell>
          <cell r="L156">
            <v>0</v>
          </cell>
        </row>
        <row r="157">
          <cell r="A157">
            <v>2195</v>
          </cell>
          <cell r="B157" t="str">
            <v xml:space="preserve">     ACC DEPR-OTHER PLT PUMP</v>
          </cell>
          <cell r="L157">
            <v>0</v>
          </cell>
        </row>
        <row r="158">
          <cell r="A158">
            <v>2200</v>
          </cell>
          <cell r="B158" t="str">
            <v xml:space="preserve">     ACC DEPR-OTHER PLT TREATM</v>
          </cell>
          <cell r="L158">
            <v>0</v>
          </cell>
        </row>
        <row r="159">
          <cell r="A159">
            <v>2205</v>
          </cell>
          <cell r="B159" t="str">
            <v xml:space="preserve">     ACC DEPR-OTHER PLT RCLM W</v>
          </cell>
          <cell r="L159">
            <v>0</v>
          </cell>
        </row>
        <row r="160">
          <cell r="A160">
            <v>2210</v>
          </cell>
          <cell r="B160" t="str">
            <v xml:space="preserve">     ACC DEPR-OTHER PLT RCLM D</v>
          </cell>
          <cell r="L160">
            <v>0</v>
          </cell>
        </row>
        <row r="161">
          <cell r="A161">
            <v>2215</v>
          </cell>
          <cell r="B161" t="str">
            <v xml:space="preserve">     ACC DEPR-OFFICE STRUCTURE</v>
          </cell>
          <cell r="L161">
            <v>0</v>
          </cell>
        </row>
        <row r="162">
          <cell r="A162">
            <v>2220</v>
          </cell>
          <cell r="B162" t="str">
            <v xml:space="preserve">     ACC DEPR-OFFICE FURN/EQPT</v>
          </cell>
          <cell r="L162">
            <v>0</v>
          </cell>
        </row>
        <row r="163">
          <cell r="A163">
            <v>2225</v>
          </cell>
          <cell r="B163" t="str">
            <v xml:space="preserve">     ACC DEPR-STORES EQUIPMENT</v>
          </cell>
          <cell r="L163">
            <v>0</v>
          </cell>
        </row>
        <row r="164">
          <cell r="A164">
            <v>2230</v>
          </cell>
          <cell r="B164" t="str">
            <v xml:space="preserve">     ACC DEPR-TOOL SHOP &amp; MISC</v>
          </cell>
          <cell r="L164">
            <v>0</v>
          </cell>
        </row>
        <row r="165">
          <cell r="A165">
            <v>2235</v>
          </cell>
          <cell r="B165" t="str">
            <v xml:space="preserve">     ACC DEPR-LABORATORY EQPT</v>
          </cell>
          <cell r="L165">
            <v>0</v>
          </cell>
        </row>
        <row r="166">
          <cell r="A166">
            <v>2240</v>
          </cell>
          <cell r="B166" t="str">
            <v xml:space="preserve">     ACC DEPR-POWER OPERATED E</v>
          </cell>
          <cell r="L166">
            <v>0</v>
          </cell>
        </row>
        <row r="167">
          <cell r="A167">
            <v>2245</v>
          </cell>
          <cell r="B167" t="str">
            <v xml:space="preserve">     ACC DEPR-COMMUNICATION EQ</v>
          </cell>
          <cell r="L167">
            <v>0</v>
          </cell>
        </row>
        <row r="168">
          <cell r="A168">
            <v>2250</v>
          </cell>
          <cell r="B168" t="str">
            <v xml:space="preserve">     ACC DEPR-MISC EQUIP SEWER</v>
          </cell>
          <cell r="L168">
            <v>0</v>
          </cell>
        </row>
        <row r="169">
          <cell r="A169">
            <v>2255</v>
          </cell>
          <cell r="B169" t="str">
            <v xml:space="preserve">     ACC DEPR-OTHER TANG PLT S</v>
          </cell>
          <cell r="L169">
            <v>0</v>
          </cell>
        </row>
        <row r="170">
          <cell r="A170">
            <v>2280</v>
          </cell>
          <cell r="B170" t="str">
            <v xml:space="preserve">     ACC DEPR-REUSE DIST RESER</v>
          </cell>
          <cell r="L170">
            <v>0</v>
          </cell>
        </row>
        <row r="171">
          <cell r="A171">
            <v>2285</v>
          </cell>
          <cell r="B171" t="str">
            <v xml:space="preserve">     ACC DEPR-REUSE TRANS/DIST</v>
          </cell>
          <cell r="L171">
            <v>0</v>
          </cell>
        </row>
        <row r="172">
          <cell r="A172">
            <v>2400</v>
          </cell>
          <cell r="B172" t="str">
            <v xml:space="preserve">    UTILITY PAA WTR PLANT AMOR</v>
          </cell>
          <cell r="L172">
            <v>0</v>
          </cell>
        </row>
        <row r="173">
          <cell r="A173">
            <v>2410</v>
          </cell>
          <cell r="B173" t="str">
            <v xml:space="preserve">    UTILITY PAA SWR PLANT AMOR</v>
          </cell>
          <cell r="L173">
            <v>0</v>
          </cell>
        </row>
        <row r="174">
          <cell r="A174">
            <v>2420</v>
          </cell>
          <cell r="B174" t="str">
            <v xml:space="preserve">    ACC AMORT UTIL PAA-WATER</v>
          </cell>
          <cell r="L174">
            <v>0</v>
          </cell>
        </row>
        <row r="175">
          <cell r="A175">
            <v>2425</v>
          </cell>
          <cell r="B175" t="str">
            <v xml:space="preserve">    ACC AMORT UTIL PAA-SEWER</v>
          </cell>
          <cell r="L175">
            <v>0</v>
          </cell>
        </row>
        <row r="176">
          <cell r="B176" t="str">
            <v>Accumulated Depreciation (Water)</v>
          </cell>
          <cell r="L176">
            <v>-986141.01655429567</v>
          </cell>
        </row>
        <row r="177">
          <cell r="B177" t="str">
            <v>Accumulated Depreciation (Sewer)</v>
          </cell>
          <cell r="L177">
            <v>-2054991.9396482522</v>
          </cell>
        </row>
        <row r="178">
          <cell r="B178" t="str">
            <v>PAA (Water)</v>
          </cell>
          <cell r="L178">
            <v>-16445.1132</v>
          </cell>
        </row>
        <row r="179">
          <cell r="B179" t="str">
            <v>PAA (Sewer)</v>
          </cell>
          <cell r="L179">
            <v>-33892.22</v>
          </cell>
        </row>
        <row r="180">
          <cell r="B180" t="str">
            <v>PAA Accumulated Amortization (Water)</v>
          </cell>
          <cell r="L180">
            <v>8353.556799999993</v>
          </cell>
        </row>
        <row r="181">
          <cell r="B181" t="str">
            <v>PAA Accumulated Amortization (Sewer)</v>
          </cell>
          <cell r="L181">
            <v>17009.24000000002</v>
          </cell>
        </row>
        <row r="182">
          <cell r="A182">
            <v>2640</v>
          </cell>
          <cell r="B182" t="str">
            <v xml:space="preserve">     CASH-CHASE-WSC DISBURSEME</v>
          </cell>
          <cell r="L182" t="e">
            <v>#VALUE!</v>
          </cell>
        </row>
        <row r="183">
          <cell r="A183">
            <v>2650</v>
          </cell>
          <cell r="B183" t="str">
            <v xml:space="preserve">     CASH-WSC PETTY CASH-CHASE</v>
          </cell>
          <cell r="L183" t="e">
            <v>#VALUE!</v>
          </cell>
        </row>
        <row r="184">
          <cell r="A184">
            <v>2675</v>
          </cell>
          <cell r="B184" t="str">
            <v xml:space="preserve">     A/R-CUSTOMER TRADE CC&amp;B</v>
          </cell>
          <cell r="L184" t="e">
            <v>#VALUE!</v>
          </cell>
        </row>
        <row r="185">
          <cell r="A185">
            <v>2680</v>
          </cell>
          <cell r="B185" t="str">
            <v xml:space="preserve">     A/R-CUSTOMER ACCRUAL</v>
          </cell>
          <cell r="L185" t="e">
            <v>#VALUE!</v>
          </cell>
        </row>
        <row r="186">
          <cell r="A186">
            <v>2685</v>
          </cell>
          <cell r="B186" t="str">
            <v xml:space="preserve">     A/R-CUSTOMER REFUNDS</v>
          </cell>
          <cell r="L186" t="e">
            <v>#VALUE!</v>
          </cell>
        </row>
        <row r="187">
          <cell r="A187">
            <v>2690</v>
          </cell>
          <cell r="B187" t="str">
            <v xml:space="preserve">    ACCUM PROV UNCOLLECT ACCTS</v>
          </cell>
          <cell r="L187" t="e">
            <v>#VALUE!</v>
          </cell>
        </row>
        <row r="188">
          <cell r="A188">
            <v>2710</v>
          </cell>
          <cell r="B188" t="str">
            <v xml:space="preserve">    A/R ASSOC COS</v>
          </cell>
          <cell r="L188" t="e">
            <v>#VALUE!</v>
          </cell>
        </row>
        <row r="189">
          <cell r="A189">
            <v>2775</v>
          </cell>
          <cell r="B189" t="str">
            <v xml:space="preserve">    SPECIAL DEPOSITS</v>
          </cell>
          <cell r="L189" t="e">
            <v>#VALUE!</v>
          </cell>
        </row>
        <row r="190">
          <cell r="A190">
            <v>2856</v>
          </cell>
          <cell r="B190" t="str">
            <v xml:space="preserve">     PRELIMINARY SURVEY</v>
          </cell>
          <cell r="L190" t="e">
            <v>#VALUE!</v>
          </cell>
        </row>
        <row r="191">
          <cell r="A191">
            <v>2914</v>
          </cell>
          <cell r="B191" t="str">
            <v xml:space="preserve">     RATE CASE IN PROGRESS</v>
          </cell>
          <cell r="L191" t="e">
            <v>#VALUE!</v>
          </cell>
        </row>
        <row r="192">
          <cell r="A192">
            <v>2915</v>
          </cell>
          <cell r="B192" t="str">
            <v xml:space="preserve">     REG EXP BEING AMORT</v>
          </cell>
          <cell r="L192" t="e">
            <v>#VALUE!</v>
          </cell>
        </row>
        <row r="193">
          <cell r="A193">
            <v>2920</v>
          </cell>
          <cell r="B193" t="str">
            <v xml:space="preserve">     RATE CASE BEING AMORT</v>
          </cell>
          <cell r="L193" t="e">
            <v>#VALUE!</v>
          </cell>
        </row>
        <row r="194">
          <cell r="A194">
            <v>2925</v>
          </cell>
          <cell r="B194" t="str">
            <v xml:space="preserve">     MISC REGULATORY COMM EXP</v>
          </cell>
          <cell r="L194" t="e">
            <v>#VALUE!</v>
          </cell>
        </row>
        <row r="195">
          <cell r="A195">
            <v>2930</v>
          </cell>
          <cell r="B195" t="str">
            <v xml:space="preserve">     RATE CASE ACCUM AMORT</v>
          </cell>
          <cell r="L195" t="e">
            <v>#VALUE!</v>
          </cell>
        </row>
        <row r="196">
          <cell r="A196">
            <v>2940</v>
          </cell>
          <cell r="B196" t="str">
            <v xml:space="preserve">     ORIG COST AMORTIZATION</v>
          </cell>
          <cell r="L196" t="e">
            <v>#VALUE!</v>
          </cell>
        </row>
        <row r="197">
          <cell r="A197">
            <v>2955</v>
          </cell>
          <cell r="B197" t="str">
            <v xml:space="preserve">     DEF CHGS-CUSTOMER COMPLAI</v>
          </cell>
          <cell r="L197" t="e">
            <v>#VALUE!</v>
          </cell>
        </row>
        <row r="198">
          <cell r="A198">
            <v>2960</v>
          </cell>
          <cell r="B198" t="str">
            <v xml:space="preserve">     DEF CHGS-TANK MAINT&amp;REP W</v>
          </cell>
          <cell r="L198" t="e">
            <v>#VALUE!</v>
          </cell>
        </row>
        <row r="199">
          <cell r="A199">
            <v>2965</v>
          </cell>
          <cell r="B199" t="str">
            <v xml:space="preserve">     DEF CHGS-RELOCATION EXPEN</v>
          </cell>
          <cell r="L199" t="e">
            <v>#VALUE!</v>
          </cell>
        </row>
        <row r="200">
          <cell r="A200">
            <v>2985</v>
          </cell>
          <cell r="B200" t="str">
            <v xml:space="preserve">     DEF CHGS-OTHER</v>
          </cell>
          <cell r="L200" t="e">
            <v>#VALUE!</v>
          </cell>
        </row>
        <row r="201">
          <cell r="A201">
            <v>3005</v>
          </cell>
          <cell r="B201" t="str">
            <v xml:space="preserve">     DEF CHGS-VOC TESTING</v>
          </cell>
          <cell r="L201" t="e">
            <v>#VALUE!</v>
          </cell>
        </row>
        <row r="202">
          <cell r="A202">
            <v>3020</v>
          </cell>
          <cell r="B202" t="str">
            <v xml:space="preserve">     DEF CHGS-SLUDGE HAULING</v>
          </cell>
          <cell r="L202" t="e">
            <v>#VALUE!</v>
          </cell>
        </row>
        <row r="203">
          <cell r="A203">
            <v>3040</v>
          </cell>
          <cell r="B203" t="str">
            <v xml:space="preserve">     DEF CHGS-TANK MAINT&amp;REP S</v>
          </cell>
          <cell r="L203" t="e">
            <v>#VALUE!</v>
          </cell>
        </row>
        <row r="204">
          <cell r="A204">
            <v>3090</v>
          </cell>
          <cell r="B204" t="str">
            <v xml:space="preserve">     AMORT - CUSTOMER COMPLAIN</v>
          </cell>
          <cell r="L204" t="e">
            <v>#VALUE!</v>
          </cell>
        </row>
        <row r="205">
          <cell r="A205">
            <v>3110</v>
          </cell>
          <cell r="B205" t="str">
            <v xml:space="preserve">     AMORT - TANK MAINT&amp;REP WT</v>
          </cell>
          <cell r="L205" t="e">
            <v>#VALUE!</v>
          </cell>
        </row>
        <row r="206">
          <cell r="A206">
            <v>3120</v>
          </cell>
          <cell r="B206" t="str">
            <v xml:space="preserve">     AMORT - RELOCATION EXP</v>
          </cell>
          <cell r="L206" t="e">
            <v>#VALUE!</v>
          </cell>
        </row>
        <row r="207">
          <cell r="A207">
            <v>3140</v>
          </cell>
          <cell r="B207" t="str">
            <v xml:space="preserve">     AMORT - OTHER</v>
          </cell>
          <cell r="L207" t="e">
            <v>#VALUE!</v>
          </cell>
        </row>
        <row r="208">
          <cell r="A208">
            <v>3160</v>
          </cell>
          <cell r="B208" t="str">
            <v xml:space="preserve">     AMORT - VOC TESTING</v>
          </cell>
          <cell r="L208" t="e">
            <v>#VALUE!</v>
          </cell>
        </row>
        <row r="209">
          <cell r="A209">
            <v>3175</v>
          </cell>
          <cell r="B209" t="str">
            <v xml:space="preserve">     AMORT - SLUDGE HAULING</v>
          </cell>
          <cell r="L209" t="e">
            <v>#VALUE!</v>
          </cell>
        </row>
        <row r="210">
          <cell r="A210">
            <v>3195</v>
          </cell>
          <cell r="B210" t="str">
            <v xml:space="preserve">     AMORT - TANK MAINT&amp;REP SW</v>
          </cell>
          <cell r="L210" t="e">
            <v>#VALUE!</v>
          </cell>
        </row>
        <row r="211">
          <cell r="A211">
            <v>3225</v>
          </cell>
          <cell r="B211" t="str">
            <v xml:space="preserve">    ADV-IN-AID OF CONST-WATER</v>
          </cell>
          <cell r="L211" t="e">
            <v>#VALUE!</v>
          </cell>
        </row>
        <row r="212">
          <cell r="A212">
            <v>3230</v>
          </cell>
          <cell r="B212" t="str">
            <v xml:space="preserve">    ADV-IN-AID OF CONST-SEWER</v>
          </cell>
          <cell r="L212" t="e">
            <v>#VALUE!</v>
          </cell>
        </row>
        <row r="213">
          <cell r="A213">
            <v>3295</v>
          </cell>
          <cell r="B213" t="str">
            <v xml:space="preserve">     CIAC-WELLS &amp; SPRINGS</v>
          </cell>
          <cell r="L213">
            <v>0</v>
          </cell>
        </row>
        <row r="214">
          <cell r="A214">
            <v>3335</v>
          </cell>
          <cell r="B214" t="str">
            <v xml:space="preserve">     CIAC-DIST RESV &amp; STANDPIP</v>
          </cell>
          <cell r="L214">
            <v>0</v>
          </cell>
        </row>
        <row r="215">
          <cell r="A215">
            <v>3340</v>
          </cell>
          <cell r="B215" t="str">
            <v xml:space="preserve">     CIAC-TRANS &amp; DISTR MAINS</v>
          </cell>
          <cell r="L215">
            <v>0</v>
          </cell>
        </row>
        <row r="216">
          <cell r="A216">
            <v>3345</v>
          </cell>
          <cell r="B216" t="str">
            <v xml:space="preserve">     CIAC-SERVICE LINES</v>
          </cell>
          <cell r="L216">
            <v>0</v>
          </cell>
        </row>
        <row r="217">
          <cell r="A217">
            <v>3360</v>
          </cell>
          <cell r="B217" t="str">
            <v xml:space="preserve">     CIAC-HYDRANTS</v>
          </cell>
          <cell r="L217">
            <v>0</v>
          </cell>
        </row>
        <row r="218">
          <cell r="A218">
            <v>3430</v>
          </cell>
          <cell r="B218" t="str">
            <v xml:space="preserve">     CIAC-OTHER TANGIBLE PLT W</v>
          </cell>
          <cell r="L218">
            <v>0</v>
          </cell>
        </row>
        <row r="219">
          <cell r="A219">
            <v>3435</v>
          </cell>
          <cell r="B219" t="str">
            <v xml:space="preserve">     CIAC-WATER-TAP</v>
          </cell>
          <cell r="L219">
            <v>0</v>
          </cell>
        </row>
        <row r="220">
          <cell r="A220">
            <v>3450</v>
          </cell>
          <cell r="B220" t="str">
            <v xml:space="preserve">     CIAC-WTR PLT MOD FEE</v>
          </cell>
          <cell r="L220">
            <v>0</v>
          </cell>
        </row>
        <row r="221">
          <cell r="A221">
            <v>3455</v>
          </cell>
          <cell r="B221" t="str">
            <v xml:space="preserve">     CIAC-WTR PLT MTR FEE</v>
          </cell>
          <cell r="L221">
            <v>0</v>
          </cell>
        </row>
        <row r="222">
          <cell r="A222">
            <v>3500</v>
          </cell>
          <cell r="B222" t="str">
            <v xml:space="preserve">     CIAC-STRUCT/IMPRV PUMP PL</v>
          </cell>
          <cell r="L222">
            <v>0</v>
          </cell>
        </row>
        <row r="223">
          <cell r="A223">
            <v>3505</v>
          </cell>
          <cell r="B223" t="str">
            <v xml:space="preserve">     CIAC-STRUCT/IMPRV TREAT P</v>
          </cell>
          <cell r="L223">
            <v>0</v>
          </cell>
        </row>
        <row r="224">
          <cell r="A224">
            <v>3520</v>
          </cell>
          <cell r="B224" t="str">
            <v xml:space="preserve">     CIAC-STRUCT/IMPRV GEN PLT</v>
          </cell>
          <cell r="L224">
            <v>0</v>
          </cell>
        </row>
        <row r="225">
          <cell r="A225">
            <v>3555</v>
          </cell>
          <cell r="B225" t="str">
            <v xml:space="preserve">     CIAC-SEWER GRAVITY MAIN</v>
          </cell>
          <cell r="L225">
            <v>0</v>
          </cell>
        </row>
        <row r="226">
          <cell r="A226">
            <v>3557</v>
          </cell>
          <cell r="B226" t="str">
            <v xml:space="preserve">     CIAC-MANHOLES</v>
          </cell>
          <cell r="L226">
            <v>0</v>
          </cell>
        </row>
        <row r="227">
          <cell r="A227">
            <v>3565</v>
          </cell>
          <cell r="B227" t="str">
            <v xml:space="preserve">     CIAC-SERVICES TO CUSTOMER</v>
          </cell>
          <cell r="L227">
            <v>0</v>
          </cell>
        </row>
        <row r="228">
          <cell r="A228">
            <v>3605</v>
          </cell>
          <cell r="B228" t="str">
            <v xml:space="preserve">     CIAC-TREAT/DISP EQUIP TRT</v>
          </cell>
          <cell r="L228">
            <v>0</v>
          </cell>
        </row>
        <row r="229">
          <cell r="A229">
            <v>3705</v>
          </cell>
          <cell r="B229" t="str">
            <v xml:space="preserve">     CIAC-SEWER-TAP</v>
          </cell>
          <cell r="L229">
            <v>0</v>
          </cell>
        </row>
        <row r="230">
          <cell r="A230">
            <v>3720</v>
          </cell>
          <cell r="B230" t="str">
            <v xml:space="preserve">     CIAC-SWR PLT MOD FEE</v>
          </cell>
          <cell r="L230">
            <v>0</v>
          </cell>
        </row>
        <row r="231">
          <cell r="A231">
            <v>3800</v>
          </cell>
          <cell r="B231" t="str">
            <v xml:space="preserve">     ACC AMORT ORGANIZATION</v>
          </cell>
          <cell r="L231">
            <v>0</v>
          </cell>
        </row>
        <row r="232">
          <cell r="A232">
            <v>3840</v>
          </cell>
          <cell r="B232" t="str">
            <v xml:space="preserve">     ACC AMORT WELLS &amp; SPRINGS</v>
          </cell>
          <cell r="L232">
            <v>0</v>
          </cell>
        </row>
        <row r="233">
          <cell r="A233">
            <v>3885</v>
          </cell>
          <cell r="B233" t="str">
            <v xml:space="preserve">     ACC AMORT TRANS &amp; DISTR M</v>
          </cell>
          <cell r="L233">
            <v>0</v>
          </cell>
        </row>
        <row r="234">
          <cell r="A234">
            <v>3890</v>
          </cell>
          <cell r="B234" t="str">
            <v xml:space="preserve">     ACC AMORT SERVICE LINES</v>
          </cell>
          <cell r="L234">
            <v>0</v>
          </cell>
        </row>
        <row r="235">
          <cell r="A235">
            <v>3905</v>
          </cell>
          <cell r="B235" t="str">
            <v xml:space="preserve">     ACC AMORT HYDRANTS</v>
          </cell>
          <cell r="L235">
            <v>0</v>
          </cell>
        </row>
        <row r="236">
          <cell r="A236">
            <v>3975</v>
          </cell>
          <cell r="B236" t="str">
            <v xml:space="preserve">     ACC AMORT OTHER TANG PLT</v>
          </cell>
          <cell r="L236">
            <v>0</v>
          </cell>
        </row>
        <row r="237">
          <cell r="A237">
            <v>3980</v>
          </cell>
          <cell r="B237" t="str">
            <v xml:space="preserve">     ACC AMORT WATER-CIAC TAP</v>
          </cell>
          <cell r="L237">
            <v>0</v>
          </cell>
        </row>
        <row r="238">
          <cell r="A238">
            <v>4000</v>
          </cell>
          <cell r="B238" t="str">
            <v xml:space="preserve">     ACC AMORT WTR PLT MOD FEE</v>
          </cell>
          <cell r="L238">
            <v>0</v>
          </cell>
        </row>
        <row r="239">
          <cell r="A239">
            <v>4005</v>
          </cell>
          <cell r="B239" t="str">
            <v xml:space="preserve">     ACC AMORT WTR PLT MTR FEE</v>
          </cell>
          <cell r="L239">
            <v>0</v>
          </cell>
        </row>
        <row r="240">
          <cell r="A240">
            <v>4030</v>
          </cell>
          <cell r="B240" t="str">
            <v xml:space="preserve">     ACC AMORT ORGANIZATION</v>
          </cell>
          <cell r="L240">
            <v>0</v>
          </cell>
        </row>
        <row r="241">
          <cell r="A241">
            <v>4050</v>
          </cell>
          <cell r="B241" t="str">
            <v xml:space="preserve">     ACC AMORTSTRUCT/IMPRV PUM</v>
          </cell>
          <cell r="L241">
            <v>0</v>
          </cell>
        </row>
        <row r="242">
          <cell r="A242">
            <v>4055</v>
          </cell>
          <cell r="B242" t="str">
            <v xml:space="preserve">     ACC AMORTSTRUCT/IMPRV TRE</v>
          </cell>
          <cell r="L242">
            <v>0</v>
          </cell>
        </row>
        <row r="243">
          <cell r="A243">
            <v>4070</v>
          </cell>
          <cell r="B243" t="str">
            <v xml:space="preserve">     ACC AMORTSTRUCT/IMPRV GEN</v>
          </cell>
          <cell r="L243">
            <v>0</v>
          </cell>
        </row>
        <row r="244">
          <cell r="A244">
            <v>4105</v>
          </cell>
          <cell r="B244" t="str">
            <v xml:space="preserve">     ACC AMORT SEWER GRAVITY M</v>
          </cell>
          <cell r="L244">
            <v>0</v>
          </cell>
        </row>
        <row r="245">
          <cell r="A245">
            <v>4115</v>
          </cell>
          <cell r="B245" t="str">
            <v xml:space="preserve">     ACC AMORT SERVICES TO CUS</v>
          </cell>
          <cell r="L245">
            <v>0</v>
          </cell>
        </row>
        <row r="246">
          <cell r="A246">
            <v>4265</v>
          </cell>
          <cell r="B246" t="str">
            <v xml:space="preserve">     ACC AMORT SEWER-TAP</v>
          </cell>
          <cell r="L246">
            <v>0</v>
          </cell>
        </row>
        <row r="247">
          <cell r="A247">
            <v>4280</v>
          </cell>
          <cell r="B247" t="str">
            <v xml:space="preserve">     ACC AMORT SWR PLT MOD FEE</v>
          </cell>
          <cell r="L247">
            <v>0</v>
          </cell>
        </row>
        <row r="248">
          <cell r="B248" t="str">
            <v>CIAC (Water)</v>
          </cell>
          <cell r="L248">
            <v>-2322895.6671815161</v>
          </cell>
        </row>
        <row r="249">
          <cell r="B249" t="str">
            <v>CIAC (Sewer)</v>
          </cell>
          <cell r="L249">
            <v>-6198238.9539999999</v>
          </cell>
        </row>
        <row r="250">
          <cell r="B250" t="str">
            <v>CIAC Accumulated Amortization (Water)</v>
          </cell>
          <cell r="L250">
            <v>694878.58000000077</v>
          </cell>
        </row>
        <row r="251">
          <cell r="B251" t="str">
            <v>CIAC Accumulated Amortization (Sewer)</v>
          </cell>
          <cell r="L251">
            <v>1955637.0599999998</v>
          </cell>
        </row>
        <row r="252">
          <cell r="A252">
            <v>4356</v>
          </cell>
          <cell r="B252" t="str">
            <v xml:space="preserve">     COST FREE CAPITAL-WATER</v>
          </cell>
          <cell r="L252" t="e">
            <v>#VALUE!</v>
          </cell>
        </row>
        <row r="253">
          <cell r="A253">
            <v>4357</v>
          </cell>
          <cell r="B253" t="str">
            <v xml:space="preserve">     COST FREE CAPITAL-SEWER</v>
          </cell>
          <cell r="L253" t="e">
            <v>#VALUE!</v>
          </cell>
        </row>
        <row r="254">
          <cell r="A254">
            <v>4358</v>
          </cell>
          <cell r="B254" t="str">
            <v xml:space="preserve">     GOS &amp; FLOW BACK TAXES-WAT</v>
          </cell>
          <cell r="L254" t="e">
            <v>#VALUE!</v>
          </cell>
        </row>
        <row r="255">
          <cell r="A255">
            <v>4369</v>
          </cell>
          <cell r="B255" t="str">
            <v xml:space="preserve">     DEF FED TAX - CIAC PRE 19</v>
          </cell>
          <cell r="L255" t="e">
            <v>#VALUE!</v>
          </cell>
        </row>
        <row r="256">
          <cell r="A256">
            <v>4371</v>
          </cell>
          <cell r="B256" t="str">
            <v xml:space="preserve">     DEF FED TAX - TAP FEE POS</v>
          </cell>
          <cell r="L256" t="e">
            <v>#VALUE!</v>
          </cell>
        </row>
        <row r="257">
          <cell r="A257">
            <v>4375</v>
          </cell>
          <cell r="B257" t="str">
            <v xml:space="preserve">     DEF FED TAX - RATE CASE</v>
          </cell>
          <cell r="L257" t="e">
            <v>#VALUE!</v>
          </cell>
        </row>
        <row r="258">
          <cell r="A258">
            <v>4377</v>
          </cell>
          <cell r="B258" t="str">
            <v xml:space="preserve">     DEF FED TAX - DEF MAINT</v>
          </cell>
          <cell r="L258" t="e">
            <v>#VALUE!</v>
          </cell>
        </row>
        <row r="259">
          <cell r="A259">
            <v>4383</v>
          </cell>
          <cell r="B259" t="str">
            <v xml:space="preserve">     DEF FED TAX - ORGN EXP</v>
          </cell>
          <cell r="L259" t="e">
            <v>#VALUE!</v>
          </cell>
        </row>
        <row r="260">
          <cell r="A260">
            <v>4385</v>
          </cell>
          <cell r="B260" t="str">
            <v xml:space="preserve">     DEF FED TAX - BAD DEBT</v>
          </cell>
          <cell r="L260" t="e">
            <v>#VALUE!</v>
          </cell>
        </row>
        <row r="261">
          <cell r="A261">
            <v>4387</v>
          </cell>
          <cell r="B261" t="str">
            <v xml:space="preserve">     DEF FED TAX - DEPRECIATIO</v>
          </cell>
          <cell r="L261" t="e">
            <v>#VALUE!</v>
          </cell>
        </row>
        <row r="262">
          <cell r="A262">
            <v>4419</v>
          </cell>
          <cell r="B262" t="str">
            <v xml:space="preserve">     DEF ST TAX - CIAC PRE 198</v>
          </cell>
          <cell r="L262" t="e">
            <v>#VALUE!</v>
          </cell>
        </row>
        <row r="263">
          <cell r="A263">
            <v>4421</v>
          </cell>
          <cell r="B263" t="str">
            <v xml:space="preserve">     DEF ST TAX - TAP FEE POST</v>
          </cell>
          <cell r="L263" t="e">
            <v>#VALUE!</v>
          </cell>
        </row>
        <row r="264">
          <cell r="A264">
            <v>4425</v>
          </cell>
          <cell r="B264" t="str">
            <v xml:space="preserve">     DEF ST TAX - RATE CASE</v>
          </cell>
          <cell r="L264" t="e">
            <v>#VALUE!</v>
          </cell>
        </row>
        <row r="265">
          <cell r="A265">
            <v>4427</v>
          </cell>
          <cell r="B265" t="str">
            <v xml:space="preserve">     DEF ST TAX - DEF MAINT</v>
          </cell>
          <cell r="L265" t="e">
            <v>#VALUE!</v>
          </cell>
        </row>
        <row r="266">
          <cell r="A266">
            <v>4433</v>
          </cell>
          <cell r="B266" t="str">
            <v xml:space="preserve">     DEF ST TAX - ORGN EXP</v>
          </cell>
          <cell r="L266" t="e">
            <v>#VALUE!</v>
          </cell>
        </row>
        <row r="267">
          <cell r="A267">
            <v>4435</v>
          </cell>
          <cell r="B267" t="str">
            <v xml:space="preserve">     DEF ST TAX - BAD DEBT</v>
          </cell>
          <cell r="L267" t="e">
            <v>#VALUE!</v>
          </cell>
        </row>
        <row r="268">
          <cell r="A268">
            <v>4437</v>
          </cell>
          <cell r="B268" t="str">
            <v xml:space="preserve">     DEF ST TAX - DEPRECIATION</v>
          </cell>
          <cell r="L268" t="e">
            <v>#VALUE!</v>
          </cell>
        </row>
        <row r="269">
          <cell r="A269">
            <v>4460</v>
          </cell>
          <cell r="B269" t="str">
            <v xml:space="preserve">    UNAMORT INVEST TAX CREDIT</v>
          </cell>
          <cell r="L269" t="e">
            <v>#VALUE!</v>
          </cell>
        </row>
        <row r="270">
          <cell r="A270">
            <v>4515</v>
          </cell>
          <cell r="B270" t="str">
            <v xml:space="preserve">     A/P TRADE</v>
          </cell>
          <cell r="L270" t="e">
            <v>#VALUE!</v>
          </cell>
        </row>
        <row r="271">
          <cell r="A271">
            <v>4525</v>
          </cell>
          <cell r="B271" t="str">
            <v xml:space="preserve">     A/P TRADE - ACCRUAL</v>
          </cell>
          <cell r="L271" t="e">
            <v>#VALUE!</v>
          </cell>
        </row>
        <row r="272">
          <cell r="A272">
            <v>4527</v>
          </cell>
          <cell r="B272" t="str">
            <v xml:space="preserve">     A/P TRADE - RECD NOT VOUC</v>
          </cell>
          <cell r="L272" t="e">
            <v>#VALUE!</v>
          </cell>
        </row>
        <row r="273">
          <cell r="A273">
            <v>4535</v>
          </cell>
          <cell r="B273" t="str">
            <v xml:space="preserve">     A/P-ASSOC COMPANIES</v>
          </cell>
          <cell r="L273" t="e">
            <v>#VALUE!</v>
          </cell>
        </row>
        <row r="274">
          <cell r="A274">
            <v>4545</v>
          </cell>
          <cell r="B274" t="str">
            <v xml:space="preserve">     A/P MISCELLANEOUS</v>
          </cell>
          <cell r="L274" t="e">
            <v>#VALUE!</v>
          </cell>
        </row>
        <row r="275">
          <cell r="A275">
            <v>4565</v>
          </cell>
          <cell r="B275" t="str">
            <v xml:space="preserve">    ADVANCES FROM UTILITIES IN</v>
          </cell>
          <cell r="L275" t="e">
            <v>#VALUE!</v>
          </cell>
        </row>
        <row r="276">
          <cell r="A276">
            <v>4595</v>
          </cell>
          <cell r="B276" t="str">
            <v xml:space="preserve">    CUSTOMER DEPOSITS</v>
          </cell>
          <cell r="L276" t="e">
            <v>#VALUE!</v>
          </cell>
        </row>
        <row r="277">
          <cell r="A277">
            <v>4612</v>
          </cell>
          <cell r="B277" t="str">
            <v xml:space="preserve">     ACCRUED TAXES GENERAL</v>
          </cell>
          <cell r="L277" t="e">
            <v>#VALUE!</v>
          </cell>
        </row>
        <row r="278">
          <cell r="A278">
            <v>4614</v>
          </cell>
          <cell r="B278" t="str">
            <v xml:space="preserve">     ACCRUED GROSS RECEIPT TAX</v>
          </cell>
          <cell r="L278" t="e">
            <v>#VALUE!</v>
          </cell>
        </row>
        <row r="279">
          <cell r="A279">
            <v>4618</v>
          </cell>
          <cell r="B279" t="str">
            <v xml:space="preserve">     ACCRUED UTIL OR COMM TAX</v>
          </cell>
          <cell r="L279" t="e">
            <v>#VALUE!</v>
          </cell>
        </row>
        <row r="280">
          <cell r="A280">
            <v>4628</v>
          </cell>
          <cell r="B280" t="str">
            <v xml:space="preserve">     ACCRUED REAL EST TAX</v>
          </cell>
          <cell r="L280" t="e">
            <v>#VALUE!</v>
          </cell>
        </row>
        <row r="281">
          <cell r="A281">
            <v>4634</v>
          </cell>
          <cell r="B281" t="str">
            <v xml:space="preserve">     ACCRUED SALES TAX</v>
          </cell>
          <cell r="L281" t="e">
            <v>#VALUE!</v>
          </cell>
        </row>
        <row r="282">
          <cell r="A282">
            <v>4635</v>
          </cell>
          <cell r="B282" t="str">
            <v xml:space="preserve">     ACCRUED USE TAX</v>
          </cell>
          <cell r="L282" t="e">
            <v>#VALUE!</v>
          </cell>
        </row>
        <row r="283">
          <cell r="A283">
            <v>4659</v>
          </cell>
          <cell r="B283" t="str">
            <v xml:space="preserve">     ACCRUED FED INCOME TAX</v>
          </cell>
          <cell r="L283" t="e">
            <v>#VALUE!</v>
          </cell>
        </row>
        <row r="284">
          <cell r="A284">
            <v>4661</v>
          </cell>
          <cell r="B284" t="str">
            <v xml:space="preserve">     ACCRUED ST INCOME TAX</v>
          </cell>
          <cell r="L284" t="e">
            <v>#VALUE!</v>
          </cell>
        </row>
        <row r="285">
          <cell r="A285">
            <v>4685</v>
          </cell>
          <cell r="B285" t="str">
            <v xml:space="preserve">     ACCRUED CUST DEP INTEREST</v>
          </cell>
          <cell r="L285" t="e">
            <v>#VALUE!</v>
          </cell>
        </row>
        <row r="286">
          <cell r="A286">
            <v>4735</v>
          </cell>
          <cell r="B286" t="str">
            <v xml:space="preserve">    PAYABLE TO DEVELOPER</v>
          </cell>
          <cell r="L286" t="e">
            <v>#VALUE!</v>
          </cell>
        </row>
        <row r="287">
          <cell r="A287">
            <v>4760</v>
          </cell>
          <cell r="B287" t="str">
            <v xml:space="preserve">     COMMON STOCK</v>
          </cell>
          <cell r="L287" t="e">
            <v>#VALUE!</v>
          </cell>
        </row>
        <row r="288">
          <cell r="A288">
            <v>4780</v>
          </cell>
          <cell r="B288" t="str">
            <v xml:space="preserve">    PAID IN CAPITAL</v>
          </cell>
          <cell r="L288" t="e">
            <v>#VALUE!</v>
          </cell>
        </row>
        <row r="289">
          <cell r="A289">
            <v>4785</v>
          </cell>
          <cell r="B289" t="str">
            <v xml:space="preserve">    MISC PAID IN CAPITAL</v>
          </cell>
          <cell r="L289" t="e">
            <v>#VALUE!</v>
          </cell>
        </row>
        <row r="290">
          <cell r="A290">
            <v>4998</v>
          </cell>
          <cell r="B290" t="str">
            <v xml:space="preserve">    RETAINED EARN-PRIOR YEARS</v>
          </cell>
          <cell r="L290" t="e">
            <v>#VALUE!</v>
          </cell>
        </row>
        <row r="291">
          <cell r="A291">
            <v>5020</v>
          </cell>
          <cell r="B291" t="str">
            <v xml:space="preserve">    WATER REVENUE UNMETERED</v>
          </cell>
          <cell r="L291">
            <v>0</v>
          </cell>
        </row>
        <row r="292">
          <cell r="A292">
            <v>5025</v>
          </cell>
          <cell r="B292" t="str">
            <v xml:space="preserve">    WATER REVENUE-RESIDENTIAL</v>
          </cell>
          <cell r="L292">
            <v>-417642.82</v>
          </cell>
        </row>
        <row r="293">
          <cell r="A293">
            <v>5030</v>
          </cell>
          <cell r="B293" t="str">
            <v xml:space="preserve">    WATER REVENUE-ACCRUALS</v>
          </cell>
          <cell r="L293">
            <v>-2064.0300000000002</v>
          </cell>
        </row>
        <row r="294">
          <cell r="A294">
            <v>5035</v>
          </cell>
          <cell r="B294" t="str">
            <v xml:space="preserve">    WATER REVENUE-COMMERCIAL</v>
          </cell>
          <cell r="L294">
            <v>0</v>
          </cell>
        </row>
        <row r="295">
          <cell r="A295">
            <v>5050</v>
          </cell>
          <cell r="B295" t="str">
            <v xml:space="preserve">    WATER REVENUE-MULT FAM DWE</v>
          </cell>
          <cell r="L295">
            <v>0</v>
          </cell>
        </row>
        <row r="296">
          <cell r="A296">
            <v>5052</v>
          </cell>
          <cell r="B296" t="str">
            <v xml:space="preserve">    WATER REVENUE-GUARANTEED</v>
          </cell>
          <cell r="L296">
            <v>-29890.94</v>
          </cell>
        </row>
        <row r="297">
          <cell r="A297">
            <v>5100</v>
          </cell>
          <cell r="B297" t="str">
            <v xml:space="preserve">    SEWER REVENUE-RESIDENTIAL</v>
          </cell>
          <cell r="L297">
            <v>-636422.6</v>
          </cell>
        </row>
        <row r="298">
          <cell r="A298">
            <v>5105</v>
          </cell>
          <cell r="B298" t="str">
            <v xml:space="preserve">    SEWER REVENUE-ACCRUALS</v>
          </cell>
          <cell r="L298">
            <v>714.96</v>
          </cell>
        </row>
        <row r="299">
          <cell r="A299">
            <v>5128</v>
          </cell>
          <cell r="B299" t="str">
            <v xml:space="preserve">    SEWER REVENUE-GUARANTEED</v>
          </cell>
          <cell r="L299">
            <v>-23497.24</v>
          </cell>
        </row>
        <row r="300">
          <cell r="A300">
            <v>5140</v>
          </cell>
          <cell r="B300" t="str">
            <v xml:space="preserve">    SEWER REVENUE-RESIDENTIAL</v>
          </cell>
          <cell r="L300">
            <v>0</v>
          </cell>
        </row>
        <row r="301">
          <cell r="A301">
            <v>5155</v>
          </cell>
          <cell r="B301" t="str">
            <v xml:space="preserve">    SEWER REVENUE-COMMERCIAL</v>
          </cell>
          <cell r="L301">
            <v>-14078.53</v>
          </cell>
        </row>
        <row r="302">
          <cell r="A302">
            <v>5265</v>
          </cell>
          <cell r="B302" t="str">
            <v xml:space="preserve">   FORFEITED DISCOUNTS</v>
          </cell>
          <cell r="L302">
            <v>-3376.26</v>
          </cell>
        </row>
        <row r="303">
          <cell r="A303">
            <v>5285</v>
          </cell>
          <cell r="B303" t="str">
            <v xml:space="preserve">   OTHER W/S REVENUES</v>
          </cell>
          <cell r="L303">
            <v>-8722</v>
          </cell>
        </row>
        <row r="304">
          <cell r="A304">
            <v>5435</v>
          </cell>
          <cell r="B304" t="str">
            <v xml:space="preserve">    PURCHASED WATER-WATER SYS</v>
          </cell>
          <cell r="L304">
            <v>0</v>
          </cell>
        </row>
        <row r="305">
          <cell r="A305">
            <v>5440</v>
          </cell>
          <cell r="B305" t="str">
            <v xml:space="preserve">    PURCHASED WATER-SEWER SYS</v>
          </cell>
          <cell r="L305">
            <v>0</v>
          </cell>
        </row>
        <row r="306">
          <cell r="A306">
            <v>5455</v>
          </cell>
          <cell r="B306" t="str">
            <v xml:space="preserve">    PURCHASED SEWER TREATMENT</v>
          </cell>
          <cell r="L306">
            <v>0</v>
          </cell>
        </row>
        <row r="307">
          <cell r="A307">
            <v>5460</v>
          </cell>
          <cell r="B307" t="str">
            <v xml:space="preserve">    PURCHASED SEWER - BILLINGS</v>
          </cell>
          <cell r="L307">
            <v>0</v>
          </cell>
        </row>
        <row r="308">
          <cell r="A308">
            <v>5465</v>
          </cell>
          <cell r="B308" t="str">
            <v xml:space="preserve">    ELEC PWR - WTR SYSTEM SRC</v>
          </cell>
          <cell r="L308">
            <v>26152.9</v>
          </cell>
        </row>
        <row r="309">
          <cell r="A309">
            <v>5470</v>
          </cell>
          <cell r="B309" t="str">
            <v xml:space="preserve">    ELEC PWR - SWR SYSTEM COLL</v>
          </cell>
          <cell r="L309">
            <v>108811.81</v>
          </cell>
        </row>
        <row r="310">
          <cell r="A310">
            <v>5480</v>
          </cell>
          <cell r="B310" t="str">
            <v xml:space="preserve">    CHLORINE</v>
          </cell>
          <cell r="L310">
            <v>16505.12</v>
          </cell>
        </row>
        <row r="311">
          <cell r="A311">
            <v>5485</v>
          </cell>
          <cell r="B311" t="str">
            <v xml:space="preserve">    ODOR CONTROL CHEMICALS</v>
          </cell>
          <cell r="L311">
            <v>0</v>
          </cell>
        </row>
        <row r="312">
          <cell r="A312">
            <v>5490</v>
          </cell>
          <cell r="B312" t="str">
            <v xml:space="preserve">    OTHER TREATMENT CHEMICALS</v>
          </cell>
          <cell r="L312">
            <v>76399.41</v>
          </cell>
        </row>
        <row r="313">
          <cell r="A313">
            <v>5495</v>
          </cell>
          <cell r="B313" t="str">
            <v xml:space="preserve">   METER READING</v>
          </cell>
          <cell r="L313">
            <v>15343.75</v>
          </cell>
        </row>
        <row r="314">
          <cell r="A314">
            <v>5505</v>
          </cell>
          <cell r="B314" t="str">
            <v xml:space="preserve">    AGENCY EXPENSE</v>
          </cell>
          <cell r="L314">
            <v>0</v>
          </cell>
        </row>
        <row r="315">
          <cell r="A315">
            <v>5510</v>
          </cell>
          <cell r="B315" t="str">
            <v xml:space="preserve">    UNCOLLECTIBLE ACCOUNTS</v>
          </cell>
          <cell r="L315">
            <v>8637.2800000000007</v>
          </cell>
        </row>
        <row r="316">
          <cell r="A316">
            <v>5515</v>
          </cell>
          <cell r="B316" t="str">
            <v xml:space="preserve">    UNCOLL ACCOUNTS ACCRUAL</v>
          </cell>
          <cell r="L316">
            <v>-6753.1566786834601</v>
          </cell>
        </row>
        <row r="317">
          <cell r="A317">
            <v>5540</v>
          </cell>
          <cell r="B317" t="str">
            <v xml:space="preserve">    BILLING POSTAGE</v>
          </cell>
          <cell r="L317">
            <v>0</v>
          </cell>
        </row>
        <row r="318">
          <cell r="A318">
            <v>5545</v>
          </cell>
          <cell r="B318" t="str">
            <v xml:space="preserve">    CUSTOMER SERVICE PRINTING</v>
          </cell>
          <cell r="L318">
            <v>3.5939706446931043</v>
          </cell>
        </row>
        <row r="319">
          <cell r="A319">
            <v>5650</v>
          </cell>
          <cell r="B319" t="str">
            <v xml:space="preserve">    HEALTH COSTS &amp; OTHER</v>
          </cell>
          <cell r="L319">
            <v>0</v>
          </cell>
        </row>
        <row r="320">
          <cell r="A320">
            <v>5690</v>
          </cell>
          <cell r="B320" t="str">
            <v xml:space="preserve">    TUITION</v>
          </cell>
          <cell r="L320">
            <v>0</v>
          </cell>
        </row>
        <row r="321">
          <cell r="A321">
            <v>5740</v>
          </cell>
          <cell r="B321" t="str">
            <v xml:space="preserve">    COMPUTER SUPPLIES</v>
          </cell>
          <cell r="L321">
            <v>0</v>
          </cell>
        </row>
        <row r="322">
          <cell r="A322">
            <v>5750</v>
          </cell>
          <cell r="B322" t="str">
            <v xml:space="preserve">    INTERNET SUPPLIER</v>
          </cell>
          <cell r="L322">
            <v>0</v>
          </cell>
        </row>
        <row r="323">
          <cell r="A323">
            <v>5785</v>
          </cell>
          <cell r="B323" t="str">
            <v xml:space="preserve">    ADVERTISING/MARKETING</v>
          </cell>
          <cell r="L323">
            <v>0</v>
          </cell>
        </row>
        <row r="324">
          <cell r="A324">
            <v>5790</v>
          </cell>
          <cell r="B324" t="str">
            <v xml:space="preserve">    BANK SERVICE CHARGE</v>
          </cell>
          <cell r="L324">
            <v>0</v>
          </cell>
        </row>
        <row r="325">
          <cell r="A325">
            <v>5795</v>
          </cell>
          <cell r="B325" t="str">
            <v xml:space="preserve">    CONTRIBUTIONS</v>
          </cell>
          <cell r="L325">
            <v>0</v>
          </cell>
        </row>
        <row r="326">
          <cell r="A326">
            <v>5800</v>
          </cell>
          <cell r="B326" t="str">
            <v xml:space="preserve">    LETTER OF CREDIT FEE</v>
          </cell>
          <cell r="L326">
            <v>5741.776765110727</v>
          </cell>
        </row>
        <row r="327">
          <cell r="A327">
            <v>5805</v>
          </cell>
          <cell r="B327" t="str">
            <v xml:space="preserve">    LICENSE FEES</v>
          </cell>
          <cell r="L327">
            <v>0</v>
          </cell>
        </row>
        <row r="328">
          <cell r="A328">
            <v>5810</v>
          </cell>
          <cell r="B328" t="str">
            <v xml:space="preserve">    MEMBERSHIPS</v>
          </cell>
          <cell r="L328">
            <v>331.96170232688797</v>
          </cell>
        </row>
        <row r="329">
          <cell r="A329">
            <v>5815</v>
          </cell>
          <cell r="B329" t="str">
            <v xml:space="preserve">    PENALTIES/FINES</v>
          </cell>
          <cell r="L329">
            <v>64000</v>
          </cell>
        </row>
        <row r="330">
          <cell r="A330">
            <v>5820</v>
          </cell>
          <cell r="B330" t="str">
            <v xml:space="preserve">    TRAINING EXPENSE</v>
          </cell>
          <cell r="L330">
            <v>88.822950512664463</v>
          </cell>
        </row>
        <row r="331">
          <cell r="A331">
            <v>5825</v>
          </cell>
          <cell r="B331" t="str">
            <v xml:space="preserve">    OTHER MISC EXPENSE</v>
          </cell>
          <cell r="L331">
            <v>-16829.327200430736</v>
          </cell>
        </row>
        <row r="332">
          <cell r="A332">
            <v>5855</v>
          </cell>
          <cell r="B332" t="str">
            <v xml:space="preserve">    ANSWERING SERVICE</v>
          </cell>
          <cell r="L332">
            <v>522.88</v>
          </cell>
        </row>
        <row r="333">
          <cell r="A333">
            <v>5860</v>
          </cell>
          <cell r="B333" t="str">
            <v xml:space="preserve">    CLEANING SUPPLIES</v>
          </cell>
          <cell r="L333">
            <v>209.41110014513788</v>
          </cell>
        </row>
        <row r="334">
          <cell r="A334">
            <v>5865</v>
          </cell>
          <cell r="B334" t="str">
            <v xml:space="preserve">    COPY MACHINE</v>
          </cell>
          <cell r="L334">
            <v>0</v>
          </cell>
        </row>
        <row r="335">
          <cell r="A335">
            <v>5870</v>
          </cell>
          <cell r="B335" t="str">
            <v xml:space="preserve">    HOLIDAY EVENTS/PICNICS</v>
          </cell>
          <cell r="L335">
            <v>0</v>
          </cell>
        </row>
        <row r="336">
          <cell r="A336">
            <v>5880</v>
          </cell>
          <cell r="B336" t="str">
            <v xml:space="preserve">    OFFICE SUPPLY STORES</v>
          </cell>
          <cell r="L336">
            <v>1303.4921668617446</v>
          </cell>
        </row>
        <row r="337">
          <cell r="A337">
            <v>5885</v>
          </cell>
          <cell r="B337" t="str">
            <v xml:space="preserve">    PRINTING/BLUEPRINTS</v>
          </cell>
          <cell r="L337">
            <v>0</v>
          </cell>
        </row>
        <row r="338">
          <cell r="A338">
            <v>5890</v>
          </cell>
          <cell r="B338" t="str">
            <v xml:space="preserve">    PUBL SUBSCRIPTIONS/TAPES</v>
          </cell>
          <cell r="L338">
            <v>0</v>
          </cell>
        </row>
        <row r="339">
          <cell r="A339">
            <v>5895</v>
          </cell>
          <cell r="B339" t="str">
            <v xml:space="preserve">    SHIPPING CHARGES</v>
          </cell>
          <cell r="L339">
            <v>827.70592377920309</v>
          </cell>
        </row>
        <row r="340">
          <cell r="A340">
            <v>5900</v>
          </cell>
          <cell r="B340" t="str">
            <v xml:space="preserve">    OTHER OFFICE EXPENSES</v>
          </cell>
          <cell r="L340">
            <v>653.61520956037259</v>
          </cell>
        </row>
        <row r="341">
          <cell r="A341">
            <v>5930</v>
          </cell>
          <cell r="B341" t="str">
            <v xml:space="preserve">    OFFICE ELECTRIC</v>
          </cell>
          <cell r="L341">
            <v>2095.37</v>
          </cell>
        </row>
        <row r="342">
          <cell r="A342">
            <v>5935</v>
          </cell>
          <cell r="B342" t="str">
            <v xml:space="preserve">    OFFICE GAS</v>
          </cell>
          <cell r="L342">
            <v>0</v>
          </cell>
        </row>
        <row r="343">
          <cell r="A343">
            <v>5940</v>
          </cell>
          <cell r="B343" t="str">
            <v xml:space="preserve">    OFFICE WATER</v>
          </cell>
          <cell r="L343">
            <v>0</v>
          </cell>
        </row>
        <row r="344">
          <cell r="A344">
            <v>5945</v>
          </cell>
          <cell r="B344" t="str">
            <v xml:space="preserve">    OFFICE TELECOM</v>
          </cell>
          <cell r="L344">
            <v>21.35</v>
          </cell>
        </row>
        <row r="345">
          <cell r="A345">
            <v>5950</v>
          </cell>
          <cell r="B345" t="str">
            <v xml:space="preserve">    OFFICE GARBAGE REMOVAL</v>
          </cell>
          <cell r="L345">
            <v>4244.47</v>
          </cell>
        </row>
        <row r="346">
          <cell r="A346">
            <v>5955</v>
          </cell>
          <cell r="B346" t="str">
            <v xml:space="preserve">    OFFICE LANDSCAPE / MOW / P</v>
          </cell>
          <cell r="L346">
            <v>6149</v>
          </cell>
        </row>
        <row r="347">
          <cell r="A347">
            <v>5960</v>
          </cell>
          <cell r="B347" t="str">
            <v xml:space="preserve">    OFFICE ALARM SYS PHONE EXP</v>
          </cell>
          <cell r="L347">
            <v>0</v>
          </cell>
        </row>
        <row r="348">
          <cell r="A348">
            <v>5965</v>
          </cell>
          <cell r="B348" t="str">
            <v xml:space="preserve">    OFFICE MAINTENANCE</v>
          </cell>
          <cell r="L348">
            <v>56.27</v>
          </cell>
        </row>
        <row r="349">
          <cell r="A349">
            <v>5970</v>
          </cell>
          <cell r="B349" t="str">
            <v xml:space="preserve">    OFFICE CLEANING SERVICE</v>
          </cell>
          <cell r="L349">
            <v>0</v>
          </cell>
        </row>
        <row r="350">
          <cell r="A350">
            <v>5975</v>
          </cell>
          <cell r="B350" t="str">
            <v xml:space="preserve">    OFFICE MACHINE/HEAT&amp;COOL</v>
          </cell>
          <cell r="L350">
            <v>201.76</v>
          </cell>
        </row>
        <row r="351">
          <cell r="A351">
            <v>5980</v>
          </cell>
          <cell r="B351" t="str">
            <v xml:space="preserve">    OTHER OFFICE UTILITIES</v>
          </cell>
          <cell r="L351">
            <v>0</v>
          </cell>
        </row>
        <row r="352">
          <cell r="A352">
            <v>5985</v>
          </cell>
          <cell r="B352" t="str">
            <v xml:space="preserve">    TELEMETERING PHONE EXPENSE</v>
          </cell>
          <cell r="L352">
            <v>89.41</v>
          </cell>
        </row>
        <row r="353">
          <cell r="A353">
            <v>6020</v>
          </cell>
          <cell r="B353" t="str">
            <v xml:space="preserve">    ENGINEERING FEES</v>
          </cell>
          <cell r="L353">
            <v>0</v>
          </cell>
        </row>
        <row r="354">
          <cell r="A354">
            <v>6025</v>
          </cell>
          <cell r="B354" t="str">
            <v xml:space="preserve">    LEGAL FEES</v>
          </cell>
          <cell r="L354">
            <v>0</v>
          </cell>
        </row>
        <row r="355">
          <cell r="A355">
            <v>6045</v>
          </cell>
          <cell r="B355" t="str">
            <v xml:space="preserve">    TEMP EMPLOY - CLERICAL</v>
          </cell>
          <cell r="L355">
            <v>0</v>
          </cell>
        </row>
        <row r="356">
          <cell r="A356">
            <v>6050</v>
          </cell>
          <cell r="B356" t="str">
            <v xml:space="preserve">    OTHER OUTSIDE SERVICES</v>
          </cell>
          <cell r="L356">
            <v>0</v>
          </cell>
        </row>
        <row r="357">
          <cell r="A357">
            <v>6065</v>
          </cell>
          <cell r="B357" t="str">
            <v xml:space="preserve">    RATE CASE AMORT EXPENSE</v>
          </cell>
          <cell r="L357">
            <v>6917.1059314574659</v>
          </cell>
        </row>
        <row r="358">
          <cell r="A358">
            <v>6070</v>
          </cell>
          <cell r="B358" t="str">
            <v xml:space="preserve">    MISC REG MATTERS COMM EXP</v>
          </cell>
          <cell r="L358">
            <v>3858.0773568519126</v>
          </cell>
        </row>
        <row r="359">
          <cell r="A359">
            <v>6090</v>
          </cell>
          <cell r="B359" t="str">
            <v xml:space="preserve">    RENT</v>
          </cell>
          <cell r="L359">
            <v>2507.9421321222908</v>
          </cell>
        </row>
        <row r="360">
          <cell r="A360">
            <v>6110</v>
          </cell>
          <cell r="B360" t="str">
            <v xml:space="preserve">    SALARIES-ACCTG/FINANCE</v>
          </cell>
          <cell r="L360">
            <v>0</v>
          </cell>
        </row>
        <row r="361">
          <cell r="A361">
            <v>6140</v>
          </cell>
          <cell r="B361" t="str">
            <v xml:space="preserve">    SALARIES-REGULATORY</v>
          </cell>
          <cell r="L361">
            <v>15808.278709209233</v>
          </cell>
        </row>
        <row r="362">
          <cell r="A362">
            <v>6145</v>
          </cell>
          <cell r="B362" t="str">
            <v xml:space="preserve">    SALARIES-CUSTOMER SERVICE</v>
          </cell>
          <cell r="L362">
            <v>0</v>
          </cell>
        </row>
        <row r="363">
          <cell r="A363">
            <v>6150</v>
          </cell>
          <cell r="B363" t="str">
            <v xml:space="preserve">    SALARIES-OPERATIONS FIELD</v>
          </cell>
          <cell r="L363">
            <v>161977.38069151176</v>
          </cell>
        </row>
        <row r="364">
          <cell r="A364">
            <v>6155</v>
          </cell>
          <cell r="B364" t="str">
            <v xml:space="preserve">    SALARIES-OPERATIONS OFFICE</v>
          </cell>
          <cell r="L364">
            <v>-9.330141860573999</v>
          </cell>
        </row>
        <row r="365">
          <cell r="A365">
            <v>6165</v>
          </cell>
          <cell r="B365" t="str">
            <v xml:space="preserve">    CAPITALIZED TIME ADJUSTMEN</v>
          </cell>
          <cell r="L365">
            <v>-87598.238676670255</v>
          </cell>
        </row>
        <row r="366">
          <cell r="A366">
            <v>6185</v>
          </cell>
          <cell r="B366" t="str">
            <v xml:space="preserve">    TRAVEL LODGING</v>
          </cell>
          <cell r="L366">
            <v>101.48</v>
          </cell>
        </row>
        <row r="367">
          <cell r="A367">
            <v>6190</v>
          </cell>
          <cell r="B367" t="str">
            <v xml:space="preserve">    TRAVEL AIRFARE</v>
          </cell>
          <cell r="L367">
            <v>0</v>
          </cell>
        </row>
        <row r="368">
          <cell r="A368">
            <v>6195</v>
          </cell>
          <cell r="B368" t="str">
            <v xml:space="preserve">    TRAVEL TRANSPORTATION</v>
          </cell>
          <cell r="L368">
            <v>7.374544126597689</v>
          </cell>
        </row>
        <row r="369">
          <cell r="A369">
            <v>6200</v>
          </cell>
          <cell r="B369" t="str">
            <v xml:space="preserve">    TRAVEL MEALS</v>
          </cell>
          <cell r="L369">
            <v>318.95832033334898</v>
          </cell>
        </row>
        <row r="370">
          <cell r="A370">
            <v>6215</v>
          </cell>
          <cell r="B370" t="str">
            <v xml:space="preserve">    FUEL</v>
          </cell>
          <cell r="L370">
            <v>0</v>
          </cell>
        </row>
        <row r="371">
          <cell r="A371">
            <v>6220</v>
          </cell>
          <cell r="B371" t="str">
            <v xml:space="preserve">    AUTO REPAIR/TIRES</v>
          </cell>
          <cell r="L371">
            <v>0</v>
          </cell>
        </row>
        <row r="372">
          <cell r="A372">
            <v>6225</v>
          </cell>
          <cell r="B372" t="str">
            <v xml:space="preserve">    AUTO LICENSES</v>
          </cell>
          <cell r="L372">
            <v>0</v>
          </cell>
        </row>
        <row r="373">
          <cell r="A373">
            <v>6230</v>
          </cell>
          <cell r="B373" t="str">
            <v xml:space="preserve">    OTHER TRANS EXPENSES</v>
          </cell>
          <cell r="L373">
            <v>0</v>
          </cell>
        </row>
        <row r="374">
          <cell r="A374">
            <v>6255</v>
          </cell>
          <cell r="B374" t="str">
            <v xml:space="preserve">    TEST-WATER</v>
          </cell>
          <cell r="L374">
            <v>1843.33</v>
          </cell>
        </row>
        <row r="375">
          <cell r="A375">
            <v>6260</v>
          </cell>
          <cell r="B375" t="str">
            <v xml:space="preserve">    TEST-EQUIP/CHEMICAL</v>
          </cell>
          <cell r="L375">
            <v>401.32</v>
          </cell>
        </row>
        <row r="376">
          <cell r="A376">
            <v>6265</v>
          </cell>
          <cell r="B376" t="str">
            <v xml:space="preserve">    TEST-SAFE WATER DRINKING</v>
          </cell>
          <cell r="L376">
            <v>0</v>
          </cell>
        </row>
        <row r="377">
          <cell r="A377">
            <v>6270</v>
          </cell>
          <cell r="B377" t="str">
            <v xml:space="preserve">    TEST-SEWER</v>
          </cell>
          <cell r="L377">
            <v>17525.37</v>
          </cell>
        </row>
        <row r="378">
          <cell r="A378">
            <v>6285</v>
          </cell>
          <cell r="B378" t="str">
            <v xml:space="preserve">    WATER-MAINT SUPPLIES</v>
          </cell>
          <cell r="L378">
            <v>888.44425661313733</v>
          </cell>
        </row>
        <row r="379">
          <cell r="A379">
            <v>6290</v>
          </cell>
          <cell r="B379" t="str">
            <v xml:space="preserve">    WATER-MAINT REPAIRS</v>
          </cell>
          <cell r="L379">
            <v>2480.9699999999998</v>
          </cell>
        </row>
        <row r="380">
          <cell r="A380">
            <v>6295</v>
          </cell>
          <cell r="B380" t="str">
            <v xml:space="preserve">    WATER-MAIN BREAKS</v>
          </cell>
          <cell r="L380">
            <v>2852.45</v>
          </cell>
        </row>
        <row r="381">
          <cell r="A381">
            <v>6300</v>
          </cell>
          <cell r="B381" t="str">
            <v xml:space="preserve">    WATER-ELEC EQUIPT REPAIR</v>
          </cell>
          <cell r="L381">
            <v>268.75</v>
          </cell>
        </row>
        <row r="382">
          <cell r="A382">
            <v>6305</v>
          </cell>
          <cell r="B382" t="str">
            <v xml:space="preserve">    WATER-PERMITS</v>
          </cell>
          <cell r="L382">
            <v>1585</v>
          </cell>
        </row>
        <row r="383">
          <cell r="A383">
            <v>6310</v>
          </cell>
          <cell r="B383" t="str">
            <v xml:space="preserve">    WATER-OTHER MAINT EXP</v>
          </cell>
          <cell r="L383">
            <v>4051.24</v>
          </cell>
        </row>
        <row r="384">
          <cell r="A384">
            <v>6320</v>
          </cell>
          <cell r="B384" t="str">
            <v xml:space="preserve">    SEWER-MAINT SUPPLIES</v>
          </cell>
          <cell r="L384">
            <v>4144.6183557527793</v>
          </cell>
        </row>
        <row r="385">
          <cell r="A385">
            <v>6325</v>
          </cell>
          <cell r="B385" t="str">
            <v xml:space="preserve">    SEWER-MAINT REPAIRS</v>
          </cell>
          <cell r="L385">
            <v>2509.9299999999998</v>
          </cell>
        </row>
        <row r="386">
          <cell r="A386">
            <v>6330</v>
          </cell>
          <cell r="B386" t="str">
            <v xml:space="preserve">    SEWER-MAIN BREAKS</v>
          </cell>
          <cell r="L386">
            <v>0</v>
          </cell>
        </row>
        <row r="387">
          <cell r="A387">
            <v>6335</v>
          </cell>
          <cell r="B387" t="str">
            <v xml:space="preserve">    SEWER-ELEC EQUIPT REPAIR</v>
          </cell>
          <cell r="L387">
            <v>835.72</v>
          </cell>
        </row>
        <row r="388">
          <cell r="A388">
            <v>6340</v>
          </cell>
          <cell r="B388" t="str">
            <v xml:space="preserve">    SEWER-PERMITS</v>
          </cell>
          <cell r="L388">
            <v>1670</v>
          </cell>
        </row>
        <row r="389">
          <cell r="A389">
            <v>6345</v>
          </cell>
          <cell r="B389" t="str">
            <v xml:space="preserve">    SEWER-OTHER MAINT EXP</v>
          </cell>
          <cell r="L389">
            <v>31525.24</v>
          </cell>
        </row>
        <row r="390">
          <cell r="A390">
            <v>6355</v>
          </cell>
          <cell r="B390" t="str">
            <v xml:space="preserve">    DEFERRED MAINT EXPENSE</v>
          </cell>
          <cell r="L390">
            <v>32.51</v>
          </cell>
        </row>
        <row r="391">
          <cell r="A391">
            <v>6360</v>
          </cell>
          <cell r="B391" t="str">
            <v xml:space="preserve">    COMMUNICATION EXPENSE</v>
          </cell>
          <cell r="L391">
            <v>2154.83</v>
          </cell>
        </row>
        <row r="392">
          <cell r="A392">
            <v>6365</v>
          </cell>
          <cell r="B392" t="str">
            <v xml:space="preserve">    EQUIPMENT RENTALS</v>
          </cell>
          <cell r="L392">
            <v>0</v>
          </cell>
        </row>
        <row r="393">
          <cell r="A393">
            <v>6370</v>
          </cell>
          <cell r="B393" t="str">
            <v xml:space="preserve">    OPER CONTRACTED WORKERS</v>
          </cell>
          <cell r="L393">
            <v>0</v>
          </cell>
        </row>
        <row r="394">
          <cell r="A394">
            <v>6375</v>
          </cell>
          <cell r="B394" t="str">
            <v xml:space="preserve">    OUTSIDE LAB FEES-LAB,LAND</v>
          </cell>
          <cell r="L394">
            <v>0</v>
          </cell>
        </row>
        <row r="395">
          <cell r="A395">
            <v>6380</v>
          </cell>
          <cell r="B395" t="str">
            <v xml:space="preserve">    REPAIRS &amp; MAINT-MAINT,LAND</v>
          </cell>
          <cell r="L395">
            <v>0</v>
          </cell>
        </row>
        <row r="396">
          <cell r="A396">
            <v>6385</v>
          </cell>
          <cell r="B396" t="str">
            <v xml:space="preserve">    UNIFORMS</v>
          </cell>
          <cell r="L396">
            <v>566.37904386909509</v>
          </cell>
        </row>
        <row r="397">
          <cell r="A397">
            <v>6390</v>
          </cell>
          <cell r="B397" t="str">
            <v xml:space="preserve">    WEATHER/HURRICANE/FUEL EXP</v>
          </cell>
          <cell r="L397">
            <v>20428.97</v>
          </cell>
        </row>
        <row r="398">
          <cell r="A398">
            <v>6400</v>
          </cell>
          <cell r="B398" t="str">
            <v xml:space="preserve">   SEWER RODDING</v>
          </cell>
          <cell r="L398">
            <v>25818</v>
          </cell>
        </row>
        <row r="399">
          <cell r="A399">
            <v>6410</v>
          </cell>
          <cell r="B399" t="str">
            <v xml:space="preserve">   SLUDGE HAULING</v>
          </cell>
          <cell r="L399">
            <v>28516.7</v>
          </cell>
        </row>
        <row r="400">
          <cell r="A400">
            <v>6445</v>
          </cell>
          <cell r="B400" t="str">
            <v xml:space="preserve">    DEPREC-ORGANIZATION</v>
          </cell>
          <cell r="L400">
            <v>1400.5720621751955</v>
          </cell>
        </row>
        <row r="401">
          <cell r="A401">
            <v>6450</v>
          </cell>
          <cell r="B401" t="str">
            <v xml:space="preserve">    DEPREC-FRANCHISES</v>
          </cell>
          <cell r="L401">
            <v>0</v>
          </cell>
        </row>
        <row r="402">
          <cell r="A402">
            <v>6455</v>
          </cell>
          <cell r="B402" t="str">
            <v xml:space="preserve">    DEPREC-STRUCT &amp; IMPRV SRC</v>
          </cell>
          <cell r="L402">
            <v>1154.0221991666276</v>
          </cell>
        </row>
        <row r="403">
          <cell r="A403">
            <v>6460</v>
          </cell>
          <cell r="B403" t="str">
            <v xml:space="preserve">    DEPREC-STRUCT &amp; IMPRV WTP</v>
          </cell>
          <cell r="L403">
            <v>628.05999999999995</v>
          </cell>
        </row>
        <row r="404">
          <cell r="A404">
            <v>6465</v>
          </cell>
          <cell r="B404" t="str">
            <v xml:space="preserve">    DEPREC-STRUCT &amp; IMPRV DIST</v>
          </cell>
          <cell r="L404">
            <v>0</v>
          </cell>
        </row>
        <row r="405">
          <cell r="A405">
            <v>6470</v>
          </cell>
          <cell r="B405" t="str">
            <v xml:space="preserve">    DEPREC-STRUCT &amp; IMPRV GEN</v>
          </cell>
          <cell r="L405">
            <v>7.92</v>
          </cell>
        </row>
        <row r="406">
          <cell r="A406">
            <v>6485</v>
          </cell>
          <cell r="B406" t="str">
            <v xml:space="preserve">    DEPREC-WELLS &amp; SPRINGS</v>
          </cell>
          <cell r="L406">
            <v>6974.45</v>
          </cell>
        </row>
        <row r="407">
          <cell r="A407">
            <v>6490</v>
          </cell>
          <cell r="B407" t="str">
            <v xml:space="preserve">    DEPREC-INFILTRATION GALLER</v>
          </cell>
          <cell r="L407">
            <v>0</v>
          </cell>
        </row>
        <row r="408">
          <cell r="A408">
            <v>6495</v>
          </cell>
          <cell r="B408" t="str">
            <v xml:space="preserve">    DEPREC-SUPPLY MAINS</v>
          </cell>
          <cell r="L408">
            <v>0</v>
          </cell>
        </row>
        <row r="409">
          <cell r="A409">
            <v>6500</v>
          </cell>
          <cell r="B409" t="str">
            <v xml:space="preserve">    DEPREC-POWER GEN EQP</v>
          </cell>
          <cell r="L409">
            <v>0</v>
          </cell>
        </row>
        <row r="410">
          <cell r="A410">
            <v>6505</v>
          </cell>
          <cell r="B410" t="str">
            <v xml:space="preserve">    DEPREC-ELEC PUMP EQP SRC P</v>
          </cell>
          <cell r="L410">
            <v>42.747846809307546</v>
          </cell>
        </row>
        <row r="411">
          <cell r="A411">
            <v>6510</v>
          </cell>
          <cell r="B411" t="str">
            <v xml:space="preserve">    DEPREC-ELEC PUMP EQP WTP</v>
          </cell>
          <cell r="L411">
            <v>3743.96</v>
          </cell>
        </row>
        <row r="412">
          <cell r="A412">
            <v>6515</v>
          </cell>
          <cell r="B412" t="str">
            <v xml:space="preserve">    DEPREC-ELEC PUMP EQP TRANS</v>
          </cell>
          <cell r="L412">
            <v>2.0600953228147385</v>
          </cell>
        </row>
        <row r="413">
          <cell r="A413">
            <v>6520</v>
          </cell>
          <cell r="B413" t="str">
            <v xml:space="preserve">    DEPREC-WATER TREATMENT EQP</v>
          </cell>
          <cell r="L413">
            <v>967.84</v>
          </cell>
        </row>
        <row r="414">
          <cell r="A414">
            <v>6525</v>
          </cell>
          <cell r="B414" t="str">
            <v xml:space="preserve">    DEPREC-DIST RESV &amp; STANDPI</v>
          </cell>
          <cell r="L414">
            <v>11005.18</v>
          </cell>
        </row>
        <row r="415">
          <cell r="A415">
            <v>6530</v>
          </cell>
          <cell r="B415" t="str">
            <v xml:space="preserve">    DEPREC-TRANS &amp; DISTR MAINS</v>
          </cell>
          <cell r="L415">
            <v>24257.038468093077</v>
          </cell>
        </row>
        <row r="416">
          <cell r="A416">
            <v>6535</v>
          </cell>
          <cell r="B416" t="str">
            <v xml:space="preserve">    DEPREC-SERVICE LINES</v>
          </cell>
          <cell r="L416">
            <v>7093.8744476801348</v>
          </cell>
        </row>
        <row r="417">
          <cell r="A417">
            <v>6540</v>
          </cell>
          <cell r="B417" t="str">
            <v xml:space="preserve">    DEPREC-METERS</v>
          </cell>
          <cell r="L417">
            <v>1854.0669838475583</v>
          </cell>
        </row>
        <row r="418">
          <cell r="A418">
            <v>6545</v>
          </cell>
          <cell r="B418" t="str">
            <v xml:space="preserve">    DEPREC-METER INSTALLS</v>
          </cell>
          <cell r="L418">
            <v>1038.8699999999999</v>
          </cell>
        </row>
        <row r="419">
          <cell r="A419">
            <v>6550</v>
          </cell>
          <cell r="B419" t="str">
            <v xml:space="preserve">    DEPREC-HYDRANTS</v>
          </cell>
          <cell r="L419">
            <v>2764.5978468093076</v>
          </cell>
        </row>
        <row r="420">
          <cell r="A420">
            <v>6555</v>
          </cell>
          <cell r="B420" t="str">
            <v xml:space="preserve">    DEPREC-BACKFLOW PREVENT DE</v>
          </cell>
          <cell r="L420">
            <v>0</v>
          </cell>
        </row>
        <row r="421">
          <cell r="A421">
            <v>6565</v>
          </cell>
          <cell r="B421" t="str">
            <v xml:space="preserve">    DEPREC-OTH PLT&amp;MISC EQP SR</v>
          </cell>
          <cell r="L421">
            <v>0</v>
          </cell>
        </row>
        <row r="422">
          <cell r="A422">
            <v>6570</v>
          </cell>
          <cell r="B422" t="str">
            <v xml:space="preserve">    DEPREC-OTH PLT&amp;MISC EQP WT</v>
          </cell>
          <cell r="L422">
            <v>0</v>
          </cell>
        </row>
        <row r="423">
          <cell r="A423">
            <v>6580</v>
          </cell>
          <cell r="B423" t="str">
            <v xml:space="preserve">    DEPREC-OFFICE STRUCTURE</v>
          </cell>
          <cell r="L423">
            <v>156.53</v>
          </cell>
        </row>
        <row r="424">
          <cell r="A424">
            <v>6585</v>
          </cell>
          <cell r="B424" t="str">
            <v xml:space="preserve">    DEPREC-OFFICE FURN/EQPT</v>
          </cell>
          <cell r="L424">
            <v>95.53</v>
          </cell>
        </row>
        <row r="425">
          <cell r="A425">
            <v>6590</v>
          </cell>
          <cell r="B425" t="str">
            <v xml:space="preserve">    DEPREC-STORES EQUIPMENT</v>
          </cell>
          <cell r="L425">
            <v>0</v>
          </cell>
        </row>
        <row r="426">
          <cell r="A426">
            <v>6595</v>
          </cell>
          <cell r="B426" t="str">
            <v xml:space="preserve">    DEPREC-TOOL SHOP &amp; MISC EQ</v>
          </cell>
          <cell r="L426">
            <v>2588.7027234421084</v>
          </cell>
        </row>
        <row r="427">
          <cell r="A427">
            <v>6600</v>
          </cell>
          <cell r="B427" t="str">
            <v xml:space="preserve">    DEPREC-LABORATORY EQUIPMEN</v>
          </cell>
          <cell r="L427">
            <v>216.3</v>
          </cell>
        </row>
        <row r="428">
          <cell r="A428">
            <v>6605</v>
          </cell>
          <cell r="B428" t="str">
            <v xml:space="preserve">    DEPREC-POWER OPERATED EQUI</v>
          </cell>
          <cell r="L428">
            <v>47.82</v>
          </cell>
        </row>
        <row r="429">
          <cell r="A429">
            <v>6610</v>
          </cell>
          <cell r="B429" t="str">
            <v xml:space="preserve">    DEPREC-COMMUNICATION EQPT</v>
          </cell>
          <cell r="L429">
            <v>340.73621957956834</v>
          </cell>
        </row>
        <row r="430">
          <cell r="A430">
            <v>6615</v>
          </cell>
          <cell r="B430" t="str">
            <v xml:space="preserve">    DEPREC-MISC EQUIPMENT</v>
          </cell>
          <cell r="L430">
            <v>0</v>
          </cell>
        </row>
        <row r="431">
          <cell r="A431">
            <v>6620</v>
          </cell>
          <cell r="B431" t="str">
            <v xml:space="preserve">    DEPREC-OTHER TANG PLT WATE</v>
          </cell>
          <cell r="L431">
            <v>0</v>
          </cell>
        </row>
        <row r="432">
          <cell r="A432">
            <v>6640</v>
          </cell>
          <cell r="B432" t="str">
            <v xml:space="preserve">    DEPREC-ORGANIZATION</v>
          </cell>
          <cell r="L432">
            <v>156.38552177356462</v>
          </cell>
        </row>
        <row r="433">
          <cell r="A433">
            <v>6645</v>
          </cell>
          <cell r="B433" t="str">
            <v xml:space="preserve">    DEPREC-FRANCHISES INTANG P</v>
          </cell>
          <cell r="L433">
            <v>0</v>
          </cell>
        </row>
        <row r="434">
          <cell r="A434">
            <v>6655</v>
          </cell>
          <cell r="B434" t="str">
            <v xml:space="preserve">    DEPREC-STRUCT/IMPRV COLL P</v>
          </cell>
          <cell r="L434">
            <v>0</v>
          </cell>
        </row>
        <row r="435">
          <cell r="A435">
            <v>6660</v>
          </cell>
          <cell r="B435" t="str">
            <v xml:space="preserve">    DEPREC-STRUCT/IMPRV PUMP</v>
          </cell>
          <cell r="L435">
            <v>12137.996809203963</v>
          </cell>
        </row>
        <row r="436">
          <cell r="A436">
            <v>6665</v>
          </cell>
          <cell r="B436" t="str">
            <v xml:space="preserve">    DEPREC-STRUCT/IMPRV TREAT</v>
          </cell>
          <cell r="L436">
            <v>217.48</v>
          </cell>
        </row>
        <row r="437">
          <cell r="A437">
            <v>6670</v>
          </cell>
          <cell r="B437" t="str">
            <v xml:space="preserve">    DEPREC-STRUCT/IMPRV RCLM W</v>
          </cell>
          <cell r="L437">
            <v>0</v>
          </cell>
        </row>
        <row r="438">
          <cell r="A438">
            <v>6675</v>
          </cell>
          <cell r="B438" t="str">
            <v xml:space="preserve">    DEPREC-STRUCT/IMPRV RCLM D</v>
          </cell>
          <cell r="L438">
            <v>0</v>
          </cell>
        </row>
        <row r="439">
          <cell r="A439">
            <v>6680</v>
          </cell>
          <cell r="B439" t="str">
            <v xml:space="preserve">    DEPREC-STRUCT/IMPRV GEN PL</v>
          </cell>
          <cell r="L439">
            <v>4686.41</v>
          </cell>
        </row>
        <row r="440">
          <cell r="A440">
            <v>6685</v>
          </cell>
          <cell r="B440" t="str">
            <v xml:space="preserve">    DEPREC-POWER GEN EQUIP COL</v>
          </cell>
          <cell r="L440">
            <v>0</v>
          </cell>
        </row>
        <row r="441">
          <cell r="A441">
            <v>6690</v>
          </cell>
          <cell r="B441" t="str">
            <v xml:space="preserve">    DEPREC-POWER GEN EQUIP PUM</v>
          </cell>
          <cell r="L441">
            <v>0</v>
          </cell>
        </row>
        <row r="442">
          <cell r="A442">
            <v>6695</v>
          </cell>
          <cell r="B442" t="str">
            <v xml:space="preserve">    DEPREC-POWER GEN EQUIP TRE</v>
          </cell>
          <cell r="L442">
            <v>0</v>
          </cell>
        </row>
        <row r="443">
          <cell r="A443">
            <v>6710</v>
          </cell>
          <cell r="B443" t="str">
            <v xml:space="preserve">    DEPREC-SEWER FORCE MAIN</v>
          </cell>
          <cell r="L443">
            <v>7903.59</v>
          </cell>
        </row>
        <row r="444">
          <cell r="A444">
            <v>6715</v>
          </cell>
          <cell r="B444" t="str">
            <v xml:space="preserve">    DEPREC-SEWER GRAVITY MAIN</v>
          </cell>
          <cell r="L444">
            <v>81086.7</v>
          </cell>
        </row>
        <row r="445">
          <cell r="A445">
            <v>6717</v>
          </cell>
          <cell r="B445" t="str">
            <v xml:space="preserve">    DEPREC-MANHOLES</v>
          </cell>
          <cell r="L445">
            <v>0</v>
          </cell>
        </row>
        <row r="446">
          <cell r="A446">
            <v>6720</v>
          </cell>
          <cell r="B446" t="str">
            <v xml:space="preserve">    DEPREC-SPECIAL COLL STRUCT</v>
          </cell>
          <cell r="L446">
            <v>0</v>
          </cell>
        </row>
        <row r="447">
          <cell r="A447">
            <v>6725</v>
          </cell>
          <cell r="B447" t="str">
            <v xml:space="preserve">    DEPREC-SERVICES TO CUSTOME</v>
          </cell>
          <cell r="L447">
            <v>75.78</v>
          </cell>
        </row>
        <row r="448">
          <cell r="A448">
            <v>6730</v>
          </cell>
          <cell r="B448" t="str">
            <v xml:space="preserve">    DEPREC-FLOW MEASURE DEVICE</v>
          </cell>
          <cell r="L448">
            <v>84.94</v>
          </cell>
        </row>
        <row r="449">
          <cell r="A449">
            <v>6735</v>
          </cell>
          <cell r="B449" t="str">
            <v xml:space="preserve">    DEPREC-FLOW MEASURE INSTAL</v>
          </cell>
          <cell r="L449">
            <v>0</v>
          </cell>
        </row>
        <row r="450">
          <cell r="A450">
            <v>6740</v>
          </cell>
          <cell r="B450" t="str">
            <v xml:space="preserve">    DEPREC-RECEIVING WELLS</v>
          </cell>
          <cell r="L450">
            <v>0</v>
          </cell>
        </row>
        <row r="451">
          <cell r="A451">
            <v>6745</v>
          </cell>
          <cell r="B451" t="str">
            <v xml:space="preserve">    DEPREC-PUMP EQP PUMP PLT</v>
          </cell>
          <cell r="L451">
            <v>944.64</v>
          </cell>
        </row>
        <row r="452">
          <cell r="A452">
            <v>6750</v>
          </cell>
          <cell r="B452" t="str">
            <v xml:space="preserve">    DEPREC-PUMP EQP RCLM WTP</v>
          </cell>
          <cell r="L452">
            <v>0</v>
          </cell>
        </row>
        <row r="453">
          <cell r="A453">
            <v>6755</v>
          </cell>
          <cell r="B453" t="str">
            <v xml:space="preserve">    DEPREC-PUMP EQP RCLM WTR D</v>
          </cell>
          <cell r="L453">
            <v>0</v>
          </cell>
        </row>
        <row r="454">
          <cell r="A454">
            <v>6760</v>
          </cell>
          <cell r="B454" t="str">
            <v xml:space="preserve">    DEPREC-TREAT/DISP EQUIP LA</v>
          </cell>
          <cell r="L454">
            <v>0</v>
          </cell>
        </row>
        <row r="455">
          <cell r="A455">
            <v>6765</v>
          </cell>
          <cell r="B455" t="str">
            <v xml:space="preserve">    DEPREC-TREAT/DISP EQ TRT P</v>
          </cell>
          <cell r="L455">
            <v>48237.98</v>
          </cell>
        </row>
        <row r="456">
          <cell r="A456">
            <v>6770</v>
          </cell>
          <cell r="B456" t="str">
            <v xml:space="preserve">    DEPREC-TREAT/DISP EQ RCLM</v>
          </cell>
          <cell r="L456">
            <v>0</v>
          </cell>
        </row>
        <row r="457">
          <cell r="A457">
            <v>6775</v>
          </cell>
          <cell r="B457" t="str">
            <v xml:space="preserve">    DEPREC-PLANT SEWERS TRTMT</v>
          </cell>
          <cell r="L457">
            <v>43.68</v>
          </cell>
        </row>
        <row r="458">
          <cell r="A458">
            <v>6780</v>
          </cell>
          <cell r="B458" t="str">
            <v xml:space="preserve">    DEPREC-PLANT SEWERS RCLM W</v>
          </cell>
          <cell r="L458">
            <v>0</v>
          </cell>
        </row>
        <row r="459">
          <cell r="A459">
            <v>6785</v>
          </cell>
          <cell r="B459" t="str">
            <v xml:space="preserve">    DEPREC-OUTFALL LINES</v>
          </cell>
          <cell r="L459">
            <v>265.56</v>
          </cell>
        </row>
        <row r="460">
          <cell r="A460">
            <v>6790</v>
          </cell>
          <cell r="B460" t="str">
            <v xml:space="preserve">    DEPREC-OTHER PLT TANGIBLE</v>
          </cell>
          <cell r="L460">
            <v>0</v>
          </cell>
        </row>
        <row r="461">
          <cell r="A461">
            <v>6795</v>
          </cell>
          <cell r="B461" t="str">
            <v xml:space="preserve">    DEPREC-OTHER PLT COLLECTIO</v>
          </cell>
          <cell r="L461">
            <v>0</v>
          </cell>
        </row>
        <row r="462">
          <cell r="A462">
            <v>6800</v>
          </cell>
          <cell r="B462" t="str">
            <v xml:space="preserve">    DEPREC-OTHER PLT PUMP</v>
          </cell>
          <cell r="L462">
            <v>5.76</v>
          </cell>
        </row>
        <row r="463">
          <cell r="A463">
            <v>6805</v>
          </cell>
          <cell r="B463" t="str">
            <v xml:space="preserve">    DEPREC-OTHER PLT TREATMENT</v>
          </cell>
          <cell r="L463">
            <v>0</v>
          </cell>
        </row>
        <row r="464">
          <cell r="A464">
            <v>6810</v>
          </cell>
          <cell r="B464" t="str">
            <v xml:space="preserve">    DEPREC-OTHER PLT RCLM WTR</v>
          </cell>
          <cell r="L464">
            <v>103.8</v>
          </cell>
        </row>
        <row r="465">
          <cell r="A465">
            <v>6815</v>
          </cell>
          <cell r="B465" t="str">
            <v xml:space="preserve">    DEPREC-OTHER PLT RCLM WTR</v>
          </cell>
          <cell r="L465">
            <v>0</v>
          </cell>
        </row>
        <row r="466">
          <cell r="A466">
            <v>6820</v>
          </cell>
          <cell r="B466" t="str">
            <v xml:space="preserve">    DEPREC-OFFICE STRUCTURE</v>
          </cell>
          <cell r="L466">
            <v>0</v>
          </cell>
        </row>
        <row r="467">
          <cell r="A467">
            <v>6825</v>
          </cell>
          <cell r="B467" t="str">
            <v xml:space="preserve">    DEPREC-OFFICE FURN/EQPT</v>
          </cell>
          <cell r="L467">
            <v>0</v>
          </cell>
        </row>
        <row r="468">
          <cell r="A468">
            <v>6830</v>
          </cell>
          <cell r="B468" t="str">
            <v xml:space="preserve">    DEPREC-STORES EQUIPMENT</v>
          </cell>
          <cell r="L468">
            <v>0</v>
          </cell>
        </row>
        <row r="469">
          <cell r="A469">
            <v>6835</v>
          </cell>
          <cell r="B469" t="str">
            <v xml:space="preserve">    DEPREC-TOOL SHOP &amp; MISC EQ</v>
          </cell>
          <cell r="L469">
            <v>75.569999999999993</v>
          </cell>
        </row>
        <row r="470">
          <cell r="A470">
            <v>6840</v>
          </cell>
          <cell r="B470" t="str">
            <v xml:space="preserve">    DEPREC-LABORATORY EQPT</v>
          </cell>
          <cell r="L470">
            <v>40.69</v>
          </cell>
        </row>
        <row r="471">
          <cell r="A471">
            <v>6845</v>
          </cell>
          <cell r="B471" t="str">
            <v xml:space="preserve">    DEPREC-POWER OPERATED EQUI</v>
          </cell>
          <cell r="L471">
            <v>54.51</v>
          </cell>
        </row>
        <row r="472">
          <cell r="A472">
            <v>6850</v>
          </cell>
          <cell r="B472" t="str">
            <v xml:space="preserve">    DEPREC-COMMUNICATION EQPT</v>
          </cell>
          <cell r="L472">
            <v>52.9</v>
          </cell>
        </row>
        <row r="473">
          <cell r="A473">
            <v>6855</v>
          </cell>
          <cell r="B473" t="str">
            <v xml:space="preserve">    DEPREC-MISC EQUIP SEWER</v>
          </cell>
          <cell r="L473">
            <v>29.64</v>
          </cell>
        </row>
        <row r="474">
          <cell r="A474">
            <v>6860</v>
          </cell>
          <cell r="B474" t="str">
            <v xml:space="preserve">    DEPREC-OTHER TANG PLT SEWE</v>
          </cell>
          <cell r="L474">
            <v>0</v>
          </cell>
        </row>
        <row r="475">
          <cell r="A475">
            <v>6885</v>
          </cell>
          <cell r="B475" t="str">
            <v xml:space="preserve">    DEPREC-REUSE DIST RESERVOI</v>
          </cell>
          <cell r="L475">
            <v>0</v>
          </cell>
        </row>
        <row r="476">
          <cell r="A476">
            <v>6890</v>
          </cell>
          <cell r="B476" t="str">
            <v xml:space="preserve">    DEPREC-REUSE TRANSM / DIST</v>
          </cell>
          <cell r="L476">
            <v>804.47</v>
          </cell>
        </row>
        <row r="477">
          <cell r="A477">
            <v>6960</v>
          </cell>
          <cell r="B477" t="str">
            <v xml:space="preserve">   AMORT OF UTIL PAA-WATER</v>
          </cell>
          <cell r="L477">
            <v>-350.28</v>
          </cell>
        </row>
        <row r="478">
          <cell r="A478">
            <v>6965</v>
          </cell>
          <cell r="B478" t="str">
            <v xml:space="preserve">   AMORT OF UTIL PAA-SEWER</v>
          </cell>
          <cell r="L478">
            <v>-716.4</v>
          </cell>
        </row>
        <row r="479">
          <cell r="A479">
            <v>7025</v>
          </cell>
          <cell r="B479" t="str">
            <v xml:space="preserve">    AMORT-WELLS &amp; SPRINGS</v>
          </cell>
          <cell r="L479">
            <v>0</v>
          </cell>
        </row>
        <row r="480">
          <cell r="A480">
            <v>7070</v>
          </cell>
          <cell r="B480" t="str">
            <v xml:space="preserve">    AMORT-TRANS &amp; DISTR MAINS</v>
          </cell>
          <cell r="L480">
            <v>0</v>
          </cell>
        </row>
        <row r="481">
          <cell r="A481">
            <v>7075</v>
          </cell>
          <cell r="B481" t="str">
            <v xml:space="preserve">    AMORT-SERVICE LINES</v>
          </cell>
          <cell r="L481">
            <v>0</v>
          </cell>
        </row>
        <row r="482">
          <cell r="A482">
            <v>7090</v>
          </cell>
          <cell r="B482" t="str">
            <v xml:space="preserve">    AMORT-HYDRANTS</v>
          </cell>
          <cell r="L482">
            <v>-1542.160487850555</v>
          </cell>
        </row>
        <row r="483">
          <cell r="A483">
            <v>7160</v>
          </cell>
          <cell r="B483" t="str">
            <v xml:space="preserve">    AMORT-OTHER TANGIBLE PLT W</v>
          </cell>
          <cell r="L483">
            <v>-42520.19</v>
          </cell>
        </row>
        <row r="484">
          <cell r="A484">
            <v>7165</v>
          </cell>
          <cell r="B484" t="str">
            <v xml:space="preserve">    AMORT-WATER-TAP</v>
          </cell>
          <cell r="L484">
            <v>-4505.51</v>
          </cell>
        </row>
        <row r="485">
          <cell r="A485">
            <v>7180</v>
          </cell>
          <cell r="B485" t="str">
            <v xml:space="preserve">    AMORT-WTR PLT MOD FEE</v>
          </cell>
          <cell r="L485">
            <v>-2063.44</v>
          </cell>
        </row>
        <row r="486">
          <cell r="A486">
            <v>7185</v>
          </cell>
          <cell r="B486" t="str">
            <v xml:space="preserve">    AMORT-WTR PLT MTR FEE</v>
          </cell>
          <cell r="L486">
            <v>-7.56</v>
          </cell>
        </row>
        <row r="487">
          <cell r="A487">
            <v>7225</v>
          </cell>
          <cell r="B487" t="str">
            <v xml:space="preserve">    AMORT-STRUCT/IMPRV PUMP PL</v>
          </cell>
          <cell r="L487">
            <v>0</v>
          </cell>
        </row>
        <row r="488">
          <cell r="A488">
            <v>7230</v>
          </cell>
          <cell r="B488" t="str">
            <v xml:space="preserve">    AMORT-STRUCT/IMPRV TREAT P</v>
          </cell>
          <cell r="L488">
            <v>0</v>
          </cell>
        </row>
        <row r="489">
          <cell r="A489">
            <v>7245</v>
          </cell>
          <cell r="B489" t="str">
            <v xml:space="preserve">    AMORT-STRUCT/IMPRV GEN PLT</v>
          </cell>
          <cell r="L489">
            <v>-109055.16</v>
          </cell>
        </row>
        <row r="490">
          <cell r="A490">
            <v>7280</v>
          </cell>
          <cell r="B490" t="str">
            <v xml:space="preserve">    AMORT-SEWER GRAVITY MAIN</v>
          </cell>
          <cell r="L490">
            <v>0</v>
          </cell>
        </row>
        <row r="491">
          <cell r="A491">
            <v>7290</v>
          </cell>
          <cell r="B491" t="str">
            <v xml:space="preserve">    AMORT-SERVICES TO CUSTOMER</v>
          </cell>
          <cell r="L491">
            <v>0</v>
          </cell>
        </row>
        <row r="492">
          <cell r="A492">
            <v>7405</v>
          </cell>
          <cell r="B492" t="str">
            <v xml:space="preserve">    AMORT-LABORATORY EQPT</v>
          </cell>
          <cell r="L492">
            <v>0</v>
          </cell>
        </row>
        <row r="493">
          <cell r="A493">
            <v>7430</v>
          </cell>
          <cell r="B493" t="str">
            <v xml:space="preserve">    AMORT-SEWER-TAP</v>
          </cell>
          <cell r="L493">
            <v>-8949.44</v>
          </cell>
        </row>
        <row r="494">
          <cell r="A494">
            <v>7445</v>
          </cell>
          <cell r="B494" t="str">
            <v xml:space="preserve">    AMORT-SWR PLT MOD FEE</v>
          </cell>
          <cell r="L494">
            <v>-5655.88</v>
          </cell>
        </row>
        <row r="495">
          <cell r="A495">
            <v>7535</v>
          </cell>
          <cell r="B495" t="str">
            <v xml:space="preserve">    FRANCHISE TAX</v>
          </cell>
          <cell r="L495">
            <v>0</v>
          </cell>
        </row>
        <row r="496">
          <cell r="A496">
            <v>7540</v>
          </cell>
          <cell r="B496" t="str">
            <v xml:space="preserve">    GROSS RECEIPTS TAX</v>
          </cell>
          <cell r="L496">
            <v>49828.555620581494</v>
          </cell>
        </row>
        <row r="497">
          <cell r="A497">
            <v>7545</v>
          </cell>
          <cell r="B497" t="str">
            <v xml:space="preserve">    PERSONAL PROPERTY/ICT TAX</v>
          </cell>
          <cell r="L497">
            <v>4053.6107533124218</v>
          </cell>
        </row>
        <row r="498">
          <cell r="A498">
            <v>7550</v>
          </cell>
          <cell r="B498" t="str">
            <v xml:space="preserve">    PROPERTY/OTHER GENERAL TAX</v>
          </cell>
          <cell r="L498">
            <v>0</v>
          </cell>
        </row>
        <row r="499">
          <cell r="A499">
            <v>7555</v>
          </cell>
          <cell r="B499" t="str">
            <v xml:space="preserve">    REAL ESTATE TAX</v>
          </cell>
          <cell r="L499">
            <v>2879.9348881033761</v>
          </cell>
        </row>
        <row r="500">
          <cell r="A500">
            <v>7565</v>
          </cell>
          <cell r="B500" t="str">
            <v xml:space="preserve">    SPECIAL ASSESSMENTS</v>
          </cell>
          <cell r="L500">
            <v>0</v>
          </cell>
        </row>
        <row r="501">
          <cell r="A501">
            <v>7570</v>
          </cell>
          <cell r="B501" t="str">
            <v xml:space="preserve">    UTILITY/COMMISSION TAX</v>
          </cell>
          <cell r="L501">
            <v>2066.439819279929</v>
          </cell>
        </row>
        <row r="502">
          <cell r="A502">
            <v>7585</v>
          </cell>
          <cell r="B502" t="str">
            <v xml:space="preserve">   AMORT OF INVEST TAX CREDIT</v>
          </cell>
          <cell r="L502">
            <v>0</v>
          </cell>
        </row>
        <row r="503">
          <cell r="A503">
            <v>7595</v>
          </cell>
          <cell r="B503" t="str">
            <v xml:space="preserve">   DEF INCOME TAX-FEDERAL</v>
          </cell>
          <cell r="L503">
            <v>139172.80355133669</v>
          </cell>
        </row>
        <row r="504">
          <cell r="A504">
            <v>7600</v>
          </cell>
          <cell r="B504" t="str">
            <v xml:space="preserve">   DEF INCOME TAXES-STATE</v>
          </cell>
          <cell r="L504">
            <v>27807.461499836139</v>
          </cell>
        </row>
        <row r="505">
          <cell r="A505">
            <v>7605</v>
          </cell>
          <cell r="B505" t="str">
            <v xml:space="preserve">   INCOME TAXES-FEDERAL</v>
          </cell>
          <cell r="L505">
            <v>0</v>
          </cell>
        </row>
        <row r="506">
          <cell r="A506">
            <v>7610</v>
          </cell>
          <cell r="B506" t="str">
            <v xml:space="preserve">   INCOME TAXES-STATE</v>
          </cell>
          <cell r="L506">
            <v>0</v>
          </cell>
        </row>
        <row r="507">
          <cell r="A507">
            <v>7655</v>
          </cell>
          <cell r="B507" t="str">
            <v xml:space="preserve">    MISCELLANEOUS INC NON-UTIL</v>
          </cell>
          <cell r="L507">
            <v>0</v>
          </cell>
        </row>
        <row r="508">
          <cell r="A508">
            <v>7660</v>
          </cell>
          <cell r="B508" t="str">
            <v xml:space="preserve">    MISCELLANEOUS EXP NON-UTIL</v>
          </cell>
          <cell r="L508">
            <v>0</v>
          </cell>
        </row>
        <row r="509">
          <cell r="A509">
            <v>7680</v>
          </cell>
          <cell r="B509" t="str">
            <v xml:space="preserve">    RENTAL INCOME</v>
          </cell>
          <cell r="L509">
            <v>0</v>
          </cell>
        </row>
        <row r="510">
          <cell r="A510">
            <v>7691</v>
          </cell>
          <cell r="B510" t="str">
            <v xml:space="preserve">    NET BOOK VALUE-DISPOSAL</v>
          </cell>
          <cell r="L510">
            <v>0</v>
          </cell>
        </row>
        <row r="511">
          <cell r="A511">
            <v>7735</v>
          </cell>
          <cell r="B511" t="str">
            <v xml:space="preserve">    S/T INT EXP BANK ONE</v>
          </cell>
          <cell r="L511">
            <v>1968.4919900276234</v>
          </cell>
        </row>
        <row r="512">
          <cell r="A512">
            <v>7750</v>
          </cell>
          <cell r="B512" t="str">
            <v xml:space="preserve">   INTEREST DURING CONSTRUCTIO</v>
          </cell>
          <cell r="L512">
            <v>-759.22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in ,000"/>
      <sheetName val="ROE"/>
      <sheetName val="UI ROE Relief"/>
      <sheetName val="Com ROE Relief"/>
      <sheetName val="Rate Case Revenue"/>
      <sheetName val="Ratebase"/>
      <sheetName val="Net Plant"/>
      <sheetName val="IS"/>
      <sheetName val="Effective Tax"/>
      <sheetName val="Jurisd Tax"/>
      <sheetName val="D-E"/>
      <sheetName val="Data"/>
      <sheetName val="Reports"/>
      <sheetName val="Closed Reg Rev"/>
      <sheetName val="Pending Reg Rev"/>
      <sheetName val="FORM.COS.SUBS.LIST"/>
      <sheetName val="Co by State"/>
      <sheetName val="9000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C13">
            <v>1</v>
          </cell>
          <cell r="D13">
            <v>688555.68</v>
          </cell>
          <cell r="F13">
            <v>4</v>
          </cell>
          <cell r="G13">
            <v>0</v>
          </cell>
          <cell r="I13">
            <v>1</v>
          </cell>
          <cell r="J13">
            <v>-149165.1</v>
          </cell>
          <cell r="L13">
            <v>1</v>
          </cell>
          <cell r="M13">
            <v>-9632854</v>
          </cell>
          <cell r="O13">
            <v>4</v>
          </cell>
          <cell r="P13">
            <v>450000</v>
          </cell>
          <cell r="R13">
            <v>4</v>
          </cell>
          <cell r="S13">
            <v>-340495.16</v>
          </cell>
          <cell r="U13">
            <v>2</v>
          </cell>
          <cell r="V13">
            <v>0</v>
          </cell>
          <cell r="X13">
            <v>1</v>
          </cell>
          <cell r="Y13">
            <v>-1412616.3</v>
          </cell>
          <cell r="AA13">
            <v>6</v>
          </cell>
          <cell r="AB13">
            <v>-350</v>
          </cell>
          <cell r="BE13">
            <v>5</v>
          </cell>
          <cell r="BF13">
            <v>24823.043409200007</v>
          </cell>
          <cell r="CF13">
            <v>1</v>
          </cell>
          <cell r="CG13" t="str">
            <v>Y</v>
          </cell>
        </row>
        <row r="14">
          <cell r="C14">
            <v>2</v>
          </cell>
          <cell r="D14">
            <v>6756002.0199999996</v>
          </cell>
          <cell r="F14">
            <v>5</v>
          </cell>
          <cell r="G14">
            <v>0</v>
          </cell>
          <cell r="I14">
            <v>2</v>
          </cell>
          <cell r="J14">
            <v>-4691567.1500000004</v>
          </cell>
          <cell r="L14">
            <v>18</v>
          </cell>
          <cell r="M14">
            <v>27837.56</v>
          </cell>
          <cell r="O14">
            <v>5</v>
          </cell>
          <cell r="P14">
            <v>-450000</v>
          </cell>
          <cell r="R14">
            <v>5</v>
          </cell>
          <cell r="S14">
            <v>-583336.21</v>
          </cell>
          <cell r="U14">
            <v>5</v>
          </cell>
          <cell r="V14">
            <v>3446.76</v>
          </cell>
          <cell r="X14">
            <v>2</v>
          </cell>
          <cell r="Y14">
            <v>-417573</v>
          </cell>
          <cell r="AA14">
            <v>13</v>
          </cell>
          <cell r="AB14">
            <v>-145</v>
          </cell>
          <cell r="BE14">
            <v>6</v>
          </cell>
          <cell r="BF14">
            <v>6108.3140748000005</v>
          </cell>
          <cell r="CF14">
            <v>2</v>
          </cell>
          <cell r="CG14" t="str">
            <v>Y</v>
          </cell>
        </row>
        <row r="15">
          <cell r="C15">
            <v>5</v>
          </cell>
          <cell r="D15">
            <v>2276220.59</v>
          </cell>
          <cell r="F15">
            <v>12</v>
          </cell>
          <cell r="G15">
            <v>-153268.37</v>
          </cell>
          <cell r="I15">
            <v>5</v>
          </cell>
          <cell r="J15">
            <v>-538733.71</v>
          </cell>
          <cell r="L15">
            <v>21</v>
          </cell>
          <cell r="M15">
            <v>102722.39</v>
          </cell>
          <cell r="O15">
            <v>23</v>
          </cell>
          <cell r="P15">
            <v>-975</v>
          </cell>
          <cell r="R15">
            <v>6</v>
          </cell>
          <cell r="S15">
            <v>-272780</v>
          </cell>
          <cell r="U15">
            <v>7</v>
          </cell>
          <cell r="V15">
            <v>3101.75</v>
          </cell>
          <cell r="X15">
            <v>4</v>
          </cell>
          <cell r="Y15">
            <v>1405724</v>
          </cell>
          <cell r="AA15">
            <v>24</v>
          </cell>
          <cell r="AB15">
            <v>-312</v>
          </cell>
          <cell r="BE15">
            <v>7</v>
          </cell>
          <cell r="BF15">
            <v>1074.4178665000002</v>
          </cell>
          <cell r="CF15">
            <v>4</v>
          </cell>
          <cell r="CG15" t="str">
            <v>Y</v>
          </cell>
        </row>
        <row r="16">
          <cell r="C16">
            <v>6</v>
          </cell>
          <cell r="D16">
            <v>1433009.07</v>
          </cell>
          <cell r="F16">
            <v>25</v>
          </cell>
          <cell r="G16">
            <v>0</v>
          </cell>
          <cell r="I16">
            <v>6</v>
          </cell>
          <cell r="J16">
            <v>-213683.09</v>
          </cell>
          <cell r="L16">
            <v>25</v>
          </cell>
          <cell r="M16">
            <v>24482</v>
          </cell>
          <cell r="O16">
            <v>28</v>
          </cell>
          <cell r="P16">
            <v>-5475</v>
          </cell>
          <cell r="R16">
            <v>7</v>
          </cell>
          <cell r="S16">
            <v>-1672</v>
          </cell>
          <cell r="U16">
            <v>8</v>
          </cell>
          <cell r="V16">
            <v>3964.03</v>
          </cell>
          <cell r="X16">
            <v>5</v>
          </cell>
          <cell r="Y16">
            <v>-93194</v>
          </cell>
          <cell r="AA16">
            <v>30</v>
          </cell>
          <cell r="AB16">
            <v>-36</v>
          </cell>
          <cell r="BE16">
            <v>8</v>
          </cell>
          <cell r="BF16">
            <v>4739.6431473000011</v>
          </cell>
          <cell r="CF16">
            <v>5</v>
          </cell>
          <cell r="CG16" t="str">
            <v>Y</v>
          </cell>
        </row>
        <row r="17">
          <cell r="C17">
            <v>7</v>
          </cell>
          <cell r="D17">
            <v>149716.32999999999</v>
          </cell>
          <cell r="F17">
            <v>34</v>
          </cell>
          <cell r="G17">
            <v>3168.25</v>
          </cell>
          <cell r="I17">
            <v>7</v>
          </cell>
          <cell r="J17">
            <v>-8889.58</v>
          </cell>
          <cell r="L17">
            <v>27</v>
          </cell>
          <cell r="M17">
            <v>-963620.89</v>
          </cell>
          <cell r="O17">
            <v>36</v>
          </cell>
          <cell r="P17">
            <v>-56796</v>
          </cell>
          <cell r="R17">
            <v>8</v>
          </cell>
          <cell r="S17">
            <v>-3043.45</v>
          </cell>
          <cell r="U17">
            <v>11</v>
          </cell>
          <cell r="V17">
            <v>0</v>
          </cell>
          <cell r="X17">
            <v>6</v>
          </cell>
          <cell r="Y17">
            <v>-147945</v>
          </cell>
          <cell r="AA17">
            <v>32</v>
          </cell>
          <cell r="AB17">
            <v>-280</v>
          </cell>
          <cell r="BE17">
            <v>9</v>
          </cell>
          <cell r="BF17">
            <v>7262.0274267000023</v>
          </cell>
          <cell r="CF17">
            <v>6</v>
          </cell>
          <cell r="CG17" t="str">
            <v>Y</v>
          </cell>
        </row>
        <row r="18">
          <cell r="C18">
            <v>8</v>
          </cell>
          <cell r="D18">
            <v>205138.07</v>
          </cell>
          <cell r="F18">
            <v>35</v>
          </cell>
          <cell r="G18">
            <v>461446.03</v>
          </cell>
          <cell r="I18">
            <v>8</v>
          </cell>
          <cell r="J18">
            <v>-18446.599999999999</v>
          </cell>
          <cell r="L18">
            <v>34</v>
          </cell>
          <cell r="M18">
            <v>485498.88</v>
          </cell>
          <cell r="O18">
            <v>70</v>
          </cell>
          <cell r="P18">
            <v>2400</v>
          </cell>
          <cell r="R18">
            <v>9</v>
          </cell>
          <cell r="S18">
            <v>-33384.82</v>
          </cell>
          <cell r="U18">
            <v>12</v>
          </cell>
          <cell r="V18">
            <v>8414.3700000000008</v>
          </cell>
          <cell r="X18">
            <v>7</v>
          </cell>
          <cell r="Y18">
            <v>-16011</v>
          </cell>
          <cell r="AA18">
            <v>33</v>
          </cell>
          <cell r="AB18">
            <v>-250</v>
          </cell>
          <cell r="BE18">
            <v>10</v>
          </cell>
          <cell r="BF18">
            <v>0</v>
          </cell>
          <cell r="CF18">
            <v>7</v>
          </cell>
          <cell r="CG18" t="str">
            <v>Y</v>
          </cell>
        </row>
        <row r="19">
          <cell r="C19">
            <v>9</v>
          </cell>
          <cell r="D19">
            <v>484758.46</v>
          </cell>
          <cell r="F19">
            <v>36</v>
          </cell>
          <cell r="G19">
            <v>663847.37</v>
          </cell>
          <cell r="I19">
            <v>9</v>
          </cell>
          <cell r="J19">
            <v>-52441.39</v>
          </cell>
          <cell r="L19">
            <v>36</v>
          </cell>
          <cell r="M19">
            <v>-117417.65</v>
          </cell>
          <cell r="O19">
            <v>80</v>
          </cell>
          <cell r="P19">
            <v>-34510</v>
          </cell>
          <cell r="R19">
            <v>11</v>
          </cell>
          <cell r="S19">
            <v>-17294.22</v>
          </cell>
          <cell r="U19">
            <v>13</v>
          </cell>
          <cell r="V19">
            <v>2984.25</v>
          </cell>
          <cell r="X19">
            <v>8</v>
          </cell>
          <cell r="Y19">
            <v>-11577</v>
          </cell>
          <cell r="AA19">
            <v>34</v>
          </cell>
          <cell r="AB19">
            <v>-84250</v>
          </cell>
          <cell r="BE19">
            <v>11</v>
          </cell>
          <cell r="BF19">
            <v>2277.1194064000001</v>
          </cell>
          <cell r="CF19">
            <v>8</v>
          </cell>
          <cell r="CG19" t="str">
            <v>Y</v>
          </cell>
        </row>
        <row r="20">
          <cell r="C20">
            <v>11</v>
          </cell>
          <cell r="D20">
            <v>116028.15</v>
          </cell>
          <cell r="F20">
            <v>38</v>
          </cell>
          <cell r="G20">
            <v>554049.14</v>
          </cell>
          <cell r="I20">
            <v>11</v>
          </cell>
          <cell r="J20">
            <v>-18023.96</v>
          </cell>
          <cell r="L20">
            <v>38</v>
          </cell>
          <cell r="M20">
            <v>-6341801.4500000002</v>
          </cell>
          <cell r="O20">
            <v>89</v>
          </cell>
          <cell r="P20">
            <v>-38400</v>
          </cell>
          <cell r="R20">
            <v>13</v>
          </cell>
          <cell r="S20">
            <v>-1032850.1</v>
          </cell>
          <cell r="U20">
            <v>14</v>
          </cell>
          <cell r="V20">
            <v>0</v>
          </cell>
          <cell r="X20">
            <v>9</v>
          </cell>
          <cell r="Y20">
            <v>-40240</v>
          </cell>
          <cell r="AA20">
            <v>35</v>
          </cell>
          <cell r="AB20">
            <v>-33840.53</v>
          </cell>
          <cell r="BE20">
            <v>12</v>
          </cell>
          <cell r="BF20">
            <v>1040.1696474999999</v>
          </cell>
          <cell r="CF20">
            <v>9</v>
          </cell>
          <cell r="CG20" t="str">
            <v>Y</v>
          </cell>
        </row>
        <row r="21">
          <cell r="C21">
            <v>12</v>
          </cell>
          <cell r="D21">
            <v>291422.34999999998</v>
          </cell>
          <cell r="F21">
            <v>40</v>
          </cell>
          <cell r="G21">
            <v>12530</v>
          </cell>
          <cell r="I21">
            <v>12</v>
          </cell>
          <cell r="J21">
            <v>22146.25</v>
          </cell>
          <cell r="L21">
            <v>40</v>
          </cell>
          <cell r="M21">
            <v>65673.55</v>
          </cell>
          <cell r="O21">
            <v>90</v>
          </cell>
          <cell r="P21">
            <v>-97052</v>
          </cell>
          <cell r="R21">
            <v>14</v>
          </cell>
          <cell r="S21">
            <v>-3091748.55</v>
          </cell>
          <cell r="U21">
            <v>15</v>
          </cell>
          <cell r="V21">
            <v>1175.3</v>
          </cell>
          <cell r="X21">
            <v>11</v>
          </cell>
          <cell r="Y21">
            <v>-9391</v>
          </cell>
          <cell r="AA21">
            <v>36</v>
          </cell>
          <cell r="AB21">
            <v>-193723.6</v>
          </cell>
          <cell r="BE21">
            <v>13</v>
          </cell>
          <cell r="BF21">
            <v>10580.711716199998</v>
          </cell>
          <cell r="CF21">
            <v>11</v>
          </cell>
          <cell r="CG21" t="str">
            <v>Y</v>
          </cell>
        </row>
        <row r="22">
          <cell r="C22">
            <v>13</v>
          </cell>
          <cell r="D22">
            <v>2576779.79</v>
          </cell>
          <cell r="F22">
            <v>44</v>
          </cell>
          <cell r="G22">
            <v>326.75</v>
          </cell>
          <cell r="I22">
            <v>13</v>
          </cell>
          <cell r="J22">
            <v>-821309.92</v>
          </cell>
          <cell r="L22">
            <v>42</v>
          </cell>
          <cell r="M22">
            <v>40720.080000000002</v>
          </cell>
          <cell r="O22">
            <v>135</v>
          </cell>
          <cell r="P22">
            <v>-658710.19999999995</v>
          </cell>
          <cell r="R22">
            <v>15</v>
          </cell>
          <cell r="S22">
            <v>-32215.34</v>
          </cell>
          <cell r="U22">
            <v>16</v>
          </cell>
          <cell r="V22">
            <v>4276</v>
          </cell>
          <cell r="X22">
            <v>12</v>
          </cell>
          <cell r="Y22">
            <v>-56556</v>
          </cell>
          <cell r="AA22">
            <v>38</v>
          </cell>
          <cell r="AB22">
            <v>-102861.1</v>
          </cell>
          <cell r="BE22">
            <v>14</v>
          </cell>
          <cell r="BF22">
            <v>45948.676116100003</v>
          </cell>
          <cell r="CF22">
            <v>12</v>
          </cell>
          <cell r="CG22" t="str">
            <v>Y</v>
          </cell>
        </row>
        <row r="23">
          <cell r="C23">
            <v>14</v>
          </cell>
          <cell r="D23">
            <v>7411838.9100000001</v>
          </cell>
          <cell r="F23">
            <v>47</v>
          </cell>
          <cell r="G23">
            <v>585306.77</v>
          </cell>
          <cell r="I23">
            <v>14</v>
          </cell>
          <cell r="J23">
            <v>-1853280.79</v>
          </cell>
          <cell r="L23">
            <v>43</v>
          </cell>
          <cell r="M23">
            <v>198411.88</v>
          </cell>
          <cell r="O23">
            <v>160</v>
          </cell>
          <cell r="P23">
            <v>-113080.53</v>
          </cell>
          <cell r="R23">
            <v>16</v>
          </cell>
          <cell r="S23">
            <v>-380488</v>
          </cell>
          <cell r="U23">
            <v>17</v>
          </cell>
          <cell r="V23">
            <v>0</v>
          </cell>
          <cell r="X23">
            <v>13</v>
          </cell>
          <cell r="Y23">
            <v>-90076</v>
          </cell>
          <cell r="AA23">
            <v>40</v>
          </cell>
          <cell r="AB23">
            <v>-42215.58</v>
          </cell>
          <cell r="BE23">
            <v>15</v>
          </cell>
          <cell r="BF23">
            <v>6754.151913900002</v>
          </cell>
          <cell r="CF23">
            <v>13</v>
          </cell>
          <cell r="CG23" t="str">
            <v>Y</v>
          </cell>
        </row>
        <row r="24">
          <cell r="C24">
            <v>15</v>
          </cell>
          <cell r="D24">
            <v>293165.89</v>
          </cell>
          <cell r="F24">
            <v>51</v>
          </cell>
          <cell r="G24">
            <v>70367.09</v>
          </cell>
          <cell r="I24">
            <v>15</v>
          </cell>
          <cell r="J24">
            <v>-78528.899999999994</v>
          </cell>
          <cell r="L24">
            <v>44</v>
          </cell>
          <cell r="M24">
            <v>-87611.65</v>
          </cell>
          <cell r="R24">
            <v>17</v>
          </cell>
          <cell r="S24">
            <v>-109915.67</v>
          </cell>
          <cell r="U24">
            <v>18</v>
          </cell>
          <cell r="V24">
            <v>3950.24</v>
          </cell>
          <cell r="X24">
            <v>14</v>
          </cell>
          <cell r="Y24">
            <v>-312170</v>
          </cell>
          <cell r="AA24">
            <v>44</v>
          </cell>
          <cell r="AB24">
            <v>-12905</v>
          </cell>
          <cell r="BE24">
            <v>16</v>
          </cell>
          <cell r="BF24">
            <v>35390.350280199993</v>
          </cell>
          <cell r="CF24">
            <v>14</v>
          </cell>
          <cell r="CG24" t="str">
            <v>Y</v>
          </cell>
        </row>
        <row r="25">
          <cell r="C25">
            <v>16</v>
          </cell>
          <cell r="D25">
            <v>2236448.91</v>
          </cell>
          <cell r="F25">
            <v>53</v>
          </cell>
          <cell r="G25">
            <v>0</v>
          </cell>
          <cell r="I25">
            <v>16</v>
          </cell>
          <cell r="J25">
            <v>-623130.59</v>
          </cell>
          <cell r="L25">
            <v>51</v>
          </cell>
          <cell r="M25">
            <v>136624</v>
          </cell>
          <cell r="R25">
            <v>18</v>
          </cell>
          <cell r="S25">
            <v>-321287.40999999997</v>
          </cell>
          <cell r="U25">
            <v>20</v>
          </cell>
          <cell r="V25">
            <v>2395</v>
          </cell>
          <cell r="X25">
            <v>15</v>
          </cell>
          <cell r="Y25">
            <v>-34102</v>
          </cell>
          <cell r="AA25">
            <v>47</v>
          </cell>
          <cell r="AB25">
            <v>-36412.5</v>
          </cell>
          <cell r="BE25">
            <v>17</v>
          </cell>
          <cell r="BF25">
            <v>16165.407129700001</v>
          </cell>
          <cell r="CF25">
            <v>15</v>
          </cell>
          <cell r="CG25" t="str">
            <v>Y</v>
          </cell>
        </row>
        <row r="26">
          <cell r="C26">
            <v>17</v>
          </cell>
          <cell r="D26">
            <v>950144.29</v>
          </cell>
          <cell r="F26">
            <v>55</v>
          </cell>
          <cell r="G26">
            <v>416572.64</v>
          </cell>
          <cell r="I26">
            <v>17</v>
          </cell>
          <cell r="J26">
            <v>-340533.38</v>
          </cell>
          <cell r="L26">
            <v>52</v>
          </cell>
          <cell r="M26">
            <v>-561576</v>
          </cell>
          <cell r="R26">
            <v>20</v>
          </cell>
          <cell r="S26">
            <v>-20875.810000000001</v>
          </cell>
          <cell r="U26">
            <v>24</v>
          </cell>
          <cell r="V26">
            <v>13373.75</v>
          </cell>
          <cell r="X26">
            <v>16</v>
          </cell>
          <cell r="Y26">
            <v>-81770</v>
          </cell>
          <cell r="AA26">
            <v>53</v>
          </cell>
          <cell r="AB26">
            <v>-6238.44</v>
          </cell>
          <cell r="BE26">
            <v>18</v>
          </cell>
          <cell r="BF26">
            <v>5298.7770282999991</v>
          </cell>
          <cell r="CF26">
            <v>16</v>
          </cell>
          <cell r="CG26" t="str">
            <v>Y</v>
          </cell>
        </row>
        <row r="27">
          <cell r="C27">
            <v>18</v>
          </cell>
          <cell r="D27">
            <v>874161.07</v>
          </cell>
          <cell r="F27">
            <v>57</v>
          </cell>
          <cell r="G27">
            <v>57827.01</v>
          </cell>
          <cell r="I27">
            <v>18</v>
          </cell>
          <cell r="J27">
            <v>-332223.99</v>
          </cell>
          <cell r="L27">
            <v>53</v>
          </cell>
          <cell r="M27">
            <v>-2798273.96</v>
          </cell>
          <cell r="R27">
            <v>23</v>
          </cell>
          <cell r="S27">
            <v>-20239.14</v>
          </cell>
          <cell r="U27">
            <v>26</v>
          </cell>
          <cell r="V27">
            <v>0</v>
          </cell>
          <cell r="X27">
            <v>17</v>
          </cell>
          <cell r="Y27">
            <v>-30767</v>
          </cell>
          <cell r="AA27">
            <v>57</v>
          </cell>
          <cell r="AB27">
            <v>-47465.43</v>
          </cell>
          <cell r="BE27">
            <v>20</v>
          </cell>
          <cell r="BF27">
            <v>6115.2491770000015</v>
          </cell>
          <cell r="CF27">
            <v>17</v>
          </cell>
          <cell r="CG27" t="str">
            <v>Y</v>
          </cell>
        </row>
        <row r="28">
          <cell r="C28">
            <v>20</v>
          </cell>
          <cell r="D28">
            <v>610755</v>
          </cell>
          <cell r="F28">
            <v>58</v>
          </cell>
          <cell r="G28">
            <v>0</v>
          </cell>
          <cell r="I28">
            <v>20</v>
          </cell>
          <cell r="J28">
            <v>-172583.83</v>
          </cell>
          <cell r="L28">
            <v>55</v>
          </cell>
          <cell r="M28">
            <v>-1601495.92</v>
          </cell>
          <cell r="R28">
            <v>24</v>
          </cell>
          <cell r="S28">
            <v>-474134.68</v>
          </cell>
          <cell r="U28">
            <v>27</v>
          </cell>
          <cell r="V28">
            <v>33094.400000000001</v>
          </cell>
          <cell r="X28">
            <v>18</v>
          </cell>
          <cell r="Y28">
            <v>-35731</v>
          </cell>
          <cell r="AA28">
            <v>60</v>
          </cell>
          <cell r="AB28">
            <v>-1615</v>
          </cell>
          <cell r="BE28">
            <v>21</v>
          </cell>
          <cell r="BF28">
            <v>4122.2344814999997</v>
          </cell>
          <cell r="CF28">
            <v>18</v>
          </cell>
          <cell r="CG28" t="str">
            <v>N</v>
          </cell>
        </row>
        <row r="29">
          <cell r="C29">
            <v>21</v>
          </cell>
          <cell r="D29">
            <v>235094.33</v>
          </cell>
          <cell r="F29">
            <v>60</v>
          </cell>
          <cell r="G29">
            <v>0</v>
          </cell>
          <cell r="I29">
            <v>21</v>
          </cell>
          <cell r="J29">
            <v>-115696.76</v>
          </cell>
          <cell r="L29">
            <v>56</v>
          </cell>
          <cell r="M29">
            <v>-232530.46</v>
          </cell>
          <cell r="R29">
            <v>25</v>
          </cell>
          <cell r="S29">
            <v>-19067.2</v>
          </cell>
          <cell r="U29">
            <v>28</v>
          </cell>
          <cell r="V29">
            <v>2629.25</v>
          </cell>
          <cell r="X29">
            <v>20</v>
          </cell>
          <cell r="Y29">
            <v>-47458</v>
          </cell>
          <cell r="AA29">
            <v>62</v>
          </cell>
          <cell r="AB29">
            <v>-1524</v>
          </cell>
          <cell r="BE29">
            <v>22</v>
          </cell>
          <cell r="BF29">
            <v>1350.7821603999998</v>
          </cell>
          <cell r="CF29">
            <v>20</v>
          </cell>
          <cell r="CG29" t="str">
            <v>Y</v>
          </cell>
        </row>
        <row r="30">
          <cell r="C30">
            <v>22</v>
          </cell>
          <cell r="D30">
            <v>132153.78</v>
          </cell>
          <cell r="F30">
            <v>61</v>
          </cell>
          <cell r="G30">
            <v>125246</v>
          </cell>
          <cell r="I30">
            <v>22</v>
          </cell>
          <cell r="J30">
            <v>-6767.08</v>
          </cell>
          <cell r="L30">
            <v>61</v>
          </cell>
          <cell r="M30">
            <v>280033.48</v>
          </cell>
          <cell r="R30">
            <v>26</v>
          </cell>
          <cell r="S30">
            <v>-56246.13</v>
          </cell>
          <cell r="U30">
            <v>29</v>
          </cell>
          <cell r="V30">
            <v>1698</v>
          </cell>
          <cell r="X30">
            <v>21</v>
          </cell>
          <cell r="Y30">
            <v>-18874</v>
          </cell>
          <cell r="AA30">
            <v>64</v>
          </cell>
          <cell r="AB30">
            <v>-47743</v>
          </cell>
          <cell r="BE30">
            <v>23</v>
          </cell>
          <cell r="BF30">
            <v>4081.6110252000008</v>
          </cell>
          <cell r="CF30">
            <v>21</v>
          </cell>
          <cell r="CG30" t="str">
            <v>Y</v>
          </cell>
        </row>
        <row r="31">
          <cell r="C31">
            <v>23</v>
          </cell>
          <cell r="D31">
            <v>203461.71</v>
          </cell>
          <cell r="F31">
            <v>62</v>
          </cell>
          <cell r="G31">
            <v>14527.79</v>
          </cell>
          <cell r="I31">
            <v>23</v>
          </cell>
          <cell r="J31">
            <v>-36069.78</v>
          </cell>
          <cell r="L31">
            <v>70</v>
          </cell>
          <cell r="M31">
            <v>-464265.59</v>
          </cell>
          <cell r="R31">
            <v>27</v>
          </cell>
          <cell r="S31">
            <v>-1842389.92</v>
          </cell>
          <cell r="U31">
            <v>31</v>
          </cell>
          <cell r="V31">
            <v>11394.74</v>
          </cell>
          <cell r="X31">
            <v>22</v>
          </cell>
          <cell r="Y31">
            <v>-17440</v>
          </cell>
          <cell r="AA31">
            <v>65</v>
          </cell>
          <cell r="AB31">
            <v>-35468</v>
          </cell>
          <cell r="BE31">
            <v>24</v>
          </cell>
          <cell r="BF31">
            <v>44815.010341200003</v>
          </cell>
          <cell r="CF31">
            <v>22</v>
          </cell>
          <cell r="CG31" t="str">
            <v>Y</v>
          </cell>
        </row>
        <row r="32">
          <cell r="C32">
            <v>24</v>
          </cell>
          <cell r="D32">
            <v>3596536.84</v>
          </cell>
          <cell r="F32">
            <v>64</v>
          </cell>
          <cell r="G32">
            <v>724.25</v>
          </cell>
          <cell r="I32">
            <v>24</v>
          </cell>
          <cell r="J32">
            <v>-1005501.67</v>
          </cell>
          <cell r="L32">
            <v>71</v>
          </cell>
          <cell r="M32">
            <v>1220293.1100000001</v>
          </cell>
          <cell r="R32">
            <v>28</v>
          </cell>
          <cell r="S32">
            <v>-209858.6</v>
          </cell>
          <cell r="U32">
            <v>34</v>
          </cell>
          <cell r="V32">
            <v>93182.19</v>
          </cell>
          <cell r="X32">
            <v>23</v>
          </cell>
          <cell r="Y32">
            <v>-18872</v>
          </cell>
          <cell r="AA32">
            <v>66</v>
          </cell>
          <cell r="AB32">
            <v>-50955</v>
          </cell>
          <cell r="BE32">
            <v>25</v>
          </cell>
          <cell r="BF32">
            <v>5164.661117900001</v>
          </cell>
          <cell r="CF32">
            <v>23</v>
          </cell>
          <cell r="CG32" t="str">
            <v>Y</v>
          </cell>
        </row>
        <row r="33">
          <cell r="C33">
            <v>25</v>
          </cell>
          <cell r="D33">
            <v>775698.38</v>
          </cell>
          <cell r="F33">
            <v>65</v>
          </cell>
          <cell r="G33">
            <v>177543.03</v>
          </cell>
          <cell r="I33">
            <v>25</v>
          </cell>
          <cell r="J33">
            <v>-144440.88</v>
          </cell>
          <cell r="L33">
            <v>73</v>
          </cell>
          <cell r="M33">
            <v>336502.6</v>
          </cell>
          <cell r="R33">
            <v>29</v>
          </cell>
          <cell r="S33">
            <v>-623717.93000000005</v>
          </cell>
          <cell r="U33">
            <v>35</v>
          </cell>
          <cell r="V33">
            <v>76688.53</v>
          </cell>
          <cell r="X33">
            <v>24</v>
          </cell>
          <cell r="Y33">
            <v>-350673</v>
          </cell>
          <cell r="AA33">
            <v>67</v>
          </cell>
          <cell r="AB33">
            <v>-128520</v>
          </cell>
          <cell r="BE33">
            <v>26</v>
          </cell>
          <cell r="BF33">
            <v>9044.5252213000022</v>
          </cell>
          <cell r="CF33">
            <v>24</v>
          </cell>
          <cell r="CG33" t="str">
            <v>Y</v>
          </cell>
        </row>
        <row r="34">
          <cell r="C34">
            <v>26</v>
          </cell>
          <cell r="D34">
            <v>943325.53</v>
          </cell>
          <cell r="F34">
            <v>66</v>
          </cell>
          <cell r="G34">
            <v>147.51</v>
          </cell>
          <cell r="I34">
            <v>26</v>
          </cell>
          <cell r="J34">
            <v>-338936.06</v>
          </cell>
          <cell r="L34">
            <v>79</v>
          </cell>
          <cell r="M34">
            <v>284832.56</v>
          </cell>
          <cell r="R34">
            <v>30</v>
          </cell>
          <cell r="S34">
            <v>-109548.74</v>
          </cell>
          <cell r="U34">
            <v>36</v>
          </cell>
          <cell r="V34">
            <v>32834.71</v>
          </cell>
          <cell r="X34">
            <v>25</v>
          </cell>
          <cell r="Y34">
            <v>-38948</v>
          </cell>
          <cell r="AA34">
            <v>68</v>
          </cell>
          <cell r="AB34">
            <v>-30362</v>
          </cell>
          <cell r="BE34">
            <v>27</v>
          </cell>
          <cell r="BF34">
            <v>10698.011668800002</v>
          </cell>
          <cell r="CF34">
            <v>25</v>
          </cell>
          <cell r="CG34" t="str">
            <v>N</v>
          </cell>
        </row>
        <row r="35">
          <cell r="C35">
            <v>27</v>
          </cell>
          <cell r="D35">
            <v>3840653.03</v>
          </cell>
          <cell r="F35">
            <v>67</v>
          </cell>
          <cell r="G35">
            <v>284356.51</v>
          </cell>
          <cell r="I35">
            <v>27</v>
          </cell>
          <cell r="J35">
            <v>-318539.34999999998</v>
          </cell>
          <cell r="L35">
            <v>80</v>
          </cell>
          <cell r="M35">
            <v>-1541397.86</v>
          </cell>
          <cell r="R35">
            <v>34</v>
          </cell>
          <cell r="S35">
            <v>-1756065.79</v>
          </cell>
          <cell r="U35">
            <v>38</v>
          </cell>
          <cell r="V35">
            <v>66039.210000000006</v>
          </cell>
          <cell r="X35">
            <v>26</v>
          </cell>
          <cell r="Y35">
            <v>-144207</v>
          </cell>
          <cell r="AA35">
            <v>69</v>
          </cell>
          <cell r="AB35">
            <v>-31800</v>
          </cell>
          <cell r="BE35">
            <v>28</v>
          </cell>
          <cell r="BF35">
            <v>2454.4645709000006</v>
          </cell>
          <cell r="CF35">
            <v>26</v>
          </cell>
          <cell r="CG35" t="str">
            <v>Y</v>
          </cell>
        </row>
        <row r="36">
          <cell r="C36">
            <v>28</v>
          </cell>
          <cell r="D36">
            <v>439548.09</v>
          </cell>
          <cell r="F36">
            <v>68</v>
          </cell>
          <cell r="G36">
            <v>16881.75</v>
          </cell>
          <cell r="I36">
            <v>28</v>
          </cell>
          <cell r="J36">
            <v>-141469.26</v>
          </cell>
          <cell r="L36">
            <v>83</v>
          </cell>
          <cell r="M36">
            <v>-235041.22</v>
          </cell>
          <cell r="R36">
            <v>35</v>
          </cell>
          <cell r="S36">
            <v>-2337923.81</v>
          </cell>
          <cell r="U36">
            <v>40</v>
          </cell>
          <cell r="V36">
            <v>0</v>
          </cell>
          <cell r="X36">
            <v>27</v>
          </cell>
          <cell r="Y36">
            <v>-113675</v>
          </cell>
          <cell r="AA36">
            <v>70</v>
          </cell>
          <cell r="AB36">
            <v>-215027.33</v>
          </cell>
          <cell r="BE36">
            <v>29</v>
          </cell>
          <cell r="BF36">
            <v>8762.436387400001</v>
          </cell>
          <cell r="CF36">
            <v>27</v>
          </cell>
          <cell r="CG36" t="str">
            <v>Y</v>
          </cell>
        </row>
        <row r="37">
          <cell r="C37">
            <v>29</v>
          </cell>
          <cell r="D37">
            <v>1097276.03</v>
          </cell>
          <cell r="F37">
            <v>69</v>
          </cell>
          <cell r="G37">
            <v>18135.75</v>
          </cell>
          <cell r="I37">
            <v>29</v>
          </cell>
          <cell r="J37">
            <v>-264593.96999999997</v>
          </cell>
          <cell r="L37">
            <v>86</v>
          </cell>
          <cell r="M37">
            <v>341225.02</v>
          </cell>
          <cell r="R37">
            <v>36</v>
          </cell>
          <cell r="S37">
            <v>-6463721.5499999998</v>
          </cell>
          <cell r="U37">
            <v>41</v>
          </cell>
          <cell r="V37">
            <v>5027.5</v>
          </cell>
          <cell r="X37">
            <v>28</v>
          </cell>
          <cell r="Y37">
            <v>-16878</v>
          </cell>
          <cell r="AA37">
            <v>71</v>
          </cell>
          <cell r="AB37">
            <v>-120856.94</v>
          </cell>
          <cell r="BE37">
            <v>30</v>
          </cell>
          <cell r="BF37">
            <v>7574.9101197999998</v>
          </cell>
          <cell r="CF37">
            <v>28</v>
          </cell>
          <cell r="CG37" t="str">
            <v>Y</v>
          </cell>
        </row>
        <row r="38">
          <cell r="C38">
            <v>30</v>
          </cell>
          <cell r="D38">
            <v>584834.87</v>
          </cell>
          <cell r="F38">
            <v>70</v>
          </cell>
          <cell r="G38">
            <v>502973.87</v>
          </cell>
          <cell r="I38">
            <v>30</v>
          </cell>
          <cell r="J38">
            <v>-239932.23</v>
          </cell>
          <cell r="L38">
            <v>87</v>
          </cell>
          <cell r="M38">
            <v>-3777502.16</v>
          </cell>
          <cell r="R38">
            <v>38</v>
          </cell>
          <cell r="S38">
            <v>-3040932.78</v>
          </cell>
          <cell r="U38">
            <v>42</v>
          </cell>
          <cell r="V38">
            <v>12829.22</v>
          </cell>
          <cell r="X38">
            <v>29</v>
          </cell>
          <cell r="Y38">
            <v>-21250</v>
          </cell>
          <cell r="AA38">
            <v>72</v>
          </cell>
          <cell r="AB38">
            <v>-13800</v>
          </cell>
          <cell r="BE38">
            <v>32</v>
          </cell>
          <cell r="BF38">
            <v>160.50348879999993</v>
          </cell>
          <cell r="CF38">
            <v>29</v>
          </cell>
          <cell r="CG38" t="str">
            <v>Y</v>
          </cell>
        </row>
        <row r="39">
          <cell r="C39">
            <v>31</v>
          </cell>
          <cell r="D39">
            <v>424701.88</v>
          </cell>
          <cell r="F39">
            <v>71</v>
          </cell>
          <cell r="G39">
            <v>481354.69</v>
          </cell>
          <cell r="I39">
            <v>31</v>
          </cell>
          <cell r="J39">
            <v>-286864.78000000003</v>
          </cell>
          <cell r="L39">
            <v>90</v>
          </cell>
          <cell r="M39">
            <v>433739.42</v>
          </cell>
          <cell r="R39">
            <v>40</v>
          </cell>
          <cell r="S39">
            <v>-2667782.39</v>
          </cell>
          <cell r="U39">
            <v>43</v>
          </cell>
          <cell r="V39">
            <v>2655.75</v>
          </cell>
          <cell r="X39">
            <v>30</v>
          </cell>
          <cell r="Y39">
            <v>-28960</v>
          </cell>
          <cell r="AA39">
            <v>73</v>
          </cell>
          <cell r="AB39">
            <v>-36730.550000000003</v>
          </cell>
          <cell r="BE39">
            <v>33</v>
          </cell>
          <cell r="BF39">
            <v>895.31728299999975</v>
          </cell>
          <cell r="CF39">
            <v>30</v>
          </cell>
          <cell r="CG39" t="str">
            <v>Y</v>
          </cell>
        </row>
        <row r="40">
          <cell r="C40">
            <v>34</v>
          </cell>
          <cell r="D40">
            <v>4312300.16</v>
          </cell>
          <cell r="F40">
            <v>72</v>
          </cell>
          <cell r="G40">
            <v>0</v>
          </cell>
          <cell r="I40">
            <v>34</v>
          </cell>
          <cell r="J40">
            <v>-524274.72</v>
          </cell>
          <cell r="L40">
            <v>103</v>
          </cell>
          <cell r="M40">
            <v>441303.48</v>
          </cell>
          <cell r="R40">
            <v>41</v>
          </cell>
          <cell r="S40">
            <v>-384013.4</v>
          </cell>
          <cell r="U40">
            <v>44</v>
          </cell>
          <cell r="V40">
            <v>0</v>
          </cell>
          <cell r="X40">
            <v>31</v>
          </cell>
          <cell r="Y40">
            <v>-10408</v>
          </cell>
          <cell r="AA40">
            <v>74</v>
          </cell>
          <cell r="AB40">
            <v>-1200</v>
          </cell>
          <cell r="BE40">
            <v>34</v>
          </cell>
          <cell r="BF40">
            <v>22107.898132900002</v>
          </cell>
          <cell r="CF40">
            <v>31</v>
          </cell>
          <cell r="CG40" t="str">
            <v>Y</v>
          </cell>
        </row>
        <row r="41">
          <cell r="C41">
            <v>35</v>
          </cell>
          <cell r="D41">
            <v>7592242.75</v>
          </cell>
          <cell r="F41">
            <v>73</v>
          </cell>
          <cell r="G41">
            <v>166544.25</v>
          </cell>
          <cell r="I41">
            <v>35</v>
          </cell>
          <cell r="J41">
            <v>-723303.78</v>
          </cell>
          <cell r="L41">
            <v>105</v>
          </cell>
          <cell r="M41">
            <v>958924.18</v>
          </cell>
          <cell r="R41">
            <v>42</v>
          </cell>
          <cell r="S41">
            <v>-328081.02</v>
          </cell>
          <cell r="U41">
            <v>47</v>
          </cell>
          <cell r="V41">
            <v>8730.5</v>
          </cell>
          <cell r="X41">
            <v>34</v>
          </cell>
          <cell r="Y41">
            <v>-269988</v>
          </cell>
          <cell r="AA41">
            <v>75</v>
          </cell>
          <cell r="AB41">
            <v>-35168</v>
          </cell>
          <cell r="BE41">
            <v>35</v>
          </cell>
          <cell r="BF41">
            <v>30831.339511800004</v>
          </cell>
          <cell r="CF41">
            <v>32</v>
          </cell>
          <cell r="CG41" t="str">
            <v>Y</v>
          </cell>
        </row>
        <row r="42">
          <cell r="C42">
            <v>36</v>
          </cell>
          <cell r="D42">
            <v>14628820.08</v>
          </cell>
          <cell r="F42">
            <v>74</v>
          </cell>
          <cell r="G42">
            <v>31.25</v>
          </cell>
          <cell r="I42">
            <v>36</v>
          </cell>
          <cell r="J42">
            <v>-2067870.39</v>
          </cell>
          <cell r="L42">
            <v>106</v>
          </cell>
          <cell r="M42">
            <v>-263680.64000000001</v>
          </cell>
          <cell r="R42">
            <v>43</v>
          </cell>
          <cell r="S42">
            <v>-597213.81000000006</v>
          </cell>
          <cell r="U42">
            <v>50</v>
          </cell>
          <cell r="V42">
            <v>20901.91</v>
          </cell>
          <cell r="X42">
            <v>35</v>
          </cell>
          <cell r="Y42">
            <v>-521846</v>
          </cell>
          <cell r="AA42">
            <v>77</v>
          </cell>
          <cell r="AB42">
            <v>0</v>
          </cell>
          <cell r="BE42">
            <v>36</v>
          </cell>
          <cell r="BF42">
            <v>50643.837685499981</v>
          </cell>
          <cell r="CF42">
            <v>33</v>
          </cell>
          <cell r="CG42" t="str">
            <v>Y</v>
          </cell>
        </row>
        <row r="43">
          <cell r="C43">
            <v>38</v>
          </cell>
          <cell r="D43">
            <v>22374298.640000001</v>
          </cell>
          <cell r="F43">
            <v>75</v>
          </cell>
          <cell r="G43">
            <v>266142.37</v>
          </cell>
          <cell r="I43">
            <v>38</v>
          </cell>
          <cell r="J43">
            <v>-4805178.1399999997</v>
          </cell>
          <cell r="L43">
            <v>107</v>
          </cell>
          <cell r="M43">
            <v>476560.11</v>
          </cell>
          <cell r="R43">
            <v>44</v>
          </cell>
          <cell r="S43">
            <v>-1217893.01</v>
          </cell>
          <cell r="U43">
            <v>51</v>
          </cell>
          <cell r="V43">
            <v>24597.439999999999</v>
          </cell>
          <cell r="X43">
            <v>36</v>
          </cell>
          <cell r="Y43">
            <v>-869454</v>
          </cell>
          <cell r="AA43">
            <v>79</v>
          </cell>
          <cell r="AB43">
            <v>-59355</v>
          </cell>
          <cell r="BE43">
            <v>38</v>
          </cell>
          <cell r="BF43">
            <v>41384.864358200015</v>
          </cell>
          <cell r="CF43">
            <v>34</v>
          </cell>
          <cell r="CG43" t="str">
            <v>N</v>
          </cell>
        </row>
        <row r="44">
          <cell r="C44">
            <v>40</v>
          </cell>
          <cell r="D44">
            <v>6854342.9100000001</v>
          </cell>
          <cell r="F44">
            <v>79</v>
          </cell>
          <cell r="G44">
            <v>312.5</v>
          </cell>
          <cell r="I44">
            <v>40</v>
          </cell>
          <cell r="J44">
            <v>-1182417.1299999999</v>
          </cell>
          <cell r="L44">
            <v>108</v>
          </cell>
          <cell r="M44">
            <v>465759</v>
          </cell>
          <cell r="R44">
            <v>47</v>
          </cell>
          <cell r="S44">
            <v>-16854127.93</v>
          </cell>
          <cell r="U44">
            <v>52</v>
          </cell>
          <cell r="V44">
            <v>1055.5</v>
          </cell>
          <cell r="X44">
            <v>38</v>
          </cell>
          <cell r="Y44">
            <v>-818893</v>
          </cell>
          <cell r="AA44">
            <v>80</v>
          </cell>
          <cell r="AB44">
            <v>-451397.88</v>
          </cell>
          <cell r="BE44">
            <v>40</v>
          </cell>
          <cell r="BF44">
            <v>10270.235442000001</v>
          </cell>
          <cell r="CF44">
            <v>35</v>
          </cell>
          <cell r="CG44" t="str">
            <v>Y</v>
          </cell>
        </row>
        <row r="45">
          <cell r="C45">
            <v>41</v>
          </cell>
          <cell r="D45">
            <v>1308825.4099999999</v>
          </cell>
          <cell r="F45">
            <v>80</v>
          </cell>
          <cell r="G45">
            <v>1076879.6599999999</v>
          </cell>
          <cell r="I45">
            <v>41</v>
          </cell>
          <cell r="J45">
            <v>-225019.62</v>
          </cell>
          <cell r="L45">
            <v>120</v>
          </cell>
          <cell r="M45">
            <v>883155.33</v>
          </cell>
          <cell r="R45">
            <v>50</v>
          </cell>
          <cell r="S45">
            <v>-70077.86</v>
          </cell>
          <cell r="U45">
            <v>53</v>
          </cell>
          <cell r="V45">
            <v>53197.79</v>
          </cell>
          <cell r="X45">
            <v>40</v>
          </cell>
          <cell r="Y45">
            <v>-502348</v>
          </cell>
          <cell r="AA45">
            <v>81</v>
          </cell>
          <cell r="AB45">
            <v>-600</v>
          </cell>
          <cell r="BE45">
            <v>41</v>
          </cell>
          <cell r="BF45">
            <v>1371.1207386999999</v>
          </cell>
          <cell r="CF45">
            <v>36</v>
          </cell>
          <cell r="CG45" t="str">
            <v>Y</v>
          </cell>
        </row>
        <row r="46">
          <cell r="C46">
            <v>42</v>
          </cell>
          <cell r="D46">
            <v>1557599.9</v>
          </cell>
          <cell r="F46">
            <v>83</v>
          </cell>
          <cell r="G46">
            <v>236570.77</v>
          </cell>
          <cell r="I46">
            <v>42</v>
          </cell>
          <cell r="J46">
            <v>-405081.52</v>
          </cell>
          <cell r="L46">
            <v>121</v>
          </cell>
          <cell r="M46">
            <v>4106.7</v>
          </cell>
          <cell r="R46">
            <v>51</v>
          </cell>
          <cell r="S46">
            <v>-218902.12</v>
          </cell>
          <cell r="U46">
            <v>55</v>
          </cell>
          <cell r="V46">
            <v>0</v>
          </cell>
          <cell r="X46">
            <v>41</v>
          </cell>
          <cell r="Y46">
            <v>-104020</v>
          </cell>
          <cell r="AA46">
            <v>83</v>
          </cell>
          <cell r="AB46">
            <v>-42845</v>
          </cell>
          <cell r="BE46">
            <v>42</v>
          </cell>
          <cell r="BF46">
            <v>5406.1091174999983</v>
          </cell>
          <cell r="CF46">
            <v>38</v>
          </cell>
          <cell r="CG46" t="str">
            <v>Y</v>
          </cell>
        </row>
        <row r="47">
          <cell r="C47">
            <v>43</v>
          </cell>
          <cell r="D47">
            <v>2207031.3199999998</v>
          </cell>
          <cell r="F47">
            <v>86</v>
          </cell>
          <cell r="G47">
            <v>282956.40000000002</v>
          </cell>
          <cell r="I47">
            <v>43</v>
          </cell>
          <cell r="J47">
            <v>-869173.47</v>
          </cell>
          <cell r="L47">
            <v>123</v>
          </cell>
          <cell r="M47">
            <v>45333.52</v>
          </cell>
          <cell r="R47">
            <v>52</v>
          </cell>
          <cell r="S47">
            <v>-1658405.65</v>
          </cell>
          <cell r="U47">
            <v>56</v>
          </cell>
          <cell r="V47">
            <v>12769.75</v>
          </cell>
          <cell r="X47">
            <v>42</v>
          </cell>
          <cell r="Y47">
            <v>-78231</v>
          </cell>
          <cell r="AA47">
            <v>86</v>
          </cell>
          <cell r="AB47">
            <v>-5725</v>
          </cell>
          <cell r="BE47">
            <v>43</v>
          </cell>
          <cell r="BF47">
            <v>8572.7909542999987</v>
          </cell>
          <cell r="CF47">
            <v>40</v>
          </cell>
          <cell r="CG47" t="str">
            <v>Y</v>
          </cell>
        </row>
        <row r="48">
          <cell r="C48">
            <v>44</v>
          </cell>
          <cell r="D48">
            <v>4326803.03</v>
          </cell>
          <cell r="F48">
            <v>87</v>
          </cell>
          <cell r="G48">
            <v>120592.92</v>
          </cell>
          <cell r="I48">
            <v>44</v>
          </cell>
          <cell r="J48">
            <v>-1447080.49</v>
          </cell>
          <cell r="L48">
            <v>133</v>
          </cell>
          <cell r="M48">
            <v>-1300309.8600000001</v>
          </cell>
          <cell r="R48">
            <v>55</v>
          </cell>
          <cell r="S48">
            <v>-13016904.640000001</v>
          </cell>
          <cell r="U48">
            <v>57</v>
          </cell>
          <cell r="V48">
            <v>253545.27</v>
          </cell>
          <cell r="X48">
            <v>43</v>
          </cell>
          <cell r="Y48">
            <v>-179342</v>
          </cell>
          <cell r="AA48">
            <v>87</v>
          </cell>
          <cell r="AB48">
            <v>-350</v>
          </cell>
          <cell r="BE48">
            <v>44</v>
          </cell>
          <cell r="BF48">
            <v>7985.5789596999994</v>
          </cell>
          <cell r="CF48">
            <v>41</v>
          </cell>
          <cell r="CG48" t="str">
            <v>Y</v>
          </cell>
        </row>
        <row r="49">
          <cell r="C49">
            <v>47</v>
          </cell>
          <cell r="D49">
            <v>23902484.170000002</v>
          </cell>
          <cell r="F49">
            <v>88</v>
          </cell>
          <cell r="G49">
            <v>255.25</v>
          </cell>
          <cell r="I49">
            <v>47</v>
          </cell>
          <cell r="J49">
            <v>-1720999.26</v>
          </cell>
          <cell r="L49">
            <v>140</v>
          </cell>
          <cell r="M49">
            <v>524032.2</v>
          </cell>
          <cell r="R49">
            <v>56</v>
          </cell>
          <cell r="S49">
            <v>-860113.12</v>
          </cell>
          <cell r="U49">
            <v>58</v>
          </cell>
          <cell r="V49">
            <v>6050.5</v>
          </cell>
          <cell r="X49">
            <v>44</v>
          </cell>
          <cell r="Y49">
            <v>-314366</v>
          </cell>
          <cell r="AA49">
            <v>89</v>
          </cell>
          <cell r="AB49">
            <v>-270975.21000000002</v>
          </cell>
          <cell r="BE49">
            <v>47</v>
          </cell>
          <cell r="BF49">
            <v>21997.196783200012</v>
          </cell>
          <cell r="CF49">
            <v>42</v>
          </cell>
          <cell r="CG49" t="str">
            <v>N</v>
          </cell>
        </row>
        <row r="50">
          <cell r="C50">
            <v>50</v>
          </cell>
          <cell r="D50">
            <v>1285259.99</v>
          </cell>
          <cell r="F50">
            <v>89</v>
          </cell>
          <cell r="G50">
            <v>3112341.05</v>
          </cell>
          <cell r="I50">
            <v>50</v>
          </cell>
          <cell r="J50">
            <v>-377677.53</v>
          </cell>
          <cell r="L50">
            <v>150</v>
          </cell>
          <cell r="M50">
            <v>162244.29999999999</v>
          </cell>
          <cell r="R50">
            <v>57</v>
          </cell>
          <cell r="S50">
            <v>-369385.7</v>
          </cell>
          <cell r="U50">
            <v>60</v>
          </cell>
          <cell r="V50">
            <v>173411.66</v>
          </cell>
          <cell r="X50">
            <v>47</v>
          </cell>
          <cell r="Y50">
            <v>-461936</v>
          </cell>
          <cell r="AA50">
            <v>90</v>
          </cell>
          <cell r="AB50">
            <v>-84690</v>
          </cell>
          <cell r="BE50">
            <v>50</v>
          </cell>
          <cell r="BF50">
            <v>5997.1502156999986</v>
          </cell>
          <cell r="CF50">
            <v>43</v>
          </cell>
          <cell r="CG50" t="str">
            <v>N</v>
          </cell>
        </row>
        <row r="51">
          <cell r="C51">
            <v>51</v>
          </cell>
          <cell r="D51">
            <v>995497.86</v>
          </cell>
          <cell r="F51">
            <v>90</v>
          </cell>
          <cell r="G51">
            <v>122476.85</v>
          </cell>
          <cell r="I51">
            <v>51</v>
          </cell>
          <cell r="J51">
            <v>-401003.12</v>
          </cell>
          <cell r="L51">
            <v>151</v>
          </cell>
          <cell r="M51">
            <v>1209503.26</v>
          </cell>
          <cell r="R51">
            <v>58</v>
          </cell>
          <cell r="S51">
            <v>-103730.28</v>
          </cell>
          <cell r="U51">
            <v>61</v>
          </cell>
          <cell r="V51">
            <v>74441.67</v>
          </cell>
          <cell r="X51">
            <v>50</v>
          </cell>
          <cell r="Y51">
            <v>-68215</v>
          </cell>
          <cell r="AA51">
            <v>91</v>
          </cell>
          <cell r="AB51">
            <v>-16325</v>
          </cell>
          <cell r="BE51">
            <v>51</v>
          </cell>
          <cell r="BF51">
            <v>3767.6126438999981</v>
          </cell>
          <cell r="CF51">
            <v>44</v>
          </cell>
          <cell r="CG51" t="str">
            <v>Y</v>
          </cell>
        </row>
        <row r="52">
          <cell r="C52">
            <v>52</v>
          </cell>
          <cell r="D52">
            <v>4672606</v>
          </cell>
          <cell r="F52">
            <v>91</v>
          </cell>
          <cell r="G52">
            <v>386.5</v>
          </cell>
          <cell r="I52">
            <v>52</v>
          </cell>
          <cell r="J52">
            <v>-1576284.55</v>
          </cell>
          <cell r="L52">
            <v>160</v>
          </cell>
          <cell r="M52">
            <v>-172043.12</v>
          </cell>
          <cell r="R52">
            <v>60</v>
          </cell>
          <cell r="S52">
            <v>-4703721.47</v>
          </cell>
          <cell r="U52">
            <v>62</v>
          </cell>
          <cell r="V52">
            <v>150</v>
          </cell>
          <cell r="X52">
            <v>51</v>
          </cell>
          <cell r="Y52">
            <v>-98179</v>
          </cell>
          <cell r="AA52">
            <v>92</v>
          </cell>
          <cell r="AB52">
            <v>-45</v>
          </cell>
          <cell r="BE52">
            <v>52</v>
          </cell>
          <cell r="BF52">
            <v>7379.2947365000009</v>
          </cell>
          <cell r="CF52">
            <v>47</v>
          </cell>
          <cell r="CG52" t="str">
            <v>Y</v>
          </cell>
        </row>
        <row r="53">
          <cell r="C53">
            <v>53</v>
          </cell>
          <cell r="D53">
            <v>8530989.9800000004</v>
          </cell>
          <cell r="F53">
            <v>93</v>
          </cell>
          <cell r="G53">
            <v>0</v>
          </cell>
          <cell r="I53">
            <v>53</v>
          </cell>
          <cell r="J53">
            <v>-2285484.8199999998</v>
          </cell>
          <cell r="L53">
            <v>165</v>
          </cell>
          <cell r="M53">
            <v>1017337.28</v>
          </cell>
          <cell r="R53">
            <v>61</v>
          </cell>
          <cell r="S53">
            <v>-638289.77</v>
          </cell>
          <cell r="U53">
            <v>64</v>
          </cell>
          <cell r="V53">
            <v>117707.89</v>
          </cell>
          <cell r="X53">
            <v>52</v>
          </cell>
          <cell r="Y53">
            <v>-113062</v>
          </cell>
          <cell r="AA53">
            <v>101</v>
          </cell>
          <cell r="AB53">
            <v>-125339.11</v>
          </cell>
          <cell r="BE53">
            <v>53</v>
          </cell>
          <cell r="BF53">
            <v>16655.742690500003</v>
          </cell>
          <cell r="CF53">
            <v>50</v>
          </cell>
          <cell r="CG53" t="str">
            <v>Y</v>
          </cell>
        </row>
        <row r="54">
          <cell r="C54">
            <v>55</v>
          </cell>
          <cell r="D54">
            <v>21289444.280000001</v>
          </cell>
          <cell r="F54">
            <v>101</v>
          </cell>
          <cell r="G54">
            <v>388441.11</v>
          </cell>
          <cell r="I54">
            <v>55</v>
          </cell>
          <cell r="J54">
            <v>-2861271.17</v>
          </cell>
          <cell r="R54">
            <v>62</v>
          </cell>
          <cell r="S54">
            <v>-96434.69</v>
          </cell>
          <cell r="U54">
            <v>65</v>
          </cell>
          <cell r="V54">
            <v>0</v>
          </cell>
          <cell r="X54">
            <v>53</v>
          </cell>
          <cell r="Y54">
            <v>-293613</v>
          </cell>
          <cell r="AA54">
            <v>103</v>
          </cell>
          <cell r="AB54">
            <v>-16500</v>
          </cell>
          <cell r="BE54">
            <v>55</v>
          </cell>
          <cell r="BF54">
            <v>41382.913161699995</v>
          </cell>
          <cell r="CF54">
            <v>51</v>
          </cell>
          <cell r="CG54" t="str">
            <v>N</v>
          </cell>
        </row>
        <row r="55">
          <cell r="C55">
            <v>56</v>
          </cell>
          <cell r="D55">
            <v>2115622.66</v>
          </cell>
          <cell r="F55">
            <v>103</v>
          </cell>
          <cell r="G55">
            <v>59409.5</v>
          </cell>
          <cell r="I55">
            <v>56</v>
          </cell>
          <cell r="J55">
            <v>-589573.04</v>
          </cell>
          <cell r="R55">
            <v>64</v>
          </cell>
          <cell r="S55">
            <v>-145201.68</v>
          </cell>
          <cell r="U55">
            <v>66</v>
          </cell>
          <cell r="V55">
            <v>29246.61</v>
          </cell>
          <cell r="X55">
            <v>55</v>
          </cell>
          <cell r="Y55">
            <v>185917</v>
          </cell>
          <cell r="AA55">
            <v>104</v>
          </cell>
          <cell r="AB55">
            <v>-11424</v>
          </cell>
          <cell r="BE55">
            <v>56</v>
          </cell>
          <cell r="BF55">
            <v>2453.5620121999991</v>
          </cell>
          <cell r="CF55">
            <v>52</v>
          </cell>
          <cell r="CG55" t="str">
            <v>Y</v>
          </cell>
        </row>
        <row r="56">
          <cell r="C56">
            <v>57</v>
          </cell>
          <cell r="D56">
            <v>2169497.9700000002</v>
          </cell>
          <cell r="F56">
            <v>104</v>
          </cell>
          <cell r="G56">
            <v>0</v>
          </cell>
          <cell r="I56">
            <v>57</v>
          </cell>
          <cell r="J56">
            <v>-747885.22</v>
          </cell>
          <cell r="R56">
            <v>65</v>
          </cell>
          <cell r="S56">
            <v>-78140.649999999994</v>
          </cell>
          <cell r="U56">
            <v>67</v>
          </cell>
          <cell r="V56">
            <v>176495.72</v>
          </cell>
          <cell r="X56">
            <v>56</v>
          </cell>
          <cell r="Y56">
            <v>-48066</v>
          </cell>
          <cell r="AA56">
            <v>105</v>
          </cell>
          <cell r="AB56">
            <v>-41255</v>
          </cell>
          <cell r="BE56">
            <v>57</v>
          </cell>
          <cell r="BF56">
            <v>6736.9271866999961</v>
          </cell>
          <cell r="CF56">
            <v>53</v>
          </cell>
          <cell r="CG56" t="str">
            <v>Y</v>
          </cell>
        </row>
        <row r="57">
          <cell r="C57">
            <v>58</v>
          </cell>
          <cell r="D57">
            <v>1393943.34</v>
          </cell>
          <cell r="F57">
            <v>105</v>
          </cell>
          <cell r="G57">
            <v>0</v>
          </cell>
          <cell r="I57">
            <v>58</v>
          </cell>
          <cell r="J57">
            <v>-136550.89000000001</v>
          </cell>
          <cell r="R57">
            <v>66</v>
          </cell>
          <cell r="S57">
            <v>-1816888.82</v>
          </cell>
          <cell r="U57">
            <v>68</v>
          </cell>
          <cell r="V57">
            <v>56508.37</v>
          </cell>
          <cell r="X57">
            <v>57</v>
          </cell>
          <cell r="Y57">
            <v>-250693</v>
          </cell>
          <cell r="AA57">
            <v>107</v>
          </cell>
          <cell r="AB57">
            <v>-10706</v>
          </cell>
          <cell r="BE57">
            <v>60</v>
          </cell>
          <cell r="BF57">
            <v>42501.437761800007</v>
          </cell>
          <cell r="CF57">
            <v>55</v>
          </cell>
          <cell r="CG57" t="str">
            <v>Y</v>
          </cell>
        </row>
        <row r="58">
          <cell r="C58">
            <v>60</v>
          </cell>
          <cell r="D58">
            <v>16476701.039999999</v>
          </cell>
          <cell r="F58">
            <v>106</v>
          </cell>
          <cell r="G58">
            <v>109930.87</v>
          </cell>
          <cell r="I58">
            <v>60</v>
          </cell>
          <cell r="J58">
            <v>-3634428.02</v>
          </cell>
          <cell r="R58">
            <v>67</v>
          </cell>
          <cell r="S58">
            <v>-9859876.0299999993</v>
          </cell>
          <cell r="U58">
            <v>69</v>
          </cell>
          <cell r="V58">
            <v>40434.93</v>
          </cell>
          <cell r="X58">
            <v>58</v>
          </cell>
          <cell r="Y58">
            <v>-85254</v>
          </cell>
          <cell r="AA58">
            <v>109</v>
          </cell>
          <cell r="AB58">
            <v>-8534</v>
          </cell>
          <cell r="BE58">
            <v>61</v>
          </cell>
          <cell r="BF58">
            <v>5610.7077346999995</v>
          </cell>
          <cell r="CF58">
            <v>56</v>
          </cell>
          <cell r="CG58" t="str">
            <v>Y</v>
          </cell>
        </row>
        <row r="59">
          <cell r="C59">
            <v>61</v>
          </cell>
          <cell r="D59">
            <v>3298819.64</v>
          </cell>
          <cell r="F59">
            <v>107</v>
          </cell>
          <cell r="G59">
            <v>0</v>
          </cell>
          <cell r="I59">
            <v>61</v>
          </cell>
          <cell r="J59">
            <v>-1911967.45</v>
          </cell>
          <cell r="R59">
            <v>68</v>
          </cell>
          <cell r="S59">
            <v>-689127.77</v>
          </cell>
          <cell r="U59">
            <v>70</v>
          </cell>
          <cell r="V59">
            <v>353530.4</v>
          </cell>
          <cell r="X59">
            <v>60</v>
          </cell>
          <cell r="Y59">
            <v>-804889</v>
          </cell>
          <cell r="AA59">
            <v>120</v>
          </cell>
          <cell r="AB59">
            <v>-4742.5</v>
          </cell>
          <cell r="BE59">
            <v>62</v>
          </cell>
          <cell r="BF59">
            <v>1807.3653587999995</v>
          </cell>
          <cell r="CF59">
            <v>57</v>
          </cell>
          <cell r="CG59" t="str">
            <v>Y</v>
          </cell>
        </row>
        <row r="60">
          <cell r="C60">
            <v>62</v>
          </cell>
          <cell r="D60">
            <v>907808.23</v>
          </cell>
          <cell r="F60">
            <v>108</v>
          </cell>
          <cell r="G60">
            <v>75.25</v>
          </cell>
          <cell r="I60">
            <v>62</v>
          </cell>
          <cell r="J60">
            <v>-440381.76</v>
          </cell>
          <cell r="R60">
            <v>69</v>
          </cell>
          <cell r="S60">
            <v>-3846987.72</v>
          </cell>
          <cell r="U60">
            <v>71</v>
          </cell>
          <cell r="V60">
            <v>236274.88</v>
          </cell>
          <cell r="X60">
            <v>61</v>
          </cell>
          <cell r="Y60">
            <v>-87493</v>
          </cell>
          <cell r="AA60">
            <v>121</v>
          </cell>
          <cell r="AB60">
            <v>-1425</v>
          </cell>
          <cell r="BE60">
            <v>64</v>
          </cell>
          <cell r="BF60">
            <v>6913.0273951000017</v>
          </cell>
          <cell r="CF60">
            <v>58</v>
          </cell>
          <cell r="CG60" t="str">
            <v>Y</v>
          </cell>
        </row>
        <row r="61">
          <cell r="C61">
            <v>64</v>
          </cell>
          <cell r="D61">
            <v>4333654.71</v>
          </cell>
          <cell r="F61">
            <v>109</v>
          </cell>
          <cell r="G61">
            <v>304709.61</v>
          </cell>
          <cell r="I61">
            <v>64</v>
          </cell>
          <cell r="J61">
            <v>-2025911.26</v>
          </cell>
          <cell r="R61">
            <v>70</v>
          </cell>
          <cell r="S61">
            <v>-15157623.33</v>
          </cell>
          <cell r="U61">
            <v>72</v>
          </cell>
          <cell r="V61">
            <v>31885.51</v>
          </cell>
          <cell r="X61">
            <v>62</v>
          </cell>
          <cell r="Y61">
            <v>-20502</v>
          </cell>
          <cell r="AA61">
            <v>122</v>
          </cell>
          <cell r="AB61">
            <v>-24100</v>
          </cell>
          <cell r="BE61">
            <v>65</v>
          </cell>
          <cell r="BF61">
            <v>13446.453393099997</v>
          </cell>
          <cell r="CF61">
            <v>60</v>
          </cell>
          <cell r="CG61" t="str">
            <v>Y</v>
          </cell>
        </row>
        <row r="62">
          <cell r="C62">
            <v>65</v>
          </cell>
          <cell r="D62">
            <v>1544826.35</v>
          </cell>
          <cell r="F62">
            <v>120</v>
          </cell>
          <cell r="G62">
            <v>1036269.01</v>
          </cell>
          <cell r="I62">
            <v>65</v>
          </cell>
          <cell r="J62">
            <v>-245734.2</v>
          </cell>
          <cell r="R62">
            <v>71</v>
          </cell>
          <cell r="S62">
            <v>-36562.44</v>
          </cell>
          <cell r="U62">
            <v>73</v>
          </cell>
          <cell r="V62">
            <v>65779.62</v>
          </cell>
          <cell r="X62">
            <v>64</v>
          </cell>
          <cell r="Y62">
            <v>-228794</v>
          </cell>
          <cell r="AA62">
            <v>123</v>
          </cell>
          <cell r="AB62">
            <v>-550</v>
          </cell>
          <cell r="BE62">
            <v>66</v>
          </cell>
          <cell r="BF62">
            <v>14386.646283100003</v>
          </cell>
          <cell r="CF62">
            <v>61</v>
          </cell>
          <cell r="CG62" t="str">
            <v>N</v>
          </cell>
        </row>
        <row r="63">
          <cell r="C63">
            <v>66</v>
          </cell>
          <cell r="D63">
            <v>6542895.0700000003</v>
          </cell>
          <cell r="F63">
            <v>122</v>
          </cell>
          <cell r="G63">
            <v>210.25</v>
          </cell>
          <cell r="I63">
            <v>66</v>
          </cell>
          <cell r="J63">
            <v>-2020524.76</v>
          </cell>
          <cell r="R63">
            <v>72</v>
          </cell>
          <cell r="S63">
            <v>-769694.03</v>
          </cell>
          <cell r="U63">
            <v>74</v>
          </cell>
          <cell r="V63">
            <v>1648</v>
          </cell>
          <cell r="X63">
            <v>65</v>
          </cell>
          <cell r="Y63">
            <v>-186146</v>
          </cell>
          <cell r="AA63">
            <v>133</v>
          </cell>
          <cell r="AB63">
            <v>-3950</v>
          </cell>
          <cell r="BE63">
            <v>67</v>
          </cell>
          <cell r="BF63">
            <v>53238.977536699997</v>
          </cell>
          <cell r="CF63">
            <v>62</v>
          </cell>
          <cell r="CG63" t="str">
            <v>Y</v>
          </cell>
        </row>
        <row r="64">
          <cell r="C64">
            <v>67</v>
          </cell>
          <cell r="D64">
            <v>22426270.309999999</v>
          </cell>
          <cell r="F64">
            <v>123</v>
          </cell>
          <cell r="G64">
            <v>22072</v>
          </cell>
          <cell r="I64">
            <v>67</v>
          </cell>
          <cell r="J64">
            <v>-6106309.0300000003</v>
          </cell>
          <cell r="R64">
            <v>73</v>
          </cell>
          <cell r="S64">
            <v>-1268311.53</v>
          </cell>
          <cell r="U64">
            <v>75</v>
          </cell>
          <cell r="V64">
            <v>33226.559999999998</v>
          </cell>
          <cell r="X64">
            <v>66</v>
          </cell>
          <cell r="Y64">
            <v>-342456</v>
          </cell>
          <cell r="AA64">
            <v>135</v>
          </cell>
          <cell r="AB64">
            <v>-298078.84000000003</v>
          </cell>
          <cell r="BE64">
            <v>68</v>
          </cell>
          <cell r="BF64">
            <v>13272.657975799995</v>
          </cell>
          <cell r="CF64">
            <v>64</v>
          </cell>
          <cell r="CG64" t="str">
            <v>Y</v>
          </cell>
        </row>
        <row r="65">
          <cell r="C65">
            <v>68</v>
          </cell>
          <cell r="D65">
            <v>3623818.45</v>
          </cell>
          <cell r="F65">
            <v>133</v>
          </cell>
          <cell r="G65">
            <v>21245.75</v>
          </cell>
          <cell r="I65">
            <v>68</v>
          </cell>
          <cell r="J65">
            <v>-1616352.38</v>
          </cell>
          <cell r="R65">
            <v>74</v>
          </cell>
          <cell r="S65">
            <v>-100281.8</v>
          </cell>
          <cell r="U65">
            <v>79</v>
          </cell>
          <cell r="V65">
            <v>0</v>
          </cell>
          <cell r="X65">
            <v>67</v>
          </cell>
          <cell r="Y65">
            <v>766</v>
          </cell>
          <cell r="AA65">
            <v>140</v>
          </cell>
          <cell r="AB65">
            <v>-30779.85</v>
          </cell>
          <cell r="BE65">
            <v>69</v>
          </cell>
          <cell r="BF65">
            <v>15384.653113999997</v>
          </cell>
          <cell r="CF65">
            <v>65</v>
          </cell>
          <cell r="CG65" t="str">
            <v>Y</v>
          </cell>
        </row>
        <row r="66">
          <cell r="C66">
            <v>69</v>
          </cell>
          <cell r="D66">
            <v>10712588.039999999</v>
          </cell>
          <cell r="F66">
            <v>135</v>
          </cell>
          <cell r="G66">
            <v>154335.32</v>
          </cell>
          <cell r="I66">
            <v>69</v>
          </cell>
          <cell r="J66">
            <v>-4686497.8499999996</v>
          </cell>
          <cell r="R66">
            <v>75</v>
          </cell>
          <cell r="S66">
            <v>-2596111.9700000002</v>
          </cell>
          <cell r="U66">
            <v>80</v>
          </cell>
          <cell r="V66">
            <v>922879.56</v>
          </cell>
          <cell r="X66">
            <v>68</v>
          </cell>
          <cell r="Y66">
            <v>-271575</v>
          </cell>
          <cell r="AA66">
            <v>151</v>
          </cell>
          <cell r="AB66">
            <v>-21074.25</v>
          </cell>
          <cell r="BE66">
            <v>70</v>
          </cell>
          <cell r="BF66">
            <v>101945.3959799</v>
          </cell>
          <cell r="CF66">
            <v>66</v>
          </cell>
          <cell r="CG66" t="str">
            <v>Y</v>
          </cell>
        </row>
        <row r="67">
          <cell r="C67">
            <v>70</v>
          </cell>
          <cell r="D67">
            <v>39970342.579999998</v>
          </cell>
          <cell r="F67">
            <v>140</v>
          </cell>
          <cell r="G67">
            <v>4721115.71</v>
          </cell>
          <cell r="I67">
            <v>70</v>
          </cell>
          <cell r="J67">
            <v>-5323401.34</v>
          </cell>
          <cell r="R67">
            <v>77</v>
          </cell>
          <cell r="S67">
            <v>0</v>
          </cell>
          <cell r="U67">
            <v>81</v>
          </cell>
          <cell r="V67">
            <v>11436</v>
          </cell>
          <cell r="X67">
            <v>69</v>
          </cell>
          <cell r="Y67">
            <v>229531</v>
          </cell>
          <cell r="AA67">
            <v>160</v>
          </cell>
          <cell r="AB67">
            <v>-118949.1</v>
          </cell>
          <cell r="BE67">
            <v>71</v>
          </cell>
          <cell r="BF67">
            <v>49876.842957700035</v>
          </cell>
          <cell r="CF67">
            <v>67</v>
          </cell>
          <cell r="CG67" t="str">
            <v>Y</v>
          </cell>
        </row>
        <row r="68">
          <cell r="C68">
            <v>71</v>
          </cell>
          <cell r="D68">
            <v>9609705.4900000002</v>
          </cell>
          <cell r="F68">
            <v>151</v>
          </cell>
          <cell r="G68">
            <v>0</v>
          </cell>
          <cell r="I68">
            <v>71</v>
          </cell>
          <cell r="J68">
            <v>-1583103.82</v>
          </cell>
          <cell r="R68">
            <v>79</v>
          </cell>
          <cell r="S68">
            <v>-6777533.75</v>
          </cell>
          <cell r="U68">
            <v>83</v>
          </cell>
          <cell r="V68">
            <v>72005.990000000005</v>
          </cell>
          <cell r="X68">
            <v>70</v>
          </cell>
          <cell r="Y68">
            <v>-1798289</v>
          </cell>
          <cell r="AA68">
            <v>165</v>
          </cell>
          <cell r="AB68">
            <v>-21500</v>
          </cell>
          <cell r="BE68">
            <v>72</v>
          </cell>
          <cell r="BF68">
            <v>11342.433411999995</v>
          </cell>
          <cell r="CF68">
            <v>68</v>
          </cell>
          <cell r="CG68" t="str">
            <v>Y</v>
          </cell>
        </row>
        <row r="69">
          <cell r="C69">
            <v>72</v>
          </cell>
          <cell r="D69">
            <v>4106210.3</v>
          </cell>
          <cell r="F69">
            <v>160</v>
          </cell>
          <cell r="G69">
            <v>217345.06</v>
          </cell>
          <cell r="I69">
            <v>72</v>
          </cell>
          <cell r="J69">
            <v>-1280756.05</v>
          </cell>
          <cell r="R69">
            <v>80</v>
          </cell>
          <cell r="S69">
            <v>-33046498.280000001</v>
          </cell>
          <cell r="U69">
            <v>85</v>
          </cell>
          <cell r="V69">
            <v>0</v>
          </cell>
          <cell r="X69">
            <v>71</v>
          </cell>
          <cell r="Y69">
            <v>-530116</v>
          </cell>
          <cell r="BE69">
            <v>73</v>
          </cell>
          <cell r="BF69">
            <v>14301.041122599996</v>
          </cell>
          <cell r="CF69">
            <v>69</v>
          </cell>
          <cell r="CG69" t="str">
            <v>Y</v>
          </cell>
        </row>
        <row r="70">
          <cell r="C70">
            <v>73</v>
          </cell>
          <cell r="D70">
            <v>6191525.9500000002</v>
          </cell>
          <cell r="F70">
            <v>165</v>
          </cell>
          <cell r="G70">
            <v>0</v>
          </cell>
          <cell r="I70">
            <v>73</v>
          </cell>
          <cell r="J70">
            <v>-2935368.34</v>
          </cell>
          <cell r="R70">
            <v>81</v>
          </cell>
          <cell r="S70">
            <v>-47497.59</v>
          </cell>
          <cell r="U70">
            <v>86</v>
          </cell>
          <cell r="V70">
            <v>3428.44</v>
          </cell>
          <cell r="X70">
            <v>72</v>
          </cell>
          <cell r="Y70">
            <v>-30698</v>
          </cell>
          <cell r="BE70">
            <v>74</v>
          </cell>
          <cell r="BF70">
            <v>1138.7309018999995</v>
          </cell>
          <cell r="CF70">
            <v>70</v>
          </cell>
          <cell r="CG70" t="str">
            <v>Y</v>
          </cell>
        </row>
        <row r="71">
          <cell r="C71">
            <v>74</v>
          </cell>
          <cell r="D71">
            <v>307832.58</v>
          </cell>
          <cell r="I71">
            <v>74</v>
          </cell>
          <cell r="J71">
            <v>-27787.43</v>
          </cell>
          <cell r="R71">
            <v>83</v>
          </cell>
          <cell r="S71">
            <v>-10265035.779999999</v>
          </cell>
          <cell r="U71">
            <v>87</v>
          </cell>
          <cell r="V71">
            <v>60249.8</v>
          </cell>
          <cell r="X71">
            <v>73</v>
          </cell>
          <cell r="Y71">
            <v>-154709</v>
          </cell>
          <cell r="BE71">
            <v>75</v>
          </cell>
          <cell r="BF71">
            <v>12115.671968600003</v>
          </cell>
          <cell r="CF71">
            <v>71</v>
          </cell>
          <cell r="CG71" t="str">
            <v>N</v>
          </cell>
        </row>
        <row r="72">
          <cell r="C72">
            <v>75</v>
          </cell>
          <cell r="D72">
            <v>5431410.4900000002</v>
          </cell>
          <cell r="I72">
            <v>75</v>
          </cell>
          <cell r="J72">
            <v>-599780.57999999996</v>
          </cell>
          <cell r="R72">
            <v>85</v>
          </cell>
          <cell r="S72">
            <v>-50894.94</v>
          </cell>
          <cell r="U72">
            <v>88</v>
          </cell>
          <cell r="V72">
            <v>72969.119999999995</v>
          </cell>
          <cell r="X72">
            <v>74</v>
          </cell>
          <cell r="Y72">
            <v>-42757</v>
          </cell>
          <cell r="BE72">
            <v>77</v>
          </cell>
          <cell r="BF72">
            <v>0</v>
          </cell>
          <cell r="CF72">
            <v>72</v>
          </cell>
          <cell r="CG72" t="str">
            <v>Y</v>
          </cell>
        </row>
        <row r="73">
          <cell r="C73">
            <v>77</v>
          </cell>
          <cell r="D73">
            <v>0</v>
          </cell>
          <cell r="I73">
            <v>77</v>
          </cell>
          <cell r="J73">
            <v>0</v>
          </cell>
          <cell r="R73">
            <v>86</v>
          </cell>
          <cell r="S73">
            <v>-3854909.92</v>
          </cell>
          <cell r="U73">
            <v>89</v>
          </cell>
          <cell r="V73">
            <v>2781</v>
          </cell>
          <cell r="X73">
            <v>75</v>
          </cell>
          <cell r="Y73">
            <v>-384570</v>
          </cell>
          <cell r="BE73">
            <v>79</v>
          </cell>
          <cell r="BF73">
            <v>17336.925242000001</v>
          </cell>
          <cell r="CF73">
            <v>73</v>
          </cell>
          <cell r="CG73" t="str">
            <v>N</v>
          </cell>
        </row>
        <row r="74">
          <cell r="C74">
            <v>79</v>
          </cell>
          <cell r="D74">
            <v>12004929.439999999</v>
          </cell>
          <cell r="I74">
            <v>79</v>
          </cell>
          <cell r="J74">
            <v>-2964792.57</v>
          </cell>
          <cell r="R74">
            <v>87</v>
          </cell>
          <cell r="S74">
            <v>-519851.69</v>
          </cell>
          <cell r="U74">
            <v>90</v>
          </cell>
          <cell r="V74">
            <v>393334.43</v>
          </cell>
          <cell r="X74">
            <v>77</v>
          </cell>
          <cell r="Y74">
            <v>0</v>
          </cell>
          <cell r="BE74">
            <v>80</v>
          </cell>
          <cell r="BF74">
            <v>216066.30235519994</v>
          </cell>
          <cell r="CF74">
            <v>74</v>
          </cell>
          <cell r="CG74" t="str">
            <v>Y</v>
          </cell>
        </row>
        <row r="75">
          <cell r="C75">
            <v>80</v>
          </cell>
          <cell r="D75">
            <v>87305363.549999997</v>
          </cell>
          <cell r="I75">
            <v>80</v>
          </cell>
          <cell r="J75">
            <v>-15777978.869999999</v>
          </cell>
          <cell r="R75">
            <v>88</v>
          </cell>
          <cell r="S75">
            <v>-1521082.66</v>
          </cell>
          <cell r="U75">
            <v>91</v>
          </cell>
          <cell r="V75">
            <v>70160.179999999993</v>
          </cell>
          <cell r="X75">
            <v>79</v>
          </cell>
          <cell r="Y75">
            <v>-511171</v>
          </cell>
          <cell r="BE75">
            <v>81</v>
          </cell>
          <cell r="BF75">
            <v>1967.8688475999993</v>
          </cell>
          <cell r="CF75">
            <v>75</v>
          </cell>
          <cell r="CG75" t="str">
            <v>Y</v>
          </cell>
        </row>
        <row r="76">
          <cell r="C76">
            <v>81</v>
          </cell>
          <cell r="D76">
            <v>1537084.66</v>
          </cell>
          <cell r="I76">
            <v>81</v>
          </cell>
          <cell r="J76">
            <v>-252784.59</v>
          </cell>
          <cell r="R76">
            <v>89</v>
          </cell>
          <cell r="S76">
            <v>-17267824.66</v>
          </cell>
          <cell r="U76">
            <v>92</v>
          </cell>
          <cell r="V76">
            <v>2333</v>
          </cell>
          <cell r="X76">
            <v>80</v>
          </cell>
          <cell r="Y76">
            <v>-4922354</v>
          </cell>
          <cell r="BE76">
            <v>83</v>
          </cell>
          <cell r="BF76">
            <v>61038.529934400009</v>
          </cell>
          <cell r="CF76">
            <v>77</v>
          </cell>
          <cell r="CG76" t="str">
            <v>Y</v>
          </cell>
        </row>
        <row r="77">
          <cell r="C77">
            <v>83</v>
          </cell>
          <cell r="D77">
            <v>20649057.960000001</v>
          </cell>
          <cell r="I77">
            <v>83</v>
          </cell>
          <cell r="J77">
            <v>-4284777.1500000004</v>
          </cell>
          <cell r="R77">
            <v>90</v>
          </cell>
          <cell r="S77">
            <v>-988573.75</v>
          </cell>
          <cell r="U77">
            <v>101</v>
          </cell>
          <cell r="V77">
            <v>31909.05</v>
          </cell>
          <cell r="X77">
            <v>81</v>
          </cell>
          <cell r="Y77">
            <v>-92428</v>
          </cell>
          <cell r="BE77">
            <v>85</v>
          </cell>
          <cell r="BF77">
            <v>1244.4690747999996</v>
          </cell>
          <cell r="CF77">
            <v>79</v>
          </cell>
          <cell r="CG77" t="str">
            <v>N</v>
          </cell>
        </row>
        <row r="78">
          <cell r="C78">
            <v>85</v>
          </cell>
          <cell r="D78">
            <v>277282.78000000003</v>
          </cell>
          <cell r="I78">
            <v>85</v>
          </cell>
          <cell r="J78">
            <v>-42959.86</v>
          </cell>
          <cell r="R78">
            <v>91</v>
          </cell>
          <cell r="S78">
            <v>-473233.51</v>
          </cell>
          <cell r="U78">
            <v>103</v>
          </cell>
          <cell r="V78">
            <v>38183.72</v>
          </cell>
          <cell r="X78">
            <v>83</v>
          </cell>
          <cell r="Y78">
            <v>-1333565</v>
          </cell>
          <cell r="BE78">
            <v>86</v>
          </cell>
          <cell r="BF78">
            <v>13367.725961199996</v>
          </cell>
          <cell r="CF78">
            <v>80</v>
          </cell>
          <cell r="CG78" t="str">
            <v>Y</v>
          </cell>
        </row>
        <row r="79">
          <cell r="C79">
            <v>86</v>
          </cell>
          <cell r="D79">
            <v>6309084.3399999999</v>
          </cell>
          <cell r="I79">
            <v>86</v>
          </cell>
          <cell r="J79">
            <v>-1043550.19</v>
          </cell>
          <cell r="R79">
            <v>92</v>
          </cell>
          <cell r="S79">
            <v>-837770.99</v>
          </cell>
          <cell r="U79">
            <v>104</v>
          </cell>
          <cell r="V79">
            <v>68131.899999999994</v>
          </cell>
          <cell r="X79">
            <v>85</v>
          </cell>
          <cell r="Y79">
            <v>-34693</v>
          </cell>
          <cell r="BE79">
            <v>87</v>
          </cell>
          <cell r="BF79">
            <v>15203.626373500001</v>
          </cell>
          <cell r="CF79">
            <v>81</v>
          </cell>
          <cell r="CG79" t="str">
            <v>Y</v>
          </cell>
        </row>
        <row r="80">
          <cell r="C80">
            <v>87</v>
          </cell>
          <cell r="D80">
            <v>9945525.0199999996</v>
          </cell>
          <cell r="I80">
            <v>87</v>
          </cell>
          <cell r="J80">
            <v>-2825445.2</v>
          </cell>
          <cell r="R80">
            <v>101</v>
          </cell>
          <cell r="S80">
            <v>-7352578.4100000001</v>
          </cell>
          <cell r="U80">
            <v>105</v>
          </cell>
          <cell r="V80">
            <v>31199.89</v>
          </cell>
          <cell r="X80">
            <v>86</v>
          </cell>
          <cell r="Y80">
            <v>-220972</v>
          </cell>
          <cell r="BE80">
            <v>88</v>
          </cell>
          <cell r="BF80">
            <v>15778.216984100003</v>
          </cell>
          <cell r="CF80">
            <v>83</v>
          </cell>
          <cell r="CG80" t="str">
            <v>Y</v>
          </cell>
        </row>
        <row r="81">
          <cell r="C81">
            <v>88</v>
          </cell>
          <cell r="D81">
            <v>6575926.7000000002</v>
          </cell>
          <cell r="I81">
            <v>88</v>
          </cell>
          <cell r="J81">
            <v>-1828359.89</v>
          </cell>
          <cell r="R81">
            <v>103</v>
          </cell>
          <cell r="S81">
            <v>-1495918.53</v>
          </cell>
          <cell r="U81">
            <v>106</v>
          </cell>
          <cell r="V81">
            <v>77097.37</v>
          </cell>
          <cell r="X81">
            <v>87</v>
          </cell>
          <cell r="Y81">
            <v>-288895</v>
          </cell>
          <cell r="BE81">
            <v>89</v>
          </cell>
          <cell r="BF81">
            <v>60526.496573299992</v>
          </cell>
          <cell r="CF81">
            <v>85</v>
          </cell>
          <cell r="CG81" t="str">
            <v>Y</v>
          </cell>
        </row>
        <row r="82">
          <cell r="C82">
            <v>89</v>
          </cell>
          <cell r="D82">
            <v>29794822.359999999</v>
          </cell>
          <cell r="I82">
            <v>89</v>
          </cell>
          <cell r="J82">
            <v>-3753981.35</v>
          </cell>
          <cell r="R82">
            <v>104</v>
          </cell>
          <cell r="S82">
            <v>-9126.7999999999993</v>
          </cell>
          <cell r="U82">
            <v>107</v>
          </cell>
          <cell r="V82">
            <v>150</v>
          </cell>
          <cell r="X82">
            <v>88</v>
          </cell>
          <cell r="Y82">
            <v>-135386</v>
          </cell>
          <cell r="BE82">
            <v>90</v>
          </cell>
          <cell r="BF82">
            <v>58043.765607800007</v>
          </cell>
          <cell r="CF82">
            <v>86</v>
          </cell>
          <cell r="CG82" t="str">
            <v>N</v>
          </cell>
        </row>
        <row r="83">
          <cell r="C83">
            <v>90</v>
          </cell>
          <cell r="D83">
            <v>13495427.01</v>
          </cell>
          <cell r="I83">
            <v>90</v>
          </cell>
          <cell r="J83">
            <v>-4406658.1100000003</v>
          </cell>
          <cell r="R83">
            <v>105</v>
          </cell>
          <cell r="S83">
            <v>-327585.15000000002</v>
          </cell>
          <cell r="U83">
            <v>108</v>
          </cell>
          <cell r="V83">
            <v>23721.26</v>
          </cell>
          <cell r="X83">
            <v>89</v>
          </cell>
          <cell r="Y83">
            <v>-417186.12</v>
          </cell>
          <cell r="BE83">
            <v>91</v>
          </cell>
          <cell r="BF83">
            <v>9717.228866899999</v>
          </cell>
          <cell r="CF83">
            <v>87</v>
          </cell>
          <cell r="CG83" t="str">
            <v>Y</v>
          </cell>
        </row>
        <row r="84">
          <cell r="C84">
            <v>91</v>
          </cell>
          <cell r="D84">
            <v>3826020.21</v>
          </cell>
          <cell r="I84">
            <v>91</v>
          </cell>
          <cell r="J84">
            <v>-1044086.75</v>
          </cell>
          <cell r="R84">
            <v>106</v>
          </cell>
          <cell r="S84">
            <v>-342</v>
          </cell>
          <cell r="U84">
            <v>109</v>
          </cell>
          <cell r="V84">
            <v>9151.7800000000007</v>
          </cell>
          <cell r="X84">
            <v>90</v>
          </cell>
          <cell r="Y84">
            <v>-1076805</v>
          </cell>
          <cell r="BE84">
            <v>92</v>
          </cell>
          <cell r="BF84">
            <v>2081.9724169000006</v>
          </cell>
          <cell r="CF84">
            <v>88</v>
          </cell>
          <cell r="CG84" t="str">
            <v>Y</v>
          </cell>
        </row>
        <row r="85">
          <cell r="C85">
            <v>92</v>
          </cell>
          <cell r="D85">
            <v>1529495.68</v>
          </cell>
          <cell r="I85">
            <v>92</v>
          </cell>
          <cell r="J85">
            <v>-206276.28</v>
          </cell>
          <cell r="R85">
            <v>107</v>
          </cell>
          <cell r="S85">
            <v>-1468875.64</v>
          </cell>
          <cell r="U85">
            <v>120</v>
          </cell>
          <cell r="V85">
            <v>9760.06</v>
          </cell>
          <cell r="X85">
            <v>91</v>
          </cell>
          <cell r="Y85">
            <v>-386189</v>
          </cell>
          <cell r="BE85">
            <v>93</v>
          </cell>
          <cell r="BF85">
            <v>2031.7800385004375</v>
          </cell>
          <cell r="CF85">
            <v>89</v>
          </cell>
          <cell r="CG85" t="str">
            <v>Y</v>
          </cell>
        </row>
        <row r="86">
          <cell r="C86">
            <v>93</v>
          </cell>
          <cell r="D86">
            <v>3046256.94</v>
          </cell>
          <cell r="I86">
            <v>93</v>
          </cell>
          <cell r="J86">
            <v>-1028137.25</v>
          </cell>
          <cell r="R86">
            <v>108</v>
          </cell>
          <cell r="S86">
            <v>-324508.32</v>
          </cell>
          <cell r="U86">
            <v>121</v>
          </cell>
          <cell r="V86">
            <v>24431.82</v>
          </cell>
          <cell r="X86">
            <v>92</v>
          </cell>
          <cell r="Y86">
            <v>-62086</v>
          </cell>
          <cell r="BE86">
            <v>94</v>
          </cell>
          <cell r="BF86">
            <v>976.7031006000002</v>
          </cell>
          <cell r="CF86">
            <v>90</v>
          </cell>
          <cell r="CG86" t="str">
            <v>N</v>
          </cell>
        </row>
        <row r="87">
          <cell r="C87">
            <v>94</v>
          </cell>
          <cell r="D87">
            <v>11634.19</v>
          </cell>
          <cell r="I87">
            <v>94</v>
          </cell>
          <cell r="J87">
            <v>7099.3</v>
          </cell>
          <cell r="R87">
            <v>109</v>
          </cell>
          <cell r="S87">
            <v>-88173.62</v>
          </cell>
          <cell r="U87">
            <v>122</v>
          </cell>
          <cell r="V87">
            <v>47017.13</v>
          </cell>
          <cell r="X87">
            <v>93</v>
          </cell>
          <cell r="Y87">
            <v>37244</v>
          </cell>
          <cell r="BE87">
            <v>101</v>
          </cell>
          <cell r="BF87">
            <v>105625.41562209999</v>
          </cell>
          <cell r="CF87">
            <v>91</v>
          </cell>
          <cell r="CG87" t="str">
            <v>Y</v>
          </cell>
        </row>
        <row r="88">
          <cell r="C88">
            <v>101</v>
          </cell>
          <cell r="D88">
            <v>38755270.740000002</v>
          </cell>
          <cell r="I88">
            <v>101</v>
          </cell>
          <cell r="J88">
            <v>-19234060.050000001</v>
          </cell>
          <cell r="R88">
            <v>120</v>
          </cell>
          <cell r="S88">
            <v>-6636518.1299999999</v>
          </cell>
          <cell r="U88">
            <v>123</v>
          </cell>
          <cell r="V88">
            <v>26600.78</v>
          </cell>
          <cell r="X88">
            <v>94</v>
          </cell>
          <cell r="Y88">
            <v>-10</v>
          </cell>
          <cell r="BE88">
            <v>103</v>
          </cell>
          <cell r="BF88">
            <v>7098.6270731000013</v>
          </cell>
          <cell r="CF88">
            <v>92</v>
          </cell>
          <cell r="CG88" t="str">
            <v>Y</v>
          </cell>
        </row>
        <row r="89">
          <cell r="C89">
            <v>103</v>
          </cell>
          <cell r="D89">
            <v>2570856.2000000002</v>
          </cell>
          <cell r="I89">
            <v>103</v>
          </cell>
          <cell r="J89">
            <v>-833588.68</v>
          </cell>
          <cell r="R89">
            <v>121</v>
          </cell>
          <cell r="S89">
            <v>-18961.72</v>
          </cell>
          <cell r="U89">
            <v>133</v>
          </cell>
          <cell r="V89">
            <v>5167.32</v>
          </cell>
          <cell r="X89">
            <v>101</v>
          </cell>
          <cell r="Y89">
            <v>-47656</v>
          </cell>
          <cell r="BE89">
            <v>104</v>
          </cell>
          <cell r="BF89">
            <v>2270.6207198999982</v>
          </cell>
          <cell r="CF89">
            <v>93</v>
          </cell>
          <cell r="CG89" t="str">
            <v>Y</v>
          </cell>
        </row>
        <row r="90">
          <cell r="C90">
            <v>104</v>
          </cell>
          <cell r="D90">
            <v>716119.17</v>
          </cell>
          <cell r="I90">
            <v>104</v>
          </cell>
          <cell r="J90">
            <v>-329726.15999999997</v>
          </cell>
          <cell r="R90">
            <v>122</v>
          </cell>
          <cell r="S90">
            <v>-280640.56</v>
          </cell>
          <cell r="U90">
            <v>135</v>
          </cell>
          <cell r="V90">
            <v>16920.04</v>
          </cell>
          <cell r="X90">
            <v>103</v>
          </cell>
          <cell r="Y90">
            <v>84835</v>
          </cell>
          <cell r="BE90">
            <v>105</v>
          </cell>
          <cell r="BF90">
            <v>26108.754381600014</v>
          </cell>
          <cell r="CF90">
            <v>94</v>
          </cell>
          <cell r="CG90" t="str">
            <v>Y</v>
          </cell>
        </row>
        <row r="91">
          <cell r="C91">
            <v>105</v>
          </cell>
          <cell r="D91">
            <v>2830210.65</v>
          </cell>
          <cell r="I91">
            <v>105</v>
          </cell>
          <cell r="J91">
            <v>-1539261.59</v>
          </cell>
          <cell r="R91">
            <v>123</v>
          </cell>
          <cell r="S91">
            <v>-409933.66</v>
          </cell>
          <cell r="U91">
            <v>140</v>
          </cell>
          <cell r="V91">
            <v>28890.45</v>
          </cell>
          <cell r="X91">
            <v>104</v>
          </cell>
          <cell r="Y91">
            <v>-51305</v>
          </cell>
          <cell r="BE91">
            <v>106</v>
          </cell>
          <cell r="BF91">
            <v>8369.7166496000027</v>
          </cell>
          <cell r="CF91">
            <v>101</v>
          </cell>
          <cell r="CG91" t="str">
            <v>Y</v>
          </cell>
        </row>
        <row r="92">
          <cell r="C92">
            <v>106</v>
          </cell>
          <cell r="D92">
            <v>2178170.15</v>
          </cell>
          <cell r="I92">
            <v>106</v>
          </cell>
          <cell r="J92">
            <v>-538214.98</v>
          </cell>
          <cell r="R92">
            <v>135</v>
          </cell>
          <cell r="S92">
            <v>-2427089.38</v>
          </cell>
          <cell r="U92">
            <v>150</v>
          </cell>
          <cell r="V92">
            <v>53193.120000000003</v>
          </cell>
          <cell r="X92">
            <v>105</v>
          </cell>
          <cell r="Y92">
            <v>-71259</v>
          </cell>
          <cell r="BE92">
            <v>107</v>
          </cell>
          <cell r="BF92">
            <v>13318.277416699999</v>
          </cell>
          <cell r="CF92">
            <v>103</v>
          </cell>
          <cell r="CG92" t="str">
            <v>N</v>
          </cell>
        </row>
        <row r="93">
          <cell r="C93">
            <v>107</v>
          </cell>
          <cell r="D93">
            <v>4550461.16</v>
          </cell>
          <cell r="I93">
            <v>107</v>
          </cell>
          <cell r="J93">
            <v>-1436091.03</v>
          </cell>
          <cell r="R93">
            <v>140</v>
          </cell>
          <cell r="S93">
            <v>-13532276.01</v>
          </cell>
          <cell r="U93">
            <v>151</v>
          </cell>
          <cell r="V93">
            <v>0</v>
          </cell>
          <cell r="X93">
            <v>106</v>
          </cell>
          <cell r="Y93">
            <v>-118946</v>
          </cell>
          <cell r="BE93">
            <v>108</v>
          </cell>
          <cell r="BF93">
            <v>2207.0997682999996</v>
          </cell>
          <cell r="CF93">
            <v>104</v>
          </cell>
          <cell r="CG93" t="str">
            <v>Y</v>
          </cell>
        </row>
        <row r="94">
          <cell r="C94">
            <v>108</v>
          </cell>
          <cell r="D94">
            <v>3448405.55</v>
          </cell>
          <cell r="I94">
            <v>108</v>
          </cell>
          <cell r="J94">
            <v>-1524294.43</v>
          </cell>
          <cell r="R94">
            <v>150</v>
          </cell>
          <cell r="S94">
            <v>-3242.27</v>
          </cell>
          <cell r="U94">
            <v>160</v>
          </cell>
          <cell r="V94">
            <v>249269.69</v>
          </cell>
          <cell r="X94">
            <v>107</v>
          </cell>
          <cell r="Y94">
            <v>-31625</v>
          </cell>
          <cell r="BE94">
            <v>109</v>
          </cell>
          <cell r="BF94">
            <v>2349.3481518000003</v>
          </cell>
          <cell r="CF94">
            <v>105</v>
          </cell>
          <cell r="CG94" t="str">
            <v>N</v>
          </cell>
        </row>
        <row r="95">
          <cell r="C95">
            <v>109</v>
          </cell>
          <cell r="D95">
            <v>1864421.95</v>
          </cell>
          <cell r="I95">
            <v>109</v>
          </cell>
          <cell r="J95">
            <v>-794791.98</v>
          </cell>
          <cell r="R95">
            <v>151</v>
          </cell>
          <cell r="S95">
            <v>-392975.69</v>
          </cell>
          <cell r="X95">
            <v>108</v>
          </cell>
          <cell r="Y95">
            <v>-24687</v>
          </cell>
          <cell r="BE95">
            <v>120</v>
          </cell>
          <cell r="BF95">
            <v>19795.060191700009</v>
          </cell>
          <cell r="CF95">
            <v>106</v>
          </cell>
          <cell r="CG95" t="str">
            <v>N</v>
          </cell>
        </row>
        <row r="96">
          <cell r="C96">
            <v>120</v>
          </cell>
          <cell r="D96">
            <v>9833724.2599999998</v>
          </cell>
          <cell r="I96">
            <v>120</v>
          </cell>
          <cell r="J96">
            <v>-1744987.04</v>
          </cell>
          <cell r="R96">
            <v>160</v>
          </cell>
          <cell r="S96">
            <v>-76251.429999999993</v>
          </cell>
          <cell r="X96">
            <v>109</v>
          </cell>
          <cell r="Y96">
            <v>-79441</v>
          </cell>
          <cell r="BE96">
            <v>121</v>
          </cell>
          <cell r="BF96">
            <v>1634.3137754000006</v>
          </cell>
          <cell r="CF96">
            <v>107</v>
          </cell>
          <cell r="CG96" t="str">
            <v>N</v>
          </cell>
        </row>
        <row r="97">
          <cell r="C97">
            <v>121</v>
          </cell>
          <cell r="D97">
            <v>461430.26</v>
          </cell>
          <cell r="I97">
            <v>121</v>
          </cell>
          <cell r="J97">
            <v>-310966.19</v>
          </cell>
          <cell r="R97">
            <v>165</v>
          </cell>
          <cell r="S97">
            <v>-46098.14</v>
          </cell>
          <cell r="X97">
            <v>120</v>
          </cell>
          <cell r="Y97">
            <v>-100024</v>
          </cell>
          <cell r="BE97">
            <v>122</v>
          </cell>
          <cell r="BF97">
            <v>10397.667584499997</v>
          </cell>
          <cell r="CF97">
            <v>108</v>
          </cell>
          <cell r="CG97" t="str">
            <v>N</v>
          </cell>
        </row>
        <row r="98">
          <cell r="C98">
            <v>122</v>
          </cell>
          <cell r="D98">
            <v>3989333.29</v>
          </cell>
          <cell r="I98">
            <v>122</v>
          </cell>
          <cell r="J98">
            <v>-888980.55</v>
          </cell>
          <cell r="X98">
            <v>121</v>
          </cell>
          <cell r="Y98">
            <v>-26823</v>
          </cell>
          <cell r="BE98">
            <v>123</v>
          </cell>
          <cell r="BF98">
            <v>1379.4861351</v>
          </cell>
          <cell r="CF98">
            <v>109</v>
          </cell>
          <cell r="CG98" t="str">
            <v>Y</v>
          </cell>
        </row>
        <row r="99">
          <cell r="C99">
            <v>123</v>
          </cell>
          <cell r="D99">
            <v>546039.87</v>
          </cell>
          <cell r="I99">
            <v>123</v>
          </cell>
          <cell r="J99">
            <v>-62611.56</v>
          </cell>
          <cell r="X99">
            <v>122</v>
          </cell>
          <cell r="Y99">
            <v>-181561</v>
          </cell>
          <cell r="BE99">
            <v>133</v>
          </cell>
          <cell r="BF99">
            <v>4597.5310681999963</v>
          </cell>
          <cell r="CF99">
            <v>120</v>
          </cell>
          <cell r="CG99" t="str">
            <v>N</v>
          </cell>
        </row>
        <row r="100">
          <cell r="C100">
            <v>133</v>
          </cell>
          <cell r="D100">
            <v>2356116.27</v>
          </cell>
          <cell r="I100">
            <v>133</v>
          </cell>
          <cell r="J100">
            <v>-373811.89</v>
          </cell>
          <cell r="X100">
            <v>123</v>
          </cell>
          <cell r="Y100">
            <v>-27383</v>
          </cell>
          <cell r="BE100">
            <v>135</v>
          </cell>
          <cell r="BF100">
            <v>60878.416684899996</v>
          </cell>
          <cell r="CF100">
            <v>121</v>
          </cell>
          <cell r="CG100" t="str">
            <v>N</v>
          </cell>
        </row>
        <row r="101">
          <cell r="C101">
            <v>135</v>
          </cell>
          <cell r="D101">
            <v>10390962.67</v>
          </cell>
          <cell r="I101">
            <v>135</v>
          </cell>
          <cell r="J101">
            <v>-3805428.59</v>
          </cell>
          <cell r="X101">
            <v>133</v>
          </cell>
          <cell r="Y101">
            <v>-43217</v>
          </cell>
          <cell r="BE101">
            <v>140</v>
          </cell>
          <cell r="BF101">
            <v>55868.066294499993</v>
          </cell>
          <cell r="CF101">
            <v>122</v>
          </cell>
          <cell r="CG101" t="str">
            <v>Y</v>
          </cell>
        </row>
        <row r="102">
          <cell r="C102">
            <v>140</v>
          </cell>
          <cell r="D102">
            <v>26677223.27</v>
          </cell>
          <cell r="I102">
            <v>140</v>
          </cell>
          <cell r="J102">
            <v>-10111066.41</v>
          </cell>
          <cell r="X102">
            <v>135</v>
          </cell>
          <cell r="Y102">
            <v>-504503</v>
          </cell>
          <cell r="BE102">
            <v>150</v>
          </cell>
          <cell r="BF102">
            <v>5697.056729099997</v>
          </cell>
          <cell r="CF102">
            <v>123</v>
          </cell>
          <cell r="CG102" t="str">
            <v>N</v>
          </cell>
        </row>
        <row r="103">
          <cell r="C103">
            <v>150</v>
          </cell>
          <cell r="D103">
            <v>911439.58</v>
          </cell>
          <cell r="I103">
            <v>150</v>
          </cell>
          <cell r="J103">
            <v>-225628.1</v>
          </cell>
          <cell r="X103">
            <v>140</v>
          </cell>
          <cell r="Y103">
            <v>527767</v>
          </cell>
          <cell r="BE103">
            <v>151</v>
          </cell>
          <cell r="BF103">
            <v>12084.868768700004</v>
          </cell>
          <cell r="CF103">
            <v>133</v>
          </cell>
          <cell r="CG103" t="str">
            <v>Y</v>
          </cell>
        </row>
        <row r="104">
          <cell r="C104">
            <v>151</v>
          </cell>
          <cell r="D104">
            <v>1232028.31</v>
          </cell>
          <cell r="I104">
            <v>151</v>
          </cell>
          <cell r="J104">
            <v>-283063.76</v>
          </cell>
          <cell r="X104">
            <v>150</v>
          </cell>
          <cell r="Y104">
            <v>-146625</v>
          </cell>
          <cell r="BE104">
            <v>160</v>
          </cell>
          <cell r="BF104">
            <v>39447.98193400001</v>
          </cell>
          <cell r="CF104">
            <v>135</v>
          </cell>
          <cell r="CG104" t="str">
            <v>Y</v>
          </cell>
        </row>
        <row r="105">
          <cell r="C105">
            <v>160</v>
          </cell>
          <cell r="D105">
            <v>7692277.9299999997</v>
          </cell>
          <cell r="I105">
            <v>160</v>
          </cell>
          <cell r="J105">
            <v>-3194558</v>
          </cell>
          <cell r="X105">
            <v>151</v>
          </cell>
          <cell r="Y105">
            <v>-114843</v>
          </cell>
          <cell r="BE105">
            <v>165</v>
          </cell>
          <cell r="BF105">
            <v>15260.306241200004</v>
          </cell>
          <cell r="CF105">
            <v>140</v>
          </cell>
          <cell r="CG105" t="str">
            <v>N</v>
          </cell>
        </row>
        <row r="106">
          <cell r="C106">
            <v>165</v>
          </cell>
          <cell r="D106">
            <v>1994603.87</v>
          </cell>
          <cell r="I106">
            <v>165</v>
          </cell>
          <cell r="J106">
            <v>-121322.2</v>
          </cell>
          <cell r="X106">
            <v>160</v>
          </cell>
          <cell r="Y106">
            <v>-358150</v>
          </cell>
          <cell r="CF106">
            <v>150</v>
          </cell>
          <cell r="CG106" t="str">
            <v>Y</v>
          </cell>
        </row>
        <row r="107">
          <cell r="X107">
            <v>165</v>
          </cell>
          <cell r="Y107">
            <v>-160563</v>
          </cell>
          <cell r="CF107">
            <v>151</v>
          </cell>
          <cell r="CG107" t="str">
            <v>N</v>
          </cell>
        </row>
        <row r="108">
          <cell r="CF108">
            <v>160</v>
          </cell>
          <cell r="CG108" t="str">
            <v>Y</v>
          </cell>
        </row>
        <row r="109">
          <cell r="CF109">
            <v>165</v>
          </cell>
          <cell r="CG109" t="str">
            <v>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WSC Factor"/>
      <sheetName val="WSC RB Adj"/>
      <sheetName val="CWS Off RB"/>
      <sheetName val="WSC ERC Adj"/>
      <sheetName val="WSC Alloc Adj"/>
      <sheetName val="WSC Exp Adj"/>
      <sheetName val="CWS Off Adj"/>
      <sheetName val="CWS Off Cost"/>
      <sheetName val="CWS Off %"/>
      <sheetName val="Legal Fees"/>
      <sheetName val="Other Outside Srv"/>
      <sheetName val="Finders Fees"/>
      <sheetName val="WSC Exp Alloc"/>
      <sheetName val="Benefits"/>
      <sheetName val="WSC Exp Compare"/>
      <sheetName val="CWS Off Exp"/>
      <sheetName val="CWS Off Compare"/>
      <sheetName val="WSC RB Alloc Per Books"/>
      <sheetName val="WSC RB Compare"/>
      <sheetName val="Insurance"/>
      <sheetName val="Audit Fees"/>
      <sheetName val="Oper Alloc - Dec 07"/>
      <sheetName val="Health Benefits"/>
      <sheetName val="Other Benefits"/>
    </sheetNames>
    <sheetDataSet>
      <sheetData sheetId="0">
        <row r="4">
          <cell r="C4" t="str">
            <v>For the Test Year Ended December 31, 2007</v>
          </cell>
        </row>
        <row r="42">
          <cell r="A42" t="str">
            <v>Calculated by the Public Staff based on information provided by the Company.</v>
          </cell>
        </row>
      </sheetData>
      <sheetData sheetId="1">
        <row r="1">
          <cell r="C1" t="str">
            <v>CAROLINA WATER SERVICE, INC., OF NC</v>
          </cell>
        </row>
        <row r="4">
          <cell r="C4" t="str">
            <v>For The Test Year Ended December 31, 2007</v>
          </cell>
        </row>
        <row r="101">
          <cell r="C101" t="str">
            <v>CAROLINA TRACE UTILITIES, INC.</v>
          </cell>
        </row>
        <row r="102">
          <cell r="C102" t="str">
            <v>Docket No. W-1013, Sub 7</v>
          </cell>
        </row>
        <row r="152">
          <cell r="C152" t="str">
            <v>CWS SYSTEMS, INC.</v>
          </cell>
        </row>
        <row r="153">
          <cell r="C153" t="str">
            <v>Docket No. W-778, Sub 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Index"/>
      <sheetName val="Water Return"/>
      <sheetName val="Sewer Return"/>
      <sheetName val="Combined RB (KF)"/>
      <sheetName val="Water RB (KF)"/>
      <sheetName val="Sewer RB (KF)"/>
      <sheetName val="Water plant"/>
      <sheetName val="Sewer plant"/>
      <sheetName val="Plant Adj"/>
      <sheetName val="Vehicles"/>
      <sheetName val="Computer"/>
      <sheetName val="Accum. Depr."/>
      <sheetName val="Org Costs"/>
      <sheetName val="Working Capital"/>
      <sheetName val="CIAC"/>
      <sheetName val="Mgmt Fees"/>
      <sheetName val="ADIT"/>
      <sheetName val="PAA"/>
      <sheetName val="Sub81PAA"/>
      <sheetName val="WSC RB"/>
      <sheetName val="Proforma"/>
      <sheetName val="Unamort. Deferred"/>
      <sheetName val="Def Maint"/>
      <sheetName val="Water Ex. Cap."/>
      <sheetName val="Ex. Book"/>
      <sheetName val="Cost Free"/>
      <sheetName val="CWS Off RB"/>
      <sheetName val="AFUDC"/>
      <sheetName val="Combined noi "/>
      <sheetName val="Water noi"/>
      <sheetName val="Sewer noi"/>
      <sheetName val="Depreciation"/>
      <sheetName val="Water comp."/>
      <sheetName val="Sewer comp."/>
      <sheetName val="Water footnotes"/>
      <sheetName val="Sewer footnotes"/>
      <sheetName val="Water misc. rev."/>
      <sheetName val="Sewer misc. rev."/>
      <sheetName val="Forfeit"/>
      <sheetName val="Uncollectibles"/>
      <sheetName val="Salaries"/>
      <sheetName val="Purchased Power"/>
      <sheetName val="Purchased Water &amp; Sewer"/>
      <sheetName val="Maint. &amp; Repair"/>
      <sheetName val="M&amp;R Deferred"/>
      <sheetName val="Chemicals"/>
      <sheetName val="Transportation"/>
      <sheetName val="Plant Salaries"/>
      <sheetName val="Outside Services-other"/>
      <sheetName val="Office Supplies"/>
      <sheetName val="Rate case"/>
      <sheetName val="Pension"/>
      <sheetName val="Other Insurance"/>
      <sheetName val="Miscellaneous"/>
      <sheetName val="Adjustment to CWS Office Exp"/>
      <sheetName val="Adjustment to WSC Expenses"/>
      <sheetName val="WSC Adj Factors"/>
      <sheetName val="Interest"/>
      <sheetName val="Water Annual."/>
      <sheetName val="Sewer Annual."/>
      <sheetName val="Property taxes"/>
      <sheetName val="Payroll Taxes"/>
      <sheetName val="Water Taxes"/>
      <sheetName val="Prod Deduct"/>
      <sheetName val="Sewer Taxes"/>
      <sheetName val="Water Rev. Req."/>
      <sheetName val="Sewer Rev. Req."/>
      <sheetName val="North Topsail Allocations"/>
      <sheetName val="PKS"/>
      <sheetName val="Water - Return - OR"/>
      <sheetName val="Sewer - Return - OR"/>
      <sheetName val="Water Inflat."/>
      <sheetName val="Water Ratios"/>
      <sheetName val="Sewer Inflat. "/>
      <sheetName val="Sewer Ratios"/>
      <sheetName val="New customer"/>
      <sheetName val="NSF"/>
      <sheetName val="Cut Off"/>
      <sheetName val="Corolla Return"/>
      <sheetName val="Corolla RB"/>
      <sheetName val="Corolla NOI"/>
      <sheetName val="Corolla Taxes"/>
      <sheetName val="Corolla Rev Rqmt"/>
      <sheetName val="PKS NOI"/>
      <sheetName val="PKS Taxes"/>
    </sheetNames>
    <sheetDataSet>
      <sheetData sheetId="0" refreshError="1">
        <row r="2">
          <cell r="C2" t="str">
            <v>CAROLINA WATER SERVICE, INC OF NC</v>
          </cell>
        </row>
        <row r="4">
          <cell r="C4" t="str">
            <v>For the Test Year Ended June 30, 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>
        <row r="5">
          <cell r="B5" t="str">
            <v>Carolina Trace</v>
          </cell>
        </row>
        <row r="10">
          <cell r="B10">
            <v>0.51164419541236206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>
        <row r="5">
          <cell r="B5" t="str">
            <v>CWS Systems, Inc.</v>
          </cell>
        </row>
        <row r="13">
          <cell r="B13">
            <v>0.57797075040636103</v>
          </cell>
        </row>
        <row r="14">
          <cell r="B14">
            <v>0.42202924959363891</v>
          </cell>
        </row>
        <row r="20">
          <cell r="B20">
            <v>0.125</v>
          </cell>
        </row>
        <row r="21">
          <cell r="B21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TB - 6.30.07"/>
      <sheetName val="Sch.A-B.S"/>
      <sheetName val="Sch.B-I.S"/>
      <sheetName val="Sch.C-R.B"/>
      <sheetName val="Sch.D&amp;E-REV"/>
      <sheetName val="Sch.D-1-Consumption Support"/>
      <sheetName val="Sch.F-xxxRate-Rev Comp"/>
      <sheetName val="wp-a-uncoll"/>
      <sheetName val="wp-b-salary"/>
      <sheetName val="wp-b1"/>
      <sheetName val="wp-b2"/>
      <sheetName val="wp-b3"/>
      <sheetName val="wp-b4"/>
      <sheetName val="wp-c-misc IS items"/>
      <sheetName val="wp-d-rc.exp"/>
      <sheetName val="wp-e-toi"/>
      <sheetName val="wp-f-depr"/>
      <sheetName val="wp-g-inc.tx"/>
      <sheetName val="wp-h-int.exp"/>
      <sheetName val="wp-h1-cap.struc"/>
      <sheetName val="wp-h2-Cap."/>
      <sheetName val="wp-i-wc"/>
      <sheetName val="wp-j-pf.plant"/>
      <sheetName val="wp-k-pf retirements"/>
      <sheetName val="wp-l-gl additions"/>
      <sheetName val="wp-m-other rb items"/>
      <sheetName val="wp-n-CPI"/>
      <sheetName val="wp-o-project phoenix "/>
      <sheetName val="wp-p-SE 90 allocation"/>
      <sheetName val="wp-q-Transportation expense"/>
      <sheetName val="wp-s-Purchased Power"/>
      <sheetName val="wp-t-Assumptions"/>
      <sheetName val="wp-u-Insurance Exp"/>
      <sheetName val="Bill Multiplier"/>
    </sheetNames>
    <sheetDataSet>
      <sheetData sheetId="0"/>
      <sheetData sheetId="1"/>
      <sheetData sheetId="2">
        <row r="1">
          <cell r="A1">
            <v>1052091</v>
          </cell>
        </row>
      </sheetData>
      <sheetData sheetId="3">
        <row r="10">
          <cell r="A10">
            <v>3011001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">
          <cell r="C9">
            <v>3.5000000000000003E-2</v>
          </cell>
        </row>
        <row r="10">
          <cell r="C10">
            <v>7.6499999999999999E-2</v>
          </cell>
        </row>
        <row r="12">
          <cell r="C12">
            <v>6.2E-2</v>
          </cell>
        </row>
        <row r="15">
          <cell r="C15">
            <v>1.4500000000000001E-2</v>
          </cell>
        </row>
        <row r="18">
          <cell r="C18">
            <v>8.0000000000000002E-3</v>
          </cell>
        </row>
        <row r="20">
          <cell r="C20">
            <v>1.7999999999999999E-2</v>
          </cell>
        </row>
        <row r="21">
          <cell r="C21">
            <v>8500</v>
          </cell>
        </row>
        <row r="22">
          <cell r="C22">
            <v>1409</v>
          </cell>
        </row>
        <row r="23">
          <cell r="C23">
            <v>0.03</v>
          </cell>
        </row>
        <row r="24">
          <cell r="C24">
            <v>0.04</v>
          </cell>
        </row>
        <row r="25">
          <cell r="C25">
            <v>91</v>
          </cell>
        </row>
        <row r="26">
          <cell r="C26">
            <v>5.1383839424301581E-2</v>
          </cell>
        </row>
      </sheetData>
      <sheetData sheetId="35"/>
      <sheetData sheetId="3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Rate%20Case\Kentucky\2013%20Rate%20Case\Salary\Salary%20Allocations%202-5-1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liskoff" refreshedDate="41376.592616898146" createdVersion="3" refreshedVersion="3" minRefreshableVersion="3" recordCount="8703">
  <cacheSource type="worksheet">
    <worksheetSource ref="A3:E8706" sheet="R5506116C_UTIL0001_241643_PDF(1" r:id="rId2"/>
  </cacheSource>
  <cacheFields count="5">
    <cacheField name="Address Number" numFmtId="0">
      <sharedItems containsSemiMixedTypes="0" containsString="0" containsNumber="1" containsInteger="1" minValue="1000293" maxValue="1099972"/>
    </cacheField>
    <cacheField name="Name" numFmtId="0">
      <sharedItems containsBlank="1" count="423">
        <s v="Burkhalter, Vincent L."/>
        <m/>
        <s v="Williams, Susan L."/>
        <s v="Szczepkowski, Stephen A."/>
        <s v="Franklin, Phillip"/>
        <s v="Smiley, Donald E."/>
        <s v="Cooke, Jeffrey J."/>
        <s v="Cook, Gregory"/>
        <s v="Allen, Howard W."/>
        <s v="Murphy, Phillip K."/>
        <s v="Peacock II, Gary M."/>
        <s v="Phillips, Christopher"/>
        <s v="Gongre, Bryan K."/>
        <s v="Gentilucci, Domenic V."/>
        <s v="Leary, Donald W."/>
        <s v="Henry, Larry D."/>
        <s v="Cloud, Dennis S."/>
        <s v="Haggerty, Randy"/>
        <s v="English, Alan R."/>
        <s v="Stegall, Donna L."/>
        <s v="Davis, Miguel B."/>
        <s v="Van Meter, Nathan Z."/>
        <s v="Lanier, Clayton W."/>
        <s v="Friedman, Avelina"/>
        <s v="Dotson, Margaret E."/>
        <s v="Sudol, Corey"/>
        <s v="Young, Richard D."/>
        <s v="Underwood, Gerald L."/>
        <s v="Habery, Stephen J."/>
        <s v="Zeise, Michael"/>
        <s v="Shue, Mickey A."/>
        <s v="Cooper, Robert K."/>
        <s v="Ebert, Harold"/>
        <s v="Hughes, David M."/>
        <s v="Becker, Jeffrey S."/>
        <s v="Scarboro, Donald J."/>
        <s v="Luppino, Nancy L."/>
        <s v="Bennett, Kimberly J."/>
        <s v="Arnoux, Diane L."/>
        <s v="Baldwin, Eddie R."/>
        <s v="Bishop, Robert D."/>
        <s v="Brandt, Michael J."/>
        <s v="Brant, Tim J."/>
        <s v="Bodie Sr, John L."/>
        <s v="Ellinger, Bright A."/>
        <s v="Stanis, Veronica M."/>
        <s v="Haws, Scotty L."/>
        <s v="Flynn, Patrick C."/>
        <s v="Cocran, Jeffery A."/>
        <s v="Christie, Charles E."/>
        <s v="Conard, William C."/>
        <s v="Cook, Ralph H."/>
        <s v="Corn, Douglas M."/>
        <s v="Davis, Earl"/>
        <s v="Fulcher III, Robert F."/>
        <s v="Hinson, Richard F."/>
        <s v="Johansen, John E."/>
        <s v="Kennedy, Alvin W."/>
        <s v="Lashua, Martin J."/>
        <s v="McFalls, Edwin L."/>
        <s v="Medling, David G."/>
        <s v="Wilson, Randi R."/>
        <s v="Palmiter, Matthew"/>
        <s v="Plummer, George R."/>
        <s v="Sharp, Tony L."/>
        <s v="Williams Jr, Delos R."/>
        <s v="Woody Jr, Rex"/>
        <s v="Woody, Rex R."/>
        <s v="Goldsmith, Mary A."/>
        <s v="Trovinger, Ferrellyn L."/>
        <s v="Berry, Jeremy A."/>
        <s v="Hollister, Jimmie H."/>
        <s v="Abbott, Loretta E."/>
        <s v="Thomas, Nettie M."/>
        <s v="Chandler, Matthew R."/>
        <s v="Raponi, Ann M."/>
        <s v="Lewis Jr., Richard A."/>
        <s v="James, Robert A."/>
        <s v="Overton, Michael A."/>
        <s v="Umphrey, Daniel L."/>
        <s v="Alexander, Charles L."/>
        <s v="Scott, Robert C."/>
        <s v="Windholz, Mark"/>
        <s v="Schoenhard, Jon H."/>
        <s v="Buono, Robert A."/>
        <s v="Gordon, Dewis W."/>
        <s v="Belcastro, Joseph C."/>
        <s v="Driggers, Marvin H."/>
        <s v="Johnson, Harvey H."/>
        <s v="Onkst, James H."/>
        <s v="Bolt, Gregory C."/>
        <s v="Mills, Wendell G."/>
        <s v="Turner, John R."/>
        <s v="Moore, Shane C"/>
        <s v="Lewis, Darrin R."/>
        <s v="Luppino, Phyllis A."/>
        <s v="Self, Rose D."/>
        <s v="McConnell, Walter G."/>
        <s v="Christian, Elise S."/>
        <s v="Paule, Nancy P."/>
        <s v="June, Stuart L."/>
        <s v="Green, Horace"/>
        <s v="Sampson, Keith F."/>
        <s v="Shoffstall, David E."/>
        <s v="Moncrief, David E."/>
        <s v="Partin, Michael W."/>
        <s v="Harrell, Stephen B."/>
        <s v="Robinson, Shona N."/>
        <s v="Schwades, Charles G."/>
        <s v="Alexander, Richard W."/>
        <s v="Gladstone, Garrett W."/>
        <s v="Callahan, Robert L."/>
        <s v="Godwin, Patrick L."/>
        <s v="Gunter III, Charlie P."/>
        <s v="Sillitoe, Kathy A."/>
        <s v="Ceballos, Isabel"/>
        <s v="Sillitoe, Jacqueline M."/>
        <s v="Kirklin, Charles G."/>
        <s v="Whorley, Davie M."/>
        <s v="Keys, Thomas E."/>
        <s v="Remigio, Roberto V."/>
        <s v="Dozier, Matthew C."/>
        <s v="Silva, Lisa M."/>
        <s v="Ryniak, David"/>
        <s v="Morrell, Matthew J."/>
        <s v="Hogue, Raymond H."/>
        <s v="Tomlinson, Tom C."/>
        <s v="Puffenbarger Jr., James B."/>
        <s v="Radcliff, Max L."/>
        <s v="Forrest, David L."/>
        <s v="Neal, William L."/>
        <s v="Pritchard, Charles R."/>
        <s v="Brant, Nathan A."/>
        <s v="Brazell, Derrick W."/>
        <s v="Kyzer, Ray S."/>
        <s v="Norris, Joel F."/>
        <s v="De La Torriente, Maurice A."/>
        <s v="Pritchard, Scott A."/>
        <s v="Finch, Allan"/>
        <s v="McIntosh, Grady E."/>
        <s v="Puckett, Michael S."/>
        <s v="Knopf, Kenneth W."/>
        <s v="Richardson, James F."/>
        <s v="Johnson, Michael C."/>
        <s v="Meister, Jack B."/>
        <s v="White, David A."/>
        <s v="Steele, Frank W."/>
        <s v="Miranda, Margarita"/>
        <s v="Reiners, Barry T."/>
        <s v="De La Torriente, Martha N."/>
        <s v="Ebert, Shawn M."/>
        <s v="Cornett, Shaun M."/>
        <s v="Rohus, Marc A."/>
        <s v="Cooks, Barner Lee"/>
        <s v="Graham, Vivian E."/>
        <s v="Daniel, Carl"/>
        <s v="Eskew, James F."/>
        <s v="Thornton, Corey W."/>
        <s v="Reece, Ronnie N."/>
        <s v="Schulte, Jeffrey C."/>
        <s v="Grosvenor, Loren G."/>
        <s v="Parrish, Raymond A."/>
        <s v="Bruce, Glenn Robert"/>
        <s v="Nunez, Jose G."/>
        <s v="Friel, Steven M."/>
        <s v="Robinson, Vanessa F."/>
        <s v="Allred, Ryan N."/>
        <s v="Winans, Nicole D."/>
        <s v="Pannos, Nicholas J."/>
        <s v="Mitchell, Dennis A."/>
        <s v="Lightle, Richard D."/>
        <s v="Austin, Arthur C."/>
        <s v="Luna, William T."/>
        <s v="Wright, Thomas L."/>
        <s v="Cardinal, Anthony A."/>
        <s v="Hamilton, Don L."/>
        <s v="Tapella, Thomas A."/>
        <s v="Woolard, Jeffrey S."/>
        <s v="Gavin, Malcolm E."/>
        <s v="Estes, Christopher L."/>
        <s v="DiPasquale, Susan M."/>
        <s v="Stovall, Glenn A."/>
        <s v="Watkins, Cedric"/>
        <s v="Medders, Billy R."/>
        <s v="Lecroy, Gregg R."/>
        <s v="Ogle, Brian J."/>
        <s v="Ormiston, Jason A."/>
        <s v="Whitaker III, Harold K."/>
        <s v="Loper, Robert W."/>
        <s v="Sandefur, Bryan K."/>
        <s v="Patel, Harshna"/>
        <s v="Mosely, Melvin D."/>
        <s v="Brown, Donna R."/>
        <s v="Carberry-Bowen, Rella Cindy"/>
        <s v="Sides, Jason L."/>
        <s v="Borda, Roger A."/>
        <s v="Grainger Jr, Leroy"/>
        <s v="Powell, Trevor B."/>
        <s v="Valrie, LaWanda N."/>
        <s v="Collie, Linda F."/>
        <s v="Dave, Hardik"/>
        <s v="Winter, Steven"/>
        <s v="Welborn, Leigh A."/>
        <s v="Baker, Glenn E."/>
        <s v="Bailey, Annette L."/>
        <s v="Chard, Ronald"/>
        <s v="Shultz, John R."/>
        <s v="Rees, Kim L."/>
        <s v="Raines, Craig A."/>
        <s v="Bishop, Ryan D."/>
        <s v="Bailey, Alan R."/>
        <s v="Pierce, Robert T."/>
        <s v="Daffer, Amber"/>
        <s v="Hanks, Peggy J."/>
        <s v="Worrell, David R."/>
        <s v="Plancher, Smith"/>
        <s v="Thompson, Krisopher L."/>
        <s v="Schwenzer, George"/>
        <s v="Nixon, Danny L."/>
        <s v="Sverida, Agnes"/>
        <s v="Boersma, David A."/>
        <s v="Mayeski, Lorie L."/>
        <s v="Baker, Mark T."/>
        <s v="Zavilla, Annette"/>
        <s v="Turner, Jason M."/>
        <s v="Jenkins, Ingrid E."/>
        <s v="Rumfelt, Dorothy M."/>
        <s v="Hagwood, Jimmie L."/>
        <s v="Phillips, Andrew R."/>
        <s v="Jones, Jack D."/>
        <s v="Richardson, James P."/>
        <s v="Goff, Stacy A."/>
        <s v="Jacober, Daniel C."/>
        <s v="Johnson, Marc A."/>
        <s v="Radjavitch, Justin M."/>
        <s v="Vaughn, Stephen R."/>
        <s v="Gillmore, Judith E."/>
        <s v="Surrett, William M."/>
        <s v="Straight, James L."/>
        <s v="Tackett, Samantha R."/>
        <s v="Hasty, Donald L."/>
        <s v="Rogers, Brian M."/>
        <s v="Hermano, Rodel R."/>
        <s v="Gray, Kenneth A."/>
        <s v="Davis, Gentry E."/>
        <s v="Capps, Thomas C."/>
        <s v="Davis, Kenneth A."/>
        <s v="Medford, James S."/>
        <s v="Lucia, Anthony M."/>
        <s v="Molloy, Vincent P."/>
        <s v="Jenkins, James A."/>
        <s v="Sallese, Scott A."/>
        <s v="Shuford, Jody A"/>
        <s v="Iwinski, Cammy A."/>
        <s v="Allen, Christopher S."/>
        <s v="Jones, Linda S."/>
        <s v="Alberigi, David J."/>
        <s v="O'Dell, Shayne R."/>
        <s v="Presley, Joshua H."/>
        <s v="Foster, David M."/>
        <s v="Cook, Kenneth J."/>
        <s v="Rettew, Andrew L."/>
        <s v="Lybarger, Andrea"/>
        <s v="Cross, Joseph J."/>
        <s v="Banister, Gerald D."/>
        <s v="Chittim, Eric S."/>
        <s v="Jones, Lori L."/>
        <s v="McAfee, Steven P."/>
        <s v="Wells, Donald R"/>
        <s v="Orengo, Linette C"/>
        <s v="Volz, Deborah E."/>
        <s v="Anderson, Tricia D."/>
        <s v="Thimmes, Karyn L"/>
        <s v="Finigan, Mike A"/>
        <s v="Kilgore, Jame A"/>
        <s v="Collado, Madelin"/>
        <s v="Adcock, James S"/>
        <s v="Barnas, Matthew H"/>
        <s v="Ussery, Jonathan N"/>
        <s v="Godfrey, Christopher L"/>
        <s v="Ferguson, Dale"/>
        <s v="Ferguson, Christopher G"/>
        <s v="Feathergill, Adam K"/>
        <s v="Fields, Debra S."/>
        <s v="Grindstaff, Jason"/>
        <s v="Locklair, Johnathan"/>
        <s v="Chitwood, Larry A."/>
        <s v="Cunningham, Alexander"/>
        <s v="Malecki, Krzysztof"/>
        <s v="Schwades, Jennifer"/>
        <s v="Johnston, Joseph A"/>
        <s v="Shaffer, Steven A"/>
        <s v="Woolard, Crystal R"/>
        <s v="Lubertozzi, Steven M."/>
        <s v="Byrd, Larry L"/>
        <s v="Watler, Sylvia A"/>
        <s v="Rollins, Ernest B"/>
        <s v="Dunn, Constance"/>
        <s v="Stevens, William H"/>
        <s v="Thompson, Glenda"/>
        <s v="Schnaufer, Linda D"/>
        <s v="Stonebreaker, Amanda E"/>
        <s v="Sparrow, Lisa A."/>
        <s v="Gilroy, Robert H."/>
        <s v="Howington, Tod A"/>
        <s v="Sasic, Karen L."/>
        <s v="Markwell, Kirsten E."/>
        <s v="Sills, Joseph H"/>
        <s v="Leonard, James R."/>
        <s v="Taylor, Steven M"/>
        <s v="Konsul, Anthony J."/>
        <s v="Haver, Mark R."/>
        <s v="Oakley, William S"/>
        <s v="Marinelli, John A."/>
        <s v="Mitchell, Malcolm A."/>
        <s v="Krugler, Adrienne R."/>
        <s v="Chambless, James A."/>
        <s v="Haas, Bruce T."/>
        <s v="Delmundo, Anca"/>
        <s v="LeBard, Antone C"/>
        <s v="Kinkade, William R"/>
        <s v="Benton, Alice M."/>
        <s v="Maszczak, Eugene R"/>
        <s v="Sossamon, William N"/>
        <s v="Van Dyke, Albert R."/>
        <s v="Milford, Steven L"/>
        <s v="Harris, Kenneth P"/>
        <s v="Coates, Bill H."/>
        <s v="Rowland, Deloris P"/>
        <s v="Madison, Charles P."/>
        <s v="Richardson, Dona J"/>
        <s v="Moran, Joshua D"/>
        <s v="Gray, Robert"/>
        <s v="Osika, Steven B"/>
        <s v="Neyzelman, Dimitry"/>
        <s v="Polk, Ryan"/>
        <s v="Folena-Domann, Francis"/>
        <s v="Miller, Dean R"/>
        <s v="Legere, Karen D"/>
        <s v="Coates, Margaret M"/>
        <s v="Johnson, Kenneth R"/>
        <s v="Georgiev, Lena"/>
        <s v="Sudduth, Donald E."/>
        <s v="Hoy, John P."/>
        <s v="Durham, Rick J."/>
        <s v="Aquilino, Erin P."/>
        <s v="Barnett, Wendy S."/>
        <s v="Rollins, Mary F."/>
        <s v="Yap Jr., Lowell M."/>
        <s v="Carver, Nathaniel  Q."/>
        <s v="Wilson, Michael A."/>
        <s v="Bonagura, John F."/>
        <s v="Barrett, Jason O."/>
        <s v="Scanlon, Martin L."/>
        <s v="Lassiter, Danny W."/>
        <s v="Federico, Antoinette"/>
        <s v="Kim, Christine"/>
        <s v="Stover, John R."/>
        <s v="Williams III, John D."/>
        <s v="Strickler, Jill M."/>
        <s v="Kwil, Pam"/>
        <s v="Rose, Kendra E."/>
        <s v="Smutny, Thomas A."/>
        <s v="Sowell, George W."/>
        <s v="Gosnell, Scotty G."/>
        <s v="Ostler, Tom G."/>
        <s v="Anderson, Angelica M."/>
        <s v="Pietras, Victoria M."/>
        <s v="Kersey, Justin P."/>
        <s v="Japczyk, James F."/>
        <s v="Shimkus, Matthew D."/>
        <s v="Stenzel, John R."/>
        <s v="Devine, James P."/>
        <s v="Andrejko, James"/>
        <s v="Lupton, Helen C."/>
        <s v="Plumb, Debra A"/>
        <s v="Meyers, Nathan K"/>
        <s v="Oakley, Thomas G"/>
        <s v="Kulov, Michael B"/>
        <s v="Guttormsen, Robert A"/>
        <s v="Ring, Deborah L"/>
        <s v="McVicker, Carolyn S"/>
        <s v="Linck, Danielle N."/>
        <s v="Longyear, Kathy"/>
        <s v="Pitts, Darrien"/>
        <s v="Peedin, Ryan"/>
        <s v="Baldwin, Brandon"/>
        <s v="Rushing, Ronald"/>
        <s v="Andronis, Mark"/>
        <s v="Matteson, Seyd"/>
        <s v="Reincke, Sean"/>
        <s v="Schmidt, Michael"/>
        <s v="Wiggins, Kevin"/>
        <s v="Hinchcliffe, Karon"/>
        <s v="Nelson, Destiny"/>
        <s v="Wiorek, Sharon"/>
        <s v="Rajendran, Saravanan"/>
        <s v="Wojnicka, Patrycja"/>
        <s v="Mearidy, Tarquin"/>
        <s v="Eiswirth, Michael"/>
        <s v="Lawson, Christopher"/>
        <s v="Sides, Jennifer"/>
        <s v="Grant, Michael"/>
        <s v="Schwades, Michael"/>
        <s v="Fowler, Steven"/>
        <s v="Fewell, Dustin"/>
        <s v="Richardson, Marlin"/>
        <s v="Thomas, Travis"/>
        <s v="Gray, Patrick"/>
        <s v="Goff, Christian"/>
        <s v="Anderson, Moreland"/>
        <s v="Halloran, Brian"/>
        <s v="Volz, Robert"/>
        <s v="Jensen, Jacob"/>
        <s v="Green, Justin"/>
        <s v="Storm, Bonnie"/>
        <s v="Scheidt, Timothy"/>
        <s v="Johnson, Micah"/>
        <s v="Adams, Diane"/>
        <s v="Kilgore Jr, James"/>
        <s v="Liskoff, David"/>
        <s v="Norwoods, Regence"/>
        <s v="Hanson, Michael"/>
      </sharedItems>
    </cacheField>
    <cacheField name="Business Unit" numFmtId="0">
      <sharedItems containsString="0" containsBlank="1" containsNumber="1" containsInteger="1" minValue="850100" maxValue="866100" count="15">
        <n v="861100"/>
        <m/>
        <n v="855100"/>
        <n v="864100"/>
        <n v="859100"/>
        <n v="853100"/>
        <n v="850100"/>
        <n v="856100"/>
        <n v="863100"/>
        <n v="858100"/>
        <n v="865100"/>
        <n v="857100"/>
        <n v="851100"/>
        <n v="866100"/>
        <n v="860100"/>
      </sharedItems>
    </cacheField>
    <cacheField name="Home Business Unit" numFmtId="0">
      <sharedItems containsString="0" containsBlank="1" containsNumber="1" containsInteger="1" minValue="102101" maxValue="806100" count="461">
        <n v="357102"/>
        <n v="357101"/>
        <m/>
        <n v="250100"/>
        <n v="241100"/>
        <n v="403118"/>
        <n v="403102"/>
        <n v="403103"/>
        <n v="403104"/>
        <n v="403116"/>
        <n v="403107"/>
        <n v="403109"/>
        <n v="403110"/>
        <n v="403101"/>
        <n v="403113"/>
        <n v="403112"/>
        <n v="333101"/>
        <n v="333100"/>
        <n v="183114"/>
        <n v="182213"/>
        <n v="183119"/>
        <n v="183122"/>
        <n v="182243"/>
        <n v="182242"/>
        <n v="356125"/>
        <n v="356109"/>
        <n v="356122"/>
        <n v="356114"/>
        <n v="357104"/>
        <n v="356117"/>
        <n v="356106"/>
        <n v="356102"/>
        <n v="356118"/>
        <n v="357105"/>
        <n v="356112"/>
        <n v="356120"/>
        <n v="356115"/>
        <n v="356103"/>
        <n v="356127"/>
        <n v="356111"/>
        <n v="356124"/>
        <n v="356105"/>
        <n v="356108"/>
        <n v="356121"/>
        <n v="182149"/>
        <n v="182148"/>
        <n v="183109"/>
        <n v="183101"/>
        <n v="183102"/>
        <n v="183112"/>
        <n v="182238"/>
        <n v="183108"/>
        <n v="182203"/>
        <n v="220100"/>
        <n v="182113"/>
        <n v="251100"/>
        <n v="252110"/>
        <n v="251102"/>
        <n v="252113"/>
        <n v="252129"/>
        <n v="252121"/>
        <n v="246100"/>
        <n v="252116"/>
        <n v="252114"/>
        <n v="260100"/>
        <n v="252124"/>
        <n v="252123"/>
        <n v="251104"/>
        <n v="252122"/>
        <n v="251106"/>
        <n v="252115"/>
        <n v="252118"/>
        <n v="254101"/>
        <n v="251101"/>
        <n v="252117"/>
        <n v="252119"/>
        <n v="252137"/>
        <n v="255101"/>
        <n v="255100"/>
        <n v="252111"/>
        <n v="251103"/>
        <n v="260101"/>
        <n v="255102"/>
        <n v="252130"/>
        <n v="252136"/>
        <n v="182115"/>
        <n v="183104"/>
        <n v="191101"/>
        <n v="182195"/>
        <n v="182189"/>
        <n v="182182"/>
        <n v="182163"/>
        <n v="182153"/>
        <n v="191100"/>
        <n v="182207"/>
        <n v="182178"/>
        <n v="182212"/>
        <n v="182190"/>
        <n v="182216"/>
        <n v="182152"/>
        <n v="182114"/>
        <n v="113100"/>
        <n v="121100"/>
        <n v="111101"/>
        <n v="111100"/>
        <n v="118100"/>
        <n v="118101"/>
        <n v="114100"/>
        <n v="288100"/>
        <n v="288101"/>
        <n v="182146"/>
        <n v="182171"/>
        <n v="182144"/>
        <n v="182145"/>
        <n v="182142"/>
        <n v="182180"/>
        <n v="182147"/>
        <n v="181100"/>
        <n v="182122"/>
        <n v="182106"/>
        <n v="182107"/>
        <n v="181101"/>
        <n v="182123"/>
        <n v="801100"/>
        <n v="401169"/>
        <n v="401168"/>
        <n v="401167"/>
        <n v="401166"/>
        <n v="401165"/>
        <n v="401164"/>
        <n v="401111"/>
        <n v="401163"/>
        <n v="401162"/>
        <n v="401161"/>
        <n v="401160"/>
        <n v="401159"/>
        <n v="401158"/>
        <n v="401157"/>
        <n v="401156"/>
        <n v="401110"/>
        <n v="401109"/>
        <n v="401154"/>
        <n v="401153"/>
        <n v="401151"/>
        <n v="401150"/>
        <n v="401149"/>
        <n v="401148"/>
        <n v="401147"/>
        <n v="401146"/>
        <n v="401145"/>
        <n v="401143"/>
        <n v="401142"/>
        <n v="401140"/>
        <n v="401139"/>
        <n v="401171"/>
        <n v="400128"/>
        <n v="400127"/>
        <n v="406101"/>
        <n v="406100"/>
        <n v="401175"/>
        <n v="401174"/>
        <n v="401173"/>
        <n v="401172"/>
        <n v="401170"/>
        <n v="385103"/>
        <n v="385101"/>
        <n v="385100"/>
        <n v="102101"/>
        <n v="386125"/>
        <n v="386121"/>
        <n v="386115"/>
        <n v="386110"/>
        <n v="386105"/>
        <n v="386127"/>
        <n v="386119"/>
        <n v="386114"/>
        <n v="386109"/>
        <n v="386103"/>
        <n v="386129"/>
        <n v="386124"/>
        <n v="386118"/>
        <n v="386113"/>
        <n v="386108"/>
        <n v="386102"/>
        <n v="386106"/>
        <n v="386126"/>
        <n v="386122"/>
        <n v="386116"/>
        <n v="386111"/>
        <n v="386101"/>
        <n v="386107"/>
        <n v="386112"/>
        <n v="386117"/>
        <n v="386123"/>
        <n v="386132"/>
        <n v="386128"/>
        <n v="183105"/>
        <n v="183106"/>
        <n v="182241"/>
        <n v="252106"/>
        <n v="252128"/>
        <n v="252107"/>
        <n v="252125"/>
        <n v="252126"/>
        <n v="401125"/>
        <n v="401124"/>
        <n v="401123"/>
        <n v="401122"/>
        <n v="401121"/>
        <n v="401119"/>
        <n v="401118"/>
        <n v="401117"/>
        <n v="401116"/>
        <n v="401115"/>
        <n v="401114"/>
        <n v="401113"/>
        <n v="401112"/>
        <n v="400113"/>
        <n v="400111"/>
        <n v="400110"/>
        <n v="400104"/>
        <n v="400103"/>
        <n v="401107"/>
        <n v="401106"/>
        <n v="401105"/>
        <n v="401104"/>
        <n v="400145"/>
        <n v="400144"/>
        <n v="400143"/>
        <n v="400141"/>
        <n v="400140"/>
        <n v="400139"/>
        <n v="400138"/>
        <n v="400137"/>
        <n v="400136"/>
        <n v="400134"/>
        <n v="400133"/>
        <n v="400131"/>
        <n v="400130"/>
        <n v="400126"/>
        <n v="400125"/>
        <n v="400124"/>
        <n v="400122"/>
        <n v="400121"/>
        <n v="400120"/>
        <n v="400119"/>
        <n v="400116"/>
        <n v="400115"/>
        <n v="400114"/>
        <n v="401131"/>
        <n v="401120"/>
        <n v="400149"/>
        <n v="400142"/>
        <n v="402101"/>
        <n v="402100"/>
        <n v="401138"/>
        <n v="401137"/>
        <n v="401136"/>
        <n v="401135"/>
        <n v="401134"/>
        <n v="401133"/>
        <n v="401132"/>
        <n v="401130"/>
        <n v="401129"/>
        <n v="401128"/>
        <n v="401126"/>
        <n v="182233"/>
        <n v="182240"/>
        <n v="182176"/>
        <n v="182105"/>
        <n v="183124"/>
        <n v="182175"/>
        <n v="316100"/>
        <n v="182132"/>
        <n v="187100"/>
        <n v="187101"/>
        <n v="102106"/>
        <n v="102103"/>
        <n v="182209"/>
        <n v="182102"/>
        <n v="182119"/>
        <n v="182231"/>
        <n v="182218"/>
        <n v="182217"/>
        <n v="182173"/>
        <n v="182120"/>
        <n v="182117"/>
        <n v="132100"/>
        <n v="122100"/>
        <n v="130100"/>
        <n v="110100"/>
        <n v="125100"/>
        <n v="123101"/>
        <n v="119100"/>
        <n v="119101"/>
        <n v="131101"/>
        <n v="131100"/>
        <n v="123100"/>
        <n v="134100"/>
        <n v="102111"/>
        <n v="102110"/>
        <n v="805100"/>
        <n v="804100"/>
        <n v="188101"/>
        <n v="182112"/>
        <n v="188100"/>
        <n v="182143"/>
        <n v="182141"/>
        <n v="182157"/>
        <n v="182137"/>
        <n v="182140"/>
        <n v="182214"/>
        <n v="182138"/>
        <n v="400123"/>
        <n v="400108"/>
        <n v="400109"/>
        <n v="401127"/>
        <n v="400105"/>
        <n v="400106"/>
        <n v="317101"/>
        <n v="300101"/>
        <n v="286100"/>
        <n v="317100"/>
        <n v="315100"/>
        <n v="332100"/>
        <n v="287100"/>
        <n v="286101"/>
        <n v="300100"/>
        <n v="182130"/>
        <n v="182129"/>
        <n v="425100"/>
        <n v="401187"/>
        <n v="401186"/>
        <n v="401185"/>
        <n v="401184"/>
        <n v="401180"/>
        <n v="401179"/>
        <n v="401178"/>
        <n v="401177"/>
        <n v="401176"/>
        <n v="401108"/>
        <n v="400118"/>
        <n v="403115"/>
        <n v="403114"/>
        <n v="403108"/>
        <n v="401192"/>
        <n v="401191"/>
        <n v="401190"/>
        <n v="401189"/>
        <n v="401188"/>
        <n v="401183"/>
        <n v="401182"/>
        <n v="401181"/>
        <n v="102105"/>
        <n v="182236"/>
        <n v="182235"/>
        <n v="182208"/>
        <n v="182205"/>
        <n v="182199"/>
        <n v="182197"/>
        <n v="182196"/>
        <n v="182185"/>
        <n v="182184"/>
        <n v="182183"/>
        <n v="182181"/>
        <n v="182167"/>
        <n v="182166"/>
        <n v="182165"/>
        <n v="182164"/>
        <n v="182160"/>
        <n v="182159"/>
        <n v="182158"/>
        <n v="182155"/>
        <n v="182154"/>
        <n v="182151"/>
        <n v="182110"/>
        <n v="182109"/>
        <n v="182104"/>
        <n v="151101"/>
        <n v="150101"/>
        <n v="151100"/>
        <n v="152100"/>
        <n v="150100"/>
        <n v="453104"/>
        <n v="453100"/>
        <n v="453101"/>
        <n v="453103"/>
        <n v="248100"/>
        <n v="259100"/>
        <n v="248101"/>
        <n v="259101"/>
        <n v="345102"/>
        <n v="345103"/>
        <n v="345101"/>
        <n v="452100"/>
        <n v="450100"/>
        <n v="102108"/>
        <n v="183117"/>
        <n v="182211"/>
        <n v="182133"/>
        <n v="183125"/>
        <n v="183118"/>
        <n v="183113"/>
        <n v="182134"/>
        <n v="183121"/>
        <n v="183116"/>
        <n v="182206"/>
        <n v="180100"/>
        <n v="183126"/>
        <n v="182215"/>
        <n v="182136"/>
        <n v="182125"/>
        <n v="180101"/>
        <n v="183120"/>
        <n v="183115"/>
        <n v="182219"/>
        <n v="182204"/>
        <n v="182126"/>
        <n v="256100"/>
        <n v="249101"/>
        <n v="249100"/>
        <n v="451100"/>
        <n v="451101"/>
        <n v="255103"/>
        <n v="242101"/>
        <n v="242100"/>
        <n v="400147"/>
        <n v="102104"/>
        <n v="128100"/>
        <n v="127100"/>
        <n v="126100"/>
        <n v="124100"/>
        <n v="120100"/>
        <n v="117100"/>
        <n v="129100"/>
        <n v="112100"/>
        <n v="133101"/>
        <n v="133100"/>
        <n v="252134"/>
        <n v="252132"/>
        <n v="182227"/>
        <n v="182101"/>
        <n v="182170"/>
        <n v="182179"/>
        <n v="182162"/>
        <n v="182128"/>
        <n v="806100"/>
        <n v="357100"/>
        <n v="182187"/>
        <n v="356100"/>
        <n v="102107"/>
        <n v="800100"/>
        <n v="102102"/>
        <n v="183111"/>
        <n v="102109"/>
        <n v="102112"/>
        <n v="386104"/>
        <n v="386131"/>
        <n v="386130"/>
        <n v="386120"/>
        <n v="451102"/>
      </sharedItems>
    </cacheField>
    <cacheField name="Percentage" numFmtId="0">
      <sharedItems containsSemiMixedTypes="0" containsString="0" containsNumber="1" minValue="0" maxValue="100" count="837">
        <n v="47.99"/>
        <n v="52.01"/>
        <n v="100"/>
        <n v="0"/>
        <n v="0.13"/>
        <n v="2.54"/>
        <n v="6.17"/>
        <n v="6.41"/>
        <n v="9.77"/>
        <n v="16.87"/>
        <n v="9.92"/>
        <n v="3.27"/>
        <n v="23.2"/>
        <n v="21.72"/>
        <n v="49.84"/>
        <n v="50.16"/>
        <n v="11.89"/>
        <n v="5.95"/>
        <n v="19.16"/>
        <n v="7.5"/>
        <n v="27.75"/>
        <n v="0.7"/>
        <n v="20.92"/>
        <n v="2.89"/>
        <n v="0.19"/>
        <n v="22.67"/>
        <n v="1.75"/>
        <n v="6.14"/>
        <n v="2.4900000000000002"/>
        <n v="9.0500000000000007"/>
        <n v="2.23"/>
        <n v="2.37"/>
        <n v="5.27"/>
        <n v="2.92"/>
        <n v="0.24"/>
        <n v="1.64"/>
        <n v="2.17"/>
        <n v="0.5"/>
        <n v="2.91"/>
        <n v="0.71"/>
        <n v="9.1"/>
        <n v="2.93"/>
        <n v="0.21"/>
        <n v="17.100000000000001"/>
        <n v="82.9"/>
        <n v="8.31"/>
        <n v="41.2"/>
        <n v="15.37"/>
        <n v="2.34"/>
        <n v="2.3199999999999998"/>
        <n v="19.14"/>
        <n v="0.65"/>
        <n v="9.36"/>
        <n v="1.31"/>
        <n v="0.39"/>
        <n v="5.14"/>
        <n v="19.27"/>
        <n v="1.3"/>
        <n v="3.12"/>
        <n v="1.29"/>
        <n v="9.85"/>
        <n v="0.47"/>
        <n v="0.35"/>
        <n v="8.64"/>
        <n v="0.26"/>
        <n v="1.54"/>
        <n v="1.59"/>
        <n v="1.47"/>
        <n v="37.06"/>
        <n v="0.57999999999999996"/>
        <n v="1.98"/>
        <n v="4.43"/>
        <n v="1.03"/>
        <n v="7.57"/>
        <n v="1.23"/>
        <n v="14.55"/>
        <n v="2.02"/>
        <n v="0.14000000000000001"/>
        <n v="0.23"/>
        <n v="0.18"/>
        <n v="0.55000000000000004"/>
        <n v="3.87"/>
        <n v="0.15"/>
        <n v="0.09"/>
        <n v="0.6"/>
        <n v="0.62"/>
        <n v="21.06"/>
        <n v="27"/>
        <n v="0.1"/>
        <n v="0.61"/>
        <n v="0.78"/>
        <n v="0.41"/>
        <n v="0.51"/>
        <n v="2.0099999999999998"/>
        <n v="7.44"/>
        <n v="2.81"/>
        <n v="3.39"/>
        <n v="0.22"/>
        <n v="0.17"/>
        <n v="1.57"/>
        <n v="4.38"/>
        <n v="19.02"/>
        <n v="18.7"/>
        <n v="36.590000000000003"/>
        <n v="3.08"/>
        <n v="0.43"/>
        <n v="7.08"/>
        <n v="8.52"/>
        <n v="46.91"/>
        <n v="53.09"/>
        <n v="16.96"/>
        <n v="1.26"/>
        <n v="14.4"/>
        <n v="1.55"/>
        <n v="0.74"/>
        <n v="13.18"/>
        <n v="10.85"/>
        <n v="0.38"/>
        <n v="7.74"/>
        <n v="0.75"/>
        <n v="16.93"/>
        <n v="1.81"/>
        <n v="10.79"/>
        <n v="2.66"/>
        <n v="6.81"/>
        <n v="53.99"/>
        <n v="5.63"/>
        <n v="9.9600000000000009"/>
        <n v="9.91"/>
        <n v="8.07"/>
        <n v="50.97"/>
        <n v="49.03"/>
        <n v="4.78"/>
        <n v="4.59"/>
        <n v="2.73"/>
        <n v="0.96"/>
        <n v="1.84"/>
        <n v="5.23"/>
        <n v="5.44"/>
        <n v="8.98"/>
        <n v="31.6"/>
        <n v="26.83"/>
        <n v="2.19"/>
        <n v="4.08"/>
        <n v="0.2"/>
        <n v="0.54"/>
        <n v="0.4"/>
        <n v="0.53"/>
        <n v="0.48"/>
        <n v="0.32"/>
        <n v="1.44"/>
        <n v="0.34"/>
        <n v="1.02"/>
        <n v="0.3"/>
        <n v="0.12"/>
        <n v="1.65"/>
        <n v="0.28999999999999998"/>
        <n v="27.06"/>
        <n v="31.21"/>
        <n v="12.95"/>
        <n v="13.15"/>
        <n v="0.11"/>
        <n v="0.33"/>
        <n v="0.31"/>
        <n v="0.27"/>
        <n v="6.33"/>
        <n v="46.16"/>
        <n v="47.51"/>
        <n v="0.46"/>
        <n v="38.36"/>
        <n v="0.08"/>
        <n v="1.25"/>
        <n v="1.1100000000000001"/>
        <n v="0.89"/>
        <n v="39.479999999999997"/>
        <n v="1.27"/>
        <n v="0.16"/>
        <n v="5.26"/>
        <n v="0.04"/>
        <n v="0.28000000000000003"/>
        <n v="2.11"/>
        <n v="1.24"/>
        <n v="0.44"/>
        <n v="55.93"/>
        <n v="43.62"/>
        <n v="0.45"/>
        <n v="77.87"/>
        <n v="6.34"/>
        <n v="15.79"/>
        <n v="47.59"/>
        <n v="46.55"/>
        <n v="5.86"/>
        <n v="37.78"/>
        <n v="9.49"/>
        <n v="3.52"/>
        <n v="22.38"/>
        <n v="1"/>
        <n v="0.37"/>
        <n v="7.0000000000000007E-2"/>
        <n v="1.28"/>
        <n v="0.87"/>
        <n v="0.85"/>
        <n v="0.59"/>
        <n v="1.35"/>
        <n v="0.67"/>
        <n v="1.39"/>
        <n v="1.46"/>
        <n v="1.33"/>
        <n v="22.26"/>
        <n v="7.2"/>
        <n v="1.41"/>
        <n v="1.04"/>
        <n v="1.0900000000000001"/>
        <n v="1.21"/>
        <n v="0.88"/>
        <n v="14.84"/>
        <n v="14.98"/>
        <n v="0.42"/>
        <n v="1.08"/>
        <n v="0.72"/>
        <n v="0.49"/>
        <n v="0.36"/>
        <n v="1.17"/>
        <n v="1.76"/>
        <n v="0.69"/>
        <n v="0.94"/>
        <n v="0.91"/>
        <n v="3.24"/>
        <n v="3.26"/>
        <n v="0.81"/>
        <n v="0.93"/>
        <n v="0.98"/>
        <n v="0.99"/>
        <n v="0.83"/>
        <n v="6.24"/>
        <n v="43.57"/>
        <n v="33.979999999999997"/>
        <n v="99.21"/>
        <n v="0.79"/>
        <n v="27.6"/>
        <n v="5.3"/>
        <n v="46.42"/>
        <n v="12.31"/>
        <n v="8.3699999999999992"/>
        <n v="6.59"/>
        <n v="47.36"/>
        <n v="46.05"/>
        <n v="2.7"/>
        <n v="5.89"/>
        <n v="21.96"/>
        <n v="6.69"/>
        <n v="4.53"/>
        <n v="2.97"/>
        <n v="8.85"/>
        <n v="1.6"/>
        <n v="3.63"/>
        <n v="21.48"/>
        <n v="3.83"/>
        <n v="1.01"/>
        <n v="5.49"/>
        <n v="71.64"/>
        <n v="22.87"/>
        <n v="40.71"/>
        <n v="4.66"/>
        <n v="5.32"/>
        <n v="43.45"/>
        <n v="34.93"/>
        <n v="2.38"/>
        <n v="29.54"/>
        <n v="10.65"/>
        <n v="6.48"/>
        <n v="6.6"/>
        <n v="4.6500000000000004"/>
        <n v="50.72"/>
        <n v="49.28"/>
        <n v="8.9499999999999993"/>
        <n v="26.51"/>
        <n v="18.690000000000001"/>
        <n v="26.04"/>
        <n v="10.220000000000001"/>
        <n v="9.59"/>
        <n v="36.51"/>
        <n v="7.33"/>
        <n v="56.16"/>
        <n v="5.64"/>
        <n v="84.9"/>
        <n v="9.4600000000000009"/>
        <n v="21.78"/>
        <n v="58.37"/>
        <n v="3.31"/>
        <n v="13.26"/>
        <n v="3.28"/>
        <n v="41.7"/>
        <n v="6.42"/>
        <n v="7.7"/>
        <n v="5.22"/>
        <n v="6.4"/>
        <n v="27.12"/>
        <n v="28.25"/>
        <n v="65.069999999999993"/>
        <n v="4.45"/>
        <n v="27.19"/>
        <n v="28.72"/>
        <n v="44.09"/>
        <n v="21.15"/>
        <n v="1.51"/>
        <n v="24.97"/>
        <n v="31.98"/>
        <n v="7.89"/>
        <n v="12.5"/>
        <n v="16.3"/>
        <n v="13.17"/>
        <n v="8.94"/>
        <n v="6.02"/>
        <n v="16.21"/>
        <n v="1.34"/>
        <n v="4.74"/>
        <n v="8.9600000000000009"/>
        <n v="4.34"/>
        <n v="6.26"/>
        <n v="8.25"/>
        <n v="4.07"/>
        <n v="4.72"/>
        <n v="7.78"/>
        <n v="27.39"/>
        <n v="1.89"/>
        <n v="3.54"/>
        <n v="23.25"/>
        <n v="12.1"/>
        <n v="4.1500000000000004"/>
        <n v="3.98"/>
        <n v="2.36"/>
        <n v="46.64"/>
        <n v="4.97"/>
        <n v="27.18"/>
        <n v="21.21"/>
        <n v="8.51"/>
        <n v="36.49"/>
        <n v="1.56"/>
        <n v="1.52"/>
        <n v="4.37"/>
        <n v="9.69"/>
        <n v="1.95"/>
        <n v="5.0599999999999996"/>
        <n v="0.56999999999999995"/>
        <n v="18.97"/>
        <n v="0.06"/>
        <n v="0.25"/>
        <n v="0.05"/>
        <n v="0.68"/>
        <n v="1.18"/>
        <n v="0.03"/>
        <n v="0.95"/>
        <n v="0.63"/>
        <n v="10.51"/>
        <n v="3.4"/>
        <n v="7.01"/>
        <n v="7.07"/>
        <n v="11.11"/>
        <n v="12.81"/>
        <n v="5.29"/>
        <n v="5.4"/>
        <n v="0.56000000000000005"/>
        <n v="0.64"/>
        <n v="0.92"/>
        <n v="24.83"/>
        <n v="75.17"/>
        <n v="4.62"/>
        <n v="1.97"/>
        <n v="5.53"/>
        <n v="3.86"/>
        <n v="3.34"/>
        <n v="3.36"/>
        <n v="2.83"/>
        <n v="5.19"/>
        <n v="1.5"/>
        <n v="1.2"/>
        <n v="1.87"/>
        <n v="4.13"/>
        <n v="4.16"/>
        <n v="3.21"/>
        <n v="3"/>
        <n v="36.96"/>
        <n v="2.56"/>
        <n v="9.58"/>
        <n v="9.42"/>
        <n v="4.29"/>
        <n v="0.77"/>
        <n v="18.43"/>
        <n v="3.58"/>
        <n v="4.9000000000000004"/>
        <n v="34.200000000000003"/>
        <n v="0.73"/>
        <n v="49.95"/>
        <n v="50.05"/>
        <n v="2.42"/>
        <n v="36.68"/>
        <n v="2.1800000000000002"/>
        <n v="21.68"/>
        <n v="37.04"/>
        <n v="13.91"/>
        <n v="3.3"/>
        <n v="7.62"/>
        <n v="7.14"/>
        <n v="3.62"/>
        <n v="5.54"/>
        <n v="2.0299999999999998"/>
        <n v="1.07"/>
        <n v="3.85"/>
        <n v="2.74"/>
        <n v="3.78"/>
        <n v="4.21"/>
        <n v="2.5"/>
        <n v="2.78"/>
        <n v="3.06"/>
        <n v="2.82"/>
        <n v="5.59"/>
        <n v="53.35"/>
        <n v="33.020000000000003"/>
        <n v="8.0399999999999991"/>
        <n v="14.17"/>
        <n v="39.33"/>
        <n v="46.5"/>
        <n v="32.06"/>
        <n v="19.41"/>
        <n v="29.46"/>
        <n v="19.07"/>
        <n v="47.58"/>
        <n v="52.42"/>
        <n v="14.7"/>
        <n v="85.3"/>
        <n v="8.81"/>
        <n v="91.19"/>
        <n v="48.78"/>
        <n v="48.52"/>
        <n v="7.51"/>
        <n v="6.72"/>
        <n v="4.54"/>
        <n v="1.88"/>
        <n v="9.33"/>
        <n v="5.38"/>
        <n v="1.19"/>
        <n v="1.58"/>
        <n v="6.27"/>
        <n v="1.73"/>
        <n v="7.6"/>
        <n v="12.79"/>
        <n v="2.77"/>
        <n v="7.9"/>
        <n v="4.0199999999999996"/>
        <n v="3.15"/>
        <n v="10.97"/>
        <n v="14.54"/>
        <n v="12.42"/>
        <n v="2.08"/>
        <n v="0.9"/>
        <n v="0.84"/>
        <n v="0.52"/>
        <n v="14.94"/>
        <n v="1.72"/>
        <n v="2.62"/>
        <n v="14.8"/>
        <n v="20.12"/>
        <n v="21.52"/>
        <n v="27.7"/>
        <n v="27.86"/>
        <n v="2.8"/>
        <n v="5.41"/>
        <n v="1.94"/>
        <n v="45.24"/>
        <n v="23.12"/>
        <n v="23.52"/>
        <n v="1.1499999999999999"/>
        <n v="9.09"/>
        <n v="1.06"/>
        <n v="1.83"/>
        <n v="1.68"/>
        <n v="7.41"/>
        <n v="12.46"/>
        <n v="2.84"/>
        <n v="2.69"/>
        <n v="7.31"/>
        <n v="6.11"/>
        <n v="6.54"/>
        <n v="2.6"/>
        <n v="5.24"/>
        <n v="14.02"/>
        <n v="21.42"/>
        <n v="32.83"/>
        <n v="2.44"/>
        <n v="25.75"/>
        <n v="36.33"/>
        <n v="63.67"/>
        <n v="13.81"/>
        <n v="4.88"/>
        <n v="8.61"/>
        <n v="11.52"/>
        <n v="19.45"/>
        <n v="13.31"/>
        <n v="8.77"/>
        <n v="14.48"/>
        <n v="9.26"/>
        <n v="90.74"/>
        <n v="32.57"/>
        <n v="31.25"/>
        <n v="18.57"/>
        <n v="5.13"/>
        <n v="12.48"/>
        <n v="85.52"/>
        <n v="13.1"/>
        <n v="86.9"/>
        <n v="96.33"/>
        <n v="3.67"/>
        <n v="7.26"/>
        <n v="11.39"/>
        <n v="22.45"/>
        <n v="0.01"/>
        <n v="1.48"/>
        <n v="23.74"/>
        <n v="14.97"/>
        <n v="1.67"/>
        <n v="3.23"/>
        <n v="19.89"/>
        <n v="19.559999999999999"/>
        <n v="8.91"/>
        <n v="38.26"/>
        <n v="39.89"/>
        <n v="3.14"/>
        <n v="22.76"/>
        <n v="3.11"/>
        <n v="31.1"/>
        <n v="19.11"/>
        <n v="30.88"/>
        <n v="42.12"/>
        <n v="3.19"/>
        <n v="0.02"/>
        <n v="6.05"/>
        <n v="0.76"/>
        <n v="4.18"/>
        <n v="2.2400000000000002"/>
        <n v="3.37"/>
        <n v="7.75"/>
        <n v="1.1200000000000001"/>
        <n v="0.66"/>
        <n v="1.1299999999999999"/>
        <n v="2.72"/>
        <n v="3.1"/>
        <n v="1.05"/>
        <n v="1.49"/>
        <n v="0.97"/>
        <n v="2.14"/>
        <n v="4.1100000000000003"/>
        <n v="0.82"/>
        <n v="5.61"/>
        <n v="83.28"/>
        <n v="8.39"/>
        <n v="8.33"/>
        <n v="5.46"/>
        <n v="7.84"/>
        <n v="8.66"/>
        <n v="1.45"/>
        <n v="1.93"/>
        <n v="11.76"/>
        <n v="1.9"/>
        <n v="10.23"/>
        <n v="11.88"/>
        <n v="6.96"/>
        <n v="1.36"/>
        <n v="1.74"/>
        <n v="1.53"/>
        <n v="2.94"/>
        <n v="11.02"/>
        <n v="5.73"/>
        <n v="2.76"/>
        <n v="1.32"/>
        <n v="2.57"/>
        <n v="2.15"/>
        <n v="15.95"/>
        <n v="20.45"/>
        <n v="2.09"/>
        <n v="9.67"/>
        <n v="15.06"/>
        <n v="37.24"/>
        <n v="38.03"/>
        <n v="7.34"/>
        <n v="5.08"/>
        <n v="5.71"/>
        <n v="7.27"/>
        <n v="6.71"/>
        <n v="55.22"/>
        <n v="1.61"/>
        <n v="33.75"/>
        <n v="38.520000000000003"/>
        <n v="6.09"/>
        <n v="15.9"/>
        <n v="4.25"/>
        <n v="3.04"/>
        <n v="3.71"/>
        <n v="4.2"/>
        <n v="4.95"/>
        <n v="4.79"/>
        <n v="4.05"/>
        <n v="3.64"/>
        <n v="7.82"/>
        <n v="4.7699999999999996"/>
        <n v="4.0599999999999996"/>
        <n v="94.94"/>
        <n v="47.82"/>
        <n v="2.0499999999999998"/>
        <n v="24.45"/>
        <n v="24.87"/>
        <n v="3.56"/>
        <n v="2.46"/>
        <n v="1.99"/>
        <n v="4.57"/>
        <n v="0.8"/>
        <n v="6.65"/>
        <n v="1.1000000000000001"/>
        <n v="3.59"/>
        <n v="2.31"/>
        <n v="8.1199999999999992"/>
        <n v="7.86"/>
        <n v="3.07"/>
        <n v="5.01"/>
        <n v="1.4"/>
        <n v="5.96"/>
        <n v="12.84"/>
        <n v="49.44"/>
        <n v="50.56"/>
        <n v="5.92"/>
        <n v="3.35"/>
        <n v="9.48"/>
        <n v="13.34"/>
        <n v="9.1300000000000008"/>
        <n v="9.94"/>
        <n v="12.52"/>
        <n v="9.76"/>
        <n v="2.2999999999999998"/>
        <n v="43.79"/>
        <n v="4.71"/>
        <n v="51.5"/>
        <n v="23.3"/>
        <n v="27.4"/>
        <n v="27.1"/>
        <n v="22.2"/>
        <n v="40.200000000000003"/>
        <n v="19.52"/>
        <n v="40.28"/>
        <n v="17.77"/>
        <n v="30.94"/>
        <n v="23.47"/>
        <n v="22.58"/>
        <n v="14.29"/>
        <n v="26.21"/>
        <n v="5.47"/>
        <n v="19.5"/>
        <n v="27.95"/>
        <n v="6.58"/>
        <n v="11.18"/>
        <n v="2.2200000000000002"/>
        <n v="12.32"/>
        <n v="25.83"/>
        <n v="18.760000000000002"/>
        <n v="9.27"/>
        <n v="82.31"/>
        <n v="8.42"/>
        <n v="29.91"/>
        <n v="24.94"/>
        <n v="20.29"/>
        <n v="24.86"/>
        <n v="4.5"/>
        <n v="9.5399999999999991"/>
        <n v="47.27"/>
        <n v="38.69"/>
        <n v="3.45"/>
        <n v="44.73"/>
        <n v="47.97"/>
        <n v="10.26"/>
        <n v="89.74"/>
        <n v="4"/>
        <n v="7.83"/>
        <n v="80.52"/>
        <n v="7.65"/>
        <n v="46.96"/>
        <n v="41.49"/>
        <n v="3.65"/>
        <n v="21.91"/>
        <n v="3.43"/>
        <n v="2.4300000000000002"/>
        <n v="1.79"/>
        <n v="24.8"/>
        <n v="6.3"/>
        <n v="3.03"/>
        <n v="2.16"/>
        <n v="2.06"/>
        <n v="8.0299999999999994"/>
        <n v="48.83"/>
        <n v="25.39"/>
        <n v="24.96"/>
        <n v="1.96"/>
        <n v="7.03"/>
        <n v="21.75"/>
        <n v="14.64"/>
        <n v="14.51"/>
        <n v="1.62"/>
        <n v="1.38"/>
        <n v="0.86"/>
        <n v="1.1399999999999999"/>
        <n v="1.43"/>
        <n v="9.01"/>
        <n v="14.19"/>
        <n v="14.15"/>
        <n v="11.01"/>
        <n v="9.06"/>
        <n v="12.03"/>
        <n v="6.47"/>
        <n v="5.55"/>
        <n v="2.61"/>
        <n v="2.2799999999999998"/>
        <n v="10.28"/>
        <n v="10.44"/>
        <n v="1.78"/>
        <n v="2.1"/>
        <n v="24.78"/>
        <n v="33.21"/>
        <n v="9.5"/>
        <n v="6.12"/>
        <n v="33.950000000000003"/>
        <n v="8.36"/>
        <n v="8.86"/>
        <n v="21.9"/>
        <n v="3.29"/>
        <n v="32.26"/>
        <n v="21.94"/>
        <n v="10.64"/>
        <n v="9.9700000000000006"/>
        <n v="40.270000000000003"/>
        <n v="9.6999999999999993"/>
        <n v="40.21"/>
        <n v="9.82"/>
        <n v="1.7"/>
        <n v="1.92"/>
        <n v="2.75"/>
        <n v="2.52"/>
        <n v="6.23"/>
        <n v="1.42"/>
        <n v="2.5099999999999998"/>
        <n v="2.12"/>
        <n v="2.58"/>
        <n v="4.42"/>
        <n v="6.04"/>
        <n v="10.73"/>
        <n v="1.91"/>
        <n v="2.63"/>
        <n v="6.21"/>
        <n v="5.16"/>
        <n v="3.82"/>
        <n v="6.15"/>
        <n v="4.5599999999999996"/>
        <n v="2.2599999999999998"/>
        <n v="4.67"/>
        <n v="8.23"/>
        <n v="7.38"/>
        <n v="1.66"/>
        <n v="3.32"/>
        <n v="3.5"/>
        <n v="2.87"/>
        <n v="2.88"/>
        <n v="5.88"/>
        <n v="4.5199999999999996"/>
        <n v="24.66"/>
        <n v="3.69"/>
        <n v="6.5"/>
        <n v="6.53"/>
        <n v="7.87"/>
        <n v="35.4"/>
        <n v="4.47"/>
        <n v="38.17"/>
        <n v="53.22"/>
        <n v="60.36"/>
        <n v="39.64"/>
        <n v="42.59"/>
        <n v="48.2"/>
        <n v="11.95"/>
        <n v="2.21"/>
        <n v="11.96"/>
        <n v="4.6900000000000004"/>
        <n v="12"/>
        <n v="1.8"/>
        <n v="5.35"/>
        <n v="10.16"/>
        <n v="11.92"/>
        <n v="13.77"/>
        <n v="5.05"/>
        <n v="9.07"/>
        <n v="8.92"/>
        <n v="14.99"/>
        <n v="22.35"/>
        <n v="15.04"/>
        <n v="7.23"/>
        <n v="1.22"/>
        <n v="1.77"/>
        <n v="14.9"/>
        <n v="4.51"/>
        <n v="43.61"/>
        <n v="4.6399999999999997"/>
        <n v="47.24"/>
        <n v="7.55"/>
        <n v="8.43"/>
        <n v="7.47"/>
        <n v="7.58"/>
        <n v="16.61"/>
        <n v="12.9"/>
        <n v="17.73"/>
        <n v="7.67"/>
        <n v="2.27"/>
        <n v="37.049999999999997"/>
        <n v="44.55"/>
        <n v="16.13"/>
        <n v="20.8"/>
        <n v="73.209999999999994"/>
        <n v="26.78"/>
        <n v="2.33"/>
        <n v="8.67"/>
        <n v="3.7"/>
        <n v="23.66"/>
        <n v="5.66"/>
        <n v="2.04"/>
        <n v="2.25"/>
        <n v="6.99"/>
        <n v="3.57"/>
        <n v="5.2"/>
        <n v="5.34"/>
        <n v="12.97"/>
        <n v="1.86"/>
        <n v="10.11"/>
        <n v="1.6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03">
  <r>
    <n v="1000293"/>
    <x v="0"/>
    <x v="0"/>
    <x v="0"/>
    <x v="0"/>
  </r>
  <r>
    <n v="1000293"/>
    <x v="0"/>
    <x v="0"/>
    <x v="1"/>
    <x v="1"/>
  </r>
  <r>
    <n v="1000293"/>
    <x v="1"/>
    <x v="1"/>
    <x v="2"/>
    <x v="2"/>
  </r>
  <r>
    <n v="1000294"/>
    <x v="2"/>
    <x v="0"/>
    <x v="0"/>
    <x v="0"/>
  </r>
  <r>
    <n v="1000294"/>
    <x v="2"/>
    <x v="0"/>
    <x v="1"/>
    <x v="1"/>
  </r>
  <r>
    <n v="1000294"/>
    <x v="1"/>
    <x v="1"/>
    <x v="2"/>
    <x v="2"/>
  </r>
  <r>
    <n v="1000360"/>
    <x v="3"/>
    <x v="2"/>
    <x v="3"/>
    <x v="2"/>
  </r>
  <r>
    <n v="1000360"/>
    <x v="3"/>
    <x v="2"/>
    <x v="4"/>
    <x v="3"/>
  </r>
  <r>
    <n v="1000360"/>
    <x v="1"/>
    <x v="1"/>
    <x v="2"/>
    <x v="2"/>
  </r>
  <r>
    <n v="1000362"/>
    <x v="4"/>
    <x v="3"/>
    <x v="5"/>
    <x v="4"/>
  </r>
  <r>
    <n v="1000362"/>
    <x v="4"/>
    <x v="3"/>
    <x v="6"/>
    <x v="5"/>
  </r>
  <r>
    <n v="1000362"/>
    <x v="4"/>
    <x v="3"/>
    <x v="7"/>
    <x v="6"/>
  </r>
  <r>
    <n v="1000362"/>
    <x v="4"/>
    <x v="3"/>
    <x v="8"/>
    <x v="7"/>
  </r>
  <r>
    <n v="1000362"/>
    <x v="4"/>
    <x v="3"/>
    <x v="9"/>
    <x v="8"/>
  </r>
  <r>
    <n v="1000362"/>
    <x v="4"/>
    <x v="3"/>
    <x v="10"/>
    <x v="9"/>
  </r>
  <r>
    <n v="1000362"/>
    <x v="4"/>
    <x v="3"/>
    <x v="11"/>
    <x v="10"/>
  </r>
  <r>
    <n v="1000362"/>
    <x v="4"/>
    <x v="3"/>
    <x v="12"/>
    <x v="3"/>
  </r>
  <r>
    <n v="1000362"/>
    <x v="4"/>
    <x v="3"/>
    <x v="13"/>
    <x v="11"/>
  </r>
  <r>
    <n v="1000362"/>
    <x v="4"/>
    <x v="3"/>
    <x v="14"/>
    <x v="12"/>
  </r>
  <r>
    <n v="1000362"/>
    <x v="4"/>
    <x v="3"/>
    <x v="15"/>
    <x v="13"/>
  </r>
  <r>
    <n v="1000362"/>
    <x v="1"/>
    <x v="1"/>
    <x v="2"/>
    <x v="2"/>
  </r>
  <r>
    <n v="1000369"/>
    <x v="5"/>
    <x v="4"/>
    <x v="16"/>
    <x v="14"/>
  </r>
  <r>
    <n v="1000369"/>
    <x v="5"/>
    <x v="4"/>
    <x v="17"/>
    <x v="15"/>
  </r>
  <r>
    <n v="1000369"/>
    <x v="1"/>
    <x v="1"/>
    <x v="2"/>
    <x v="2"/>
  </r>
  <r>
    <n v="1000385"/>
    <x v="6"/>
    <x v="5"/>
    <x v="18"/>
    <x v="16"/>
  </r>
  <r>
    <n v="1000385"/>
    <x v="6"/>
    <x v="5"/>
    <x v="19"/>
    <x v="17"/>
  </r>
  <r>
    <n v="1000385"/>
    <x v="6"/>
    <x v="5"/>
    <x v="20"/>
    <x v="18"/>
  </r>
  <r>
    <n v="1000385"/>
    <x v="6"/>
    <x v="5"/>
    <x v="21"/>
    <x v="19"/>
  </r>
  <r>
    <n v="1000385"/>
    <x v="6"/>
    <x v="5"/>
    <x v="22"/>
    <x v="20"/>
  </r>
  <r>
    <n v="1000385"/>
    <x v="6"/>
    <x v="5"/>
    <x v="23"/>
    <x v="20"/>
  </r>
  <r>
    <n v="1000385"/>
    <x v="1"/>
    <x v="1"/>
    <x v="2"/>
    <x v="2"/>
  </r>
  <r>
    <n v="1000446"/>
    <x v="7"/>
    <x v="0"/>
    <x v="24"/>
    <x v="21"/>
  </r>
  <r>
    <n v="1000446"/>
    <x v="7"/>
    <x v="0"/>
    <x v="0"/>
    <x v="22"/>
  </r>
  <r>
    <n v="1000446"/>
    <x v="7"/>
    <x v="0"/>
    <x v="25"/>
    <x v="23"/>
  </r>
  <r>
    <n v="1000446"/>
    <x v="7"/>
    <x v="0"/>
    <x v="26"/>
    <x v="24"/>
  </r>
  <r>
    <n v="1000446"/>
    <x v="7"/>
    <x v="0"/>
    <x v="1"/>
    <x v="25"/>
  </r>
  <r>
    <n v="1000446"/>
    <x v="7"/>
    <x v="0"/>
    <x v="27"/>
    <x v="26"/>
  </r>
  <r>
    <n v="1000446"/>
    <x v="7"/>
    <x v="0"/>
    <x v="28"/>
    <x v="27"/>
  </r>
  <r>
    <n v="1000446"/>
    <x v="7"/>
    <x v="0"/>
    <x v="29"/>
    <x v="28"/>
  </r>
  <r>
    <n v="1000446"/>
    <x v="7"/>
    <x v="0"/>
    <x v="30"/>
    <x v="29"/>
  </r>
  <r>
    <n v="1000446"/>
    <x v="7"/>
    <x v="0"/>
    <x v="31"/>
    <x v="30"/>
  </r>
  <r>
    <n v="1000446"/>
    <x v="7"/>
    <x v="0"/>
    <x v="32"/>
    <x v="31"/>
  </r>
  <r>
    <n v="1000446"/>
    <x v="7"/>
    <x v="0"/>
    <x v="33"/>
    <x v="32"/>
  </r>
  <r>
    <n v="1000446"/>
    <x v="7"/>
    <x v="0"/>
    <x v="34"/>
    <x v="33"/>
  </r>
  <r>
    <n v="1000446"/>
    <x v="7"/>
    <x v="0"/>
    <x v="35"/>
    <x v="34"/>
  </r>
  <r>
    <n v="1000446"/>
    <x v="7"/>
    <x v="0"/>
    <x v="36"/>
    <x v="35"/>
  </r>
  <r>
    <n v="1000446"/>
    <x v="7"/>
    <x v="0"/>
    <x v="37"/>
    <x v="36"/>
  </r>
  <r>
    <n v="1000446"/>
    <x v="7"/>
    <x v="0"/>
    <x v="38"/>
    <x v="37"/>
  </r>
  <r>
    <n v="1000446"/>
    <x v="7"/>
    <x v="0"/>
    <x v="39"/>
    <x v="38"/>
  </r>
  <r>
    <n v="1000446"/>
    <x v="7"/>
    <x v="0"/>
    <x v="40"/>
    <x v="39"/>
  </r>
  <r>
    <n v="1000446"/>
    <x v="7"/>
    <x v="0"/>
    <x v="41"/>
    <x v="40"/>
  </r>
  <r>
    <n v="1000446"/>
    <x v="7"/>
    <x v="0"/>
    <x v="42"/>
    <x v="41"/>
  </r>
  <r>
    <n v="1000446"/>
    <x v="7"/>
    <x v="0"/>
    <x v="43"/>
    <x v="42"/>
  </r>
  <r>
    <n v="1000446"/>
    <x v="1"/>
    <x v="1"/>
    <x v="2"/>
    <x v="2"/>
  </r>
  <r>
    <n v="1000464"/>
    <x v="8"/>
    <x v="5"/>
    <x v="44"/>
    <x v="43"/>
  </r>
  <r>
    <n v="1000464"/>
    <x v="8"/>
    <x v="5"/>
    <x v="45"/>
    <x v="44"/>
  </r>
  <r>
    <n v="1000464"/>
    <x v="1"/>
    <x v="1"/>
    <x v="2"/>
    <x v="2"/>
  </r>
  <r>
    <n v="1000465"/>
    <x v="9"/>
    <x v="5"/>
    <x v="45"/>
    <x v="44"/>
  </r>
  <r>
    <n v="1000465"/>
    <x v="9"/>
    <x v="5"/>
    <x v="44"/>
    <x v="43"/>
  </r>
  <r>
    <n v="1000465"/>
    <x v="1"/>
    <x v="1"/>
    <x v="2"/>
    <x v="2"/>
  </r>
  <r>
    <n v="1000470"/>
    <x v="10"/>
    <x v="5"/>
    <x v="46"/>
    <x v="45"/>
  </r>
  <r>
    <n v="1000470"/>
    <x v="10"/>
    <x v="5"/>
    <x v="47"/>
    <x v="46"/>
  </r>
  <r>
    <n v="1000470"/>
    <x v="10"/>
    <x v="5"/>
    <x v="48"/>
    <x v="47"/>
  </r>
  <r>
    <n v="1000470"/>
    <x v="10"/>
    <x v="5"/>
    <x v="49"/>
    <x v="48"/>
  </r>
  <r>
    <n v="1000470"/>
    <x v="10"/>
    <x v="5"/>
    <x v="50"/>
    <x v="49"/>
  </r>
  <r>
    <n v="1000470"/>
    <x v="10"/>
    <x v="5"/>
    <x v="51"/>
    <x v="50"/>
  </r>
  <r>
    <n v="1000470"/>
    <x v="10"/>
    <x v="5"/>
    <x v="52"/>
    <x v="51"/>
  </r>
  <r>
    <n v="1000470"/>
    <x v="10"/>
    <x v="5"/>
    <x v="53"/>
    <x v="52"/>
  </r>
  <r>
    <n v="1000470"/>
    <x v="10"/>
    <x v="5"/>
    <x v="54"/>
    <x v="53"/>
  </r>
  <r>
    <n v="1000470"/>
    <x v="1"/>
    <x v="1"/>
    <x v="2"/>
    <x v="2"/>
  </r>
  <r>
    <n v="1000483"/>
    <x v="11"/>
    <x v="2"/>
    <x v="55"/>
    <x v="54"/>
  </r>
  <r>
    <n v="1000483"/>
    <x v="11"/>
    <x v="2"/>
    <x v="56"/>
    <x v="55"/>
  </r>
  <r>
    <n v="1000483"/>
    <x v="11"/>
    <x v="2"/>
    <x v="57"/>
    <x v="56"/>
  </r>
  <r>
    <n v="1000483"/>
    <x v="11"/>
    <x v="2"/>
    <x v="58"/>
    <x v="57"/>
  </r>
  <r>
    <n v="1000483"/>
    <x v="11"/>
    <x v="2"/>
    <x v="59"/>
    <x v="58"/>
  </r>
  <r>
    <n v="1000483"/>
    <x v="11"/>
    <x v="2"/>
    <x v="60"/>
    <x v="59"/>
  </r>
  <r>
    <n v="1000483"/>
    <x v="11"/>
    <x v="2"/>
    <x v="61"/>
    <x v="60"/>
  </r>
  <r>
    <n v="1000483"/>
    <x v="11"/>
    <x v="2"/>
    <x v="62"/>
    <x v="61"/>
  </r>
  <r>
    <n v="1000483"/>
    <x v="11"/>
    <x v="2"/>
    <x v="63"/>
    <x v="62"/>
  </r>
  <r>
    <n v="1000483"/>
    <x v="11"/>
    <x v="2"/>
    <x v="64"/>
    <x v="63"/>
  </r>
  <r>
    <n v="1000483"/>
    <x v="11"/>
    <x v="2"/>
    <x v="65"/>
    <x v="64"/>
  </r>
  <r>
    <n v="1000483"/>
    <x v="11"/>
    <x v="2"/>
    <x v="66"/>
    <x v="65"/>
  </r>
  <r>
    <n v="1000483"/>
    <x v="11"/>
    <x v="2"/>
    <x v="67"/>
    <x v="66"/>
  </r>
  <r>
    <n v="1000483"/>
    <x v="11"/>
    <x v="2"/>
    <x v="68"/>
    <x v="67"/>
  </r>
  <r>
    <n v="1000483"/>
    <x v="11"/>
    <x v="2"/>
    <x v="69"/>
    <x v="68"/>
  </r>
  <r>
    <n v="1000483"/>
    <x v="11"/>
    <x v="2"/>
    <x v="70"/>
    <x v="69"/>
  </r>
  <r>
    <n v="1000483"/>
    <x v="11"/>
    <x v="2"/>
    <x v="71"/>
    <x v="70"/>
  </r>
  <r>
    <n v="1000483"/>
    <x v="11"/>
    <x v="2"/>
    <x v="72"/>
    <x v="71"/>
  </r>
  <r>
    <n v="1000483"/>
    <x v="11"/>
    <x v="2"/>
    <x v="73"/>
    <x v="34"/>
  </r>
  <r>
    <n v="1000483"/>
    <x v="11"/>
    <x v="2"/>
    <x v="74"/>
    <x v="72"/>
  </r>
  <r>
    <n v="1000483"/>
    <x v="1"/>
    <x v="1"/>
    <x v="2"/>
    <x v="2"/>
  </r>
  <r>
    <n v="1000523"/>
    <x v="12"/>
    <x v="2"/>
    <x v="57"/>
    <x v="73"/>
  </r>
  <r>
    <n v="1000523"/>
    <x v="12"/>
    <x v="2"/>
    <x v="59"/>
    <x v="74"/>
  </r>
  <r>
    <n v="1000523"/>
    <x v="12"/>
    <x v="2"/>
    <x v="69"/>
    <x v="75"/>
  </r>
  <r>
    <n v="1000523"/>
    <x v="12"/>
    <x v="2"/>
    <x v="56"/>
    <x v="76"/>
  </r>
  <r>
    <n v="1000523"/>
    <x v="12"/>
    <x v="2"/>
    <x v="63"/>
    <x v="77"/>
  </r>
  <r>
    <n v="1000523"/>
    <x v="12"/>
    <x v="2"/>
    <x v="70"/>
    <x v="78"/>
  </r>
  <r>
    <n v="1000523"/>
    <x v="12"/>
    <x v="2"/>
    <x v="62"/>
    <x v="79"/>
  </r>
  <r>
    <n v="1000523"/>
    <x v="12"/>
    <x v="2"/>
    <x v="75"/>
    <x v="80"/>
  </r>
  <r>
    <n v="1000523"/>
    <x v="12"/>
    <x v="2"/>
    <x v="60"/>
    <x v="37"/>
  </r>
  <r>
    <n v="1000523"/>
    <x v="12"/>
    <x v="2"/>
    <x v="68"/>
    <x v="69"/>
  </r>
  <r>
    <n v="1000523"/>
    <x v="12"/>
    <x v="2"/>
    <x v="61"/>
    <x v="81"/>
  </r>
  <r>
    <n v="1000523"/>
    <x v="12"/>
    <x v="2"/>
    <x v="55"/>
    <x v="82"/>
  </r>
  <r>
    <n v="1000523"/>
    <x v="12"/>
    <x v="2"/>
    <x v="73"/>
    <x v="83"/>
  </r>
  <r>
    <n v="1000523"/>
    <x v="12"/>
    <x v="2"/>
    <x v="76"/>
    <x v="84"/>
  </r>
  <r>
    <n v="1000523"/>
    <x v="12"/>
    <x v="2"/>
    <x v="67"/>
    <x v="85"/>
  </r>
  <r>
    <n v="1000523"/>
    <x v="12"/>
    <x v="2"/>
    <x v="77"/>
    <x v="86"/>
  </r>
  <r>
    <n v="1000523"/>
    <x v="12"/>
    <x v="2"/>
    <x v="78"/>
    <x v="87"/>
  </r>
  <r>
    <n v="1000523"/>
    <x v="12"/>
    <x v="2"/>
    <x v="65"/>
    <x v="88"/>
  </r>
  <r>
    <n v="1000523"/>
    <x v="12"/>
    <x v="2"/>
    <x v="66"/>
    <x v="89"/>
  </r>
  <r>
    <n v="1000523"/>
    <x v="12"/>
    <x v="2"/>
    <x v="71"/>
    <x v="90"/>
  </r>
  <r>
    <n v="1000523"/>
    <x v="12"/>
    <x v="2"/>
    <x v="74"/>
    <x v="91"/>
  </r>
  <r>
    <n v="1000523"/>
    <x v="12"/>
    <x v="2"/>
    <x v="58"/>
    <x v="92"/>
  </r>
  <r>
    <n v="1000523"/>
    <x v="12"/>
    <x v="2"/>
    <x v="79"/>
    <x v="93"/>
  </r>
  <r>
    <n v="1000523"/>
    <x v="12"/>
    <x v="2"/>
    <x v="80"/>
    <x v="94"/>
  </r>
  <r>
    <n v="1000523"/>
    <x v="12"/>
    <x v="2"/>
    <x v="81"/>
    <x v="95"/>
  </r>
  <r>
    <n v="1000523"/>
    <x v="12"/>
    <x v="2"/>
    <x v="64"/>
    <x v="96"/>
  </r>
  <r>
    <n v="1000523"/>
    <x v="12"/>
    <x v="2"/>
    <x v="82"/>
    <x v="97"/>
  </r>
  <r>
    <n v="1000523"/>
    <x v="12"/>
    <x v="2"/>
    <x v="83"/>
    <x v="98"/>
  </r>
  <r>
    <n v="1000523"/>
    <x v="12"/>
    <x v="2"/>
    <x v="84"/>
    <x v="89"/>
  </r>
  <r>
    <n v="1000523"/>
    <x v="1"/>
    <x v="1"/>
    <x v="2"/>
    <x v="2"/>
  </r>
  <r>
    <n v="1000524"/>
    <x v="13"/>
    <x v="2"/>
    <x v="67"/>
    <x v="99"/>
  </r>
  <r>
    <n v="1000524"/>
    <x v="13"/>
    <x v="2"/>
    <x v="55"/>
    <x v="54"/>
  </r>
  <r>
    <n v="1000524"/>
    <x v="13"/>
    <x v="2"/>
    <x v="72"/>
    <x v="100"/>
  </r>
  <r>
    <n v="1000524"/>
    <x v="13"/>
    <x v="2"/>
    <x v="73"/>
    <x v="34"/>
  </r>
  <r>
    <n v="1000524"/>
    <x v="13"/>
    <x v="2"/>
    <x v="57"/>
    <x v="101"/>
  </r>
  <r>
    <n v="1000524"/>
    <x v="13"/>
    <x v="2"/>
    <x v="80"/>
    <x v="102"/>
  </r>
  <r>
    <n v="1000524"/>
    <x v="13"/>
    <x v="2"/>
    <x v="69"/>
    <x v="103"/>
  </r>
  <r>
    <n v="1000524"/>
    <x v="13"/>
    <x v="2"/>
    <x v="59"/>
    <x v="104"/>
  </r>
  <r>
    <n v="1000524"/>
    <x v="13"/>
    <x v="2"/>
    <x v="83"/>
    <x v="105"/>
  </r>
  <r>
    <n v="1000524"/>
    <x v="13"/>
    <x v="2"/>
    <x v="81"/>
    <x v="106"/>
  </r>
  <r>
    <n v="1000524"/>
    <x v="13"/>
    <x v="2"/>
    <x v="64"/>
    <x v="107"/>
  </r>
  <r>
    <n v="1000524"/>
    <x v="1"/>
    <x v="1"/>
    <x v="2"/>
    <x v="2"/>
  </r>
  <r>
    <n v="1000527"/>
    <x v="14"/>
    <x v="5"/>
    <x v="85"/>
    <x v="108"/>
  </r>
  <r>
    <n v="1000527"/>
    <x v="14"/>
    <x v="5"/>
    <x v="86"/>
    <x v="109"/>
  </r>
  <r>
    <n v="1000527"/>
    <x v="1"/>
    <x v="1"/>
    <x v="2"/>
    <x v="2"/>
  </r>
  <r>
    <n v="1000537"/>
    <x v="15"/>
    <x v="5"/>
    <x v="87"/>
    <x v="110"/>
  </r>
  <r>
    <n v="1000537"/>
    <x v="15"/>
    <x v="5"/>
    <x v="88"/>
    <x v="111"/>
  </r>
  <r>
    <n v="1000537"/>
    <x v="15"/>
    <x v="5"/>
    <x v="89"/>
    <x v="112"/>
  </r>
  <r>
    <n v="1000537"/>
    <x v="15"/>
    <x v="5"/>
    <x v="90"/>
    <x v="113"/>
  </r>
  <r>
    <n v="1000537"/>
    <x v="15"/>
    <x v="5"/>
    <x v="91"/>
    <x v="114"/>
  </r>
  <r>
    <n v="1000537"/>
    <x v="15"/>
    <x v="5"/>
    <x v="92"/>
    <x v="115"/>
  </r>
  <r>
    <n v="1000537"/>
    <x v="15"/>
    <x v="5"/>
    <x v="93"/>
    <x v="116"/>
  </r>
  <r>
    <n v="1000537"/>
    <x v="15"/>
    <x v="5"/>
    <x v="94"/>
    <x v="117"/>
  </r>
  <r>
    <n v="1000537"/>
    <x v="15"/>
    <x v="5"/>
    <x v="95"/>
    <x v="118"/>
  </r>
  <r>
    <n v="1000537"/>
    <x v="15"/>
    <x v="5"/>
    <x v="96"/>
    <x v="119"/>
  </r>
  <r>
    <n v="1000537"/>
    <x v="15"/>
    <x v="5"/>
    <x v="97"/>
    <x v="120"/>
  </r>
  <r>
    <n v="1000537"/>
    <x v="15"/>
    <x v="5"/>
    <x v="98"/>
    <x v="121"/>
  </r>
  <r>
    <n v="1000537"/>
    <x v="15"/>
    <x v="5"/>
    <x v="99"/>
    <x v="122"/>
  </r>
  <r>
    <n v="1000537"/>
    <x v="15"/>
    <x v="5"/>
    <x v="100"/>
    <x v="123"/>
  </r>
  <r>
    <n v="1000537"/>
    <x v="1"/>
    <x v="1"/>
    <x v="2"/>
    <x v="2"/>
  </r>
  <r>
    <n v="1000553"/>
    <x v="16"/>
    <x v="6"/>
    <x v="101"/>
    <x v="124"/>
  </r>
  <r>
    <n v="1000553"/>
    <x v="16"/>
    <x v="6"/>
    <x v="102"/>
    <x v="125"/>
  </r>
  <r>
    <n v="1000553"/>
    <x v="16"/>
    <x v="6"/>
    <x v="103"/>
    <x v="126"/>
  </r>
  <r>
    <n v="1000553"/>
    <x v="16"/>
    <x v="6"/>
    <x v="104"/>
    <x v="126"/>
  </r>
  <r>
    <n v="1000553"/>
    <x v="16"/>
    <x v="6"/>
    <x v="105"/>
    <x v="127"/>
  </r>
  <r>
    <n v="1000553"/>
    <x v="16"/>
    <x v="6"/>
    <x v="106"/>
    <x v="128"/>
  </r>
  <r>
    <n v="1000553"/>
    <x v="16"/>
    <x v="6"/>
    <x v="107"/>
    <x v="129"/>
  </r>
  <r>
    <n v="1000553"/>
    <x v="1"/>
    <x v="1"/>
    <x v="2"/>
    <x v="2"/>
  </r>
  <r>
    <n v="1000566"/>
    <x v="17"/>
    <x v="7"/>
    <x v="108"/>
    <x v="130"/>
  </r>
  <r>
    <n v="1000566"/>
    <x v="17"/>
    <x v="7"/>
    <x v="109"/>
    <x v="131"/>
  </r>
  <r>
    <n v="1000566"/>
    <x v="1"/>
    <x v="1"/>
    <x v="2"/>
    <x v="2"/>
  </r>
  <r>
    <n v="1000570"/>
    <x v="18"/>
    <x v="5"/>
    <x v="110"/>
    <x v="132"/>
  </r>
  <r>
    <n v="1000570"/>
    <x v="18"/>
    <x v="5"/>
    <x v="111"/>
    <x v="133"/>
  </r>
  <r>
    <n v="1000570"/>
    <x v="18"/>
    <x v="5"/>
    <x v="112"/>
    <x v="134"/>
  </r>
  <r>
    <n v="1000570"/>
    <x v="18"/>
    <x v="5"/>
    <x v="113"/>
    <x v="135"/>
  </r>
  <r>
    <n v="1000570"/>
    <x v="18"/>
    <x v="5"/>
    <x v="114"/>
    <x v="119"/>
  </r>
  <r>
    <n v="1000570"/>
    <x v="18"/>
    <x v="5"/>
    <x v="115"/>
    <x v="136"/>
  </r>
  <r>
    <n v="1000570"/>
    <x v="18"/>
    <x v="5"/>
    <x v="116"/>
    <x v="137"/>
  </r>
  <r>
    <n v="1000570"/>
    <x v="18"/>
    <x v="5"/>
    <x v="117"/>
    <x v="138"/>
  </r>
  <r>
    <n v="1000570"/>
    <x v="18"/>
    <x v="5"/>
    <x v="118"/>
    <x v="139"/>
  </r>
  <r>
    <n v="1000570"/>
    <x v="18"/>
    <x v="5"/>
    <x v="119"/>
    <x v="140"/>
  </r>
  <r>
    <n v="1000570"/>
    <x v="18"/>
    <x v="5"/>
    <x v="120"/>
    <x v="141"/>
  </r>
  <r>
    <n v="1000570"/>
    <x v="18"/>
    <x v="5"/>
    <x v="121"/>
    <x v="142"/>
  </r>
  <r>
    <n v="1000570"/>
    <x v="18"/>
    <x v="5"/>
    <x v="122"/>
    <x v="143"/>
  </r>
  <r>
    <n v="1000570"/>
    <x v="1"/>
    <x v="1"/>
    <x v="2"/>
    <x v="2"/>
  </r>
  <r>
    <n v="1000595"/>
    <x v="19"/>
    <x v="5"/>
    <x v="123"/>
    <x v="2"/>
  </r>
  <r>
    <n v="1000595"/>
    <x v="1"/>
    <x v="1"/>
    <x v="2"/>
    <x v="2"/>
  </r>
  <r>
    <n v="1000601"/>
    <x v="20"/>
    <x v="3"/>
    <x v="124"/>
    <x v="62"/>
  </r>
  <r>
    <n v="1000601"/>
    <x v="20"/>
    <x v="3"/>
    <x v="125"/>
    <x v="144"/>
  </r>
  <r>
    <n v="1000601"/>
    <x v="20"/>
    <x v="3"/>
    <x v="126"/>
    <x v="82"/>
  </r>
  <r>
    <n v="1000601"/>
    <x v="20"/>
    <x v="3"/>
    <x v="127"/>
    <x v="97"/>
  </r>
  <r>
    <n v="1000601"/>
    <x v="20"/>
    <x v="3"/>
    <x v="128"/>
    <x v="92"/>
  </r>
  <r>
    <n v="1000601"/>
    <x v="20"/>
    <x v="3"/>
    <x v="129"/>
    <x v="42"/>
  </r>
  <r>
    <n v="1000601"/>
    <x v="20"/>
    <x v="3"/>
    <x v="130"/>
    <x v="145"/>
  </r>
  <r>
    <n v="1000601"/>
    <x v="20"/>
    <x v="3"/>
    <x v="131"/>
    <x v="34"/>
  </r>
  <r>
    <n v="1000601"/>
    <x v="20"/>
    <x v="3"/>
    <x v="132"/>
    <x v="146"/>
  </r>
  <r>
    <n v="1000601"/>
    <x v="20"/>
    <x v="3"/>
    <x v="133"/>
    <x v="147"/>
  </r>
  <r>
    <n v="1000601"/>
    <x v="20"/>
    <x v="3"/>
    <x v="134"/>
    <x v="148"/>
  </r>
  <r>
    <n v="1000601"/>
    <x v="20"/>
    <x v="3"/>
    <x v="135"/>
    <x v="64"/>
  </r>
  <r>
    <n v="1000601"/>
    <x v="20"/>
    <x v="3"/>
    <x v="136"/>
    <x v="82"/>
  </r>
  <r>
    <n v="1000601"/>
    <x v="20"/>
    <x v="3"/>
    <x v="137"/>
    <x v="79"/>
  </r>
  <r>
    <n v="1000601"/>
    <x v="20"/>
    <x v="3"/>
    <x v="138"/>
    <x v="149"/>
  </r>
  <r>
    <n v="1000601"/>
    <x v="20"/>
    <x v="3"/>
    <x v="139"/>
    <x v="37"/>
  </r>
  <r>
    <n v="1000601"/>
    <x v="20"/>
    <x v="3"/>
    <x v="140"/>
    <x v="150"/>
  </r>
  <r>
    <n v="1000601"/>
    <x v="20"/>
    <x v="3"/>
    <x v="141"/>
    <x v="151"/>
  </r>
  <r>
    <n v="1000601"/>
    <x v="20"/>
    <x v="3"/>
    <x v="142"/>
    <x v="152"/>
  </r>
  <r>
    <n v="1000601"/>
    <x v="20"/>
    <x v="3"/>
    <x v="143"/>
    <x v="91"/>
  </r>
  <r>
    <n v="1000601"/>
    <x v="20"/>
    <x v="3"/>
    <x v="144"/>
    <x v="84"/>
  </r>
  <r>
    <n v="1000601"/>
    <x v="20"/>
    <x v="3"/>
    <x v="145"/>
    <x v="153"/>
  </r>
  <r>
    <n v="1000601"/>
    <x v="20"/>
    <x v="3"/>
    <x v="146"/>
    <x v="78"/>
  </r>
  <r>
    <n v="1000601"/>
    <x v="20"/>
    <x v="3"/>
    <x v="147"/>
    <x v="24"/>
  </r>
  <r>
    <n v="1000601"/>
    <x v="20"/>
    <x v="3"/>
    <x v="148"/>
    <x v="144"/>
  </r>
  <r>
    <n v="1000601"/>
    <x v="20"/>
    <x v="3"/>
    <x v="149"/>
    <x v="154"/>
  </r>
  <r>
    <n v="1000601"/>
    <x v="20"/>
    <x v="3"/>
    <x v="150"/>
    <x v="155"/>
  </r>
  <r>
    <n v="1000601"/>
    <x v="20"/>
    <x v="3"/>
    <x v="151"/>
    <x v="35"/>
  </r>
  <r>
    <n v="1000601"/>
    <x v="20"/>
    <x v="3"/>
    <x v="152"/>
    <x v="156"/>
  </r>
  <r>
    <n v="1000601"/>
    <x v="20"/>
    <x v="3"/>
    <x v="153"/>
    <x v="147"/>
  </r>
  <r>
    <n v="1000601"/>
    <x v="20"/>
    <x v="3"/>
    <x v="154"/>
    <x v="149"/>
  </r>
  <r>
    <n v="1000601"/>
    <x v="20"/>
    <x v="3"/>
    <x v="155"/>
    <x v="157"/>
  </r>
  <r>
    <n v="1000601"/>
    <x v="20"/>
    <x v="3"/>
    <x v="156"/>
    <x v="158"/>
  </r>
  <r>
    <n v="1000601"/>
    <x v="20"/>
    <x v="3"/>
    <x v="157"/>
    <x v="159"/>
  </r>
  <r>
    <n v="1000601"/>
    <x v="20"/>
    <x v="3"/>
    <x v="158"/>
    <x v="160"/>
  </r>
  <r>
    <n v="1000601"/>
    <x v="20"/>
    <x v="3"/>
    <x v="159"/>
    <x v="161"/>
  </r>
  <r>
    <n v="1000601"/>
    <x v="20"/>
    <x v="3"/>
    <x v="160"/>
    <x v="162"/>
  </r>
  <r>
    <n v="1000601"/>
    <x v="20"/>
    <x v="3"/>
    <x v="161"/>
    <x v="163"/>
  </r>
  <r>
    <n v="1000601"/>
    <x v="20"/>
    <x v="3"/>
    <x v="162"/>
    <x v="164"/>
  </r>
  <r>
    <n v="1000601"/>
    <x v="20"/>
    <x v="3"/>
    <x v="163"/>
    <x v="83"/>
  </r>
  <r>
    <n v="1000601"/>
    <x v="1"/>
    <x v="1"/>
    <x v="2"/>
    <x v="2"/>
  </r>
  <r>
    <n v="1000613"/>
    <x v="21"/>
    <x v="2"/>
    <x v="61"/>
    <x v="2"/>
  </r>
  <r>
    <n v="1000613"/>
    <x v="1"/>
    <x v="1"/>
    <x v="2"/>
    <x v="2"/>
  </r>
  <r>
    <n v="1000622"/>
    <x v="22"/>
    <x v="8"/>
    <x v="164"/>
    <x v="165"/>
  </r>
  <r>
    <n v="1000622"/>
    <x v="22"/>
    <x v="8"/>
    <x v="165"/>
    <x v="166"/>
  </r>
  <r>
    <n v="1000622"/>
    <x v="22"/>
    <x v="8"/>
    <x v="166"/>
    <x v="167"/>
  </r>
  <r>
    <n v="1000622"/>
    <x v="1"/>
    <x v="1"/>
    <x v="2"/>
    <x v="2"/>
  </r>
  <r>
    <n v="1000625"/>
    <x v="23"/>
    <x v="6"/>
    <x v="167"/>
    <x v="2"/>
  </r>
  <r>
    <n v="1000625"/>
    <x v="1"/>
    <x v="1"/>
    <x v="2"/>
    <x v="2"/>
  </r>
  <r>
    <n v="1000634"/>
    <x v="24"/>
    <x v="8"/>
    <x v="168"/>
    <x v="64"/>
  </r>
  <r>
    <n v="1000634"/>
    <x v="24"/>
    <x v="8"/>
    <x v="169"/>
    <x v="162"/>
  </r>
  <r>
    <n v="1000634"/>
    <x v="24"/>
    <x v="8"/>
    <x v="170"/>
    <x v="168"/>
  </r>
  <r>
    <n v="1000634"/>
    <x v="24"/>
    <x v="8"/>
    <x v="171"/>
    <x v="146"/>
  </r>
  <r>
    <n v="1000634"/>
    <x v="24"/>
    <x v="8"/>
    <x v="172"/>
    <x v="65"/>
  </r>
  <r>
    <n v="1000634"/>
    <x v="24"/>
    <x v="8"/>
    <x v="165"/>
    <x v="169"/>
  </r>
  <r>
    <n v="1000634"/>
    <x v="24"/>
    <x v="8"/>
    <x v="173"/>
    <x v="170"/>
  </r>
  <r>
    <n v="1000634"/>
    <x v="24"/>
    <x v="8"/>
    <x v="174"/>
    <x v="171"/>
  </r>
  <r>
    <n v="1000634"/>
    <x v="24"/>
    <x v="8"/>
    <x v="175"/>
    <x v="98"/>
  </r>
  <r>
    <n v="1000634"/>
    <x v="24"/>
    <x v="8"/>
    <x v="176"/>
    <x v="172"/>
  </r>
  <r>
    <n v="1000634"/>
    <x v="24"/>
    <x v="8"/>
    <x v="177"/>
    <x v="173"/>
  </r>
  <r>
    <n v="1000634"/>
    <x v="24"/>
    <x v="8"/>
    <x v="166"/>
    <x v="174"/>
  </r>
  <r>
    <n v="1000634"/>
    <x v="24"/>
    <x v="8"/>
    <x v="178"/>
    <x v="4"/>
  </r>
  <r>
    <n v="1000634"/>
    <x v="24"/>
    <x v="8"/>
    <x v="179"/>
    <x v="82"/>
  </r>
  <r>
    <n v="1000634"/>
    <x v="24"/>
    <x v="8"/>
    <x v="180"/>
    <x v="175"/>
  </r>
  <r>
    <n v="1000634"/>
    <x v="24"/>
    <x v="8"/>
    <x v="181"/>
    <x v="57"/>
  </r>
  <r>
    <n v="1000634"/>
    <x v="24"/>
    <x v="8"/>
    <x v="182"/>
    <x v="88"/>
  </r>
  <r>
    <n v="1000634"/>
    <x v="24"/>
    <x v="8"/>
    <x v="183"/>
    <x v="144"/>
  </r>
  <r>
    <n v="1000634"/>
    <x v="24"/>
    <x v="8"/>
    <x v="184"/>
    <x v="176"/>
  </r>
  <r>
    <n v="1000634"/>
    <x v="24"/>
    <x v="8"/>
    <x v="164"/>
    <x v="177"/>
  </r>
  <r>
    <n v="1000634"/>
    <x v="24"/>
    <x v="8"/>
    <x v="185"/>
    <x v="178"/>
  </r>
  <r>
    <n v="1000634"/>
    <x v="24"/>
    <x v="8"/>
    <x v="186"/>
    <x v="179"/>
  </r>
  <r>
    <n v="1000634"/>
    <x v="24"/>
    <x v="8"/>
    <x v="187"/>
    <x v="180"/>
  </r>
  <r>
    <n v="1000634"/>
    <x v="24"/>
    <x v="8"/>
    <x v="188"/>
    <x v="181"/>
  </r>
  <r>
    <n v="1000634"/>
    <x v="24"/>
    <x v="8"/>
    <x v="189"/>
    <x v="182"/>
  </r>
  <r>
    <n v="1000634"/>
    <x v="24"/>
    <x v="8"/>
    <x v="190"/>
    <x v="119"/>
  </r>
  <r>
    <n v="1000634"/>
    <x v="24"/>
    <x v="8"/>
    <x v="191"/>
    <x v="148"/>
  </r>
  <r>
    <n v="1000634"/>
    <x v="24"/>
    <x v="8"/>
    <x v="192"/>
    <x v="64"/>
  </r>
  <r>
    <n v="1000634"/>
    <x v="24"/>
    <x v="8"/>
    <x v="193"/>
    <x v="72"/>
  </r>
  <r>
    <n v="1000634"/>
    <x v="24"/>
    <x v="8"/>
    <x v="194"/>
    <x v="176"/>
  </r>
  <r>
    <n v="1000634"/>
    <x v="24"/>
    <x v="8"/>
    <x v="195"/>
    <x v="163"/>
  </r>
  <r>
    <n v="1000634"/>
    <x v="1"/>
    <x v="1"/>
    <x v="2"/>
    <x v="2"/>
  </r>
  <r>
    <n v="1000652"/>
    <x v="25"/>
    <x v="2"/>
    <x v="78"/>
    <x v="183"/>
  </r>
  <r>
    <n v="1000652"/>
    <x v="25"/>
    <x v="2"/>
    <x v="77"/>
    <x v="184"/>
  </r>
  <r>
    <n v="1000652"/>
    <x v="25"/>
    <x v="2"/>
    <x v="82"/>
    <x v="185"/>
  </r>
  <r>
    <n v="1000652"/>
    <x v="1"/>
    <x v="1"/>
    <x v="2"/>
    <x v="2"/>
  </r>
  <r>
    <n v="1000657"/>
    <x v="26"/>
    <x v="5"/>
    <x v="120"/>
    <x v="186"/>
  </r>
  <r>
    <n v="1000657"/>
    <x v="26"/>
    <x v="5"/>
    <x v="121"/>
    <x v="187"/>
  </r>
  <r>
    <n v="1000657"/>
    <x v="26"/>
    <x v="5"/>
    <x v="117"/>
    <x v="188"/>
  </r>
  <r>
    <n v="1000657"/>
    <x v="1"/>
    <x v="1"/>
    <x v="2"/>
    <x v="2"/>
  </r>
  <r>
    <n v="1000674"/>
    <x v="27"/>
    <x v="5"/>
    <x v="196"/>
    <x v="189"/>
  </r>
  <r>
    <n v="1000674"/>
    <x v="27"/>
    <x v="5"/>
    <x v="197"/>
    <x v="190"/>
  </r>
  <r>
    <n v="1000674"/>
    <x v="27"/>
    <x v="5"/>
    <x v="198"/>
    <x v="191"/>
  </r>
  <r>
    <n v="1000674"/>
    <x v="1"/>
    <x v="1"/>
    <x v="2"/>
    <x v="2"/>
  </r>
  <r>
    <n v="1000680"/>
    <x v="28"/>
    <x v="2"/>
    <x v="199"/>
    <x v="192"/>
  </r>
  <r>
    <n v="1000680"/>
    <x v="28"/>
    <x v="2"/>
    <x v="200"/>
    <x v="193"/>
  </r>
  <r>
    <n v="1000680"/>
    <x v="28"/>
    <x v="2"/>
    <x v="201"/>
    <x v="194"/>
  </r>
  <r>
    <n v="1000680"/>
    <x v="28"/>
    <x v="2"/>
    <x v="202"/>
    <x v="141"/>
  </r>
  <r>
    <n v="1000680"/>
    <x v="28"/>
    <x v="2"/>
    <x v="203"/>
    <x v="195"/>
  </r>
  <r>
    <n v="1000680"/>
    <x v="1"/>
    <x v="1"/>
    <x v="2"/>
    <x v="2"/>
  </r>
  <r>
    <n v="1000697"/>
    <x v="29"/>
    <x v="3"/>
    <x v="204"/>
    <x v="97"/>
  </r>
  <r>
    <n v="1000697"/>
    <x v="29"/>
    <x v="3"/>
    <x v="205"/>
    <x v="77"/>
  </r>
  <r>
    <n v="1000697"/>
    <x v="29"/>
    <x v="3"/>
    <x v="206"/>
    <x v="144"/>
  </r>
  <r>
    <n v="1000697"/>
    <x v="29"/>
    <x v="3"/>
    <x v="207"/>
    <x v="196"/>
  </r>
  <r>
    <n v="1000697"/>
    <x v="29"/>
    <x v="3"/>
    <x v="208"/>
    <x v="197"/>
  </r>
  <r>
    <n v="1000697"/>
    <x v="29"/>
    <x v="3"/>
    <x v="209"/>
    <x v="198"/>
  </r>
  <r>
    <n v="1000697"/>
    <x v="29"/>
    <x v="3"/>
    <x v="210"/>
    <x v="147"/>
  </r>
  <r>
    <n v="1000697"/>
    <x v="29"/>
    <x v="3"/>
    <x v="211"/>
    <x v="153"/>
  </r>
  <r>
    <n v="1000697"/>
    <x v="29"/>
    <x v="3"/>
    <x v="212"/>
    <x v="199"/>
  </r>
  <r>
    <n v="1000697"/>
    <x v="29"/>
    <x v="3"/>
    <x v="213"/>
    <x v="200"/>
  </r>
  <r>
    <n v="1000697"/>
    <x v="29"/>
    <x v="3"/>
    <x v="214"/>
    <x v="77"/>
  </r>
  <r>
    <n v="1000697"/>
    <x v="29"/>
    <x v="3"/>
    <x v="215"/>
    <x v="77"/>
  </r>
  <r>
    <n v="1000697"/>
    <x v="29"/>
    <x v="3"/>
    <x v="216"/>
    <x v="114"/>
  </r>
  <r>
    <n v="1000697"/>
    <x v="29"/>
    <x v="3"/>
    <x v="217"/>
    <x v="201"/>
  </r>
  <r>
    <n v="1000697"/>
    <x v="29"/>
    <x v="3"/>
    <x v="218"/>
    <x v="202"/>
  </r>
  <r>
    <n v="1000697"/>
    <x v="29"/>
    <x v="3"/>
    <x v="219"/>
    <x v="203"/>
  </r>
  <r>
    <n v="1000697"/>
    <x v="29"/>
    <x v="3"/>
    <x v="220"/>
    <x v="105"/>
  </r>
  <r>
    <n v="1000697"/>
    <x v="29"/>
    <x v="3"/>
    <x v="221"/>
    <x v="204"/>
  </r>
  <r>
    <n v="1000697"/>
    <x v="29"/>
    <x v="3"/>
    <x v="222"/>
    <x v="205"/>
  </r>
  <r>
    <n v="1000697"/>
    <x v="29"/>
    <x v="3"/>
    <x v="223"/>
    <x v="3"/>
  </r>
  <r>
    <n v="1000697"/>
    <x v="29"/>
    <x v="3"/>
    <x v="224"/>
    <x v="93"/>
  </r>
  <r>
    <n v="1000697"/>
    <x v="29"/>
    <x v="3"/>
    <x v="225"/>
    <x v="59"/>
  </r>
  <r>
    <n v="1000697"/>
    <x v="29"/>
    <x v="3"/>
    <x v="226"/>
    <x v="206"/>
  </r>
  <r>
    <n v="1000697"/>
    <x v="29"/>
    <x v="3"/>
    <x v="227"/>
    <x v="207"/>
  </r>
  <r>
    <n v="1000697"/>
    <x v="29"/>
    <x v="3"/>
    <x v="228"/>
    <x v="208"/>
  </r>
  <r>
    <n v="1000697"/>
    <x v="29"/>
    <x v="3"/>
    <x v="229"/>
    <x v="209"/>
  </r>
  <r>
    <n v="1000697"/>
    <x v="29"/>
    <x v="3"/>
    <x v="230"/>
    <x v="210"/>
  </r>
  <r>
    <n v="1000697"/>
    <x v="29"/>
    <x v="3"/>
    <x v="231"/>
    <x v="211"/>
  </r>
  <r>
    <n v="1000697"/>
    <x v="29"/>
    <x v="3"/>
    <x v="232"/>
    <x v="212"/>
  </r>
  <r>
    <n v="1000697"/>
    <x v="29"/>
    <x v="3"/>
    <x v="233"/>
    <x v="213"/>
  </r>
  <r>
    <n v="1000697"/>
    <x v="29"/>
    <x v="3"/>
    <x v="234"/>
    <x v="175"/>
  </r>
  <r>
    <n v="1000697"/>
    <x v="29"/>
    <x v="3"/>
    <x v="235"/>
    <x v="214"/>
  </r>
  <r>
    <n v="1000697"/>
    <x v="29"/>
    <x v="3"/>
    <x v="236"/>
    <x v="173"/>
  </r>
  <r>
    <n v="1000697"/>
    <x v="29"/>
    <x v="3"/>
    <x v="237"/>
    <x v="215"/>
  </r>
  <r>
    <n v="1000697"/>
    <x v="29"/>
    <x v="3"/>
    <x v="238"/>
    <x v="216"/>
  </r>
  <r>
    <n v="1000697"/>
    <x v="29"/>
    <x v="3"/>
    <x v="239"/>
    <x v="119"/>
  </r>
  <r>
    <n v="1000697"/>
    <x v="29"/>
    <x v="3"/>
    <x v="240"/>
    <x v="82"/>
  </r>
  <r>
    <n v="1000697"/>
    <x v="29"/>
    <x v="3"/>
    <x v="241"/>
    <x v="217"/>
  </r>
  <r>
    <n v="1000697"/>
    <x v="29"/>
    <x v="3"/>
    <x v="242"/>
    <x v="85"/>
  </r>
  <r>
    <n v="1000697"/>
    <x v="29"/>
    <x v="3"/>
    <x v="243"/>
    <x v="163"/>
  </r>
  <r>
    <n v="1000697"/>
    <x v="29"/>
    <x v="3"/>
    <x v="244"/>
    <x v="213"/>
  </r>
  <r>
    <n v="1000697"/>
    <x v="29"/>
    <x v="3"/>
    <x v="245"/>
    <x v="218"/>
  </r>
  <r>
    <n v="1000697"/>
    <x v="29"/>
    <x v="3"/>
    <x v="246"/>
    <x v="219"/>
  </r>
  <r>
    <n v="1000697"/>
    <x v="29"/>
    <x v="3"/>
    <x v="247"/>
    <x v="119"/>
  </r>
  <r>
    <n v="1000697"/>
    <x v="29"/>
    <x v="3"/>
    <x v="248"/>
    <x v="161"/>
  </r>
  <r>
    <n v="1000697"/>
    <x v="29"/>
    <x v="3"/>
    <x v="249"/>
    <x v="220"/>
  </r>
  <r>
    <n v="1000697"/>
    <x v="29"/>
    <x v="3"/>
    <x v="250"/>
    <x v="34"/>
  </r>
  <r>
    <n v="1000697"/>
    <x v="29"/>
    <x v="3"/>
    <x v="251"/>
    <x v="176"/>
  </r>
  <r>
    <n v="1000697"/>
    <x v="29"/>
    <x v="3"/>
    <x v="252"/>
    <x v="97"/>
  </r>
  <r>
    <n v="1000697"/>
    <x v="29"/>
    <x v="3"/>
    <x v="253"/>
    <x v="119"/>
  </r>
  <r>
    <n v="1000697"/>
    <x v="29"/>
    <x v="3"/>
    <x v="254"/>
    <x v="221"/>
  </r>
  <r>
    <n v="1000697"/>
    <x v="29"/>
    <x v="3"/>
    <x v="255"/>
    <x v="222"/>
  </r>
  <r>
    <n v="1000697"/>
    <x v="29"/>
    <x v="3"/>
    <x v="256"/>
    <x v="223"/>
  </r>
  <r>
    <n v="1000697"/>
    <x v="29"/>
    <x v="3"/>
    <x v="257"/>
    <x v="224"/>
  </r>
  <r>
    <n v="1000697"/>
    <x v="29"/>
    <x v="3"/>
    <x v="258"/>
    <x v="77"/>
  </r>
  <r>
    <n v="1000697"/>
    <x v="29"/>
    <x v="3"/>
    <x v="259"/>
    <x v="197"/>
  </r>
  <r>
    <n v="1000697"/>
    <x v="29"/>
    <x v="3"/>
    <x v="260"/>
    <x v="225"/>
  </r>
  <r>
    <n v="1000697"/>
    <x v="29"/>
    <x v="3"/>
    <x v="261"/>
    <x v="92"/>
  </r>
  <r>
    <n v="1000697"/>
    <x v="29"/>
    <x v="3"/>
    <x v="262"/>
    <x v="164"/>
  </r>
  <r>
    <n v="1000697"/>
    <x v="29"/>
    <x v="3"/>
    <x v="263"/>
    <x v="226"/>
  </r>
  <r>
    <n v="1000697"/>
    <x v="29"/>
    <x v="3"/>
    <x v="264"/>
    <x v="153"/>
  </r>
  <r>
    <n v="1000697"/>
    <x v="29"/>
    <x v="3"/>
    <x v="265"/>
    <x v="176"/>
  </r>
  <r>
    <n v="1000697"/>
    <x v="1"/>
    <x v="1"/>
    <x v="2"/>
    <x v="2"/>
  </r>
  <r>
    <n v="1000710"/>
    <x v="30"/>
    <x v="2"/>
    <x v="79"/>
    <x v="227"/>
  </r>
  <r>
    <n v="1000710"/>
    <x v="30"/>
    <x v="2"/>
    <x v="56"/>
    <x v="228"/>
  </r>
  <r>
    <n v="1000710"/>
    <x v="30"/>
    <x v="2"/>
    <x v="60"/>
    <x v="229"/>
  </r>
  <r>
    <n v="1000710"/>
    <x v="30"/>
    <x v="2"/>
    <x v="68"/>
    <x v="230"/>
  </r>
  <r>
    <n v="1000710"/>
    <x v="30"/>
    <x v="2"/>
    <x v="66"/>
    <x v="231"/>
  </r>
  <r>
    <n v="1000710"/>
    <x v="30"/>
    <x v="2"/>
    <x v="65"/>
    <x v="98"/>
  </r>
  <r>
    <n v="1000710"/>
    <x v="30"/>
    <x v="2"/>
    <x v="84"/>
    <x v="232"/>
  </r>
  <r>
    <n v="1000710"/>
    <x v="30"/>
    <x v="2"/>
    <x v="58"/>
    <x v="233"/>
  </r>
  <r>
    <n v="1000710"/>
    <x v="30"/>
    <x v="2"/>
    <x v="70"/>
    <x v="197"/>
  </r>
  <r>
    <n v="1000710"/>
    <x v="30"/>
    <x v="2"/>
    <x v="62"/>
    <x v="153"/>
  </r>
  <r>
    <n v="1000710"/>
    <x v="30"/>
    <x v="2"/>
    <x v="74"/>
    <x v="51"/>
  </r>
  <r>
    <n v="1000710"/>
    <x v="30"/>
    <x v="2"/>
    <x v="61"/>
    <x v="234"/>
  </r>
  <r>
    <n v="1000710"/>
    <x v="30"/>
    <x v="2"/>
    <x v="71"/>
    <x v="111"/>
  </r>
  <r>
    <n v="1000710"/>
    <x v="30"/>
    <x v="2"/>
    <x v="75"/>
    <x v="173"/>
  </r>
  <r>
    <n v="1000710"/>
    <x v="30"/>
    <x v="2"/>
    <x v="78"/>
    <x v="235"/>
  </r>
  <r>
    <n v="1000710"/>
    <x v="30"/>
    <x v="2"/>
    <x v="77"/>
    <x v="236"/>
  </r>
  <r>
    <n v="1000710"/>
    <x v="30"/>
    <x v="2"/>
    <x v="82"/>
    <x v="162"/>
  </r>
  <r>
    <n v="1000710"/>
    <x v="30"/>
    <x v="2"/>
    <x v="76"/>
    <x v="231"/>
  </r>
  <r>
    <n v="1000710"/>
    <x v="30"/>
    <x v="2"/>
    <x v="63"/>
    <x v="97"/>
  </r>
  <r>
    <n v="1000710"/>
    <x v="1"/>
    <x v="1"/>
    <x v="2"/>
    <x v="2"/>
  </r>
  <r>
    <n v="1000714"/>
    <x v="31"/>
    <x v="2"/>
    <x v="76"/>
    <x v="231"/>
  </r>
  <r>
    <n v="1000714"/>
    <x v="31"/>
    <x v="2"/>
    <x v="58"/>
    <x v="233"/>
  </r>
  <r>
    <n v="1000714"/>
    <x v="31"/>
    <x v="2"/>
    <x v="63"/>
    <x v="97"/>
  </r>
  <r>
    <n v="1000714"/>
    <x v="31"/>
    <x v="2"/>
    <x v="74"/>
    <x v="51"/>
  </r>
  <r>
    <n v="1000714"/>
    <x v="31"/>
    <x v="2"/>
    <x v="60"/>
    <x v="229"/>
  </r>
  <r>
    <n v="1000714"/>
    <x v="31"/>
    <x v="2"/>
    <x v="66"/>
    <x v="231"/>
  </r>
  <r>
    <n v="1000714"/>
    <x v="31"/>
    <x v="2"/>
    <x v="77"/>
    <x v="236"/>
  </r>
  <r>
    <n v="1000714"/>
    <x v="31"/>
    <x v="2"/>
    <x v="68"/>
    <x v="230"/>
  </r>
  <r>
    <n v="1000714"/>
    <x v="31"/>
    <x v="2"/>
    <x v="56"/>
    <x v="228"/>
  </r>
  <r>
    <n v="1000714"/>
    <x v="31"/>
    <x v="2"/>
    <x v="65"/>
    <x v="98"/>
  </r>
  <r>
    <n v="1000714"/>
    <x v="31"/>
    <x v="2"/>
    <x v="75"/>
    <x v="173"/>
  </r>
  <r>
    <n v="1000714"/>
    <x v="31"/>
    <x v="2"/>
    <x v="62"/>
    <x v="153"/>
  </r>
  <r>
    <n v="1000714"/>
    <x v="31"/>
    <x v="2"/>
    <x v="70"/>
    <x v="197"/>
  </r>
  <r>
    <n v="1000714"/>
    <x v="31"/>
    <x v="2"/>
    <x v="79"/>
    <x v="227"/>
  </r>
  <r>
    <n v="1000714"/>
    <x v="31"/>
    <x v="2"/>
    <x v="82"/>
    <x v="162"/>
  </r>
  <r>
    <n v="1000714"/>
    <x v="31"/>
    <x v="2"/>
    <x v="78"/>
    <x v="235"/>
  </r>
  <r>
    <n v="1000714"/>
    <x v="31"/>
    <x v="2"/>
    <x v="84"/>
    <x v="232"/>
  </r>
  <r>
    <n v="1000714"/>
    <x v="31"/>
    <x v="2"/>
    <x v="61"/>
    <x v="234"/>
  </r>
  <r>
    <n v="1000714"/>
    <x v="31"/>
    <x v="2"/>
    <x v="71"/>
    <x v="111"/>
  </r>
  <r>
    <n v="1000714"/>
    <x v="1"/>
    <x v="1"/>
    <x v="2"/>
    <x v="2"/>
  </r>
  <r>
    <n v="1000717"/>
    <x v="32"/>
    <x v="2"/>
    <x v="78"/>
    <x v="237"/>
  </r>
  <r>
    <n v="1000717"/>
    <x v="32"/>
    <x v="2"/>
    <x v="82"/>
    <x v="238"/>
  </r>
  <r>
    <n v="1000717"/>
    <x v="1"/>
    <x v="1"/>
    <x v="2"/>
    <x v="2"/>
  </r>
  <r>
    <n v="1000733"/>
    <x v="33"/>
    <x v="5"/>
    <x v="266"/>
    <x v="239"/>
  </r>
  <r>
    <n v="1000733"/>
    <x v="33"/>
    <x v="5"/>
    <x v="267"/>
    <x v="3"/>
  </r>
  <r>
    <n v="1000733"/>
    <x v="33"/>
    <x v="5"/>
    <x v="268"/>
    <x v="240"/>
  </r>
  <r>
    <n v="1000733"/>
    <x v="33"/>
    <x v="5"/>
    <x v="269"/>
    <x v="241"/>
  </r>
  <r>
    <n v="1000733"/>
    <x v="33"/>
    <x v="5"/>
    <x v="270"/>
    <x v="242"/>
  </r>
  <r>
    <n v="1000733"/>
    <x v="33"/>
    <x v="5"/>
    <x v="271"/>
    <x v="243"/>
  </r>
  <r>
    <n v="1000733"/>
    <x v="1"/>
    <x v="1"/>
    <x v="2"/>
    <x v="2"/>
  </r>
  <r>
    <n v="1000746"/>
    <x v="34"/>
    <x v="9"/>
    <x v="272"/>
    <x v="2"/>
  </r>
  <r>
    <n v="1000746"/>
    <x v="1"/>
    <x v="1"/>
    <x v="2"/>
    <x v="2"/>
  </r>
  <r>
    <n v="1000755"/>
    <x v="35"/>
    <x v="5"/>
    <x v="273"/>
    <x v="244"/>
  </r>
  <r>
    <n v="1000755"/>
    <x v="35"/>
    <x v="5"/>
    <x v="274"/>
    <x v="245"/>
  </r>
  <r>
    <n v="1000755"/>
    <x v="35"/>
    <x v="5"/>
    <x v="275"/>
    <x v="246"/>
  </r>
  <r>
    <n v="1000755"/>
    <x v="1"/>
    <x v="1"/>
    <x v="2"/>
    <x v="2"/>
  </r>
  <r>
    <n v="1000760"/>
    <x v="36"/>
    <x v="6"/>
    <x v="167"/>
    <x v="2"/>
  </r>
  <r>
    <n v="1000760"/>
    <x v="1"/>
    <x v="1"/>
    <x v="2"/>
    <x v="2"/>
  </r>
  <r>
    <n v="1000766"/>
    <x v="37"/>
    <x v="2"/>
    <x v="276"/>
    <x v="2"/>
  </r>
  <r>
    <n v="1000766"/>
    <x v="1"/>
    <x v="1"/>
    <x v="2"/>
    <x v="2"/>
  </r>
  <r>
    <n v="1001608"/>
    <x v="38"/>
    <x v="6"/>
    <x v="277"/>
    <x v="2"/>
  </r>
  <r>
    <n v="1001608"/>
    <x v="1"/>
    <x v="1"/>
    <x v="2"/>
    <x v="2"/>
  </r>
  <r>
    <n v="1002021"/>
    <x v="39"/>
    <x v="5"/>
    <x v="267"/>
    <x v="3"/>
  </r>
  <r>
    <n v="1002021"/>
    <x v="39"/>
    <x v="5"/>
    <x v="198"/>
    <x v="247"/>
  </r>
  <r>
    <n v="1002021"/>
    <x v="39"/>
    <x v="5"/>
    <x v="278"/>
    <x v="248"/>
  </r>
  <r>
    <n v="1002021"/>
    <x v="39"/>
    <x v="5"/>
    <x v="196"/>
    <x v="249"/>
  </r>
  <r>
    <n v="1002021"/>
    <x v="39"/>
    <x v="5"/>
    <x v="279"/>
    <x v="234"/>
  </r>
  <r>
    <n v="1002021"/>
    <x v="39"/>
    <x v="5"/>
    <x v="280"/>
    <x v="145"/>
  </r>
  <r>
    <n v="1002021"/>
    <x v="39"/>
    <x v="5"/>
    <x v="281"/>
    <x v="250"/>
  </r>
  <r>
    <n v="1002021"/>
    <x v="39"/>
    <x v="5"/>
    <x v="282"/>
    <x v="251"/>
  </r>
  <r>
    <n v="1002021"/>
    <x v="39"/>
    <x v="5"/>
    <x v="283"/>
    <x v="252"/>
  </r>
  <r>
    <n v="1002021"/>
    <x v="39"/>
    <x v="5"/>
    <x v="269"/>
    <x v="253"/>
  </r>
  <r>
    <n v="1002021"/>
    <x v="39"/>
    <x v="5"/>
    <x v="271"/>
    <x v="254"/>
  </r>
  <r>
    <n v="1002021"/>
    <x v="39"/>
    <x v="5"/>
    <x v="270"/>
    <x v="48"/>
  </r>
  <r>
    <n v="1002021"/>
    <x v="39"/>
    <x v="5"/>
    <x v="284"/>
    <x v="255"/>
  </r>
  <r>
    <n v="1002021"/>
    <x v="39"/>
    <x v="5"/>
    <x v="197"/>
    <x v="256"/>
  </r>
  <r>
    <n v="1002021"/>
    <x v="39"/>
    <x v="5"/>
    <x v="285"/>
    <x v="148"/>
  </r>
  <r>
    <n v="1002021"/>
    <x v="39"/>
    <x v="5"/>
    <x v="286"/>
    <x v="257"/>
  </r>
  <r>
    <n v="1002021"/>
    <x v="39"/>
    <x v="5"/>
    <x v="266"/>
    <x v="177"/>
  </r>
  <r>
    <n v="1002021"/>
    <x v="39"/>
    <x v="5"/>
    <x v="268"/>
    <x v="258"/>
  </r>
  <r>
    <n v="1002021"/>
    <x v="1"/>
    <x v="1"/>
    <x v="2"/>
    <x v="2"/>
  </r>
  <r>
    <n v="1002859"/>
    <x v="40"/>
    <x v="6"/>
    <x v="287"/>
    <x v="259"/>
  </r>
  <r>
    <n v="1002859"/>
    <x v="40"/>
    <x v="6"/>
    <x v="288"/>
    <x v="260"/>
  </r>
  <r>
    <n v="1002859"/>
    <x v="40"/>
    <x v="6"/>
    <x v="289"/>
    <x v="261"/>
  </r>
  <r>
    <n v="1002859"/>
    <x v="1"/>
    <x v="1"/>
    <x v="2"/>
    <x v="2"/>
  </r>
  <r>
    <n v="1005427"/>
    <x v="41"/>
    <x v="0"/>
    <x v="36"/>
    <x v="262"/>
  </r>
  <r>
    <n v="1005427"/>
    <x v="41"/>
    <x v="0"/>
    <x v="26"/>
    <x v="263"/>
  </r>
  <r>
    <n v="1005427"/>
    <x v="41"/>
    <x v="0"/>
    <x v="35"/>
    <x v="191"/>
  </r>
  <r>
    <n v="1005427"/>
    <x v="41"/>
    <x v="0"/>
    <x v="43"/>
    <x v="264"/>
  </r>
  <r>
    <n v="1005427"/>
    <x v="41"/>
    <x v="0"/>
    <x v="27"/>
    <x v="265"/>
  </r>
  <r>
    <n v="1005427"/>
    <x v="1"/>
    <x v="1"/>
    <x v="2"/>
    <x v="2"/>
  </r>
  <r>
    <n v="1005434"/>
    <x v="42"/>
    <x v="6"/>
    <x v="290"/>
    <x v="266"/>
  </r>
  <r>
    <n v="1005434"/>
    <x v="42"/>
    <x v="6"/>
    <x v="291"/>
    <x v="5"/>
  </r>
  <r>
    <n v="1005434"/>
    <x v="42"/>
    <x v="6"/>
    <x v="292"/>
    <x v="267"/>
  </r>
  <r>
    <n v="1005434"/>
    <x v="42"/>
    <x v="6"/>
    <x v="293"/>
    <x v="268"/>
  </r>
  <r>
    <n v="1005434"/>
    <x v="42"/>
    <x v="6"/>
    <x v="294"/>
    <x v="269"/>
  </r>
  <r>
    <n v="1005434"/>
    <x v="42"/>
    <x v="6"/>
    <x v="295"/>
    <x v="270"/>
  </r>
  <r>
    <n v="1005434"/>
    <x v="42"/>
    <x v="6"/>
    <x v="296"/>
    <x v="271"/>
  </r>
  <r>
    <n v="1005434"/>
    <x v="42"/>
    <x v="6"/>
    <x v="297"/>
    <x v="30"/>
  </r>
  <r>
    <n v="1005434"/>
    <x v="42"/>
    <x v="6"/>
    <x v="298"/>
    <x v="272"/>
  </r>
  <r>
    <n v="1005434"/>
    <x v="1"/>
    <x v="1"/>
    <x v="2"/>
    <x v="2"/>
  </r>
  <r>
    <n v="1010014"/>
    <x v="43"/>
    <x v="3"/>
    <x v="244"/>
    <x v="213"/>
  </r>
  <r>
    <n v="1010014"/>
    <x v="43"/>
    <x v="3"/>
    <x v="243"/>
    <x v="163"/>
  </r>
  <r>
    <n v="1010014"/>
    <x v="43"/>
    <x v="3"/>
    <x v="248"/>
    <x v="161"/>
  </r>
  <r>
    <n v="1010014"/>
    <x v="43"/>
    <x v="3"/>
    <x v="217"/>
    <x v="201"/>
  </r>
  <r>
    <n v="1010014"/>
    <x v="43"/>
    <x v="3"/>
    <x v="218"/>
    <x v="202"/>
  </r>
  <r>
    <n v="1010014"/>
    <x v="43"/>
    <x v="3"/>
    <x v="220"/>
    <x v="105"/>
  </r>
  <r>
    <n v="1010014"/>
    <x v="43"/>
    <x v="3"/>
    <x v="247"/>
    <x v="119"/>
  </r>
  <r>
    <n v="1010014"/>
    <x v="43"/>
    <x v="3"/>
    <x v="219"/>
    <x v="203"/>
  </r>
  <r>
    <n v="1010014"/>
    <x v="43"/>
    <x v="3"/>
    <x v="221"/>
    <x v="204"/>
  </r>
  <r>
    <n v="1010014"/>
    <x v="43"/>
    <x v="3"/>
    <x v="251"/>
    <x v="176"/>
  </r>
  <r>
    <n v="1010014"/>
    <x v="43"/>
    <x v="3"/>
    <x v="253"/>
    <x v="119"/>
  </r>
  <r>
    <n v="1010014"/>
    <x v="43"/>
    <x v="3"/>
    <x v="255"/>
    <x v="222"/>
  </r>
  <r>
    <n v="1010014"/>
    <x v="43"/>
    <x v="3"/>
    <x v="256"/>
    <x v="223"/>
  </r>
  <r>
    <n v="1010014"/>
    <x v="43"/>
    <x v="3"/>
    <x v="257"/>
    <x v="224"/>
  </r>
  <r>
    <n v="1010014"/>
    <x v="43"/>
    <x v="3"/>
    <x v="258"/>
    <x v="77"/>
  </r>
  <r>
    <n v="1010014"/>
    <x v="43"/>
    <x v="3"/>
    <x v="259"/>
    <x v="197"/>
  </r>
  <r>
    <n v="1010014"/>
    <x v="43"/>
    <x v="3"/>
    <x v="260"/>
    <x v="225"/>
  </r>
  <r>
    <n v="1010014"/>
    <x v="43"/>
    <x v="3"/>
    <x v="261"/>
    <x v="92"/>
  </r>
  <r>
    <n v="1010014"/>
    <x v="43"/>
    <x v="3"/>
    <x v="262"/>
    <x v="164"/>
  </r>
  <r>
    <n v="1010014"/>
    <x v="43"/>
    <x v="3"/>
    <x v="263"/>
    <x v="226"/>
  </r>
  <r>
    <n v="1010014"/>
    <x v="43"/>
    <x v="3"/>
    <x v="264"/>
    <x v="153"/>
  </r>
  <r>
    <n v="1010014"/>
    <x v="43"/>
    <x v="3"/>
    <x v="265"/>
    <x v="176"/>
  </r>
  <r>
    <n v="1010014"/>
    <x v="43"/>
    <x v="3"/>
    <x v="204"/>
    <x v="97"/>
  </r>
  <r>
    <n v="1010014"/>
    <x v="43"/>
    <x v="3"/>
    <x v="205"/>
    <x v="77"/>
  </r>
  <r>
    <n v="1010014"/>
    <x v="43"/>
    <x v="3"/>
    <x v="206"/>
    <x v="144"/>
  </r>
  <r>
    <n v="1010014"/>
    <x v="43"/>
    <x v="3"/>
    <x v="207"/>
    <x v="196"/>
  </r>
  <r>
    <n v="1010014"/>
    <x v="43"/>
    <x v="3"/>
    <x v="208"/>
    <x v="197"/>
  </r>
  <r>
    <n v="1010014"/>
    <x v="43"/>
    <x v="3"/>
    <x v="250"/>
    <x v="34"/>
  </r>
  <r>
    <n v="1010014"/>
    <x v="43"/>
    <x v="3"/>
    <x v="209"/>
    <x v="198"/>
  </r>
  <r>
    <n v="1010014"/>
    <x v="43"/>
    <x v="3"/>
    <x v="210"/>
    <x v="147"/>
  </r>
  <r>
    <n v="1010014"/>
    <x v="43"/>
    <x v="3"/>
    <x v="211"/>
    <x v="153"/>
  </r>
  <r>
    <n v="1010014"/>
    <x v="43"/>
    <x v="3"/>
    <x v="212"/>
    <x v="199"/>
  </r>
  <r>
    <n v="1010014"/>
    <x v="43"/>
    <x v="3"/>
    <x v="213"/>
    <x v="200"/>
  </r>
  <r>
    <n v="1010014"/>
    <x v="43"/>
    <x v="3"/>
    <x v="214"/>
    <x v="77"/>
  </r>
  <r>
    <n v="1010014"/>
    <x v="43"/>
    <x v="3"/>
    <x v="215"/>
    <x v="77"/>
  </r>
  <r>
    <n v="1010014"/>
    <x v="43"/>
    <x v="3"/>
    <x v="216"/>
    <x v="114"/>
  </r>
  <r>
    <n v="1010014"/>
    <x v="43"/>
    <x v="3"/>
    <x v="222"/>
    <x v="205"/>
  </r>
  <r>
    <n v="1010014"/>
    <x v="43"/>
    <x v="3"/>
    <x v="223"/>
    <x v="3"/>
  </r>
  <r>
    <n v="1010014"/>
    <x v="43"/>
    <x v="3"/>
    <x v="224"/>
    <x v="93"/>
  </r>
  <r>
    <n v="1010014"/>
    <x v="43"/>
    <x v="3"/>
    <x v="225"/>
    <x v="59"/>
  </r>
  <r>
    <n v="1010014"/>
    <x v="43"/>
    <x v="3"/>
    <x v="226"/>
    <x v="206"/>
  </r>
  <r>
    <n v="1010014"/>
    <x v="43"/>
    <x v="3"/>
    <x v="227"/>
    <x v="207"/>
  </r>
  <r>
    <n v="1010014"/>
    <x v="43"/>
    <x v="3"/>
    <x v="228"/>
    <x v="208"/>
  </r>
  <r>
    <n v="1010014"/>
    <x v="43"/>
    <x v="3"/>
    <x v="229"/>
    <x v="209"/>
  </r>
  <r>
    <n v="1010014"/>
    <x v="43"/>
    <x v="3"/>
    <x v="230"/>
    <x v="210"/>
  </r>
  <r>
    <n v="1010014"/>
    <x v="43"/>
    <x v="3"/>
    <x v="231"/>
    <x v="211"/>
  </r>
  <r>
    <n v="1010014"/>
    <x v="43"/>
    <x v="3"/>
    <x v="232"/>
    <x v="212"/>
  </r>
  <r>
    <n v="1010014"/>
    <x v="43"/>
    <x v="3"/>
    <x v="254"/>
    <x v="221"/>
  </r>
  <r>
    <n v="1010014"/>
    <x v="43"/>
    <x v="3"/>
    <x v="249"/>
    <x v="220"/>
  </r>
  <r>
    <n v="1010014"/>
    <x v="43"/>
    <x v="3"/>
    <x v="252"/>
    <x v="97"/>
  </r>
  <r>
    <n v="1010014"/>
    <x v="43"/>
    <x v="3"/>
    <x v="233"/>
    <x v="213"/>
  </r>
  <r>
    <n v="1010014"/>
    <x v="43"/>
    <x v="3"/>
    <x v="234"/>
    <x v="175"/>
  </r>
  <r>
    <n v="1010014"/>
    <x v="43"/>
    <x v="3"/>
    <x v="235"/>
    <x v="214"/>
  </r>
  <r>
    <n v="1010014"/>
    <x v="43"/>
    <x v="3"/>
    <x v="236"/>
    <x v="173"/>
  </r>
  <r>
    <n v="1010014"/>
    <x v="43"/>
    <x v="3"/>
    <x v="237"/>
    <x v="215"/>
  </r>
  <r>
    <n v="1010014"/>
    <x v="43"/>
    <x v="3"/>
    <x v="238"/>
    <x v="216"/>
  </r>
  <r>
    <n v="1010014"/>
    <x v="43"/>
    <x v="3"/>
    <x v="239"/>
    <x v="119"/>
  </r>
  <r>
    <n v="1010014"/>
    <x v="43"/>
    <x v="3"/>
    <x v="240"/>
    <x v="82"/>
  </r>
  <r>
    <n v="1010014"/>
    <x v="43"/>
    <x v="3"/>
    <x v="245"/>
    <x v="218"/>
  </r>
  <r>
    <n v="1010014"/>
    <x v="43"/>
    <x v="3"/>
    <x v="241"/>
    <x v="217"/>
  </r>
  <r>
    <n v="1010014"/>
    <x v="43"/>
    <x v="3"/>
    <x v="242"/>
    <x v="85"/>
  </r>
  <r>
    <n v="1010014"/>
    <x v="43"/>
    <x v="3"/>
    <x v="246"/>
    <x v="219"/>
  </r>
  <r>
    <n v="1010014"/>
    <x v="1"/>
    <x v="1"/>
    <x v="2"/>
    <x v="2"/>
  </r>
  <r>
    <n v="1010015"/>
    <x v="44"/>
    <x v="3"/>
    <x v="236"/>
    <x v="173"/>
  </r>
  <r>
    <n v="1010015"/>
    <x v="44"/>
    <x v="3"/>
    <x v="222"/>
    <x v="205"/>
  </r>
  <r>
    <n v="1010015"/>
    <x v="44"/>
    <x v="3"/>
    <x v="223"/>
    <x v="3"/>
  </r>
  <r>
    <n v="1010015"/>
    <x v="44"/>
    <x v="3"/>
    <x v="224"/>
    <x v="93"/>
  </r>
  <r>
    <n v="1010015"/>
    <x v="44"/>
    <x v="3"/>
    <x v="240"/>
    <x v="82"/>
  </r>
  <r>
    <n v="1010015"/>
    <x v="44"/>
    <x v="3"/>
    <x v="245"/>
    <x v="218"/>
  </r>
  <r>
    <n v="1010015"/>
    <x v="44"/>
    <x v="3"/>
    <x v="251"/>
    <x v="176"/>
  </r>
  <r>
    <n v="1010015"/>
    <x v="44"/>
    <x v="3"/>
    <x v="253"/>
    <x v="119"/>
  </r>
  <r>
    <n v="1010015"/>
    <x v="44"/>
    <x v="3"/>
    <x v="255"/>
    <x v="222"/>
  </r>
  <r>
    <n v="1010015"/>
    <x v="44"/>
    <x v="3"/>
    <x v="259"/>
    <x v="197"/>
  </r>
  <r>
    <n v="1010015"/>
    <x v="44"/>
    <x v="3"/>
    <x v="249"/>
    <x v="220"/>
  </r>
  <r>
    <n v="1010015"/>
    <x v="44"/>
    <x v="3"/>
    <x v="262"/>
    <x v="164"/>
  </r>
  <r>
    <n v="1010015"/>
    <x v="44"/>
    <x v="3"/>
    <x v="264"/>
    <x v="153"/>
  </r>
  <r>
    <n v="1010015"/>
    <x v="44"/>
    <x v="3"/>
    <x v="206"/>
    <x v="144"/>
  </r>
  <r>
    <n v="1010015"/>
    <x v="44"/>
    <x v="3"/>
    <x v="250"/>
    <x v="34"/>
  </r>
  <r>
    <n v="1010015"/>
    <x v="44"/>
    <x v="3"/>
    <x v="209"/>
    <x v="198"/>
  </r>
  <r>
    <n v="1010015"/>
    <x v="44"/>
    <x v="3"/>
    <x v="211"/>
    <x v="153"/>
  </r>
  <r>
    <n v="1010015"/>
    <x v="44"/>
    <x v="3"/>
    <x v="215"/>
    <x v="77"/>
  </r>
  <r>
    <n v="1010015"/>
    <x v="44"/>
    <x v="3"/>
    <x v="254"/>
    <x v="221"/>
  </r>
  <r>
    <n v="1010015"/>
    <x v="44"/>
    <x v="3"/>
    <x v="256"/>
    <x v="223"/>
  </r>
  <r>
    <n v="1010015"/>
    <x v="44"/>
    <x v="3"/>
    <x v="257"/>
    <x v="224"/>
  </r>
  <r>
    <n v="1010015"/>
    <x v="44"/>
    <x v="3"/>
    <x v="258"/>
    <x v="77"/>
  </r>
  <r>
    <n v="1010015"/>
    <x v="44"/>
    <x v="3"/>
    <x v="260"/>
    <x v="225"/>
  </r>
  <r>
    <n v="1010015"/>
    <x v="44"/>
    <x v="3"/>
    <x v="261"/>
    <x v="92"/>
  </r>
  <r>
    <n v="1010015"/>
    <x v="44"/>
    <x v="3"/>
    <x v="263"/>
    <x v="226"/>
  </r>
  <r>
    <n v="1010015"/>
    <x v="44"/>
    <x v="3"/>
    <x v="265"/>
    <x v="176"/>
  </r>
  <r>
    <n v="1010015"/>
    <x v="44"/>
    <x v="3"/>
    <x v="204"/>
    <x v="97"/>
  </r>
  <r>
    <n v="1010015"/>
    <x v="44"/>
    <x v="3"/>
    <x v="205"/>
    <x v="77"/>
  </r>
  <r>
    <n v="1010015"/>
    <x v="44"/>
    <x v="3"/>
    <x v="207"/>
    <x v="196"/>
  </r>
  <r>
    <n v="1010015"/>
    <x v="44"/>
    <x v="3"/>
    <x v="208"/>
    <x v="197"/>
  </r>
  <r>
    <n v="1010015"/>
    <x v="44"/>
    <x v="3"/>
    <x v="210"/>
    <x v="147"/>
  </r>
  <r>
    <n v="1010015"/>
    <x v="44"/>
    <x v="3"/>
    <x v="212"/>
    <x v="199"/>
  </r>
  <r>
    <n v="1010015"/>
    <x v="44"/>
    <x v="3"/>
    <x v="213"/>
    <x v="200"/>
  </r>
  <r>
    <n v="1010015"/>
    <x v="44"/>
    <x v="3"/>
    <x v="214"/>
    <x v="77"/>
  </r>
  <r>
    <n v="1010015"/>
    <x v="44"/>
    <x v="3"/>
    <x v="216"/>
    <x v="114"/>
  </r>
  <r>
    <n v="1010015"/>
    <x v="44"/>
    <x v="3"/>
    <x v="252"/>
    <x v="97"/>
  </r>
  <r>
    <n v="1010015"/>
    <x v="44"/>
    <x v="3"/>
    <x v="239"/>
    <x v="119"/>
  </r>
  <r>
    <n v="1010015"/>
    <x v="44"/>
    <x v="3"/>
    <x v="246"/>
    <x v="219"/>
  </r>
  <r>
    <n v="1010015"/>
    <x v="44"/>
    <x v="3"/>
    <x v="247"/>
    <x v="119"/>
  </r>
  <r>
    <n v="1010015"/>
    <x v="44"/>
    <x v="3"/>
    <x v="248"/>
    <x v="161"/>
  </r>
  <r>
    <n v="1010015"/>
    <x v="44"/>
    <x v="3"/>
    <x v="217"/>
    <x v="201"/>
  </r>
  <r>
    <n v="1010015"/>
    <x v="44"/>
    <x v="3"/>
    <x v="218"/>
    <x v="202"/>
  </r>
  <r>
    <n v="1010015"/>
    <x v="44"/>
    <x v="3"/>
    <x v="241"/>
    <x v="217"/>
  </r>
  <r>
    <n v="1010015"/>
    <x v="44"/>
    <x v="3"/>
    <x v="242"/>
    <x v="85"/>
  </r>
  <r>
    <n v="1010015"/>
    <x v="44"/>
    <x v="3"/>
    <x v="243"/>
    <x v="163"/>
  </r>
  <r>
    <n v="1010015"/>
    <x v="44"/>
    <x v="3"/>
    <x v="219"/>
    <x v="203"/>
  </r>
  <r>
    <n v="1010015"/>
    <x v="44"/>
    <x v="3"/>
    <x v="244"/>
    <x v="213"/>
  </r>
  <r>
    <n v="1010015"/>
    <x v="44"/>
    <x v="3"/>
    <x v="220"/>
    <x v="105"/>
  </r>
  <r>
    <n v="1010015"/>
    <x v="44"/>
    <x v="3"/>
    <x v="221"/>
    <x v="204"/>
  </r>
  <r>
    <n v="1010015"/>
    <x v="44"/>
    <x v="3"/>
    <x v="225"/>
    <x v="59"/>
  </r>
  <r>
    <n v="1010015"/>
    <x v="44"/>
    <x v="3"/>
    <x v="226"/>
    <x v="206"/>
  </r>
  <r>
    <n v="1010015"/>
    <x v="44"/>
    <x v="3"/>
    <x v="227"/>
    <x v="207"/>
  </r>
  <r>
    <n v="1010015"/>
    <x v="44"/>
    <x v="3"/>
    <x v="228"/>
    <x v="208"/>
  </r>
  <r>
    <n v="1010015"/>
    <x v="44"/>
    <x v="3"/>
    <x v="237"/>
    <x v="215"/>
  </r>
  <r>
    <n v="1010015"/>
    <x v="44"/>
    <x v="3"/>
    <x v="229"/>
    <x v="209"/>
  </r>
  <r>
    <n v="1010015"/>
    <x v="44"/>
    <x v="3"/>
    <x v="230"/>
    <x v="210"/>
  </r>
  <r>
    <n v="1010015"/>
    <x v="44"/>
    <x v="3"/>
    <x v="231"/>
    <x v="211"/>
  </r>
  <r>
    <n v="1010015"/>
    <x v="44"/>
    <x v="3"/>
    <x v="232"/>
    <x v="212"/>
  </r>
  <r>
    <n v="1010015"/>
    <x v="44"/>
    <x v="3"/>
    <x v="233"/>
    <x v="213"/>
  </r>
  <r>
    <n v="1010015"/>
    <x v="44"/>
    <x v="3"/>
    <x v="238"/>
    <x v="216"/>
  </r>
  <r>
    <n v="1010015"/>
    <x v="44"/>
    <x v="3"/>
    <x v="234"/>
    <x v="175"/>
  </r>
  <r>
    <n v="1010015"/>
    <x v="44"/>
    <x v="3"/>
    <x v="235"/>
    <x v="214"/>
  </r>
  <r>
    <n v="1010015"/>
    <x v="1"/>
    <x v="1"/>
    <x v="2"/>
    <x v="2"/>
  </r>
  <r>
    <n v="1010054"/>
    <x v="45"/>
    <x v="5"/>
    <x v="299"/>
    <x v="2"/>
  </r>
  <r>
    <n v="1010054"/>
    <x v="1"/>
    <x v="1"/>
    <x v="2"/>
    <x v="2"/>
  </r>
  <r>
    <n v="1010056"/>
    <x v="46"/>
    <x v="2"/>
    <x v="300"/>
    <x v="2"/>
  </r>
  <r>
    <n v="1010056"/>
    <x v="1"/>
    <x v="1"/>
    <x v="2"/>
    <x v="2"/>
  </r>
  <r>
    <n v="1010060"/>
    <x v="47"/>
    <x v="2"/>
    <x v="301"/>
    <x v="2"/>
  </r>
  <r>
    <n v="1010060"/>
    <x v="1"/>
    <x v="1"/>
    <x v="2"/>
    <x v="2"/>
  </r>
  <r>
    <n v="1010061"/>
    <x v="48"/>
    <x v="0"/>
    <x v="302"/>
    <x v="2"/>
  </r>
  <r>
    <n v="1010061"/>
    <x v="1"/>
    <x v="1"/>
    <x v="2"/>
    <x v="2"/>
  </r>
  <r>
    <n v="1012246"/>
    <x v="49"/>
    <x v="8"/>
    <x v="166"/>
    <x v="273"/>
  </r>
  <r>
    <n v="1012246"/>
    <x v="49"/>
    <x v="8"/>
    <x v="165"/>
    <x v="274"/>
  </r>
  <r>
    <n v="1012246"/>
    <x v="1"/>
    <x v="1"/>
    <x v="2"/>
    <x v="2"/>
  </r>
  <r>
    <n v="1013236"/>
    <x v="50"/>
    <x v="6"/>
    <x v="297"/>
    <x v="275"/>
  </r>
  <r>
    <n v="1013236"/>
    <x v="50"/>
    <x v="6"/>
    <x v="296"/>
    <x v="276"/>
  </r>
  <r>
    <n v="1013236"/>
    <x v="50"/>
    <x v="6"/>
    <x v="298"/>
    <x v="277"/>
  </r>
  <r>
    <n v="1013236"/>
    <x v="50"/>
    <x v="6"/>
    <x v="295"/>
    <x v="278"/>
  </r>
  <r>
    <n v="1013236"/>
    <x v="50"/>
    <x v="6"/>
    <x v="291"/>
    <x v="279"/>
  </r>
  <r>
    <n v="1013236"/>
    <x v="50"/>
    <x v="6"/>
    <x v="292"/>
    <x v="280"/>
  </r>
  <r>
    <n v="1013236"/>
    <x v="1"/>
    <x v="1"/>
    <x v="2"/>
    <x v="2"/>
  </r>
  <r>
    <n v="1013513"/>
    <x v="51"/>
    <x v="3"/>
    <x v="253"/>
    <x v="119"/>
  </r>
  <r>
    <n v="1013513"/>
    <x v="51"/>
    <x v="3"/>
    <x v="220"/>
    <x v="105"/>
  </r>
  <r>
    <n v="1013513"/>
    <x v="51"/>
    <x v="3"/>
    <x v="255"/>
    <x v="222"/>
  </r>
  <r>
    <n v="1013513"/>
    <x v="51"/>
    <x v="3"/>
    <x v="257"/>
    <x v="224"/>
  </r>
  <r>
    <n v="1013513"/>
    <x v="51"/>
    <x v="3"/>
    <x v="258"/>
    <x v="77"/>
  </r>
  <r>
    <n v="1013513"/>
    <x v="51"/>
    <x v="3"/>
    <x v="259"/>
    <x v="197"/>
  </r>
  <r>
    <n v="1013513"/>
    <x v="51"/>
    <x v="3"/>
    <x v="260"/>
    <x v="225"/>
  </r>
  <r>
    <n v="1013513"/>
    <x v="51"/>
    <x v="3"/>
    <x v="261"/>
    <x v="92"/>
  </r>
  <r>
    <n v="1013513"/>
    <x v="51"/>
    <x v="3"/>
    <x v="251"/>
    <x v="176"/>
  </r>
  <r>
    <n v="1013513"/>
    <x v="51"/>
    <x v="3"/>
    <x v="252"/>
    <x v="97"/>
  </r>
  <r>
    <n v="1013513"/>
    <x v="51"/>
    <x v="3"/>
    <x v="221"/>
    <x v="204"/>
  </r>
  <r>
    <n v="1013513"/>
    <x v="51"/>
    <x v="3"/>
    <x v="249"/>
    <x v="220"/>
  </r>
  <r>
    <n v="1013513"/>
    <x v="51"/>
    <x v="3"/>
    <x v="263"/>
    <x v="226"/>
  </r>
  <r>
    <n v="1013513"/>
    <x v="51"/>
    <x v="3"/>
    <x v="264"/>
    <x v="153"/>
  </r>
  <r>
    <n v="1013513"/>
    <x v="51"/>
    <x v="3"/>
    <x v="265"/>
    <x v="176"/>
  </r>
  <r>
    <n v="1013513"/>
    <x v="51"/>
    <x v="3"/>
    <x v="204"/>
    <x v="97"/>
  </r>
  <r>
    <n v="1013513"/>
    <x v="51"/>
    <x v="3"/>
    <x v="205"/>
    <x v="77"/>
  </r>
  <r>
    <n v="1013513"/>
    <x v="51"/>
    <x v="3"/>
    <x v="206"/>
    <x v="144"/>
  </r>
  <r>
    <n v="1013513"/>
    <x v="51"/>
    <x v="3"/>
    <x v="208"/>
    <x v="197"/>
  </r>
  <r>
    <n v="1013513"/>
    <x v="51"/>
    <x v="3"/>
    <x v="250"/>
    <x v="34"/>
  </r>
  <r>
    <n v="1013513"/>
    <x v="51"/>
    <x v="3"/>
    <x v="209"/>
    <x v="198"/>
  </r>
  <r>
    <n v="1013513"/>
    <x v="51"/>
    <x v="3"/>
    <x v="210"/>
    <x v="147"/>
  </r>
  <r>
    <n v="1013513"/>
    <x v="51"/>
    <x v="3"/>
    <x v="211"/>
    <x v="153"/>
  </r>
  <r>
    <n v="1013513"/>
    <x v="51"/>
    <x v="3"/>
    <x v="212"/>
    <x v="199"/>
  </r>
  <r>
    <n v="1013513"/>
    <x v="51"/>
    <x v="3"/>
    <x v="214"/>
    <x v="77"/>
  </r>
  <r>
    <n v="1013513"/>
    <x v="51"/>
    <x v="3"/>
    <x v="215"/>
    <x v="77"/>
  </r>
  <r>
    <n v="1013513"/>
    <x v="51"/>
    <x v="3"/>
    <x v="216"/>
    <x v="114"/>
  </r>
  <r>
    <n v="1013513"/>
    <x v="51"/>
    <x v="3"/>
    <x v="222"/>
    <x v="205"/>
  </r>
  <r>
    <n v="1013513"/>
    <x v="51"/>
    <x v="3"/>
    <x v="223"/>
    <x v="3"/>
  </r>
  <r>
    <n v="1013513"/>
    <x v="51"/>
    <x v="3"/>
    <x v="224"/>
    <x v="93"/>
  </r>
  <r>
    <n v="1013513"/>
    <x v="51"/>
    <x v="3"/>
    <x v="226"/>
    <x v="206"/>
  </r>
  <r>
    <n v="1013513"/>
    <x v="51"/>
    <x v="3"/>
    <x v="227"/>
    <x v="207"/>
  </r>
  <r>
    <n v="1013513"/>
    <x v="51"/>
    <x v="3"/>
    <x v="228"/>
    <x v="208"/>
  </r>
  <r>
    <n v="1013513"/>
    <x v="51"/>
    <x v="3"/>
    <x v="229"/>
    <x v="209"/>
  </r>
  <r>
    <n v="1013513"/>
    <x v="51"/>
    <x v="3"/>
    <x v="230"/>
    <x v="210"/>
  </r>
  <r>
    <n v="1013513"/>
    <x v="51"/>
    <x v="3"/>
    <x v="232"/>
    <x v="212"/>
  </r>
  <r>
    <n v="1013513"/>
    <x v="51"/>
    <x v="3"/>
    <x v="233"/>
    <x v="213"/>
  </r>
  <r>
    <n v="1013513"/>
    <x v="51"/>
    <x v="3"/>
    <x v="234"/>
    <x v="175"/>
  </r>
  <r>
    <n v="1013513"/>
    <x v="51"/>
    <x v="3"/>
    <x v="235"/>
    <x v="214"/>
  </r>
  <r>
    <n v="1013513"/>
    <x v="51"/>
    <x v="3"/>
    <x v="236"/>
    <x v="173"/>
  </r>
  <r>
    <n v="1013513"/>
    <x v="51"/>
    <x v="3"/>
    <x v="237"/>
    <x v="215"/>
  </r>
  <r>
    <n v="1013513"/>
    <x v="51"/>
    <x v="3"/>
    <x v="239"/>
    <x v="119"/>
  </r>
  <r>
    <n v="1013513"/>
    <x v="51"/>
    <x v="3"/>
    <x v="240"/>
    <x v="82"/>
  </r>
  <r>
    <n v="1013513"/>
    <x v="51"/>
    <x v="3"/>
    <x v="241"/>
    <x v="217"/>
  </r>
  <r>
    <n v="1013513"/>
    <x v="51"/>
    <x v="3"/>
    <x v="242"/>
    <x v="85"/>
  </r>
  <r>
    <n v="1013513"/>
    <x v="51"/>
    <x v="3"/>
    <x v="243"/>
    <x v="163"/>
  </r>
  <r>
    <n v="1013513"/>
    <x v="51"/>
    <x v="3"/>
    <x v="244"/>
    <x v="213"/>
  </r>
  <r>
    <n v="1013513"/>
    <x v="51"/>
    <x v="3"/>
    <x v="246"/>
    <x v="219"/>
  </r>
  <r>
    <n v="1013513"/>
    <x v="51"/>
    <x v="3"/>
    <x v="247"/>
    <x v="119"/>
  </r>
  <r>
    <n v="1013513"/>
    <x v="51"/>
    <x v="3"/>
    <x v="248"/>
    <x v="161"/>
  </r>
  <r>
    <n v="1013513"/>
    <x v="51"/>
    <x v="3"/>
    <x v="217"/>
    <x v="201"/>
  </r>
  <r>
    <n v="1013513"/>
    <x v="51"/>
    <x v="3"/>
    <x v="218"/>
    <x v="202"/>
  </r>
  <r>
    <n v="1013513"/>
    <x v="51"/>
    <x v="3"/>
    <x v="219"/>
    <x v="203"/>
  </r>
  <r>
    <n v="1013513"/>
    <x v="51"/>
    <x v="3"/>
    <x v="256"/>
    <x v="223"/>
  </r>
  <r>
    <n v="1013513"/>
    <x v="51"/>
    <x v="3"/>
    <x v="262"/>
    <x v="164"/>
  </r>
  <r>
    <n v="1013513"/>
    <x v="51"/>
    <x v="3"/>
    <x v="207"/>
    <x v="196"/>
  </r>
  <r>
    <n v="1013513"/>
    <x v="51"/>
    <x v="3"/>
    <x v="213"/>
    <x v="200"/>
  </r>
  <r>
    <n v="1013513"/>
    <x v="51"/>
    <x v="3"/>
    <x v="225"/>
    <x v="59"/>
  </r>
  <r>
    <n v="1013513"/>
    <x v="51"/>
    <x v="3"/>
    <x v="231"/>
    <x v="211"/>
  </r>
  <r>
    <n v="1013513"/>
    <x v="51"/>
    <x v="3"/>
    <x v="238"/>
    <x v="216"/>
  </r>
  <r>
    <n v="1013513"/>
    <x v="51"/>
    <x v="3"/>
    <x v="245"/>
    <x v="218"/>
  </r>
  <r>
    <n v="1013513"/>
    <x v="51"/>
    <x v="3"/>
    <x v="254"/>
    <x v="221"/>
  </r>
  <r>
    <n v="1013513"/>
    <x v="1"/>
    <x v="1"/>
    <x v="2"/>
    <x v="2"/>
  </r>
  <r>
    <n v="1013635"/>
    <x v="52"/>
    <x v="5"/>
    <x v="303"/>
    <x v="281"/>
  </r>
  <r>
    <n v="1013635"/>
    <x v="52"/>
    <x v="5"/>
    <x v="304"/>
    <x v="282"/>
  </r>
  <r>
    <n v="1013635"/>
    <x v="52"/>
    <x v="5"/>
    <x v="305"/>
    <x v="283"/>
  </r>
  <r>
    <n v="1013635"/>
    <x v="1"/>
    <x v="1"/>
    <x v="2"/>
    <x v="2"/>
  </r>
  <r>
    <n v="1016157"/>
    <x v="53"/>
    <x v="3"/>
    <x v="245"/>
    <x v="2"/>
  </r>
  <r>
    <n v="1016157"/>
    <x v="1"/>
    <x v="1"/>
    <x v="2"/>
    <x v="2"/>
  </r>
  <r>
    <n v="1030304"/>
    <x v="54"/>
    <x v="8"/>
    <x v="165"/>
    <x v="274"/>
  </r>
  <r>
    <n v="1030304"/>
    <x v="54"/>
    <x v="8"/>
    <x v="166"/>
    <x v="273"/>
  </r>
  <r>
    <n v="1030304"/>
    <x v="1"/>
    <x v="1"/>
    <x v="2"/>
    <x v="2"/>
  </r>
  <r>
    <n v="1038956"/>
    <x v="55"/>
    <x v="3"/>
    <x v="158"/>
    <x v="160"/>
  </r>
  <r>
    <n v="1038956"/>
    <x v="55"/>
    <x v="3"/>
    <x v="159"/>
    <x v="161"/>
  </r>
  <r>
    <n v="1038956"/>
    <x v="55"/>
    <x v="3"/>
    <x v="160"/>
    <x v="162"/>
  </r>
  <r>
    <n v="1038956"/>
    <x v="55"/>
    <x v="3"/>
    <x v="161"/>
    <x v="163"/>
  </r>
  <r>
    <n v="1038956"/>
    <x v="55"/>
    <x v="3"/>
    <x v="162"/>
    <x v="164"/>
  </r>
  <r>
    <n v="1038956"/>
    <x v="55"/>
    <x v="3"/>
    <x v="154"/>
    <x v="149"/>
  </r>
  <r>
    <n v="1038956"/>
    <x v="55"/>
    <x v="3"/>
    <x v="163"/>
    <x v="83"/>
  </r>
  <r>
    <n v="1038956"/>
    <x v="55"/>
    <x v="3"/>
    <x v="124"/>
    <x v="62"/>
  </r>
  <r>
    <n v="1038956"/>
    <x v="55"/>
    <x v="3"/>
    <x v="125"/>
    <x v="144"/>
  </r>
  <r>
    <n v="1038956"/>
    <x v="55"/>
    <x v="3"/>
    <x v="126"/>
    <x v="82"/>
  </r>
  <r>
    <n v="1038956"/>
    <x v="55"/>
    <x v="3"/>
    <x v="127"/>
    <x v="97"/>
  </r>
  <r>
    <n v="1038956"/>
    <x v="55"/>
    <x v="3"/>
    <x v="128"/>
    <x v="92"/>
  </r>
  <r>
    <n v="1038956"/>
    <x v="55"/>
    <x v="3"/>
    <x v="129"/>
    <x v="42"/>
  </r>
  <r>
    <n v="1038956"/>
    <x v="55"/>
    <x v="3"/>
    <x v="131"/>
    <x v="34"/>
  </r>
  <r>
    <n v="1038956"/>
    <x v="55"/>
    <x v="3"/>
    <x v="132"/>
    <x v="146"/>
  </r>
  <r>
    <n v="1038956"/>
    <x v="55"/>
    <x v="3"/>
    <x v="133"/>
    <x v="147"/>
  </r>
  <r>
    <n v="1038956"/>
    <x v="55"/>
    <x v="3"/>
    <x v="134"/>
    <x v="148"/>
  </r>
  <r>
    <n v="1038956"/>
    <x v="55"/>
    <x v="3"/>
    <x v="135"/>
    <x v="64"/>
  </r>
  <r>
    <n v="1038956"/>
    <x v="55"/>
    <x v="3"/>
    <x v="136"/>
    <x v="82"/>
  </r>
  <r>
    <n v="1038956"/>
    <x v="55"/>
    <x v="3"/>
    <x v="137"/>
    <x v="79"/>
  </r>
  <r>
    <n v="1038956"/>
    <x v="55"/>
    <x v="3"/>
    <x v="138"/>
    <x v="149"/>
  </r>
  <r>
    <n v="1038956"/>
    <x v="55"/>
    <x v="3"/>
    <x v="141"/>
    <x v="151"/>
  </r>
  <r>
    <n v="1038956"/>
    <x v="55"/>
    <x v="3"/>
    <x v="142"/>
    <x v="152"/>
  </r>
  <r>
    <n v="1038956"/>
    <x v="55"/>
    <x v="3"/>
    <x v="143"/>
    <x v="91"/>
  </r>
  <r>
    <n v="1038956"/>
    <x v="55"/>
    <x v="3"/>
    <x v="144"/>
    <x v="84"/>
  </r>
  <r>
    <n v="1038956"/>
    <x v="55"/>
    <x v="3"/>
    <x v="145"/>
    <x v="153"/>
  </r>
  <r>
    <n v="1038956"/>
    <x v="55"/>
    <x v="3"/>
    <x v="146"/>
    <x v="78"/>
  </r>
  <r>
    <n v="1038956"/>
    <x v="55"/>
    <x v="3"/>
    <x v="147"/>
    <x v="24"/>
  </r>
  <r>
    <n v="1038956"/>
    <x v="55"/>
    <x v="3"/>
    <x v="148"/>
    <x v="144"/>
  </r>
  <r>
    <n v="1038956"/>
    <x v="55"/>
    <x v="3"/>
    <x v="149"/>
    <x v="154"/>
  </r>
  <r>
    <n v="1038956"/>
    <x v="55"/>
    <x v="3"/>
    <x v="150"/>
    <x v="155"/>
  </r>
  <r>
    <n v="1038956"/>
    <x v="55"/>
    <x v="3"/>
    <x v="151"/>
    <x v="35"/>
  </r>
  <r>
    <n v="1038956"/>
    <x v="55"/>
    <x v="3"/>
    <x v="152"/>
    <x v="156"/>
  </r>
  <r>
    <n v="1038956"/>
    <x v="55"/>
    <x v="3"/>
    <x v="153"/>
    <x v="147"/>
  </r>
  <r>
    <n v="1038956"/>
    <x v="55"/>
    <x v="3"/>
    <x v="130"/>
    <x v="145"/>
  </r>
  <r>
    <n v="1038956"/>
    <x v="55"/>
    <x v="3"/>
    <x v="139"/>
    <x v="37"/>
  </r>
  <r>
    <n v="1038956"/>
    <x v="55"/>
    <x v="3"/>
    <x v="140"/>
    <x v="150"/>
  </r>
  <r>
    <n v="1038956"/>
    <x v="55"/>
    <x v="3"/>
    <x v="157"/>
    <x v="159"/>
  </r>
  <r>
    <n v="1038956"/>
    <x v="55"/>
    <x v="3"/>
    <x v="155"/>
    <x v="157"/>
  </r>
  <r>
    <n v="1038956"/>
    <x v="55"/>
    <x v="3"/>
    <x v="156"/>
    <x v="158"/>
  </r>
  <r>
    <n v="1038956"/>
    <x v="1"/>
    <x v="1"/>
    <x v="2"/>
    <x v="2"/>
  </r>
  <r>
    <n v="1042425"/>
    <x v="56"/>
    <x v="5"/>
    <x v="306"/>
    <x v="284"/>
  </r>
  <r>
    <n v="1042425"/>
    <x v="56"/>
    <x v="5"/>
    <x v="307"/>
    <x v="285"/>
  </r>
  <r>
    <n v="1042425"/>
    <x v="56"/>
    <x v="5"/>
    <x v="308"/>
    <x v="286"/>
  </r>
  <r>
    <n v="1042425"/>
    <x v="1"/>
    <x v="1"/>
    <x v="2"/>
    <x v="2"/>
  </r>
  <r>
    <n v="1048789"/>
    <x v="57"/>
    <x v="0"/>
    <x v="302"/>
    <x v="2"/>
  </r>
  <r>
    <n v="1048789"/>
    <x v="1"/>
    <x v="1"/>
    <x v="2"/>
    <x v="2"/>
  </r>
  <r>
    <n v="1049109"/>
    <x v="58"/>
    <x v="5"/>
    <x v="123"/>
    <x v="2"/>
  </r>
  <r>
    <n v="1049109"/>
    <x v="1"/>
    <x v="1"/>
    <x v="2"/>
    <x v="2"/>
  </r>
  <r>
    <n v="1056686"/>
    <x v="59"/>
    <x v="5"/>
    <x v="48"/>
    <x v="287"/>
  </r>
  <r>
    <n v="1056686"/>
    <x v="59"/>
    <x v="5"/>
    <x v="47"/>
    <x v="288"/>
  </r>
  <r>
    <n v="1056686"/>
    <x v="59"/>
    <x v="5"/>
    <x v="49"/>
    <x v="289"/>
  </r>
  <r>
    <n v="1056686"/>
    <x v="59"/>
    <x v="5"/>
    <x v="53"/>
    <x v="290"/>
  </r>
  <r>
    <n v="1056686"/>
    <x v="59"/>
    <x v="5"/>
    <x v="50"/>
    <x v="291"/>
  </r>
  <r>
    <n v="1056686"/>
    <x v="1"/>
    <x v="1"/>
    <x v="2"/>
    <x v="2"/>
  </r>
  <r>
    <n v="1058686"/>
    <x v="60"/>
    <x v="5"/>
    <x v="305"/>
    <x v="292"/>
  </r>
  <r>
    <n v="1058686"/>
    <x v="60"/>
    <x v="5"/>
    <x v="309"/>
    <x v="293"/>
  </r>
  <r>
    <n v="1058686"/>
    <x v="60"/>
    <x v="5"/>
    <x v="310"/>
    <x v="294"/>
  </r>
  <r>
    <n v="1058686"/>
    <x v="60"/>
    <x v="5"/>
    <x v="311"/>
    <x v="295"/>
  </r>
  <r>
    <n v="1058686"/>
    <x v="60"/>
    <x v="5"/>
    <x v="312"/>
    <x v="296"/>
  </r>
  <r>
    <n v="1058686"/>
    <x v="60"/>
    <x v="5"/>
    <x v="304"/>
    <x v="138"/>
  </r>
  <r>
    <n v="1058686"/>
    <x v="60"/>
    <x v="5"/>
    <x v="303"/>
    <x v="297"/>
  </r>
  <r>
    <n v="1058686"/>
    <x v="1"/>
    <x v="1"/>
    <x v="2"/>
    <x v="2"/>
  </r>
  <r>
    <n v="1061028"/>
    <x v="61"/>
    <x v="5"/>
    <x v="46"/>
    <x v="298"/>
  </r>
  <r>
    <n v="1061028"/>
    <x v="61"/>
    <x v="5"/>
    <x v="51"/>
    <x v="299"/>
  </r>
  <r>
    <n v="1061028"/>
    <x v="61"/>
    <x v="5"/>
    <x v="52"/>
    <x v="30"/>
  </r>
  <r>
    <n v="1061028"/>
    <x v="61"/>
    <x v="5"/>
    <x v="54"/>
    <x v="300"/>
  </r>
  <r>
    <n v="1061028"/>
    <x v="1"/>
    <x v="1"/>
    <x v="2"/>
    <x v="2"/>
  </r>
  <r>
    <n v="1065873"/>
    <x v="62"/>
    <x v="5"/>
    <x v="284"/>
    <x v="301"/>
  </r>
  <r>
    <n v="1065873"/>
    <x v="62"/>
    <x v="5"/>
    <x v="286"/>
    <x v="302"/>
  </r>
  <r>
    <n v="1065873"/>
    <x v="62"/>
    <x v="5"/>
    <x v="278"/>
    <x v="303"/>
  </r>
  <r>
    <n v="1065873"/>
    <x v="1"/>
    <x v="1"/>
    <x v="2"/>
    <x v="2"/>
  </r>
  <r>
    <n v="1068605"/>
    <x v="63"/>
    <x v="3"/>
    <x v="313"/>
    <x v="304"/>
  </r>
  <r>
    <n v="1068605"/>
    <x v="63"/>
    <x v="3"/>
    <x v="314"/>
    <x v="305"/>
  </r>
  <r>
    <n v="1068605"/>
    <x v="63"/>
    <x v="3"/>
    <x v="315"/>
    <x v="306"/>
  </r>
  <r>
    <n v="1068605"/>
    <x v="63"/>
    <x v="3"/>
    <x v="316"/>
    <x v="307"/>
  </r>
  <r>
    <n v="1068605"/>
    <x v="63"/>
    <x v="3"/>
    <x v="317"/>
    <x v="308"/>
  </r>
  <r>
    <n v="1068605"/>
    <x v="63"/>
    <x v="3"/>
    <x v="318"/>
    <x v="309"/>
  </r>
  <r>
    <n v="1068605"/>
    <x v="1"/>
    <x v="1"/>
    <x v="2"/>
    <x v="2"/>
  </r>
  <r>
    <n v="1077860"/>
    <x v="64"/>
    <x v="7"/>
    <x v="17"/>
    <x v="310"/>
  </r>
  <r>
    <n v="1077860"/>
    <x v="64"/>
    <x v="7"/>
    <x v="272"/>
    <x v="311"/>
  </r>
  <r>
    <n v="1077860"/>
    <x v="64"/>
    <x v="7"/>
    <x v="319"/>
    <x v="312"/>
  </r>
  <r>
    <n v="1077860"/>
    <x v="64"/>
    <x v="7"/>
    <x v="109"/>
    <x v="313"/>
  </r>
  <r>
    <n v="1077860"/>
    <x v="64"/>
    <x v="7"/>
    <x v="16"/>
    <x v="314"/>
  </r>
  <r>
    <n v="1077860"/>
    <x v="64"/>
    <x v="7"/>
    <x v="320"/>
    <x v="315"/>
  </r>
  <r>
    <n v="1077860"/>
    <x v="64"/>
    <x v="7"/>
    <x v="321"/>
    <x v="316"/>
  </r>
  <r>
    <n v="1077860"/>
    <x v="64"/>
    <x v="7"/>
    <x v="322"/>
    <x v="317"/>
  </r>
  <r>
    <n v="1077860"/>
    <x v="64"/>
    <x v="7"/>
    <x v="323"/>
    <x v="318"/>
  </r>
  <r>
    <n v="1077860"/>
    <x v="64"/>
    <x v="7"/>
    <x v="108"/>
    <x v="319"/>
  </r>
  <r>
    <n v="1077860"/>
    <x v="64"/>
    <x v="7"/>
    <x v="324"/>
    <x v="225"/>
  </r>
  <r>
    <n v="1077860"/>
    <x v="64"/>
    <x v="7"/>
    <x v="325"/>
    <x v="320"/>
  </r>
  <r>
    <n v="1077860"/>
    <x v="64"/>
    <x v="7"/>
    <x v="326"/>
    <x v="168"/>
  </r>
  <r>
    <n v="1077860"/>
    <x v="64"/>
    <x v="7"/>
    <x v="327"/>
    <x v="321"/>
  </r>
  <r>
    <n v="1077860"/>
    <x v="1"/>
    <x v="1"/>
    <x v="2"/>
    <x v="2"/>
  </r>
  <r>
    <n v="1096892"/>
    <x v="65"/>
    <x v="0"/>
    <x v="302"/>
    <x v="2"/>
  </r>
  <r>
    <n v="1096892"/>
    <x v="1"/>
    <x v="1"/>
    <x v="2"/>
    <x v="2"/>
  </r>
  <r>
    <n v="1097120"/>
    <x v="66"/>
    <x v="5"/>
    <x v="115"/>
    <x v="254"/>
  </r>
  <r>
    <n v="1097120"/>
    <x v="66"/>
    <x v="5"/>
    <x v="114"/>
    <x v="51"/>
  </r>
  <r>
    <n v="1097120"/>
    <x v="66"/>
    <x v="5"/>
    <x v="117"/>
    <x v="322"/>
  </r>
  <r>
    <n v="1097120"/>
    <x v="66"/>
    <x v="5"/>
    <x v="118"/>
    <x v="323"/>
  </r>
  <r>
    <n v="1097120"/>
    <x v="66"/>
    <x v="5"/>
    <x v="119"/>
    <x v="324"/>
  </r>
  <r>
    <n v="1097120"/>
    <x v="66"/>
    <x v="5"/>
    <x v="328"/>
    <x v="74"/>
  </r>
  <r>
    <n v="1097120"/>
    <x v="66"/>
    <x v="5"/>
    <x v="121"/>
    <x v="325"/>
  </r>
  <r>
    <n v="1097120"/>
    <x v="66"/>
    <x v="5"/>
    <x v="122"/>
    <x v="326"/>
  </r>
  <r>
    <n v="1097120"/>
    <x v="66"/>
    <x v="5"/>
    <x v="120"/>
    <x v="327"/>
  </r>
  <r>
    <n v="1097120"/>
    <x v="66"/>
    <x v="5"/>
    <x v="329"/>
    <x v="328"/>
  </r>
  <r>
    <n v="1097120"/>
    <x v="66"/>
    <x v="5"/>
    <x v="110"/>
    <x v="329"/>
  </r>
  <r>
    <n v="1097120"/>
    <x v="66"/>
    <x v="5"/>
    <x v="111"/>
    <x v="330"/>
  </r>
  <r>
    <n v="1097120"/>
    <x v="66"/>
    <x v="5"/>
    <x v="112"/>
    <x v="331"/>
  </r>
  <r>
    <n v="1097120"/>
    <x v="66"/>
    <x v="5"/>
    <x v="113"/>
    <x v="233"/>
  </r>
  <r>
    <n v="1097120"/>
    <x v="66"/>
    <x v="5"/>
    <x v="116"/>
    <x v="251"/>
  </r>
  <r>
    <n v="1097120"/>
    <x v="1"/>
    <x v="1"/>
    <x v="2"/>
    <x v="2"/>
  </r>
  <r>
    <n v="1098625"/>
    <x v="67"/>
    <x v="5"/>
    <x v="118"/>
    <x v="332"/>
  </r>
  <r>
    <n v="1098625"/>
    <x v="67"/>
    <x v="5"/>
    <x v="113"/>
    <x v="333"/>
  </r>
  <r>
    <n v="1098625"/>
    <x v="67"/>
    <x v="5"/>
    <x v="116"/>
    <x v="334"/>
  </r>
  <r>
    <n v="1098625"/>
    <x v="67"/>
    <x v="5"/>
    <x v="122"/>
    <x v="335"/>
  </r>
  <r>
    <n v="1098625"/>
    <x v="1"/>
    <x v="1"/>
    <x v="2"/>
    <x v="2"/>
  </r>
  <r>
    <n v="1098639"/>
    <x v="68"/>
    <x v="10"/>
    <x v="330"/>
    <x v="2"/>
  </r>
  <r>
    <n v="1098639"/>
    <x v="1"/>
    <x v="1"/>
    <x v="2"/>
    <x v="2"/>
  </r>
  <r>
    <n v="1098648"/>
    <x v="69"/>
    <x v="2"/>
    <x v="276"/>
    <x v="2"/>
  </r>
  <r>
    <n v="1098648"/>
    <x v="1"/>
    <x v="1"/>
    <x v="2"/>
    <x v="2"/>
  </r>
  <r>
    <n v="1098654"/>
    <x v="70"/>
    <x v="4"/>
    <x v="16"/>
    <x v="14"/>
  </r>
  <r>
    <n v="1098654"/>
    <x v="70"/>
    <x v="4"/>
    <x v="17"/>
    <x v="15"/>
  </r>
  <r>
    <n v="1098654"/>
    <x v="1"/>
    <x v="1"/>
    <x v="2"/>
    <x v="2"/>
  </r>
  <r>
    <n v="1098668"/>
    <x v="71"/>
    <x v="2"/>
    <x v="64"/>
    <x v="336"/>
  </r>
  <r>
    <n v="1098668"/>
    <x v="71"/>
    <x v="2"/>
    <x v="73"/>
    <x v="34"/>
  </r>
  <r>
    <n v="1098668"/>
    <x v="71"/>
    <x v="2"/>
    <x v="74"/>
    <x v="152"/>
  </r>
  <r>
    <n v="1098668"/>
    <x v="71"/>
    <x v="2"/>
    <x v="69"/>
    <x v="337"/>
  </r>
  <r>
    <n v="1098668"/>
    <x v="71"/>
    <x v="2"/>
    <x v="63"/>
    <x v="151"/>
  </r>
  <r>
    <n v="1098668"/>
    <x v="71"/>
    <x v="2"/>
    <x v="55"/>
    <x v="117"/>
  </r>
  <r>
    <n v="1098668"/>
    <x v="71"/>
    <x v="2"/>
    <x v="58"/>
    <x v="199"/>
  </r>
  <r>
    <n v="1098668"/>
    <x v="71"/>
    <x v="2"/>
    <x v="59"/>
    <x v="104"/>
  </r>
  <r>
    <n v="1098668"/>
    <x v="71"/>
    <x v="2"/>
    <x v="67"/>
    <x v="338"/>
  </r>
  <r>
    <n v="1098668"/>
    <x v="71"/>
    <x v="2"/>
    <x v="66"/>
    <x v="339"/>
  </r>
  <r>
    <n v="1098668"/>
    <x v="71"/>
    <x v="2"/>
    <x v="72"/>
    <x v="340"/>
  </r>
  <r>
    <n v="1098668"/>
    <x v="71"/>
    <x v="2"/>
    <x v="61"/>
    <x v="341"/>
  </r>
  <r>
    <n v="1098668"/>
    <x v="71"/>
    <x v="2"/>
    <x v="71"/>
    <x v="342"/>
  </r>
  <r>
    <n v="1098668"/>
    <x v="71"/>
    <x v="2"/>
    <x v="65"/>
    <x v="64"/>
  </r>
  <r>
    <n v="1098668"/>
    <x v="71"/>
    <x v="2"/>
    <x v="56"/>
    <x v="343"/>
  </r>
  <r>
    <n v="1098668"/>
    <x v="71"/>
    <x v="2"/>
    <x v="70"/>
    <x v="344"/>
  </r>
  <r>
    <n v="1098668"/>
    <x v="71"/>
    <x v="2"/>
    <x v="84"/>
    <x v="65"/>
  </r>
  <r>
    <n v="1098668"/>
    <x v="71"/>
    <x v="2"/>
    <x v="57"/>
    <x v="345"/>
  </r>
  <r>
    <n v="1098668"/>
    <x v="71"/>
    <x v="2"/>
    <x v="68"/>
    <x v="150"/>
  </r>
  <r>
    <n v="1098668"/>
    <x v="71"/>
    <x v="2"/>
    <x v="60"/>
    <x v="175"/>
  </r>
  <r>
    <n v="1098668"/>
    <x v="71"/>
    <x v="2"/>
    <x v="62"/>
    <x v="168"/>
  </r>
  <r>
    <n v="1098668"/>
    <x v="1"/>
    <x v="1"/>
    <x v="2"/>
    <x v="2"/>
  </r>
  <r>
    <n v="1098669"/>
    <x v="72"/>
    <x v="2"/>
    <x v="276"/>
    <x v="2"/>
  </r>
  <r>
    <n v="1098669"/>
    <x v="1"/>
    <x v="1"/>
    <x v="2"/>
    <x v="2"/>
  </r>
  <r>
    <n v="1098711"/>
    <x v="73"/>
    <x v="3"/>
    <x v="331"/>
    <x v="79"/>
  </r>
  <r>
    <n v="1098711"/>
    <x v="73"/>
    <x v="3"/>
    <x v="332"/>
    <x v="156"/>
  </r>
  <r>
    <n v="1098711"/>
    <x v="73"/>
    <x v="3"/>
    <x v="333"/>
    <x v="42"/>
  </r>
  <r>
    <n v="1098711"/>
    <x v="73"/>
    <x v="3"/>
    <x v="334"/>
    <x v="162"/>
  </r>
  <r>
    <n v="1098711"/>
    <x v="73"/>
    <x v="3"/>
    <x v="335"/>
    <x v="97"/>
  </r>
  <r>
    <n v="1098711"/>
    <x v="73"/>
    <x v="3"/>
    <x v="336"/>
    <x v="144"/>
  </r>
  <r>
    <n v="1098711"/>
    <x v="73"/>
    <x v="3"/>
    <x v="337"/>
    <x v="97"/>
  </r>
  <r>
    <n v="1098711"/>
    <x v="73"/>
    <x v="3"/>
    <x v="338"/>
    <x v="179"/>
  </r>
  <r>
    <n v="1098711"/>
    <x v="73"/>
    <x v="3"/>
    <x v="339"/>
    <x v="34"/>
  </r>
  <r>
    <n v="1098711"/>
    <x v="73"/>
    <x v="3"/>
    <x v="159"/>
    <x v="178"/>
  </r>
  <r>
    <n v="1098711"/>
    <x v="73"/>
    <x v="3"/>
    <x v="160"/>
    <x v="77"/>
  </r>
  <r>
    <n v="1098711"/>
    <x v="73"/>
    <x v="3"/>
    <x v="161"/>
    <x v="4"/>
  </r>
  <r>
    <n v="1098711"/>
    <x v="73"/>
    <x v="3"/>
    <x v="162"/>
    <x v="161"/>
  </r>
  <r>
    <n v="1098711"/>
    <x v="73"/>
    <x v="3"/>
    <x v="154"/>
    <x v="4"/>
  </r>
  <r>
    <n v="1098711"/>
    <x v="73"/>
    <x v="3"/>
    <x v="163"/>
    <x v="178"/>
  </r>
  <r>
    <n v="1098711"/>
    <x v="73"/>
    <x v="3"/>
    <x v="124"/>
    <x v="77"/>
  </r>
  <r>
    <n v="1098711"/>
    <x v="73"/>
    <x v="3"/>
    <x v="125"/>
    <x v="170"/>
  </r>
  <r>
    <n v="1098711"/>
    <x v="73"/>
    <x v="3"/>
    <x v="126"/>
    <x v="346"/>
  </r>
  <r>
    <n v="1098711"/>
    <x v="73"/>
    <x v="3"/>
    <x v="127"/>
    <x v="83"/>
  </r>
  <r>
    <n v="1098711"/>
    <x v="73"/>
    <x v="3"/>
    <x v="128"/>
    <x v="42"/>
  </r>
  <r>
    <n v="1098711"/>
    <x v="73"/>
    <x v="3"/>
    <x v="129"/>
    <x v="83"/>
  </r>
  <r>
    <n v="1098711"/>
    <x v="73"/>
    <x v="3"/>
    <x v="131"/>
    <x v="88"/>
  </r>
  <r>
    <n v="1098711"/>
    <x v="73"/>
    <x v="3"/>
    <x v="132"/>
    <x v="98"/>
  </r>
  <r>
    <n v="1098711"/>
    <x v="73"/>
    <x v="3"/>
    <x v="133"/>
    <x v="97"/>
  </r>
  <r>
    <n v="1098711"/>
    <x v="73"/>
    <x v="3"/>
    <x v="134"/>
    <x v="144"/>
  </r>
  <r>
    <n v="1098711"/>
    <x v="73"/>
    <x v="3"/>
    <x v="135"/>
    <x v="161"/>
  </r>
  <r>
    <n v="1098711"/>
    <x v="73"/>
    <x v="3"/>
    <x v="136"/>
    <x v="346"/>
  </r>
  <r>
    <n v="1098711"/>
    <x v="73"/>
    <x v="3"/>
    <x v="137"/>
    <x v="170"/>
  </r>
  <r>
    <n v="1098711"/>
    <x v="73"/>
    <x v="3"/>
    <x v="138"/>
    <x v="4"/>
  </r>
  <r>
    <n v="1098711"/>
    <x v="73"/>
    <x v="3"/>
    <x v="141"/>
    <x v="77"/>
  </r>
  <r>
    <n v="1098711"/>
    <x v="73"/>
    <x v="3"/>
    <x v="142"/>
    <x v="217"/>
  </r>
  <r>
    <n v="1098711"/>
    <x v="73"/>
    <x v="3"/>
    <x v="143"/>
    <x v="98"/>
  </r>
  <r>
    <n v="1098711"/>
    <x v="73"/>
    <x v="3"/>
    <x v="144"/>
    <x v="347"/>
  </r>
  <r>
    <n v="1098711"/>
    <x v="73"/>
    <x v="3"/>
    <x v="145"/>
    <x v="154"/>
  </r>
  <r>
    <n v="1098711"/>
    <x v="73"/>
    <x v="3"/>
    <x v="146"/>
    <x v="83"/>
  </r>
  <r>
    <n v="1098711"/>
    <x v="73"/>
    <x v="3"/>
    <x v="147"/>
    <x v="170"/>
  </r>
  <r>
    <n v="1098711"/>
    <x v="73"/>
    <x v="3"/>
    <x v="148"/>
    <x v="170"/>
  </r>
  <r>
    <n v="1098711"/>
    <x v="73"/>
    <x v="3"/>
    <x v="149"/>
    <x v="348"/>
  </r>
  <r>
    <n v="1098711"/>
    <x v="73"/>
    <x v="3"/>
    <x v="150"/>
    <x v="349"/>
  </r>
  <r>
    <n v="1098711"/>
    <x v="73"/>
    <x v="3"/>
    <x v="151"/>
    <x v="204"/>
  </r>
  <r>
    <n v="1098711"/>
    <x v="73"/>
    <x v="3"/>
    <x v="152"/>
    <x v="154"/>
  </r>
  <r>
    <n v="1098711"/>
    <x v="73"/>
    <x v="3"/>
    <x v="153"/>
    <x v="97"/>
  </r>
  <r>
    <n v="1098711"/>
    <x v="73"/>
    <x v="3"/>
    <x v="255"/>
    <x v="80"/>
  </r>
  <r>
    <n v="1098711"/>
    <x v="73"/>
    <x v="3"/>
    <x v="256"/>
    <x v="233"/>
  </r>
  <r>
    <n v="1098711"/>
    <x v="73"/>
    <x v="3"/>
    <x v="257"/>
    <x v="149"/>
  </r>
  <r>
    <n v="1098711"/>
    <x v="73"/>
    <x v="3"/>
    <x v="258"/>
    <x v="198"/>
  </r>
  <r>
    <n v="1098711"/>
    <x v="73"/>
    <x v="3"/>
    <x v="259"/>
    <x v="79"/>
  </r>
  <r>
    <n v="1098711"/>
    <x v="73"/>
    <x v="3"/>
    <x v="260"/>
    <x v="182"/>
  </r>
  <r>
    <n v="1098711"/>
    <x v="73"/>
    <x v="3"/>
    <x v="261"/>
    <x v="34"/>
  </r>
  <r>
    <n v="1098711"/>
    <x v="73"/>
    <x v="3"/>
    <x v="249"/>
    <x v="78"/>
  </r>
  <r>
    <n v="1098711"/>
    <x v="73"/>
    <x v="3"/>
    <x v="262"/>
    <x v="4"/>
  </r>
  <r>
    <n v="1098711"/>
    <x v="73"/>
    <x v="3"/>
    <x v="263"/>
    <x v="105"/>
  </r>
  <r>
    <n v="1098711"/>
    <x v="73"/>
    <x v="3"/>
    <x v="264"/>
    <x v="77"/>
  </r>
  <r>
    <n v="1098711"/>
    <x v="73"/>
    <x v="3"/>
    <x v="316"/>
    <x v="350"/>
  </r>
  <r>
    <n v="1098711"/>
    <x v="73"/>
    <x v="3"/>
    <x v="265"/>
    <x v="198"/>
  </r>
  <r>
    <n v="1098711"/>
    <x v="73"/>
    <x v="3"/>
    <x v="204"/>
    <x v="161"/>
  </r>
  <r>
    <n v="1098711"/>
    <x v="73"/>
    <x v="3"/>
    <x v="205"/>
    <x v="198"/>
  </r>
  <r>
    <n v="1098711"/>
    <x v="73"/>
    <x v="3"/>
    <x v="206"/>
    <x v="88"/>
  </r>
  <r>
    <n v="1098711"/>
    <x v="73"/>
    <x v="3"/>
    <x v="207"/>
    <x v="61"/>
  </r>
  <r>
    <n v="1098711"/>
    <x v="73"/>
    <x v="3"/>
    <x v="208"/>
    <x v="79"/>
  </r>
  <r>
    <n v="1098711"/>
    <x v="73"/>
    <x v="3"/>
    <x v="250"/>
    <x v="161"/>
  </r>
  <r>
    <n v="1098711"/>
    <x v="73"/>
    <x v="3"/>
    <x v="209"/>
    <x v="351"/>
  </r>
  <r>
    <n v="1098711"/>
    <x v="73"/>
    <x v="3"/>
    <x v="210"/>
    <x v="347"/>
  </r>
  <r>
    <n v="1098711"/>
    <x v="73"/>
    <x v="3"/>
    <x v="211"/>
    <x v="77"/>
  </r>
  <r>
    <n v="1098711"/>
    <x v="73"/>
    <x v="3"/>
    <x v="212"/>
    <x v="84"/>
  </r>
  <r>
    <n v="1098711"/>
    <x v="73"/>
    <x v="3"/>
    <x v="5"/>
    <x v="3"/>
  </r>
  <r>
    <n v="1098711"/>
    <x v="73"/>
    <x v="3"/>
    <x v="252"/>
    <x v="88"/>
  </r>
  <r>
    <n v="1098711"/>
    <x v="73"/>
    <x v="3"/>
    <x v="223"/>
    <x v="3"/>
  </r>
  <r>
    <n v="1098711"/>
    <x v="73"/>
    <x v="3"/>
    <x v="216"/>
    <x v="62"/>
  </r>
  <r>
    <n v="1098711"/>
    <x v="73"/>
    <x v="3"/>
    <x v="130"/>
    <x v="97"/>
  </r>
  <r>
    <n v="1098711"/>
    <x v="73"/>
    <x v="3"/>
    <x v="139"/>
    <x v="144"/>
  </r>
  <r>
    <n v="1098711"/>
    <x v="73"/>
    <x v="3"/>
    <x v="140"/>
    <x v="202"/>
  </r>
  <r>
    <n v="1098711"/>
    <x v="73"/>
    <x v="3"/>
    <x v="340"/>
    <x v="218"/>
  </r>
  <r>
    <n v="1098711"/>
    <x v="73"/>
    <x v="3"/>
    <x v="222"/>
    <x v="51"/>
  </r>
  <r>
    <n v="1098711"/>
    <x v="73"/>
    <x v="3"/>
    <x v="224"/>
    <x v="352"/>
  </r>
  <r>
    <n v="1098711"/>
    <x v="73"/>
    <x v="3"/>
    <x v="225"/>
    <x v="89"/>
  </r>
  <r>
    <n v="1098711"/>
    <x v="73"/>
    <x v="3"/>
    <x v="226"/>
    <x v="224"/>
  </r>
  <r>
    <n v="1098711"/>
    <x v="73"/>
    <x v="3"/>
    <x v="227"/>
    <x v="353"/>
  </r>
  <r>
    <n v="1098711"/>
    <x v="73"/>
    <x v="3"/>
    <x v="228"/>
    <x v="354"/>
  </r>
  <r>
    <n v="1098711"/>
    <x v="73"/>
    <x v="3"/>
    <x v="229"/>
    <x v="355"/>
  </r>
  <r>
    <n v="1098711"/>
    <x v="73"/>
    <x v="3"/>
    <x v="230"/>
    <x v="204"/>
  </r>
  <r>
    <n v="1098711"/>
    <x v="73"/>
    <x v="3"/>
    <x v="231"/>
    <x v="220"/>
  </r>
  <r>
    <n v="1098711"/>
    <x v="73"/>
    <x v="3"/>
    <x v="232"/>
    <x v="92"/>
  </r>
  <r>
    <n v="1098711"/>
    <x v="73"/>
    <x v="3"/>
    <x v="233"/>
    <x v="344"/>
  </r>
  <r>
    <n v="1098711"/>
    <x v="73"/>
    <x v="3"/>
    <x v="234"/>
    <x v="84"/>
  </r>
  <r>
    <n v="1098711"/>
    <x v="73"/>
    <x v="3"/>
    <x v="235"/>
    <x v="217"/>
  </r>
  <r>
    <n v="1098711"/>
    <x v="73"/>
    <x v="3"/>
    <x v="236"/>
    <x v="217"/>
  </r>
  <r>
    <n v="1098711"/>
    <x v="73"/>
    <x v="3"/>
    <x v="237"/>
    <x v="356"/>
  </r>
  <r>
    <n v="1098711"/>
    <x v="73"/>
    <x v="3"/>
    <x v="238"/>
    <x v="357"/>
  </r>
  <r>
    <n v="1098711"/>
    <x v="73"/>
    <x v="3"/>
    <x v="155"/>
    <x v="358"/>
  </r>
  <r>
    <n v="1098711"/>
    <x v="73"/>
    <x v="3"/>
    <x v="156"/>
    <x v="359"/>
  </r>
  <r>
    <n v="1098711"/>
    <x v="73"/>
    <x v="3"/>
    <x v="239"/>
    <x v="62"/>
  </r>
  <r>
    <n v="1098711"/>
    <x v="73"/>
    <x v="3"/>
    <x v="240"/>
    <x v="198"/>
  </r>
  <r>
    <n v="1098711"/>
    <x v="73"/>
    <x v="3"/>
    <x v="241"/>
    <x v="144"/>
  </r>
  <r>
    <n v="1098711"/>
    <x v="73"/>
    <x v="3"/>
    <x v="313"/>
    <x v="90"/>
  </r>
  <r>
    <n v="1098711"/>
    <x v="73"/>
    <x v="3"/>
    <x v="242"/>
    <x v="156"/>
  </r>
  <r>
    <n v="1098711"/>
    <x v="73"/>
    <x v="3"/>
    <x v="243"/>
    <x v="82"/>
  </r>
  <r>
    <n v="1098711"/>
    <x v="73"/>
    <x v="3"/>
    <x v="244"/>
    <x v="344"/>
  </r>
  <r>
    <n v="1098711"/>
    <x v="73"/>
    <x v="3"/>
    <x v="245"/>
    <x v="92"/>
  </r>
  <r>
    <n v="1098711"/>
    <x v="73"/>
    <x v="3"/>
    <x v="341"/>
    <x v="64"/>
  </r>
  <r>
    <n v="1098711"/>
    <x v="73"/>
    <x v="3"/>
    <x v="246"/>
    <x v="151"/>
  </r>
  <r>
    <n v="1098711"/>
    <x v="73"/>
    <x v="3"/>
    <x v="247"/>
    <x v="62"/>
  </r>
  <r>
    <n v="1098711"/>
    <x v="73"/>
    <x v="3"/>
    <x v="157"/>
    <x v="360"/>
  </r>
  <r>
    <n v="1098711"/>
    <x v="73"/>
    <x v="3"/>
    <x v="158"/>
    <x v="361"/>
  </r>
  <r>
    <n v="1098711"/>
    <x v="73"/>
    <x v="3"/>
    <x v="342"/>
    <x v="347"/>
  </r>
  <r>
    <n v="1098711"/>
    <x v="73"/>
    <x v="3"/>
    <x v="343"/>
    <x v="64"/>
  </r>
  <r>
    <n v="1098711"/>
    <x v="73"/>
    <x v="3"/>
    <x v="14"/>
    <x v="202"/>
  </r>
  <r>
    <n v="1098711"/>
    <x v="73"/>
    <x v="3"/>
    <x v="15"/>
    <x v="362"/>
  </r>
  <r>
    <n v="1098711"/>
    <x v="73"/>
    <x v="3"/>
    <x v="12"/>
    <x v="3"/>
  </r>
  <r>
    <n v="1098711"/>
    <x v="73"/>
    <x v="3"/>
    <x v="11"/>
    <x v="347"/>
  </r>
  <r>
    <n v="1098711"/>
    <x v="73"/>
    <x v="3"/>
    <x v="344"/>
    <x v="179"/>
  </r>
  <r>
    <n v="1098711"/>
    <x v="73"/>
    <x v="3"/>
    <x v="10"/>
    <x v="105"/>
  </r>
  <r>
    <n v="1098711"/>
    <x v="73"/>
    <x v="3"/>
    <x v="9"/>
    <x v="347"/>
  </r>
  <r>
    <n v="1098711"/>
    <x v="73"/>
    <x v="3"/>
    <x v="8"/>
    <x v="176"/>
  </r>
  <r>
    <n v="1098711"/>
    <x v="73"/>
    <x v="3"/>
    <x v="7"/>
    <x v="176"/>
  </r>
  <r>
    <n v="1098711"/>
    <x v="73"/>
    <x v="3"/>
    <x v="6"/>
    <x v="198"/>
  </r>
  <r>
    <n v="1098711"/>
    <x v="73"/>
    <x v="3"/>
    <x v="13"/>
    <x v="170"/>
  </r>
  <r>
    <n v="1098711"/>
    <x v="73"/>
    <x v="3"/>
    <x v="253"/>
    <x v="197"/>
  </r>
  <r>
    <n v="1098711"/>
    <x v="73"/>
    <x v="3"/>
    <x v="254"/>
    <x v="98"/>
  </r>
  <r>
    <n v="1098711"/>
    <x v="73"/>
    <x v="3"/>
    <x v="345"/>
    <x v="153"/>
  </r>
  <r>
    <n v="1098711"/>
    <x v="73"/>
    <x v="3"/>
    <x v="346"/>
    <x v="198"/>
  </r>
  <r>
    <n v="1098711"/>
    <x v="73"/>
    <x v="3"/>
    <x v="347"/>
    <x v="42"/>
  </r>
  <r>
    <n v="1098711"/>
    <x v="73"/>
    <x v="3"/>
    <x v="348"/>
    <x v="42"/>
  </r>
  <r>
    <n v="1098711"/>
    <x v="73"/>
    <x v="3"/>
    <x v="349"/>
    <x v="170"/>
  </r>
  <r>
    <n v="1098711"/>
    <x v="73"/>
    <x v="3"/>
    <x v="251"/>
    <x v="170"/>
  </r>
  <r>
    <n v="1098711"/>
    <x v="73"/>
    <x v="3"/>
    <x v="248"/>
    <x v="348"/>
  </r>
  <r>
    <n v="1098711"/>
    <x v="73"/>
    <x v="3"/>
    <x v="314"/>
    <x v="346"/>
  </r>
  <r>
    <n v="1098711"/>
    <x v="73"/>
    <x v="3"/>
    <x v="317"/>
    <x v="156"/>
  </r>
  <r>
    <n v="1098711"/>
    <x v="73"/>
    <x v="3"/>
    <x v="218"/>
    <x v="179"/>
  </r>
  <r>
    <n v="1098711"/>
    <x v="73"/>
    <x v="3"/>
    <x v="350"/>
    <x v="88"/>
  </r>
  <r>
    <n v="1098711"/>
    <x v="73"/>
    <x v="3"/>
    <x v="351"/>
    <x v="176"/>
  </r>
  <r>
    <n v="1098711"/>
    <x v="73"/>
    <x v="3"/>
    <x v="352"/>
    <x v="346"/>
  </r>
  <r>
    <n v="1098711"/>
    <x v="73"/>
    <x v="3"/>
    <x v="217"/>
    <x v="146"/>
  </r>
  <r>
    <n v="1098711"/>
    <x v="73"/>
    <x v="3"/>
    <x v="219"/>
    <x v="363"/>
  </r>
  <r>
    <n v="1098711"/>
    <x v="73"/>
    <x v="3"/>
    <x v="315"/>
    <x v="364"/>
  </r>
  <r>
    <n v="1098711"/>
    <x v="73"/>
    <x v="3"/>
    <x v="318"/>
    <x v="168"/>
  </r>
  <r>
    <n v="1098711"/>
    <x v="73"/>
    <x v="3"/>
    <x v="220"/>
    <x v="144"/>
  </r>
  <r>
    <n v="1098711"/>
    <x v="73"/>
    <x v="3"/>
    <x v="221"/>
    <x v="149"/>
  </r>
  <r>
    <n v="1098711"/>
    <x v="73"/>
    <x v="3"/>
    <x v="213"/>
    <x v="91"/>
  </r>
  <r>
    <n v="1098711"/>
    <x v="73"/>
    <x v="3"/>
    <x v="214"/>
    <x v="198"/>
  </r>
  <r>
    <n v="1098711"/>
    <x v="73"/>
    <x v="3"/>
    <x v="215"/>
    <x v="198"/>
  </r>
  <r>
    <n v="1098711"/>
    <x v="1"/>
    <x v="1"/>
    <x v="2"/>
    <x v="2"/>
  </r>
  <r>
    <n v="1098712"/>
    <x v="74"/>
    <x v="2"/>
    <x v="276"/>
    <x v="2"/>
  </r>
  <r>
    <n v="1098712"/>
    <x v="1"/>
    <x v="1"/>
    <x v="2"/>
    <x v="2"/>
  </r>
  <r>
    <n v="1098717"/>
    <x v="75"/>
    <x v="6"/>
    <x v="353"/>
    <x v="2"/>
  </r>
  <r>
    <n v="1098717"/>
    <x v="1"/>
    <x v="1"/>
    <x v="2"/>
    <x v="2"/>
  </r>
  <r>
    <n v="1098720"/>
    <x v="76"/>
    <x v="11"/>
    <x v="320"/>
    <x v="365"/>
  </r>
  <r>
    <n v="1098720"/>
    <x v="76"/>
    <x v="11"/>
    <x v="327"/>
    <x v="366"/>
  </r>
  <r>
    <n v="1098720"/>
    <x v="1"/>
    <x v="1"/>
    <x v="2"/>
    <x v="2"/>
  </r>
  <r>
    <n v="1098721"/>
    <x v="77"/>
    <x v="5"/>
    <x v="354"/>
    <x v="367"/>
  </r>
  <r>
    <n v="1098721"/>
    <x v="77"/>
    <x v="5"/>
    <x v="355"/>
    <x v="322"/>
  </r>
  <r>
    <n v="1098721"/>
    <x v="77"/>
    <x v="5"/>
    <x v="356"/>
    <x v="368"/>
  </r>
  <r>
    <n v="1098721"/>
    <x v="77"/>
    <x v="5"/>
    <x v="357"/>
    <x v="369"/>
  </r>
  <r>
    <n v="1098721"/>
    <x v="77"/>
    <x v="5"/>
    <x v="358"/>
    <x v="370"/>
  </r>
  <r>
    <n v="1098721"/>
    <x v="77"/>
    <x v="5"/>
    <x v="359"/>
    <x v="371"/>
  </r>
  <r>
    <n v="1098721"/>
    <x v="77"/>
    <x v="5"/>
    <x v="360"/>
    <x v="372"/>
  </r>
  <r>
    <n v="1098721"/>
    <x v="77"/>
    <x v="5"/>
    <x v="361"/>
    <x v="373"/>
  </r>
  <r>
    <n v="1098721"/>
    <x v="77"/>
    <x v="5"/>
    <x v="362"/>
    <x v="374"/>
  </r>
  <r>
    <n v="1098721"/>
    <x v="77"/>
    <x v="5"/>
    <x v="363"/>
    <x v="373"/>
  </r>
  <r>
    <n v="1098721"/>
    <x v="77"/>
    <x v="5"/>
    <x v="364"/>
    <x v="57"/>
  </r>
  <r>
    <n v="1098721"/>
    <x v="77"/>
    <x v="5"/>
    <x v="365"/>
    <x v="202"/>
  </r>
  <r>
    <n v="1098721"/>
    <x v="77"/>
    <x v="5"/>
    <x v="366"/>
    <x v="218"/>
  </r>
  <r>
    <n v="1098721"/>
    <x v="77"/>
    <x v="5"/>
    <x v="367"/>
    <x v="150"/>
  </r>
  <r>
    <n v="1098721"/>
    <x v="77"/>
    <x v="5"/>
    <x v="368"/>
    <x v="375"/>
  </r>
  <r>
    <n v="1098721"/>
    <x v="77"/>
    <x v="5"/>
    <x v="369"/>
    <x v="376"/>
  </r>
  <r>
    <n v="1098721"/>
    <x v="77"/>
    <x v="5"/>
    <x v="370"/>
    <x v="377"/>
  </r>
  <r>
    <n v="1098721"/>
    <x v="77"/>
    <x v="5"/>
    <x v="371"/>
    <x v="173"/>
  </r>
  <r>
    <n v="1098721"/>
    <x v="77"/>
    <x v="5"/>
    <x v="372"/>
    <x v="378"/>
  </r>
  <r>
    <n v="1098721"/>
    <x v="77"/>
    <x v="5"/>
    <x v="373"/>
    <x v="379"/>
  </r>
  <r>
    <n v="1098721"/>
    <x v="77"/>
    <x v="5"/>
    <x v="374"/>
    <x v="380"/>
  </r>
  <r>
    <n v="1098721"/>
    <x v="77"/>
    <x v="5"/>
    <x v="375"/>
    <x v="217"/>
  </r>
  <r>
    <n v="1098721"/>
    <x v="77"/>
    <x v="5"/>
    <x v="376"/>
    <x v="381"/>
  </r>
  <r>
    <n v="1098721"/>
    <x v="77"/>
    <x v="5"/>
    <x v="377"/>
    <x v="382"/>
  </r>
  <r>
    <n v="1098721"/>
    <x v="1"/>
    <x v="1"/>
    <x v="2"/>
    <x v="2"/>
  </r>
  <r>
    <n v="1098726"/>
    <x v="78"/>
    <x v="2"/>
    <x v="56"/>
    <x v="383"/>
  </r>
  <r>
    <n v="1098726"/>
    <x v="78"/>
    <x v="2"/>
    <x v="57"/>
    <x v="384"/>
  </r>
  <r>
    <n v="1098726"/>
    <x v="78"/>
    <x v="2"/>
    <x v="80"/>
    <x v="385"/>
  </r>
  <r>
    <n v="1098726"/>
    <x v="78"/>
    <x v="2"/>
    <x v="67"/>
    <x v="238"/>
  </r>
  <r>
    <n v="1098726"/>
    <x v="78"/>
    <x v="2"/>
    <x v="83"/>
    <x v="97"/>
  </r>
  <r>
    <n v="1098726"/>
    <x v="78"/>
    <x v="2"/>
    <x v="64"/>
    <x v="386"/>
  </r>
  <r>
    <n v="1098726"/>
    <x v="78"/>
    <x v="2"/>
    <x v="59"/>
    <x v="113"/>
  </r>
  <r>
    <n v="1098726"/>
    <x v="78"/>
    <x v="2"/>
    <x v="66"/>
    <x v="387"/>
  </r>
  <r>
    <n v="1098726"/>
    <x v="78"/>
    <x v="2"/>
    <x v="71"/>
    <x v="232"/>
  </r>
  <r>
    <n v="1098726"/>
    <x v="78"/>
    <x v="2"/>
    <x v="62"/>
    <x v="78"/>
  </r>
  <r>
    <n v="1098726"/>
    <x v="78"/>
    <x v="2"/>
    <x v="58"/>
    <x v="51"/>
  </r>
  <r>
    <n v="1098726"/>
    <x v="78"/>
    <x v="2"/>
    <x v="69"/>
    <x v="388"/>
  </r>
  <r>
    <n v="1098726"/>
    <x v="78"/>
    <x v="2"/>
    <x v="73"/>
    <x v="154"/>
  </r>
  <r>
    <n v="1098726"/>
    <x v="78"/>
    <x v="2"/>
    <x v="81"/>
    <x v="389"/>
  </r>
  <r>
    <n v="1098726"/>
    <x v="78"/>
    <x v="2"/>
    <x v="76"/>
    <x v="387"/>
  </r>
  <r>
    <n v="1098726"/>
    <x v="78"/>
    <x v="2"/>
    <x v="61"/>
    <x v="390"/>
  </r>
  <r>
    <n v="1098726"/>
    <x v="78"/>
    <x v="2"/>
    <x v="79"/>
    <x v="5"/>
  </r>
  <r>
    <n v="1098726"/>
    <x v="78"/>
    <x v="2"/>
    <x v="74"/>
    <x v="92"/>
  </r>
  <r>
    <n v="1098726"/>
    <x v="78"/>
    <x v="2"/>
    <x v="82"/>
    <x v="164"/>
  </r>
  <r>
    <n v="1098726"/>
    <x v="78"/>
    <x v="2"/>
    <x v="78"/>
    <x v="391"/>
  </r>
  <r>
    <n v="1098726"/>
    <x v="78"/>
    <x v="2"/>
    <x v="65"/>
    <x v="4"/>
  </r>
  <r>
    <n v="1098726"/>
    <x v="78"/>
    <x v="2"/>
    <x v="68"/>
    <x v="392"/>
  </r>
  <r>
    <n v="1098726"/>
    <x v="78"/>
    <x v="2"/>
    <x v="60"/>
    <x v="363"/>
  </r>
  <r>
    <n v="1098726"/>
    <x v="78"/>
    <x v="2"/>
    <x v="84"/>
    <x v="90"/>
  </r>
  <r>
    <n v="1098726"/>
    <x v="78"/>
    <x v="2"/>
    <x v="75"/>
    <x v="21"/>
  </r>
  <r>
    <n v="1098726"/>
    <x v="78"/>
    <x v="2"/>
    <x v="55"/>
    <x v="24"/>
  </r>
  <r>
    <n v="1098726"/>
    <x v="78"/>
    <x v="2"/>
    <x v="70"/>
    <x v="156"/>
  </r>
  <r>
    <n v="1098726"/>
    <x v="78"/>
    <x v="2"/>
    <x v="63"/>
    <x v="98"/>
  </r>
  <r>
    <n v="1098726"/>
    <x v="1"/>
    <x v="1"/>
    <x v="2"/>
    <x v="2"/>
  </r>
  <r>
    <n v="1098740"/>
    <x v="79"/>
    <x v="9"/>
    <x v="319"/>
    <x v="393"/>
  </r>
  <r>
    <n v="1098740"/>
    <x v="79"/>
    <x v="9"/>
    <x v="322"/>
    <x v="394"/>
  </r>
  <r>
    <n v="1098740"/>
    <x v="1"/>
    <x v="1"/>
    <x v="2"/>
    <x v="2"/>
  </r>
  <r>
    <n v="1098741"/>
    <x v="80"/>
    <x v="12"/>
    <x v="378"/>
    <x v="395"/>
  </r>
  <r>
    <n v="1098741"/>
    <x v="80"/>
    <x v="12"/>
    <x v="379"/>
    <x v="396"/>
  </r>
  <r>
    <n v="1098741"/>
    <x v="80"/>
    <x v="12"/>
    <x v="380"/>
    <x v="397"/>
  </r>
  <r>
    <n v="1098741"/>
    <x v="80"/>
    <x v="12"/>
    <x v="381"/>
    <x v="398"/>
  </r>
  <r>
    <n v="1098741"/>
    <x v="80"/>
    <x v="12"/>
    <x v="382"/>
    <x v="399"/>
  </r>
  <r>
    <n v="1098741"/>
    <x v="1"/>
    <x v="1"/>
    <x v="2"/>
    <x v="2"/>
  </r>
  <r>
    <n v="1098743"/>
    <x v="81"/>
    <x v="3"/>
    <x v="340"/>
    <x v="400"/>
  </r>
  <r>
    <n v="1098743"/>
    <x v="81"/>
    <x v="3"/>
    <x v="5"/>
    <x v="346"/>
  </r>
  <r>
    <n v="1098743"/>
    <x v="81"/>
    <x v="3"/>
    <x v="342"/>
    <x v="227"/>
  </r>
  <r>
    <n v="1098743"/>
    <x v="81"/>
    <x v="3"/>
    <x v="343"/>
    <x v="401"/>
  </r>
  <r>
    <n v="1098743"/>
    <x v="81"/>
    <x v="3"/>
    <x v="14"/>
    <x v="402"/>
  </r>
  <r>
    <n v="1098743"/>
    <x v="81"/>
    <x v="3"/>
    <x v="15"/>
    <x v="403"/>
  </r>
  <r>
    <n v="1098743"/>
    <x v="81"/>
    <x v="3"/>
    <x v="12"/>
    <x v="3"/>
  </r>
  <r>
    <n v="1098743"/>
    <x v="81"/>
    <x v="3"/>
    <x v="11"/>
    <x v="228"/>
  </r>
  <r>
    <n v="1098743"/>
    <x v="81"/>
    <x v="3"/>
    <x v="344"/>
    <x v="404"/>
  </r>
  <r>
    <n v="1098743"/>
    <x v="81"/>
    <x v="3"/>
    <x v="10"/>
    <x v="405"/>
  </r>
  <r>
    <n v="1098743"/>
    <x v="81"/>
    <x v="3"/>
    <x v="9"/>
    <x v="380"/>
  </r>
  <r>
    <n v="1098743"/>
    <x v="81"/>
    <x v="3"/>
    <x v="8"/>
    <x v="180"/>
  </r>
  <r>
    <n v="1098743"/>
    <x v="81"/>
    <x v="3"/>
    <x v="7"/>
    <x v="406"/>
  </r>
  <r>
    <n v="1098743"/>
    <x v="81"/>
    <x v="3"/>
    <x v="6"/>
    <x v="233"/>
  </r>
  <r>
    <n v="1098743"/>
    <x v="81"/>
    <x v="3"/>
    <x v="13"/>
    <x v="407"/>
  </r>
  <r>
    <n v="1098743"/>
    <x v="81"/>
    <x v="3"/>
    <x v="345"/>
    <x v="408"/>
  </r>
  <r>
    <n v="1098743"/>
    <x v="81"/>
    <x v="3"/>
    <x v="346"/>
    <x v="233"/>
  </r>
  <r>
    <n v="1098743"/>
    <x v="81"/>
    <x v="3"/>
    <x v="347"/>
    <x v="409"/>
  </r>
  <r>
    <n v="1098743"/>
    <x v="81"/>
    <x v="3"/>
    <x v="348"/>
    <x v="123"/>
  </r>
  <r>
    <n v="1098743"/>
    <x v="81"/>
    <x v="3"/>
    <x v="349"/>
    <x v="407"/>
  </r>
  <r>
    <n v="1098743"/>
    <x v="81"/>
    <x v="3"/>
    <x v="331"/>
    <x v="48"/>
  </r>
  <r>
    <n v="1098743"/>
    <x v="81"/>
    <x v="3"/>
    <x v="332"/>
    <x v="410"/>
  </r>
  <r>
    <n v="1098743"/>
    <x v="81"/>
    <x v="3"/>
    <x v="333"/>
    <x v="409"/>
  </r>
  <r>
    <n v="1098743"/>
    <x v="81"/>
    <x v="3"/>
    <x v="334"/>
    <x v="411"/>
  </r>
  <r>
    <n v="1098743"/>
    <x v="81"/>
    <x v="3"/>
    <x v="350"/>
    <x v="53"/>
  </r>
  <r>
    <n v="1098743"/>
    <x v="81"/>
    <x v="3"/>
    <x v="351"/>
    <x v="406"/>
  </r>
  <r>
    <n v="1098743"/>
    <x v="81"/>
    <x v="3"/>
    <x v="352"/>
    <x v="219"/>
  </r>
  <r>
    <n v="1098743"/>
    <x v="81"/>
    <x v="3"/>
    <x v="336"/>
    <x v="412"/>
  </r>
  <r>
    <n v="1098743"/>
    <x v="81"/>
    <x v="3"/>
    <x v="337"/>
    <x v="413"/>
  </r>
  <r>
    <n v="1098743"/>
    <x v="81"/>
    <x v="3"/>
    <x v="338"/>
    <x v="404"/>
  </r>
  <r>
    <n v="1098743"/>
    <x v="81"/>
    <x v="3"/>
    <x v="339"/>
    <x v="414"/>
  </r>
  <r>
    <n v="1098743"/>
    <x v="81"/>
    <x v="3"/>
    <x v="335"/>
    <x v="415"/>
  </r>
  <r>
    <n v="1098743"/>
    <x v="1"/>
    <x v="1"/>
    <x v="2"/>
    <x v="2"/>
  </r>
  <r>
    <n v="1098756"/>
    <x v="82"/>
    <x v="13"/>
    <x v="383"/>
    <x v="416"/>
  </r>
  <r>
    <n v="1098756"/>
    <x v="82"/>
    <x v="13"/>
    <x v="384"/>
    <x v="417"/>
  </r>
  <r>
    <n v="1098756"/>
    <x v="82"/>
    <x v="13"/>
    <x v="385"/>
    <x v="418"/>
  </r>
  <r>
    <n v="1098756"/>
    <x v="82"/>
    <x v="13"/>
    <x v="386"/>
    <x v="419"/>
  </r>
  <r>
    <n v="1098756"/>
    <x v="1"/>
    <x v="1"/>
    <x v="2"/>
    <x v="2"/>
  </r>
  <r>
    <n v="1098802"/>
    <x v="83"/>
    <x v="6"/>
    <x v="294"/>
    <x v="420"/>
  </r>
  <r>
    <n v="1098802"/>
    <x v="83"/>
    <x v="6"/>
    <x v="293"/>
    <x v="421"/>
  </r>
  <r>
    <n v="1098802"/>
    <x v="83"/>
    <x v="6"/>
    <x v="290"/>
    <x v="422"/>
  </r>
  <r>
    <n v="1098802"/>
    <x v="1"/>
    <x v="1"/>
    <x v="2"/>
    <x v="2"/>
  </r>
  <r>
    <n v="1098805"/>
    <x v="84"/>
    <x v="2"/>
    <x v="387"/>
    <x v="423"/>
  </r>
  <r>
    <n v="1098805"/>
    <x v="84"/>
    <x v="2"/>
    <x v="388"/>
    <x v="424"/>
  </r>
  <r>
    <n v="1098805"/>
    <x v="84"/>
    <x v="2"/>
    <x v="389"/>
    <x v="425"/>
  </r>
  <r>
    <n v="1098805"/>
    <x v="84"/>
    <x v="2"/>
    <x v="390"/>
    <x v="426"/>
  </r>
  <r>
    <n v="1098805"/>
    <x v="1"/>
    <x v="1"/>
    <x v="2"/>
    <x v="2"/>
  </r>
  <r>
    <n v="1098806"/>
    <x v="85"/>
    <x v="3"/>
    <x v="351"/>
    <x v="406"/>
  </r>
  <r>
    <n v="1098806"/>
    <x v="85"/>
    <x v="3"/>
    <x v="352"/>
    <x v="219"/>
  </r>
  <r>
    <n v="1098806"/>
    <x v="85"/>
    <x v="3"/>
    <x v="335"/>
    <x v="415"/>
  </r>
  <r>
    <n v="1098806"/>
    <x v="85"/>
    <x v="3"/>
    <x v="336"/>
    <x v="412"/>
  </r>
  <r>
    <n v="1098806"/>
    <x v="85"/>
    <x v="3"/>
    <x v="337"/>
    <x v="413"/>
  </r>
  <r>
    <n v="1098806"/>
    <x v="85"/>
    <x v="3"/>
    <x v="338"/>
    <x v="404"/>
  </r>
  <r>
    <n v="1098806"/>
    <x v="85"/>
    <x v="3"/>
    <x v="340"/>
    <x v="400"/>
  </r>
  <r>
    <n v="1098806"/>
    <x v="85"/>
    <x v="3"/>
    <x v="339"/>
    <x v="414"/>
  </r>
  <r>
    <n v="1098806"/>
    <x v="85"/>
    <x v="3"/>
    <x v="5"/>
    <x v="346"/>
  </r>
  <r>
    <n v="1098806"/>
    <x v="85"/>
    <x v="3"/>
    <x v="342"/>
    <x v="227"/>
  </r>
  <r>
    <n v="1098806"/>
    <x v="85"/>
    <x v="3"/>
    <x v="343"/>
    <x v="401"/>
  </r>
  <r>
    <n v="1098806"/>
    <x v="85"/>
    <x v="3"/>
    <x v="14"/>
    <x v="402"/>
  </r>
  <r>
    <n v="1098806"/>
    <x v="85"/>
    <x v="3"/>
    <x v="15"/>
    <x v="403"/>
  </r>
  <r>
    <n v="1098806"/>
    <x v="85"/>
    <x v="3"/>
    <x v="12"/>
    <x v="3"/>
  </r>
  <r>
    <n v="1098806"/>
    <x v="85"/>
    <x v="3"/>
    <x v="11"/>
    <x v="228"/>
  </r>
  <r>
    <n v="1098806"/>
    <x v="85"/>
    <x v="3"/>
    <x v="344"/>
    <x v="404"/>
  </r>
  <r>
    <n v="1098806"/>
    <x v="85"/>
    <x v="3"/>
    <x v="10"/>
    <x v="405"/>
  </r>
  <r>
    <n v="1098806"/>
    <x v="85"/>
    <x v="3"/>
    <x v="9"/>
    <x v="380"/>
  </r>
  <r>
    <n v="1098806"/>
    <x v="85"/>
    <x v="3"/>
    <x v="8"/>
    <x v="180"/>
  </r>
  <r>
    <n v="1098806"/>
    <x v="85"/>
    <x v="3"/>
    <x v="7"/>
    <x v="406"/>
  </r>
  <r>
    <n v="1098806"/>
    <x v="85"/>
    <x v="3"/>
    <x v="6"/>
    <x v="233"/>
  </r>
  <r>
    <n v="1098806"/>
    <x v="85"/>
    <x v="3"/>
    <x v="13"/>
    <x v="407"/>
  </r>
  <r>
    <n v="1098806"/>
    <x v="85"/>
    <x v="3"/>
    <x v="345"/>
    <x v="408"/>
  </r>
  <r>
    <n v="1098806"/>
    <x v="85"/>
    <x v="3"/>
    <x v="346"/>
    <x v="233"/>
  </r>
  <r>
    <n v="1098806"/>
    <x v="85"/>
    <x v="3"/>
    <x v="347"/>
    <x v="409"/>
  </r>
  <r>
    <n v="1098806"/>
    <x v="85"/>
    <x v="3"/>
    <x v="348"/>
    <x v="123"/>
  </r>
  <r>
    <n v="1098806"/>
    <x v="85"/>
    <x v="3"/>
    <x v="349"/>
    <x v="407"/>
  </r>
  <r>
    <n v="1098806"/>
    <x v="85"/>
    <x v="3"/>
    <x v="331"/>
    <x v="48"/>
  </r>
  <r>
    <n v="1098806"/>
    <x v="85"/>
    <x v="3"/>
    <x v="332"/>
    <x v="410"/>
  </r>
  <r>
    <n v="1098806"/>
    <x v="85"/>
    <x v="3"/>
    <x v="333"/>
    <x v="409"/>
  </r>
  <r>
    <n v="1098806"/>
    <x v="85"/>
    <x v="3"/>
    <x v="334"/>
    <x v="411"/>
  </r>
  <r>
    <n v="1098806"/>
    <x v="85"/>
    <x v="3"/>
    <x v="350"/>
    <x v="53"/>
  </r>
  <r>
    <n v="1098806"/>
    <x v="1"/>
    <x v="1"/>
    <x v="2"/>
    <x v="2"/>
  </r>
  <r>
    <n v="1098807"/>
    <x v="86"/>
    <x v="3"/>
    <x v="125"/>
    <x v="170"/>
  </r>
  <r>
    <n v="1098807"/>
    <x v="86"/>
    <x v="3"/>
    <x v="131"/>
    <x v="88"/>
  </r>
  <r>
    <n v="1098807"/>
    <x v="86"/>
    <x v="3"/>
    <x v="136"/>
    <x v="346"/>
  </r>
  <r>
    <n v="1098807"/>
    <x v="86"/>
    <x v="3"/>
    <x v="143"/>
    <x v="98"/>
  </r>
  <r>
    <n v="1098807"/>
    <x v="86"/>
    <x v="3"/>
    <x v="148"/>
    <x v="170"/>
  </r>
  <r>
    <n v="1098807"/>
    <x v="86"/>
    <x v="3"/>
    <x v="153"/>
    <x v="97"/>
  </r>
  <r>
    <n v="1098807"/>
    <x v="86"/>
    <x v="3"/>
    <x v="340"/>
    <x v="218"/>
  </r>
  <r>
    <n v="1098807"/>
    <x v="86"/>
    <x v="3"/>
    <x v="314"/>
    <x v="346"/>
  </r>
  <r>
    <n v="1098807"/>
    <x v="86"/>
    <x v="3"/>
    <x v="265"/>
    <x v="198"/>
  </r>
  <r>
    <n v="1098807"/>
    <x v="86"/>
    <x v="3"/>
    <x v="261"/>
    <x v="34"/>
  </r>
  <r>
    <n v="1098807"/>
    <x v="86"/>
    <x v="3"/>
    <x v="256"/>
    <x v="233"/>
  </r>
  <r>
    <n v="1098807"/>
    <x v="86"/>
    <x v="3"/>
    <x v="246"/>
    <x v="151"/>
  </r>
  <r>
    <n v="1098807"/>
    <x v="86"/>
    <x v="3"/>
    <x v="341"/>
    <x v="64"/>
  </r>
  <r>
    <n v="1098807"/>
    <x v="86"/>
    <x v="3"/>
    <x v="238"/>
    <x v="357"/>
  </r>
  <r>
    <n v="1098807"/>
    <x v="86"/>
    <x v="3"/>
    <x v="241"/>
    <x v="144"/>
  </r>
  <r>
    <n v="1098807"/>
    <x v="86"/>
    <x v="3"/>
    <x v="236"/>
    <x v="217"/>
  </r>
  <r>
    <n v="1098807"/>
    <x v="86"/>
    <x v="3"/>
    <x v="231"/>
    <x v="220"/>
  </r>
  <r>
    <n v="1098807"/>
    <x v="86"/>
    <x v="3"/>
    <x v="226"/>
    <x v="224"/>
  </r>
  <r>
    <n v="1098807"/>
    <x v="86"/>
    <x v="3"/>
    <x v="216"/>
    <x v="62"/>
  </r>
  <r>
    <n v="1098807"/>
    <x v="86"/>
    <x v="3"/>
    <x v="211"/>
    <x v="77"/>
  </r>
  <r>
    <n v="1098807"/>
    <x v="86"/>
    <x v="3"/>
    <x v="207"/>
    <x v="61"/>
  </r>
  <r>
    <n v="1098807"/>
    <x v="86"/>
    <x v="3"/>
    <x v="5"/>
    <x v="3"/>
  </r>
  <r>
    <n v="1098807"/>
    <x v="86"/>
    <x v="3"/>
    <x v="223"/>
    <x v="3"/>
  </r>
  <r>
    <n v="1098807"/>
    <x v="86"/>
    <x v="3"/>
    <x v="222"/>
    <x v="51"/>
  </r>
  <r>
    <n v="1098807"/>
    <x v="86"/>
    <x v="3"/>
    <x v="215"/>
    <x v="198"/>
  </r>
  <r>
    <n v="1098807"/>
    <x v="86"/>
    <x v="3"/>
    <x v="214"/>
    <x v="198"/>
  </r>
  <r>
    <n v="1098807"/>
    <x v="86"/>
    <x v="3"/>
    <x v="213"/>
    <x v="91"/>
  </r>
  <r>
    <n v="1098807"/>
    <x v="86"/>
    <x v="3"/>
    <x v="212"/>
    <x v="84"/>
  </r>
  <r>
    <n v="1098807"/>
    <x v="86"/>
    <x v="3"/>
    <x v="210"/>
    <x v="347"/>
  </r>
  <r>
    <n v="1098807"/>
    <x v="86"/>
    <x v="3"/>
    <x v="209"/>
    <x v="351"/>
  </r>
  <r>
    <n v="1098807"/>
    <x v="86"/>
    <x v="3"/>
    <x v="250"/>
    <x v="161"/>
  </r>
  <r>
    <n v="1098807"/>
    <x v="86"/>
    <x v="3"/>
    <x v="208"/>
    <x v="79"/>
  </r>
  <r>
    <n v="1098807"/>
    <x v="86"/>
    <x v="3"/>
    <x v="206"/>
    <x v="88"/>
  </r>
  <r>
    <n v="1098807"/>
    <x v="86"/>
    <x v="3"/>
    <x v="257"/>
    <x v="149"/>
  </r>
  <r>
    <n v="1098807"/>
    <x v="86"/>
    <x v="3"/>
    <x v="247"/>
    <x v="62"/>
  </r>
  <r>
    <n v="1098807"/>
    <x v="86"/>
    <x v="3"/>
    <x v="242"/>
    <x v="156"/>
  </r>
  <r>
    <n v="1098807"/>
    <x v="86"/>
    <x v="3"/>
    <x v="237"/>
    <x v="356"/>
  </r>
  <r>
    <n v="1098807"/>
    <x v="86"/>
    <x v="3"/>
    <x v="233"/>
    <x v="344"/>
  </r>
  <r>
    <n v="1098807"/>
    <x v="86"/>
    <x v="3"/>
    <x v="227"/>
    <x v="353"/>
  </r>
  <r>
    <n v="1098807"/>
    <x v="86"/>
    <x v="3"/>
    <x v="221"/>
    <x v="149"/>
  </r>
  <r>
    <n v="1098807"/>
    <x v="86"/>
    <x v="3"/>
    <x v="343"/>
    <x v="64"/>
  </r>
  <r>
    <n v="1098807"/>
    <x v="86"/>
    <x v="3"/>
    <x v="11"/>
    <x v="347"/>
  </r>
  <r>
    <n v="1098807"/>
    <x v="86"/>
    <x v="3"/>
    <x v="7"/>
    <x v="176"/>
  </r>
  <r>
    <n v="1098807"/>
    <x v="86"/>
    <x v="3"/>
    <x v="345"/>
    <x v="153"/>
  </r>
  <r>
    <n v="1098807"/>
    <x v="86"/>
    <x v="3"/>
    <x v="331"/>
    <x v="79"/>
  </r>
  <r>
    <n v="1098807"/>
    <x v="86"/>
    <x v="3"/>
    <x v="351"/>
    <x v="176"/>
  </r>
  <r>
    <n v="1098807"/>
    <x v="86"/>
    <x v="3"/>
    <x v="338"/>
    <x v="179"/>
  </r>
  <r>
    <n v="1098807"/>
    <x v="86"/>
    <x v="3"/>
    <x v="162"/>
    <x v="161"/>
  </r>
  <r>
    <n v="1098807"/>
    <x v="86"/>
    <x v="3"/>
    <x v="126"/>
    <x v="346"/>
  </r>
  <r>
    <n v="1098807"/>
    <x v="86"/>
    <x v="3"/>
    <x v="132"/>
    <x v="98"/>
  </r>
  <r>
    <n v="1098807"/>
    <x v="86"/>
    <x v="3"/>
    <x v="137"/>
    <x v="170"/>
  </r>
  <r>
    <n v="1098807"/>
    <x v="86"/>
    <x v="3"/>
    <x v="144"/>
    <x v="347"/>
  </r>
  <r>
    <n v="1098807"/>
    <x v="86"/>
    <x v="3"/>
    <x v="149"/>
    <x v="348"/>
  </r>
  <r>
    <n v="1098807"/>
    <x v="86"/>
    <x v="3"/>
    <x v="316"/>
    <x v="350"/>
  </r>
  <r>
    <n v="1098807"/>
    <x v="86"/>
    <x v="3"/>
    <x v="155"/>
    <x v="358"/>
  </r>
  <r>
    <n v="1098807"/>
    <x v="86"/>
    <x v="3"/>
    <x v="318"/>
    <x v="168"/>
  </r>
  <r>
    <n v="1098807"/>
    <x v="86"/>
    <x v="3"/>
    <x v="264"/>
    <x v="77"/>
  </r>
  <r>
    <n v="1098807"/>
    <x v="86"/>
    <x v="3"/>
    <x v="260"/>
    <x v="182"/>
  </r>
  <r>
    <n v="1098807"/>
    <x v="86"/>
    <x v="3"/>
    <x v="218"/>
    <x v="179"/>
  </r>
  <r>
    <n v="1098807"/>
    <x v="86"/>
    <x v="3"/>
    <x v="245"/>
    <x v="92"/>
  </r>
  <r>
    <n v="1098807"/>
    <x v="86"/>
    <x v="3"/>
    <x v="240"/>
    <x v="198"/>
  </r>
  <r>
    <n v="1098807"/>
    <x v="86"/>
    <x v="3"/>
    <x v="235"/>
    <x v="217"/>
  </r>
  <r>
    <n v="1098807"/>
    <x v="86"/>
    <x v="3"/>
    <x v="230"/>
    <x v="204"/>
  </r>
  <r>
    <n v="1098807"/>
    <x v="86"/>
    <x v="3"/>
    <x v="225"/>
    <x v="89"/>
  </r>
  <r>
    <n v="1098807"/>
    <x v="86"/>
    <x v="3"/>
    <x v="252"/>
    <x v="88"/>
  </r>
  <r>
    <n v="1098807"/>
    <x v="86"/>
    <x v="3"/>
    <x v="14"/>
    <x v="202"/>
  </r>
  <r>
    <n v="1098807"/>
    <x v="86"/>
    <x v="3"/>
    <x v="344"/>
    <x v="179"/>
  </r>
  <r>
    <n v="1098807"/>
    <x v="86"/>
    <x v="3"/>
    <x v="6"/>
    <x v="198"/>
  </r>
  <r>
    <n v="1098807"/>
    <x v="86"/>
    <x v="3"/>
    <x v="346"/>
    <x v="198"/>
  </r>
  <r>
    <n v="1098807"/>
    <x v="86"/>
    <x v="3"/>
    <x v="332"/>
    <x v="156"/>
  </r>
  <r>
    <n v="1098807"/>
    <x v="86"/>
    <x v="3"/>
    <x v="352"/>
    <x v="346"/>
  </r>
  <r>
    <n v="1098807"/>
    <x v="86"/>
    <x v="3"/>
    <x v="339"/>
    <x v="34"/>
  </r>
  <r>
    <n v="1098807"/>
    <x v="86"/>
    <x v="3"/>
    <x v="154"/>
    <x v="4"/>
  </r>
  <r>
    <n v="1098807"/>
    <x v="86"/>
    <x v="3"/>
    <x v="127"/>
    <x v="83"/>
  </r>
  <r>
    <n v="1098807"/>
    <x v="86"/>
    <x v="3"/>
    <x v="133"/>
    <x v="97"/>
  </r>
  <r>
    <n v="1098807"/>
    <x v="86"/>
    <x v="3"/>
    <x v="337"/>
    <x v="97"/>
  </r>
  <r>
    <n v="1098807"/>
    <x v="86"/>
    <x v="3"/>
    <x v="161"/>
    <x v="4"/>
  </r>
  <r>
    <n v="1098807"/>
    <x v="86"/>
    <x v="3"/>
    <x v="232"/>
    <x v="92"/>
  </r>
  <r>
    <n v="1098807"/>
    <x v="86"/>
    <x v="3"/>
    <x v="228"/>
    <x v="354"/>
  </r>
  <r>
    <n v="1098807"/>
    <x v="86"/>
    <x v="3"/>
    <x v="158"/>
    <x v="361"/>
  </r>
  <r>
    <n v="1098807"/>
    <x v="86"/>
    <x v="3"/>
    <x v="9"/>
    <x v="347"/>
  </r>
  <r>
    <n v="1098807"/>
    <x v="86"/>
    <x v="3"/>
    <x v="253"/>
    <x v="197"/>
  </r>
  <r>
    <n v="1098807"/>
    <x v="86"/>
    <x v="3"/>
    <x v="348"/>
    <x v="42"/>
  </r>
  <r>
    <n v="1098807"/>
    <x v="86"/>
    <x v="3"/>
    <x v="334"/>
    <x v="162"/>
  </r>
  <r>
    <n v="1098807"/>
    <x v="86"/>
    <x v="3"/>
    <x v="336"/>
    <x v="144"/>
  </r>
  <r>
    <n v="1098807"/>
    <x v="86"/>
    <x v="3"/>
    <x v="160"/>
    <x v="77"/>
  </r>
  <r>
    <n v="1098807"/>
    <x v="86"/>
    <x v="3"/>
    <x v="124"/>
    <x v="77"/>
  </r>
  <r>
    <n v="1098807"/>
    <x v="86"/>
    <x v="3"/>
    <x v="129"/>
    <x v="83"/>
  </r>
  <r>
    <n v="1098807"/>
    <x v="86"/>
    <x v="3"/>
    <x v="135"/>
    <x v="161"/>
  </r>
  <r>
    <n v="1098807"/>
    <x v="86"/>
    <x v="3"/>
    <x v="142"/>
    <x v="217"/>
  </r>
  <r>
    <n v="1098807"/>
    <x v="86"/>
    <x v="3"/>
    <x v="147"/>
    <x v="170"/>
  </r>
  <r>
    <n v="1098807"/>
    <x v="86"/>
    <x v="3"/>
    <x v="152"/>
    <x v="154"/>
  </r>
  <r>
    <n v="1098807"/>
    <x v="86"/>
    <x v="3"/>
    <x v="140"/>
    <x v="202"/>
  </r>
  <r>
    <n v="1098807"/>
    <x v="86"/>
    <x v="3"/>
    <x v="315"/>
    <x v="364"/>
  </r>
  <r>
    <n v="1098807"/>
    <x v="86"/>
    <x v="3"/>
    <x v="204"/>
    <x v="161"/>
  </r>
  <r>
    <n v="1098807"/>
    <x v="86"/>
    <x v="3"/>
    <x v="249"/>
    <x v="78"/>
  </r>
  <r>
    <n v="1098807"/>
    <x v="86"/>
    <x v="3"/>
    <x v="138"/>
    <x v="4"/>
  </r>
  <r>
    <n v="1098807"/>
    <x v="86"/>
    <x v="3"/>
    <x v="145"/>
    <x v="154"/>
  </r>
  <r>
    <n v="1098807"/>
    <x v="86"/>
    <x v="3"/>
    <x v="150"/>
    <x v="349"/>
  </r>
  <r>
    <n v="1098807"/>
    <x v="86"/>
    <x v="3"/>
    <x v="130"/>
    <x v="97"/>
  </r>
  <r>
    <n v="1098807"/>
    <x v="86"/>
    <x v="3"/>
    <x v="156"/>
    <x v="359"/>
  </r>
  <r>
    <n v="1098807"/>
    <x v="86"/>
    <x v="3"/>
    <x v="317"/>
    <x v="156"/>
  </r>
  <r>
    <n v="1098807"/>
    <x v="86"/>
    <x v="3"/>
    <x v="263"/>
    <x v="105"/>
  </r>
  <r>
    <n v="1098807"/>
    <x v="86"/>
    <x v="3"/>
    <x v="259"/>
    <x v="79"/>
  </r>
  <r>
    <n v="1098807"/>
    <x v="86"/>
    <x v="3"/>
    <x v="220"/>
    <x v="144"/>
  </r>
  <r>
    <n v="1098807"/>
    <x v="86"/>
    <x v="3"/>
    <x v="217"/>
    <x v="146"/>
  </r>
  <r>
    <n v="1098807"/>
    <x v="86"/>
    <x v="3"/>
    <x v="244"/>
    <x v="344"/>
  </r>
  <r>
    <n v="1098807"/>
    <x v="86"/>
    <x v="3"/>
    <x v="239"/>
    <x v="62"/>
  </r>
  <r>
    <n v="1098807"/>
    <x v="86"/>
    <x v="3"/>
    <x v="234"/>
    <x v="84"/>
  </r>
  <r>
    <n v="1098807"/>
    <x v="86"/>
    <x v="3"/>
    <x v="229"/>
    <x v="355"/>
  </r>
  <r>
    <n v="1098807"/>
    <x v="86"/>
    <x v="3"/>
    <x v="224"/>
    <x v="352"/>
  </r>
  <r>
    <n v="1098807"/>
    <x v="86"/>
    <x v="3"/>
    <x v="255"/>
    <x v="80"/>
  </r>
  <r>
    <n v="1098807"/>
    <x v="86"/>
    <x v="3"/>
    <x v="342"/>
    <x v="347"/>
  </r>
  <r>
    <n v="1098807"/>
    <x v="86"/>
    <x v="3"/>
    <x v="12"/>
    <x v="3"/>
  </r>
  <r>
    <n v="1098807"/>
    <x v="86"/>
    <x v="3"/>
    <x v="8"/>
    <x v="176"/>
  </r>
  <r>
    <n v="1098807"/>
    <x v="86"/>
    <x v="3"/>
    <x v="254"/>
    <x v="98"/>
  </r>
  <r>
    <n v="1098807"/>
    <x v="86"/>
    <x v="3"/>
    <x v="349"/>
    <x v="170"/>
  </r>
  <r>
    <n v="1098807"/>
    <x v="86"/>
    <x v="3"/>
    <x v="350"/>
    <x v="88"/>
  </r>
  <r>
    <n v="1098807"/>
    <x v="86"/>
    <x v="3"/>
    <x v="251"/>
    <x v="170"/>
  </r>
  <r>
    <n v="1098807"/>
    <x v="86"/>
    <x v="3"/>
    <x v="157"/>
    <x v="360"/>
  </r>
  <r>
    <n v="1098807"/>
    <x v="86"/>
    <x v="3"/>
    <x v="15"/>
    <x v="362"/>
  </r>
  <r>
    <n v="1098807"/>
    <x v="86"/>
    <x v="3"/>
    <x v="10"/>
    <x v="105"/>
  </r>
  <r>
    <n v="1098807"/>
    <x v="86"/>
    <x v="3"/>
    <x v="13"/>
    <x v="170"/>
  </r>
  <r>
    <n v="1098807"/>
    <x v="86"/>
    <x v="3"/>
    <x v="347"/>
    <x v="42"/>
  </r>
  <r>
    <n v="1098807"/>
    <x v="86"/>
    <x v="3"/>
    <x v="333"/>
    <x v="42"/>
  </r>
  <r>
    <n v="1098807"/>
    <x v="86"/>
    <x v="3"/>
    <x v="335"/>
    <x v="97"/>
  </r>
  <r>
    <n v="1098807"/>
    <x v="86"/>
    <x v="3"/>
    <x v="159"/>
    <x v="178"/>
  </r>
  <r>
    <n v="1098807"/>
    <x v="86"/>
    <x v="3"/>
    <x v="163"/>
    <x v="178"/>
  </r>
  <r>
    <n v="1098807"/>
    <x v="86"/>
    <x v="3"/>
    <x v="128"/>
    <x v="42"/>
  </r>
  <r>
    <n v="1098807"/>
    <x v="86"/>
    <x v="3"/>
    <x v="134"/>
    <x v="144"/>
  </r>
  <r>
    <n v="1098807"/>
    <x v="86"/>
    <x v="3"/>
    <x v="141"/>
    <x v="77"/>
  </r>
  <r>
    <n v="1098807"/>
    <x v="86"/>
    <x v="3"/>
    <x v="146"/>
    <x v="83"/>
  </r>
  <r>
    <n v="1098807"/>
    <x v="86"/>
    <x v="3"/>
    <x v="151"/>
    <x v="204"/>
  </r>
  <r>
    <n v="1098807"/>
    <x v="86"/>
    <x v="3"/>
    <x v="139"/>
    <x v="144"/>
  </r>
  <r>
    <n v="1098807"/>
    <x v="86"/>
    <x v="3"/>
    <x v="313"/>
    <x v="90"/>
  </r>
  <r>
    <n v="1098807"/>
    <x v="86"/>
    <x v="3"/>
    <x v="205"/>
    <x v="198"/>
  </r>
  <r>
    <n v="1098807"/>
    <x v="86"/>
    <x v="3"/>
    <x v="262"/>
    <x v="4"/>
  </r>
  <r>
    <n v="1098807"/>
    <x v="86"/>
    <x v="3"/>
    <x v="258"/>
    <x v="198"/>
  </r>
  <r>
    <n v="1098807"/>
    <x v="86"/>
    <x v="3"/>
    <x v="219"/>
    <x v="363"/>
  </r>
  <r>
    <n v="1098807"/>
    <x v="86"/>
    <x v="3"/>
    <x v="248"/>
    <x v="348"/>
  </r>
  <r>
    <n v="1098807"/>
    <x v="86"/>
    <x v="3"/>
    <x v="243"/>
    <x v="82"/>
  </r>
  <r>
    <n v="1098807"/>
    <x v="1"/>
    <x v="1"/>
    <x v="2"/>
    <x v="2"/>
  </r>
  <r>
    <n v="1098809"/>
    <x v="87"/>
    <x v="3"/>
    <x v="147"/>
    <x v="24"/>
  </r>
  <r>
    <n v="1098809"/>
    <x v="87"/>
    <x v="3"/>
    <x v="148"/>
    <x v="144"/>
  </r>
  <r>
    <n v="1098809"/>
    <x v="87"/>
    <x v="3"/>
    <x v="149"/>
    <x v="154"/>
  </r>
  <r>
    <n v="1098809"/>
    <x v="87"/>
    <x v="3"/>
    <x v="150"/>
    <x v="155"/>
  </r>
  <r>
    <n v="1098809"/>
    <x v="87"/>
    <x v="3"/>
    <x v="151"/>
    <x v="35"/>
  </r>
  <r>
    <n v="1098809"/>
    <x v="87"/>
    <x v="3"/>
    <x v="152"/>
    <x v="156"/>
  </r>
  <r>
    <n v="1098809"/>
    <x v="87"/>
    <x v="3"/>
    <x v="153"/>
    <x v="147"/>
  </r>
  <r>
    <n v="1098809"/>
    <x v="87"/>
    <x v="3"/>
    <x v="130"/>
    <x v="145"/>
  </r>
  <r>
    <n v="1098809"/>
    <x v="87"/>
    <x v="3"/>
    <x v="139"/>
    <x v="37"/>
  </r>
  <r>
    <n v="1098809"/>
    <x v="87"/>
    <x v="3"/>
    <x v="140"/>
    <x v="150"/>
  </r>
  <r>
    <n v="1098809"/>
    <x v="87"/>
    <x v="3"/>
    <x v="155"/>
    <x v="157"/>
  </r>
  <r>
    <n v="1098809"/>
    <x v="87"/>
    <x v="3"/>
    <x v="156"/>
    <x v="158"/>
  </r>
  <r>
    <n v="1098809"/>
    <x v="87"/>
    <x v="3"/>
    <x v="157"/>
    <x v="159"/>
  </r>
  <r>
    <n v="1098809"/>
    <x v="87"/>
    <x v="3"/>
    <x v="158"/>
    <x v="160"/>
  </r>
  <r>
    <n v="1098809"/>
    <x v="87"/>
    <x v="3"/>
    <x v="159"/>
    <x v="161"/>
  </r>
  <r>
    <n v="1098809"/>
    <x v="87"/>
    <x v="3"/>
    <x v="160"/>
    <x v="162"/>
  </r>
  <r>
    <n v="1098809"/>
    <x v="87"/>
    <x v="3"/>
    <x v="161"/>
    <x v="163"/>
  </r>
  <r>
    <n v="1098809"/>
    <x v="87"/>
    <x v="3"/>
    <x v="162"/>
    <x v="164"/>
  </r>
  <r>
    <n v="1098809"/>
    <x v="87"/>
    <x v="3"/>
    <x v="154"/>
    <x v="149"/>
  </r>
  <r>
    <n v="1098809"/>
    <x v="87"/>
    <x v="3"/>
    <x v="163"/>
    <x v="83"/>
  </r>
  <r>
    <n v="1098809"/>
    <x v="87"/>
    <x v="3"/>
    <x v="124"/>
    <x v="62"/>
  </r>
  <r>
    <n v="1098809"/>
    <x v="87"/>
    <x v="3"/>
    <x v="125"/>
    <x v="144"/>
  </r>
  <r>
    <n v="1098809"/>
    <x v="87"/>
    <x v="3"/>
    <x v="126"/>
    <x v="82"/>
  </r>
  <r>
    <n v="1098809"/>
    <x v="87"/>
    <x v="3"/>
    <x v="127"/>
    <x v="97"/>
  </r>
  <r>
    <n v="1098809"/>
    <x v="87"/>
    <x v="3"/>
    <x v="128"/>
    <x v="92"/>
  </r>
  <r>
    <n v="1098809"/>
    <x v="87"/>
    <x v="3"/>
    <x v="129"/>
    <x v="42"/>
  </r>
  <r>
    <n v="1098809"/>
    <x v="87"/>
    <x v="3"/>
    <x v="131"/>
    <x v="34"/>
  </r>
  <r>
    <n v="1098809"/>
    <x v="87"/>
    <x v="3"/>
    <x v="132"/>
    <x v="146"/>
  </r>
  <r>
    <n v="1098809"/>
    <x v="87"/>
    <x v="3"/>
    <x v="133"/>
    <x v="147"/>
  </r>
  <r>
    <n v="1098809"/>
    <x v="87"/>
    <x v="3"/>
    <x v="134"/>
    <x v="148"/>
  </r>
  <r>
    <n v="1098809"/>
    <x v="87"/>
    <x v="3"/>
    <x v="135"/>
    <x v="64"/>
  </r>
  <r>
    <n v="1098809"/>
    <x v="87"/>
    <x v="3"/>
    <x v="136"/>
    <x v="82"/>
  </r>
  <r>
    <n v="1098809"/>
    <x v="87"/>
    <x v="3"/>
    <x v="137"/>
    <x v="79"/>
  </r>
  <r>
    <n v="1098809"/>
    <x v="87"/>
    <x v="3"/>
    <x v="138"/>
    <x v="149"/>
  </r>
  <r>
    <n v="1098809"/>
    <x v="87"/>
    <x v="3"/>
    <x v="141"/>
    <x v="151"/>
  </r>
  <r>
    <n v="1098809"/>
    <x v="87"/>
    <x v="3"/>
    <x v="142"/>
    <x v="152"/>
  </r>
  <r>
    <n v="1098809"/>
    <x v="87"/>
    <x v="3"/>
    <x v="143"/>
    <x v="91"/>
  </r>
  <r>
    <n v="1098809"/>
    <x v="87"/>
    <x v="3"/>
    <x v="144"/>
    <x v="84"/>
  </r>
  <r>
    <n v="1098809"/>
    <x v="87"/>
    <x v="3"/>
    <x v="145"/>
    <x v="153"/>
  </r>
  <r>
    <n v="1098809"/>
    <x v="87"/>
    <x v="3"/>
    <x v="146"/>
    <x v="78"/>
  </r>
  <r>
    <n v="1098809"/>
    <x v="1"/>
    <x v="1"/>
    <x v="2"/>
    <x v="2"/>
  </r>
  <r>
    <n v="1098821"/>
    <x v="88"/>
    <x v="14"/>
    <x v="391"/>
    <x v="2"/>
  </r>
  <r>
    <n v="1098821"/>
    <x v="1"/>
    <x v="1"/>
    <x v="2"/>
    <x v="2"/>
  </r>
  <r>
    <n v="1098822"/>
    <x v="89"/>
    <x v="14"/>
    <x v="391"/>
    <x v="2"/>
  </r>
  <r>
    <n v="1098822"/>
    <x v="1"/>
    <x v="1"/>
    <x v="2"/>
    <x v="2"/>
  </r>
  <r>
    <n v="1098824"/>
    <x v="90"/>
    <x v="14"/>
    <x v="391"/>
    <x v="2"/>
  </r>
  <r>
    <n v="1098824"/>
    <x v="1"/>
    <x v="1"/>
    <x v="2"/>
    <x v="2"/>
  </r>
  <r>
    <n v="1098825"/>
    <x v="91"/>
    <x v="14"/>
    <x v="391"/>
    <x v="2"/>
  </r>
  <r>
    <n v="1098825"/>
    <x v="1"/>
    <x v="1"/>
    <x v="2"/>
    <x v="2"/>
  </r>
  <r>
    <n v="1098828"/>
    <x v="92"/>
    <x v="14"/>
    <x v="392"/>
    <x v="427"/>
  </r>
  <r>
    <n v="1098828"/>
    <x v="92"/>
    <x v="14"/>
    <x v="393"/>
    <x v="428"/>
  </r>
  <r>
    <n v="1098828"/>
    <x v="1"/>
    <x v="1"/>
    <x v="2"/>
    <x v="2"/>
  </r>
  <r>
    <n v="1098860"/>
    <x v="93"/>
    <x v="3"/>
    <x v="162"/>
    <x v="164"/>
  </r>
  <r>
    <n v="1098860"/>
    <x v="93"/>
    <x v="3"/>
    <x v="131"/>
    <x v="34"/>
  </r>
  <r>
    <n v="1098860"/>
    <x v="93"/>
    <x v="3"/>
    <x v="142"/>
    <x v="152"/>
  </r>
  <r>
    <n v="1098860"/>
    <x v="93"/>
    <x v="3"/>
    <x v="151"/>
    <x v="35"/>
  </r>
  <r>
    <n v="1098860"/>
    <x v="93"/>
    <x v="3"/>
    <x v="160"/>
    <x v="162"/>
  </r>
  <r>
    <n v="1098860"/>
    <x v="93"/>
    <x v="3"/>
    <x v="128"/>
    <x v="92"/>
  </r>
  <r>
    <n v="1098860"/>
    <x v="93"/>
    <x v="3"/>
    <x v="138"/>
    <x v="149"/>
  </r>
  <r>
    <n v="1098860"/>
    <x v="93"/>
    <x v="3"/>
    <x v="149"/>
    <x v="154"/>
  </r>
  <r>
    <n v="1098860"/>
    <x v="93"/>
    <x v="3"/>
    <x v="156"/>
    <x v="158"/>
  </r>
  <r>
    <n v="1098860"/>
    <x v="93"/>
    <x v="3"/>
    <x v="163"/>
    <x v="83"/>
  </r>
  <r>
    <n v="1098860"/>
    <x v="93"/>
    <x v="3"/>
    <x v="133"/>
    <x v="147"/>
  </r>
  <r>
    <n v="1098860"/>
    <x v="93"/>
    <x v="3"/>
    <x v="144"/>
    <x v="84"/>
  </r>
  <r>
    <n v="1098860"/>
    <x v="93"/>
    <x v="3"/>
    <x v="153"/>
    <x v="147"/>
  </r>
  <r>
    <n v="1098860"/>
    <x v="93"/>
    <x v="3"/>
    <x v="158"/>
    <x v="160"/>
  </r>
  <r>
    <n v="1098860"/>
    <x v="93"/>
    <x v="3"/>
    <x v="126"/>
    <x v="82"/>
  </r>
  <r>
    <n v="1098860"/>
    <x v="93"/>
    <x v="3"/>
    <x v="136"/>
    <x v="82"/>
  </r>
  <r>
    <n v="1098860"/>
    <x v="93"/>
    <x v="3"/>
    <x v="147"/>
    <x v="24"/>
  </r>
  <r>
    <n v="1098860"/>
    <x v="93"/>
    <x v="3"/>
    <x v="140"/>
    <x v="150"/>
  </r>
  <r>
    <n v="1098860"/>
    <x v="93"/>
    <x v="3"/>
    <x v="157"/>
    <x v="159"/>
  </r>
  <r>
    <n v="1098860"/>
    <x v="93"/>
    <x v="3"/>
    <x v="125"/>
    <x v="144"/>
  </r>
  <r>
    <n v="1098860"/>
    <x v="93"/>
    <x v="3"/>
    <x v="135"/>
    <x v="64"/>
  </r>
  <r>
    <n v="1098860"/>
    <x v="93"/>
    <x v="3"/>
    <x v="146"/>
    <x v="78"/>
  </r>
  <r>
    <n v="1098860"/>
    <x v="93"/>
    <x v="3"/>
    <x v="139"/>
    <x v="37"/>
  </r>
  <r>
    <n v="1098860"/>
    <x v="93"/>
    <x v="3"/>
    <x v="124"/>
    <x v="62"/>
  </r>
  <r>
    <n v="1098860"/>
    <x v="93"/>
    <x v="3"/>
    <x v="134"/>
    <x v="148"/>
  </r>
  <r>
    <n v="1098860"/>
    <x v="93"/>
    <x v="3"/>
    <x v="145"/>
    <x v="153"/>
  </r>
  <r>
    <n v="1098860"/>
    <x v="93"/>
    <x v="3"/>
    <x v="130"/>
    <x v="145"/>
  </r>
  <r>
    <n v="1098860"/>
    <x v="93"/>
    <x v="3"/>
    <x v="161"/>
    <x v="163"/>
  </r>
  <r>
    <n v="1098860"/>
    <x v="93"/>
    <x v="3"/>
    <x v="129"/>
    <x v="42"/>
  </r>
  <r>
    <n v="1098860"/>
    <x v="93"/>
    <x v="3"/>
    <x v="141"/>
    <x v="151"/>
  </r>
  <r>
    <n v="1098860"/>
    <x v="93"/>
    <x v="3"/>
    <x v="150"/>
    <x v="155"/>
  </r>
  <r>
    <n v="1098860"/>
    <x v="93"/>
    <x v="3"/>
    <x v="154"/>
    <x v="149"/>
  </r>
  <r>
    <n v="1098860"/>
    <x v="93"/>
    <x v="3"/>
    <x v="132"/>
    <x v="146"/>
  </r>
  <r>
    <n v="1098860"/>
    <x v="93"/>
    <x v="3"/>
    <x v="143"/>
    <x v="91"/>
  </r>
  <r>
    <n v="1098860"/>
    <x v="93"/>
    <x v="3"/>
    <x v="152"/>
    <x v="156"/>
  </r>
  <r>
    <n v="1098860"/>
    <x v="93"/>
    <x v="3"/>
    <x v="159"/>
    <x v="161"/>
  </r>
  <r>
    <n v="1098860"/>
    <x v="93"/>
    <x v="3"/>
    <x v="127"/>
    <x v="97"/>
  </r>
  <r>
    <n v="1098860"/>
    <x v="93"/>
    <x v="3"/>
    <x v="137"/>
    <x v="79"/>
  </r>
  <r>
    <n v="1098860"/>
    <x v="93"/>
    <x v="3"/>
    <x v="148"/>
    <x v="144"/>
  </r>
  <r>
    <n v="1098860"/>
    <x v="93"/>
    <x v="3"/>
    <x v="155"/>
    <x v="157"/>
  </r>
  <r>
    <n v="1098860"/>
    <x v="1"/>
    <x v="1"/>
    <x v="2"/>
    <x v="2"/>
  </r>
  <r>
    <n v="1098861"/>
    <x v="94"/>
    <x v="13"/>
    <x v="394"/>
    <x v="429"/>
  </r>
  <r>
    <n v="1098861"/>
    <x v="94"/>
    <x v="13"/>
    <x v="395"/>
    <x v="430"/>
  </r>
  <r>
    <n v="1098861"/>
    <x v="1"/>
    <x v="1"/>
    <x v="2"/>
    <x v="2"/>
  </r>
  <r>
    <n v="1098872"/>
    <x v="95"/>
    <x v="6"/>
    <x v="167"/>
    <x v="2"/>
  </r>
  <r>
    <n v="1098872"/>
    <x v="1"/>
    <x v="1"/>
    <x v="2"/>
    <x v="2"/>
  </r>
  <r>
    <n v="1098875"/>
    <x v="96"/>
    <x v="5"/>
    <x v="353"/>
    <x v="2"/>
  </r>
  <r>
    <n v="1098875"/>
    <x v="1"/>
    <x v="1"/>
    <x v="2"/>
    <x v="2"/>
  </r>
  <r>
    <n v="1098882"/>
    <x v="97"/>
    <x v="7"/>
    <x v="326"/>
    <x v="431"/>
  </r>
  <r>
    <n v="1098882"/>
    <x v="97"/>
    <x v="7"/>
    <x v="321"/>
    <x v="432"/>
  </r>
  <r>
    <n v="1098882"/>
    <x v="1"/>
    <x v="1"/>
    <x v="2"/>
    <x v="2"/>
  </r>
  <r>
    <n v="1098885"/>
    <x v="98"/>
    <x v="2"/>
    <x v="353"/>
    <x v="2"/>
  </r>
  <r>
    <n v="1098885"/>
    <x v="1"/>
    <x v="1"/>
    <x v="2"/>
    <x v="2"/>
  </r>
  <r>
    <n v="1098886"/>
    <x v="99"/>
    <x v="6"/>
    <x v="396"/>
    <x v="2"/>
  </r>
  <r>
    <n v="1098886"/>
    <x v="1"/>
    <x v="1"/>
    <x v="2"/>
    <x v="2"/>
  </r>
  <r>
    <n v="1098897"/>
    <x v="100"/>
    <x v="3"/>
    <x v="251"/>
    <x v="176"/>
  </r>
  <r>
    <n v="1098897"/>
    <x v="100"/>
    <x v="3"/>
    <x v="252"/>
    <x v="97"/>
  </r>
  <r>
    <n v="1098897"/>
    <x v="100"/>
    <x v="3"/>
    <x v="221"/>
    <x v="204"/>
  </r>
  <r>
    <n v="1098897"/>
    <x v="100"/>
    <x v="3"/>
    <x v="255"/>
    <x v="222"/>
  </r>
  <r>
    <n v="1098897"/>
    <x v="100"/>
    <x v="3"/>
    <x v="218"/>
    <x v="202"/>
  </r>
  <r>
    <n v="1098897"/>
    <x v="100"/>
    <x v="3"/>
    <x v="217"/>
    <x v="201"/>
  </r>
  <r>
    <n v="1098897"/>
    <x v="100"/>
    <x v="3"/>
    <x v="243"/>
    <x v="163"/>
  </r>
  <r>
    <n v="1098897"/>
    <x v="100"/>
    <x v="3"/>
    <x v="242"/>
    <x v="85"/>
  </r>
  <r>
    <n v="1098897"/>
    <x v="100"/>
    <x v="3"/>
    <x v="239"/>
    <x v="119"/>
  </r>
  <r>
    <n v="1098897"/>
    <x v="100"/>
    <x v="3"/>
    <x v="238"/>
    <x v="216"/>
  </r>
  <r>
    <n v="1098897"/>
    <x v="100"/>
    <x v="3"/>
    <x v="234"/>
    <x v="175"/>
  </r>
  <r>
    <n v="1098897"/>
    <x v="100"/>
    <x v="3"/>
    <x v="233"/>
    <x v="213"/>
  </r>
  <r>
    <n v="1098897"/>
    <x v="100"/>
    <x v="3"/>
    <x v="230"/>
    <x v="210"/>
  </r>
  <r>
    <n v="1098897"/>
    <x v="100"/>
    <x v="3"/>
    <x v="229"/>
    <x v="209"/>
  </r>
  <r>
    <n v="1098897"/>
    <x v="100"/>
    <x v="3"/>
    <x v="225"/>
    <x v="59"/>
  </r>
  <r>
    <n v="1098897"/>
    <x v="100"/>
    <x v="3"/>
    <x v="224"/>
    <x v="93"/>
  </r>
  <r>
    <n v="1098897"/>
    <x v="100"/>
    <x v="3"/>
    <x v="215"/>
    <x v="77"/>
  </r>
  <r>
    <n v="1098897"/>
    <x v="100"/>
    <x v="3"/>
    <x v="214"/>
    <x v="77"/>
  </r>
  <r>
    <n v="1098897"/>
    <x v="100"/>
    <x v="3"/>
    <x v="210"/>
    <x v="147"/>
  </r>
  <r>
    <n v="1098897"/>
    <x v="100"/>
    <x v="3"/>
    <x v="209"/>
    <x v="198"/>
  </r>
  <r>
    <n v="1098897"/>
    <x v="100"/>
    <x v="3"/>
    <x v="206"/>
    <x v="144"/>
  </r>
  <r>
    <n v="1098897"/>
    <x v="100"/>
    <x v="3"/>
    <x v="205"/>
    <x v="77"/>
  </r>
  <r>
    <n v="1098897"/>
    <x v="100"/>
    <x v="3"/>
    <x v="263"/>
    <x v="226"/>
  </r>
  <r>
    <n v="1098897"/>
    <x v="100"/>
    <x v="3"/>
    <x v="262"/>
    <x v="164"/>
  </r>
  <r>
    <n v="1098897"/>
    <x v="100"/>
    <x v="3"/>
    <x v="258"/>
    <x v="77"/>
  </r>
  <r>
    <n v="1098897"/>
    <x v="100"/>
    <x v="3"/>
    <x v="257"/>
    <x v="224"/>
  </r>
  <r>
    <n v="1098897"/>
    <x v="100"/>
    <x v="3"/>
    <x v="247"/>
    <x v="119"/>
  </r>
  <r>
    <n v="1098897"/>
    <x v="100"/>
    <x v="3"/>
    <x v="246"/>
    <x v="219"/>
  </r>
  <r>
    <n v="1098897"/>
    <x v="100"/>
    <x v="3"/>
    <x v="245"/>
    <x v="218"/>
  </r>
  <r>
    <n v="1098897"/>
    <x v="100"/>
    <x v="3"/>
    <x v="236"/>
    <x v="173"/>
  </r>
  <r>
    <n v="1098897"/>
    <x v="100"/>
    <x v="3"/>
    <x v="232"/>
    <x v="212"/>
  </r>
  <r>
    <n v="1098897"/>
    <x v="100"/>
    <x v="3"/>
    <x v="227"/>
    <x v="207"/>
  </r>
  <r>
    <n v="1098897"/>
    <x v="100"/>
    <x v="3"/>
    <x v="222"/>
    <x v="205"/>
  </r>
  <r>
    <n v="1098897"/>
    <x v="100"/>
    <x v="3"/>
    <x v="211"/>
    <x v="153"/>
  </r>
  <r>
    <n v="1098897"/>
    <x v="100"/>
    <x v="3"/>
    <x v="208"/>
    <x v="197"/>
  </r>
  <r>
    <n v="1098897"/>
    <x v="100"/>
    <x v="3"/>
    <x v="265"/>
    <x v="176"/>
  </r>
  <r>
    <n v="1098897"/>
    <x v="100"/>
    <x v="3"/>
    <x v="260"/>
    <x v="225"/>
  </r>
  <r>
    <n v="1098897"/>
    <x v="100"/>
    <x v="3"/>
    <x v="207"/>
    <x v="196"/>
  </r>
  <r>
    <n v="1098897"/>
    <x v="100"/>
    <x v="3"/>
    <x v="219"/>
    <x v="203"/>
  </r>
  <r>
    <n v="1098897"/>
    <x v="100"/>
    <x v="3"/>
    <x v="248"/>
    <x v="161"/>
  </r>
  <r>
    <n v="1098897"/>
    <x v="100"/>
    <x v="3"/>
    <x v="241"/>
    <x v="217"/>
  </r>
  <r>
    <n v="1098897"/>
    <x v="100"/>
    <x v="3"/>
    <x v="237"/>
    <x v="215"/>
  </r>
  <r>
    <n v="1098897"/>
    <x v="100"/>
    <x v="3"/>
    <x v="249"/>
    <x v="220"/>
  </r>
  <r>
    <n v="1098897"/>
    <x v="100"/>
    <x v="3"/>
    <x v="228"/>
    <x v="208"/>
  </r>
  <r>
    <n v="1098897"/>
    <x v="100"/>
    <x v="3"/>
    <x v="220"/>
    <x v="105"/>
  </r>
  <r>
    <n v="1098897"/>
    <x v="100"/>
    <x v="3"/>
    <x v="244"/>
    <x v="213"/>
  </r>
  <r>
    <n v="1098897"/>
    <x v="100"/>
    <x v="3"/>
    <x v="240"/>
    <x v="82"/>
  </r>
  <r>
    <n v="1098897"/>
    <x v="100"/>
    <x v="3"/>
    <x v="235"/>
    <x v="214"/>
  </r>
  <r>
    <n v="1098897"/>
    <x v="100"/>
    <x v="3"/>
    <x v="231"/>
    <x v="211"/>
  </r>
  <r>
    <n v="1098897"/>
    <x v="100"/>
    <x v="3"/>
    <x v="226"/>
    <x v="206"/>
  </r>
  <r>
    <n v="1098897"/>
    <x v="100"/>
    <x v="3"/>
    <x v="216"/>
    <x v="114"/>
  </r>
  <r>
    <n v="1098897"/>
    <x v="100"/>
    <x v="3"/>
    <x v="212"/>
    <x v="199"/>
  </r>
  <r>
    <n v="1098897"/>
    <x v="100"/>
    <x v="3"/>
    <x v="264"/>
    <x v="153"/>
  </r>
  <r>
    <n v="1098897"/>
    <x v="100"/>
    <x v="3"/>
    <x v="259"/>
    <x v="197"/>
  </r>
  <r>
    <n v="1098897"/>
    <x v="100"/>
    <x v="3"/>
    <x v="253"/>
    <x v="119"/>
  </r>
  <r>
    <n v="1098897"/>
    <x v="100"/>
    <x v="3"/>
    <x v="223"/>
    <x v="3"/>
  </r>
  <r>
    <n v="1098897"/>
    <x v="100"/>
    <x v="3"/>
    <x v="213"/>
    <x v="200"/>
  </r>
  <r>
    <n v="1098897"/>
    <x v="100"/>
    <x v="3"/>
    <x v="250"/>
    <x v="34"/>
  </r>
  <r>
    <n v="1098897"/>
    <x v="100"/>
    <x v="3"/>
    <x v="204"/>
    <x v="97"/>
  </r>
  <r>
    <n v="1098897"/>
    <x v="100"/>
    <x v="3"/>
    <x v="261"/>
    <x v="92"/>
  </r>
  <r>
    <n v="1098897"/>
    <x v="100"/>
    <x v="3"/>
    <x v="256"/>
    <x v="223"/>
  </r>
  <r>
    <n v="1098897"/>
    <x v="100"/>
    <x v="3"/>
    <x v="254"/>
    <x v="221"/>
  </r>
  <r>
    <n v="1098897"/>
    <x v="1"/>
    <x v="1"/>
    <x v="2"/>
    <x v="2"/>
  </r>
  <r>
    <n v="1098902"/>
    <x v="101"/>
    <x v="0"/>
    <x v="38"/>
    <x v="247"/>
  </r>
  <r>
    <n v="1098902"/>
    <x v="101"/>
    <x v="0"/>
    <x v="41"/>
    <x v="433"/>
  </r>
  <r>
    <n v="1098902"/>
    <x v="101"/>
    <x v="0"/>
    <x v="30"/>
    <x v="434"/>
  </r>
  <r>
    <n v="1098902"/>
    <x v="1"/>
    <x v="1"/>
    <x v="2"/>
    <x v="2"/>
  </r>
  <r>
    <n v="1098921"/>
    <x v="102"/>
    <x v="4"/>
    <x v="16"/>
    <x v="2"/>
  </r>
  <r>
    <n v="1098921"/>
    <x v="1"/>
    <x v="1"/>
    <x v="2"/>
    <x v="2"/>
  </r>
  <r>
    <n v="1098936"/>
    <x v="103"/>
    <x v="2"/>
    <x v="390"/>
    <x v="426"/>
  </r>
  <r>
    <n v="1098936"/>
    <x v="103"/>
    <x v="2"/>
    <x v="388"/>
    <x v="424"/>
  </r>
  <r>
    <n v="1098936"/>
    <x v="103"/>
    <x v="2"/>
    <x v="389"/>
    <x v="425"/>
  </r>
  <r>
    <n v="1098936"/>
    <x v="103"/>
    <x v="2"/>
    <x v="387"/>
    <x v="423"/>
  </r>
  <r>
    <n v="1098936"/>
    <x v="1"/>
    <x v="1"/>
    <x v="2"/>
    <x v="2"/>
  </r>
  <r>
    <n v="1098939"/>
    <x v="104"/>
    <x v="8"/>
    <x v="188"/>
    <x v="435"/>
  </r>
  <r>
    <n v="1098939"/>
    <x v="104"/>
    <x v="8"/>
    <x v="171"/>
    <x v="395"/>
  </r>
  <r>
    <n v="1098939"/>
    <x v="104"/>
    <x v="8"/>
    <x v="176"/>
    <x v="436"/>
  </r>
  <r>
    <n v="1098939"/>
    <x v="104"/>
    <x v="8"/>
    <x v="182"/>
    <x v="202"/>
  </r>
  <r>
    <n v="1098939"/>
    <x v="104"/>
    <x v="8"/>
    <x v="190"/>
    <x v="437"/>
  </r>
  <r>
    <n v="1098939"/>
    <x v="104"/>
    <x v="8"/>
    <x v="184"/>
    <x v="232"/>
  </r>
  <r>
    <n v="1098939"/>
    <x v="104"/>
    <x v="8"/>
    <x v="180"/>
    <x v="294"/>
  </r>
  <r>
    <n v="1098939"/>
    <x v="104"/>
    <x v="8"/>
    <x v="178"/>
    <x v="238"/>
  </r>
  <r>
    <n v="1098939"/>
    <x v="104"/>
    <x v="8"/>
    <x v="195"/>
    <x v="438"/>
  </r>
  <r>
    <n v="1098939"/>
    <x v="104"/>
    <x v="8"/>
    <x v="172"/>
    <x v="439"/>
  </r>
  <r>
    <n v="1098939"/>
    <x v="104"/>
    <x v="8"/>
    <x v="177"/>
    <x v="440"/>
  </r>
  <r>
    <n v="1098939"/>
    <x v="104"/>
    <x v="8"/>
    <x v="183"/>
    <x v="441"/>
  </r>
  <r>
    <n v="1098939"/>
    <x v="104"/>
    <x v="8"/>
    <x v="194"/>
    <x v="212"/>
  </r>
  <r>
    <n v="1098939"/>
    <x v="104"/>
    <x v="8"/>
    <x v="173"/>
    <x v="220"/>
  </r>
  <r>
    <n v="1098939"/>
    <x v="104"/>
    <x v="8"/>
    <x v="185"/>
    <x v="347"/>
  </r>
  <r>
    <n v="1098939"/>
    <x v="104"/>
    <x v="8"/>
    <x v="168"/>
    <x v="442"/>
  </r>
  <r>
    <n v="1098939"/>
    <x v="104"/>
    <x v="8"/>
    <x v="179"/>
    <x v="225"/>
  </r>
  <r>
    <n v="1098939"/>
    <x v="104"/>
    <x v="8"/>
    <x v="193"/>
    <x v="443"/>
  </r>
  <r>
    <n v="1098939"/>
    <x v="104"/>
    <x v="8"/>
    <x v="186"/>
    <x v="444"/>
  </r>
  <r>
    <n v="1098939"/>
    <x v="104"/>
    <x v="8"/>
    <x v="169"/>
    <x v="76"/>
  </r>
  <r>
    <n v="1098939"/>
    <x v="104"/>
    <x v="8"/>
    <x v="174"/>
    <x v="445"/>
  </r>
  <r>
    <n v="1098939"/>
    <x v="104"/>
    <x v="8"/>
    <x v="192"/>
    <x v="442"/>
  </r>
  <r>
    <n v="1098939"/>
    <x v="104"/>
    <x v="8"/>
    <x v="187"/>
    <x v="446"/>
  </r>
  <r>
    <n v="1098939"/>
    <x v="104"/>
    <x v="8"/>
    <x v="170"/>
    <x v="447"/>
  </r>
  <r>
    <n v="1098939"/>
    <x v="104"/>
    <x v="8"/>
    <x v="175"/>
    <x v="211"/>
  </r>
  <r>
    <n v="1098939"/>
    <x v="104"/>
    <x v="8"/>
    <x v="181"/>
    <x v="448"/>
  </r>
  <r>
    <n v="1098939"/>
    <x v="104"/>
    <x v="8"/>
    <x v="191"/>
    <x v="38"/>
  </r>
  <r>
    <n v="1098939"/>
    <x v="1"/>
    <x v="1"/>
    <x v="2"/>
    <x v="2"/>
  </r>
  <r>
    <n v="1098942"/>
    <x v="105"/>
    <x v="14"/>
    <x v="391"/>
    <x v="2"/>
  </r>
  <r>
    <n v="1098942"/>
    <x v="1"/>
    <x v="1"/>
    <x v="2"/>
    <x v="2"/>
  </r>
  <r>
    <n v="1098943"/>
    <x v="106"/>
    <x v="5"/>
    <x v="21"/>
    <x v="162"/>
  </r>
  <r>
    <n v="1098943"/>
    <x v="106"/>
    <x v="5"/>
    <x v="397"/>
    <x v="218"/>
  </r>
  <r>
    <n v="1098943"/>
    <x v="106"/>
    <x v="5"/>
    <x v="398"/>
    <x v="153"/>
  </r>
  <r>
    <n v="1098943"/>
    <x v="106"/>
    <x v="5"/>
    <x v="399"/>
    <x v="449"/>
  </r>
  <r>
    <n v="1098943"/>
    <x v="106"/>
    <x v="5"/>
    <x v="22"/>
    <x v="213"/>
  </r>
  <r>
    <n v="1098943"/>
    <x v="106"/>
    <x v="5"/>
    <x v="400"/>
    <x v="185"/>
  </r>
  <r>
    <n v="1098943"/>
    <x v="106"/>
    <x v="5"/>
    <x v="401"/>
    <x v="105"/>
  </r>
  <r>
    <n v="1098943"/>
    <x v="106"/>
    <x v="5"/>
    <x v="402"/>
    <x v="135"/>
  </r>
  <r>
    <n v="1098943"/>
    <x v="106"/>
    <x v="5"/>
    <x v="19"/>
    <x v="64"/>
  </r>
  <r>
    <n v="1098943"/>
    <x v="106"/>
    <x v="5"/>
    <x v="403"/>
    <x v="450"/>
  </r>
  <r>
    <n v="1098943"/>
    <x v="106"/>
    <x v="5"/>
    <x v="85"/>
    <x v="451"/>
  </r>
  <r>
    <n v="1098943"/>
    <x v="106"/>
    <x v="5"/>
    <x v="275"/>
    <x v="452"/>
  </r>
  <r>
    <n v="1098943"/>
    <x v="106"/>
    <x v="5"/>
    <x v="404"/>
    <x v="225"/>
  </r>
  <r>
    <n v="1098943"/>
    <x v="106"/>
    <x v="5"/>
    <x v="405"/>
    <x v="146"/>
  </r>
  <r>
    <n v="1098943"/>
    <x v="106"/>
    <x v="5"/>
    <x v="86"/>
    <x v="453"/>
  </r>
  <r>
    <n v="1098943"/>
    <x v="106"/>
    <x v="5"/>
    <x v="406"/>
    <x v="105"/>
  </r>
  <r>
    <n v="1098943"/>
    <x v="106"/>
    <x v="5"/>
    <x v="306"/>
    <x v="231"/>
  </r>
  <r>
    <n v="1098943"/>
    <x v="106"/>
    <x v="5"/>
    <x v="273"/>
    <x v="454"/>
  </r>
  <r>
    <n v="1098943"/>
    <x v="106"/>
    <x v="5"/>
    <x v="407"/>
    <x v="455"/>
  </r>
  <r>
    <n v="1098943"/>
    <x v="106"/>
    <x v="5"/>
    <x v="408"/>
    <x v="179"/>
  </r>
  <r>
    <n v="1098943"/>
    <x v="106"/>
    <x v="5"/>
    <x v="20"/>
    <x v="456"/>
  </r>
  <r>
    <n v="1098943"/>
    <x v="106"/>
    <x v="5"/>
    <x v="18"/>
    <x v="457"/>
  </r>
  <r>
    <n v="1098943"/>
    <x v="106"/>
    <x v="5"/>
    <x v="409"/>
    <x v="114"/>
  </r>
  <r>
    <n v="1098943"/>
    <x v="106"/>
    <x v="5"/>
    <x v="308"/>
    <x v="155"/>
  </r>
  <r>
    <n v="1098943"/>
    <x v="106"/>
    <x v="5"/>
    <x v="410"/>
    <x v="72"/>
  </r>
  <r>
    <n v="1098943"/>
    <x v="106"/>
    <x v="5"/>
    <x v="411"/>
    <x v="113"/>
  </r>
  <r>
    <n v="1098943"/>
    <x v="106"/>
    <x v="5"/>
    <x v="412"/>
    <x v="154"/>
  </r>
  <r>
    <n v="1098943"/>
    <x v="106"/>
    <x v="5"/>
    <x v="274"/>
    <x v="458"/>
  </r>
  <r>
    <n v="1098943"/>
    <x v="106"/>
    <x v="5"/>
    <x v="413"/>
    <x v="117"/>
  </r>
  <r>
    <n v="1098943"/>
    <x v="106"/>
    <x v="5"/>
    <x v="414"/>
    <x v="78"/>
  </r>
  <r>
    <n v="1098943"/>
    <x v="106"/>
    <x v="5"/>
    <x v="415"/>
    <x v="459"/>
  </r>
  <r>
    <n v="1098943"/>
    <x v="106"/>
    <x v="5"/>
    <x v="416"/>
    <x v="460"/>
  </r>
  <r>
    <n v="1098943"/>
    <x v="106"/>
    <x v="5"/>
    <x v="307"/>
    <x v="461"/>
  </r>
  <r>
    <n v="1098943"/>
    <x v="106"/>
    <x v="5"/>
    <x v="417"/>
    <x v="339"/>
  </r>
  <r>
    <n v="1098943"/>
    <x v="106"/>
    <x v="5"/>
    <x v="23"/>
    <x v="213"/>
  </r>
  <r>
    <n v="1098943"/>
    <x v="1"/>
    <x v="1"/>
    <x v="2"/>
    <x v="2"/>
  </r>
  <r>
    <n v="1098953"/>
    <x v="107"/>
    <x v="5"/>
    <x v="276"/>
    <x v="2"/>
  </r>
  <r>
    <n v="1098953"/>
    <x v="1"/>
    <x v="1"/>
    <x v="2"/>
    <x v="2"/>
  </r>
  <r>
    <n v="1098954"/>
    <x v="108"/>
    <x v="2"/>
    <x v="67"/>
    <x v="99"/>
  </r>
  <r>
    <n v="1098954"/>
    <x v="108"/>
    <x v="2"/>
    <x v="72"/>
    <x v="100"/>
  </r>
  <r>
    <n v="1098954"/>
    <x v="108"/>
    <x v="2"/>
    <x v="81"/>
    <x v="106"/>
  </r>
  <r>
    <n v="1098954"/>
    <x v="108"/>
    <x v="2"/>
    <x v="83"/>
    <x v="105"/>
  </r>
  <r>
    <n v="1098954"/>
    <x v="108"/>
    <x v="2"/>
    <x v="59"/>
    <x v="104"/>
  </r>
  <r>
    <n v="1098954"/>
    <x v="108"/>
    <x v="2"/>
    <x v="80"/>
    <x v="102"/>
  </r>
  <r>
    <n v="1098954"/>
    <x v="108"/>
    <x v="2"/>
    <x v="57"/>
    <x v="101"/>
  </r>
  <r>
    <n v="1098954"/>
    <x v="108"/>
    <x v="2"/>
    <x v="73"/>
    <x v="34"/>
  </r>
  <r>
    <n v="1098954"/>
    <x v="108"/>
    <x v="2"/>
    <x v="55"/>
    <x v="54"/>
  </r>
  <r>
    <n v="1098954"/>
    <x v="108"/>
    <x v="2"/>
    <x v="64"/>
    <x v="107"/>
  </r>
  <r>
    <n v="1098954"/>
    <x v="108"/>
    <x v="2"/>
    <x v="69"/>
    <x v="103"/>
  </r>
  <r>
    <n v="1098954"/>
    <x v="1"/>
    <x v="1"/>
    <x v="2"/>
    <x v="2"/>
  </r>
  <r>
    <n v="1098955"/>
    <x v="109"/>
    <x v="5"/>
    <x v="376"/>
    <x v="462"/>
  </r>
  <r>
    <n v="1098955"/>
    <x v="109"/>
    <x v="5"/>
    <x v="374"/>
    <x v="463"/>
  </r>
  <r>
    <n v="1098955"/>
    <x v="109"/>
    <x v="5"/>
    <x v="372"/>
    <x v="464"/>
  </r>
  <r>
    <n v="1098955"/>
    <x v="109"/>
    <x v="5"/>
    <x v="373"/>
    <x v="465"/>
  </r>
  <r>
    <n v="1098955"/>
    <x v="109"/>
    <x v="5"/>
    <x v="375"/>
    <x v="466"/>
  </r>
  <r>
    <n v="1098955"/>
    <x v="1"/>
    <x v="1"/>
    <x v="2"/>
    <x v="2"/>
  </r>
  <r>
    <n v="1098957"/>
    <x v="110"/>
    <x v="8"/>
    <x v="164"/>
    <x v="2"/>
  </r>
  <r>
    <n v="1098957"/>
    <x v="1"/>
    <x v="1"/>
    <x v="2"/>
    <x v="2"/>
  </r>
  <r>
    <n v="1098966"/>
    <x v="111"/>
    <x v="2"/>
    <x v="76"/>
    <x v="231"/>
  </r>
  <r>
    <n v="1098966"/>
    <x v="111"/>
    <x v="2"/>
    <x v="82"/>
    <x v="162"/>
  </r>
  <r>
    <n v="1098966"/>
    <x v="111"/>
    <x v="2"/>
    <x v="77"/>
    <x v="236"/>
  </r>
  <r>
    <n v="1098966"/>
    <x v="111"/>
    <x v="2"/>
    <x v="78"/>
    <x v="235"/>
  </r>
  <r>
    <n v="1098966"/>
    <x v="111"/>
    <x v="2"/>
    <x v="65"/>
    <x v="98"/>
  </r>
  <r>
    <n v="1098966"/>
    <x v="111"/>
    <x v="2"/>
    <x v="66"/>
    <x v="231"/>
  </r>
  <r>
    <n v="1098966"/>
    <x v="111"/>
    <x v="2"/>
    <x v="68"/>
    <x v="230"/>
  </r>
  <r>
    <n v="1098966"/>
    <x v="111"/>
    <x v="2"/>
    <x v="60"/>
    <x v="229"/>
  </r>
  <r>
    <n v="1098966"/>
    <x v="111"/>
    <x v="2"/>
    <x v="75"/>
    <x v="173"/>
  </r>
  <r>
    <n v="1098966"/>
    <x v="111"/>
    <x v="2"/>
    <x v="71"/>
    <x v="111"/>
  </r>
  <r>
    <n v="1098966"/>
    <x v="111"/>
    <x v="2"/>
    <x v="74"/>
    <x v="51"/>
  </r>
  <r>
    <n v="1098966"/>
    <x v="111"/>
    <x v="2"/>
    <x v="62"/>
    <x v="153"/>
  </r>
  <r>
    <n v="1098966"/>
    <x v="111"/>
    <x v="2"/>
    <x v="70"/>
    <x v="197"/>
  </r>
  <r>
    <n v="1098966"/>
    <x v="111"/>
    <x v="2"/>
    <x v="63"/>
    <x v="97"/>
  </r>
  <r>
    <n v="1098966"/>
    <x v="111"/>
    <x v="2"/>
    <x v="58"/>
    <x v="233"/>
  </r>
  <r>
    <n v="1098966"/>
    <x v="111"/>
    <x v="2"/>
    <x v="79"/>
    <x v="227"/>
  </r>
  <r>
    <n v="1098966"/>
    <x v="111"/>
    <x v="2"/>
    <x v="56"/>
    <x v="228"/>
  </r>
  <r>
    <n v="1098966"/>
    <x v="111"/>
    <x v="2"/>
    <x v="61"/>
    <x v="234"/>
  </r>
  <r>
    <n v="1098966"/>
    <x v="111"/>
    <x v="2"/>
    <x v="84"/>
    <x v="232"/>
  </r>
  <r>
    <n v="1098966"/>
    <x v="1"/>
    <x v="1"/>
    <x v="2"/>
    <x v="2"/>
  </r>
  <r>
    <n v="1098971"/>
    <x v="112"/>
    <x v="2"/>
    <x v="418"/>
    <x v="2"/>
  </r>
  <r>
    <n v="1098971"/>
    <x v="1"/>
    <x v="1"/>
    <x v="2"/>
    <x v="2"/>
  </r>
  <r>
    <n v="1098976"/>
    <x v="113"/>
    <x v="3"/>
    <x v="217"/>
    <x v="201"/>
  </r>
  <r>
    <n v="1098976"/>
    <x v="113"/>
    <x v="3"/>
    <x v="219"/>
    <x v="203"/>
  </r>
  <r>
    <n v="1098976"/>
    <x v="113"/>
    <x v="3"/>
    <x v="218"/>
    <x v="202"/>
  </r>
  <r>
    <n v="1098976"/>
    <x v="113"/>
    <x v="3"/>
    <x v="220"/>
    <x v="105"/>
  </r>
  <r>
    <n v="1098976"/>
    <x v="113"/>
    <x v="3"/>
    <x v="221"/>
    <x v="204"/>
  </r>
  <r>
    <n v="1098976"/>
    <x v="113"/>
    <x v="3"/>
    <x v="251"/>
    <x v="176"/>
  </r>
  <r>
    <n v="1098976"/>
    <x v="113"/>
    <x v="3"/>
    <x v="253"/>
    <x v="119"/>
  </r>
  <r>
    <n v="1098976"/>
    <x v="113"/>
    <x v="3"/>
    <x v="254"/>
    <x v="221"/>
  </r>
  <r>
    <n v="1098976"/>
    <x v="113"/>
    <x v="3"/>
    <x v="255"/>
    <x v="222"/>
  </r>
  <r>
    <n v="1098976"/>
    <x v="113"/>
    <x v="3"/>
    <x v="256"/>
    <x v="223"/>
  </r>
  <r>
    <n v="1098976"/>
    <x v="113"/>
    <x v="3"/>
    <x v="257"/>
    <x v="224"/>
  </r>
  <r>
    <n v="1098976"/>
    <x v="113"/>
    <x v="3"/>
    <x v="258"/>
    <x v="77"/>
  </r>
  <r>
    <n v="1098976"/>
    <x v="113"/>
    <x v="3"/>
    <x v="259"/>
    <x v="197"/>
  </r>
  <r>
    <n v="1098976"/>
    <x v="113"/>
    <x v="3"/>
    <x v="260"/>
    <x v="225"/>
  </r>
  <r>
    <n v="1098976"/>
    <x v="113"/>
    <x v="3"/>
    <x v="261"/>
    <x v="92"/>
  </r>
  <r>
    <n v="1098976"/>
    <x v="113"/>
    <x v="3"/>
    <x v="249"/>
    <x v="220"/>
  </r>
  <r>
    <n v="1098976"/>
    <x v="113"/>
    <x v="3"/>
    <x v="262"/>
    <x v="164"/>
  </r>
  <r>
    <n v="1098976"/>
    <x v="113"/>
    <x v="3"/>
    <x v="263"/>
    <x v="226"/>
  </r>
  <r>
    <n v="1098976"/>
    <x v="113"/>
    <x v="3"/>
    <x v="264"/>
    <x v="153"/>
  </r>
  <r>
    <n v="1098976"/>
    <x v="113"/>
    <x v="3"/>
    <x v="265"/>
    <x v="176"/>
  </r>
  <r>
    <n v="1098976"/>
    <x v="113"/>
    <x v="3"/>
    <x v="204"/>
    <x v="97"/>
  </r>
  <r>
    <n v="1098976"/>
    <x v="113"/>
    <x v="3"/>
    <x v="205"/>
    <x v="77"/>
  </r>
  <r>
    <n v="1098976"/>
    <x v="113"/>
    <x v="3"/>
    <x v="206"/>
    <x v="144"/>
  </r>
  <r>
    <n v="1098976"/>
    <x v="113"/>
    <x v="3"/>
    <x v="207"/>
    <x v="196"/>
  </r>
  <r>
    <n v="1098976"/>
    <x v="113"/>
    <x v="3"/>
    <x v="208"/>
    <x v="197"/>
  </r>
  <r>
    <n v="1098976"/>
    <x v="113"/>
    <x v="3"/>
    <x v="250"/>
    <x v="34"/>
  </r>
  <r>
    <n v="1098976"/>
    <x v="113"/>
    <x v="3"/>
    <x v="209"/>
    <x v="198"/>
  </r>
  <r>
    <n v="1098976"/>
    <x v="113"/>
    <x v="3"/>
    <x v="210"/>
    <x v="147"/>
  </r>
  <r>
    <n v="1098976"/>
    <x v="113"/>
    <x v="3"/>
    <x v="211"/>
    <x v="153"/>
  </r>
  <r>
    <n v="1098976"/>
    <x v="113"/>
    <x v="3"/>
    <x v="212"/>
    <x v="199"/>
  </r>
  <r>
    <n v="1098976"/>
    <x v="113"/>
    <x v="3"/>
    <x v="213"/>
    <x v="200"/>
  </r>
  <r>
    <n v="1098976"/>
    <x v="113"/>
    <x v="3"/>
    <x v="214"/>
    <x v="77"/>
  </r>
  <r>
    <n v="1098976"/>
    <x v="113"/>
    <x v="3"/>
    <x v="215"/>
    <x v="77"/>
  </r>
  <r>
    <n v="1098976"/>
    <x v="113"/>
    <x v="3"/>
    <x v="216"/>
    <x v="114"/>
  </r>
  <r>
    <n v="1098976"/>
    <x v="113"/>
    <x v="3"/>
    <x v="222"/>
    <x v="205"/>
  </r>
  <r>
    <n v="1098976"/>
    <x v="113"/>
    <x v="3"/>
    <x v="223"/>
    <x v="3"/>
  </r>
  <r>
    <n v="1098976"/>
    <x v="113"/>
    <x v="3"/>
    <x v="224"/>
    <x v="93"/>
  </r>
  <r>
    <n v="1098976"/>
    <x v="113"/>
    <x v="3"/>
    <x v="225"/>
    <x v="59"/>
  </r>
  <r>
    <n v="1098976"/>
    <x v="113"/>
    <x v="3"/>
    <x v="226"/>
    <x v="206"/>
  </r>
  <r>
    <n v="1098976"/>
    <x v="113"/>
    <x v="3"/>
    <x v="227"/>
    <x v="207"/>
  </r>
  <r>
    <n v="1098976"/>
    <x v="113"/>
    <x v="3"/>
    <x v="228"/>
    <x v="208"/>
  </r>
  <r>
    <n v="1098976"/>
    <x v="113"/>
    <x v="3"/>
    <x v="229"/>
    <x v="209"/>
  </r>
  <r>
    <n v="1098976"/>
    <x v="113"/>
    <x v="3"/>
    <x v="230"/>
    <x v="210"/>
  </r>
  <r>
    <n v="1098976"/>
    <x v="113"/>
    <x v="3"/>
    <x v="231"/>
    <x v="211"/>
  </r>
  <r>
    <n v="1098976"/>
    <x v="113"/>
    <x v="3"/>
    <x v="232"/>
    <x v="212"/>
  </r>
  <r>
    <n v="1098976"/>
    <x v="113"/>
    <x v="3"/>
    <x v="233"/>
    <x v="213"/>
  </r>
  <r>
    <n v="1098976"/>
    <x v="113"/>
    <x v="3"/>
    <x v="234"/>
    <x v="175"/>
  </r>
  <r>
    <n v="1098976"/>
    <x v="113"/>
    <x v="3"/>
    <x v="235"/>
    <x v="214"/>
  </r>
  <r>
    <n v="1098976"/>
    <x v="113"/>
    <x v="3"/>
    <x v="236"/>
    <x v="173"/>
  </r>
  <r>
    <n v="1098976"/>
    <x v="113"/>
    <x v="3"/>
    <x v="237"/>
    <x v="215"/>
  </r>
  <r>
    <n v="1098976"/>
    <x v="113"/>
    <x v="3"/>
    <x v="238"/>
    <x v="216"/>
  </r>
  <r>
    <n v="1098976"/>
    <x v="113"/>
    <x v="3"/>
    <x v="239"/>
    <x v="119"/>
  </r>
  <r>
    <n v="1098976"/>
    <x v="113"/>
    <x v="3"/>
    <x v="240"/>
    <x v="82"/>
  </r>
  <r>
    <n v="1098976"/>
    <x v="113"/>
    <x v="3"/>
    <x v="241"/>
    <x v="217"/>
  </r>
  <r>
    <n v="1098976"/>
    <x v="113"/>
    <x v="3"/>
    <x v="242"/>
    <x v="85"/>
  </r>
  <r>
    <n v="1098976"/>
    <x v="113"/>
    <x v="3"/>
    <x v="252"/>
    <x v="97"/>
  </r>
  <r>
    <n v="1098976"/>
    <x v="113"/>
    <x v="3"/>
    <x v="243"/>
    <x v="163"/>
  </r>
  <r>
    <n v="1098976"/>
    <x v="113"/>
    <x v="3"/>
    <x v="244"/>
    <x v="213"/>
  </r>
  <r>
    <n v="1098976"/>
    <x v="113"/>
    <x v="3"/>
    <x v="245"/>
    <x v="218"/>
  </r>
  <r>
    <n v="1098976"/>
    <x v="113"/>
    <x v="3"/>
    <x v="246"/>
    <x v="219"/>
  </r>
  <r>
    <n v="1098976"/>
    <x v="113"/>
    <x v="3"/>
    <x v="247"/>
    <x v="119"/>
  </r>
  <r>
    <n v="1098976"/>
    <x v="113"/>
    <x v="3"/>
    <x v="248"/>
    <x v="161"/>
  </r>
  <r>
    <n v="1098976"/>
    <x v="1"/>
    <x v="1"/>
    <x v="2"/>
    <x v="2"/>
  </r>
  <r>
    <n v="1098984"/>
    <x v="114"/>
    <x v="2"/>
    <x v="72"/>
    <x v="467"/>
  </r>
  <r>
    <n v="1098984"/>
    <x v="114"/>
    <x v="2"/>
    <x v="73"/>
    <x v="156"/>
  </r>
  <r>
    <n v="1098984"/>
    <x v="114"/>
    <x v="2"/>
    <x v="67"/>
    <x v="468"/>
  </r>
  <r>
    <n v="1098984"/>
    <x v="114"/>
    <x v="2"/>
    <x v="69"/>
    <x v="469"/>
  </r>
  <r>
    <n v="1098984"/>
    <x v="114"/>
    <x v="2"/>
    <x v="55"/>
    <x v="148"/>
  </r>
  <r>
    <n v="1098984"/>
    <x v="114"/>
    <x v="2"/>
    <x v="80"/>
    <x v="470"/>
  </r>
  <r>
    <n v="1098984"/>
    <x v="114"/>
    <x v="2"/>
    <x v="57"/>
    <x v="471"/>
  </r>
  <r>
    <n v="1098984"/>
    <x v="1"/>
    <x v="1"/>
    <x v="2"/>
    <x v="2"/>
  </r>
  <r>
    <n v="1098986"/>
    <x v="115"/>
    <x v="2"/>
    <x v="276"/>
    <x v="2"/>
  </r>
  <r>
    <n v="1098986"/>
    <x v="1"/>
    <x v="1"/>
    <x v="2"/>
    <x v="2"/>
  </r>
  <r>
    <n v="1098989"/>
    <x v="116"/>
    <x v="2"/>
    <x v="353"/>
    <x v="2"/>
  </r>
  <r>
    <n v="1098989"/>
    <x v="1"/>
    <x v="1"/>
    <x v="2"/>
    <x v="2"/>
  </r>
  <r>
    <n v="1098992"/>
    <x v="117"/>
    <x v="10"/>
    <x v="330"/>
    <x v="2"/>
  </r>
  <r>
    <n v="1098992"/>
    <x v="1"/>
    <x v="1"/>
    <x v="2"/>
    <x v="2"/>
  </r>
  <r>
    <n v="1098998"/>
    <x v="118"/>
    <x v="4"/>
    <x v="16"/>
    <x v="14"/>
  </r>
  <r>
    <n v="1098998"/>
    <x v="118"/>
    <x v="4"/>
    <x v="17"/>
    <x v="15"/>
  </r>
  <r>
    <n v="1098998"/>
    <x v="1"/>
    <x v="1"/>
    <x v="2"/>
    <x v="2"/>
  </r>
  <r>
    <n v="1099017"/>
    <x v="119"/>
    <x v="2"/>
    <x v="82"/>
    <x v="185"/>
  </r>
  <r>
    <n v="1099017"/>
    <x v="119"/>
    <x v="2"/>
    <x v="77"/>
    <x v="184"/>
  </r>
  <r>
    <n v="1099017"/>
    <x v="119"/>
    <x v="2"/>
    <x v="78"/>
    <x v="183"/>
  </r>
  <r>
    <n v="1099017"/>
    <x v="1"/>
    <x v="1"/>
    <x v="2"/>
    <x v="2"/>
  </r>
  <r>
    <n v="1099018"/>
    <x v="120"/>
    <x v="2"/>
    <x v="82"/>
    <x v="238"/>
  </r>
  <r>
    <n v="1099018"/>
    <x v="120"/>
    <x v="2"/>
    <x v="78"/>
    <x v="237"/>
  </r>
  <r>
    <n v="1099018"/>
    <x v="1"/>
    <x v="1"/>
    <x v="2"/>
    <x v="2"/>
  </r>
  <r>
    <n v="1099020"/>
    <x v="121"/>
    <x v="8"/>
    <x v="183"/>
    <x v="472"/>
  </r>
  <r>
    <n v="1099020"/>
    <x v="121"/>
    <x v="8"/>
    <x v="182"/>
    <x v="69"/>
  </r>
  <r>
    <n v="1099020"/>
    <x v="121"/>
    <x v="8"/>
    <x v="190"/>
    <x v="71"/>
  </r>
  <r>
    <n v="1099020"/>
    <x v="121"/>
    <x v="8"/>
    <x v="184"/>
    <x v="135"/>
  </r>
  <r>
    <n v="1099020"/>
    <x v="121"/>
    <x v="8"/>
    <x v="172"/>
    <x v="473"/>
  </r>
  <r>
    <n v="1099020"/>
    <x v="121"/>
    <x v="8"/>
    <x v="194"/>
    <x v="474"/>
  </r>
  <r>
    <n v="1099020"/>
    <x v="121"/>
    <x v="8"/>
    <x v="195"/>
    <x v="475"/>
  </r>
  <r>
    <n v="1099020"/>
    <x v="121"/>
    <x v="8"/>
    <x v="173"/>
    <x v="148"/>
  </r>
  <r>
    <n v="1099020"/>
    <x v="121"/>
    <x v="8"/>
    <x v="185"/>
    <x v="34"/>
  </r>
  <r>
    <n v="1099020"/>
    <x v="121"/>
    <x v="8"/>
    <x v="179"/>
    <x v="226"/>
  </r>
  <r>
    <n v="1099020"/>
    <x v="121"/>
    <x v="8"/>
    <x v="186"/>
    <x v="476"/>
  </r>
  <r>
    <n v="1099020"/>
    <x v="121"/>
    <x v="8"/>
    <x v="174"/>
    <x v="477"/>
  </r>
  <r>
    <n v="1099020"/>
    <x v="121"/>
    <x v="8"/>
    <x v="180"/>
    <x v="19"/>
  </r>
  <r>
    <n v="1099020"/>
    <x v="121"/>
    <x v="8"/>
    <x v="187"/>
    <x v="478"/>
  </r>
  <r>
    <n v="1099020"/>
    <x v="121"/>
    <x v="8"/>
    <x v="191"/>
    <x v="479"/>
  </r>
  <r>
    <n v="1099020"/>
    <x v="121"/>
    <x v="8"/>
    <x v="175"/>
    <x v="258"/>
  </r>
  <r>
    <n v="1099020"/>
    <x v="121"/>
    <x v="8"/>
    <x v="178"/>
    <x v="387"/>
  </r>
  <r>
    <n v="1099020"/>
    <x v="121"/>
    <x v="8"/>
    <x v="169"/>
    <x v="368"/>
  </r>
  <r>
    <n v="1099020"/>
    <x v="121"/>
    <x v="8"/>
    <x v="170"/>
    <x v="480"/>
  </r>
  <r>
    <n v="1099020"/>
    <x v="121"/>
    <x v="8"/>
    <x v="188"/>
    <x v="481"/>
  </r>
  <r>
    <n v="1099020"/>
    <x v="121"/>
    <x v="8"/>
    <x v="168"/>
    <x v="65"/>
  </r>
  <r>
    <n v="1099020"/>
    <x v="121"/>
    <x v="8"/>
    <x v="193"/>
    <x v="482"/>
  </r>
  <r>
    <n v="1099020"/>
    <x v="121"/>
    <x v="8"/>
    <x v="192"/>
    <x v="65"/>
  </r>
  <r>
    <n v="1099020"/>
    <x v="121"/>
    <x v="8"/>
    <x v="181"/>
    <x v="294"/>
  </r>
  <r>
    <n v="1099020"/>
    <x v="121"/>
    <x v="8"/>
    <x v="171"/>
    <x v="331"/>
  </r>
  <r>
    <n v="1099020"/>
    <x v="121"/>
    <x v="8"/>
    <x v="176"/>
    <x v="483"/>
  </r>
  <r>
    <n v="1099020"/>
    <x v="121"/>
    <x v="8"/>
    <x v="189"/>
    <x v="484"/>
  </r>
  <r>
    <n v="1099020"/>
    <x v="121"/>
    <x v="8"/>
    <x v="177"/>
    <x v="485"/>
  </r>
  <r>
    <n v="1099020"/>
    <x v="1"/>
    <x v="1"/>
    <x v="2"/>
    <x v="2"/>
  </r>
  <r>
    <n v="1099039"/>
    <x v="122"/>
    <x v="5"/>
    <x v="353"/>
    <x v="2"/>
  </r>
  <r>
    <n v="1099039"/>
    <x v="1"/>
    <x v="1"/>
    <x v="2"/>
    <x v="2"/>
  </r>
  <r>
    <n v="1099050"/>
    <x v="123"/>
    <x v="5"/>
    <x v="415"/>
    <x v="486"/>
  </r>
  <r>
    <n v="1099050"/>
    <x v="123"/>
    <x v="5"/>
    <x v="416"/>
    <x v="487"/>
  </r>
  <r>
    <n v="1099050"/>
    <x v="123"/>
    <x v="5"/>
    <x v="399"/>
    <x v="488"/>
  </r>
  <r>
    <n v="1099050"/>
    <x v="123"/>
    <x v="5"/>
    <x v="401"/>
    <x v="326"/>
  </r>
  <r>
    <n v="1099050"/>
    <x v="123"/>
    <x v="5"/>
    <x v="398"/>
    <x v="489"/>
  </r>
  <r>
    <n v="1099050"/>
    <x v="123"/>
    <x v="5"/>
    <x v="403"/>
    <x v="490"/>
  </r>
  <r>
    <n v="1099050"/>
    <x v="1"/>
    <x v="1"/>
    <x v="2"/>
    <x v="2"/>
  </r>
  <r>
    <n v="1099052"/>
    <x v="124"/>
    <x v="2"/>
    <x v="76"/>
    <x v="231"/>
  </r>
  <r>
    <n v="1099052"/>
    <x v="124"/>
    <x v="2"/>
    <x v="71"/>
    <x v="111"/>
  </r>
  <r>
    <n v="1099052"/>
    <x v="124"/>
    <x v="2"/>
    <x v="74"/>
    <x v="51"/>
  </r>
  <r>
    <n v="1099052"/>
    <x v="124"/>
    <x v="2"/>
    <x v="58"/>
    <x v="233"/>
  </r>
  <r>
    <n v="1099052"/>
    <x v="124"/>
    <x v="2"/>
    <x v="84"/>
    <x v="232"/>
  </r>
  <r>
    <n v="1099052"/>
    <x v="124"/>
    <x v="2"/>
    <x v="79"/>
    <x v="227"/>
  </r>
  <r>
    <n v="1099052"/>
    <x v="124"/>
    <x v="2"/>
    <x v="82"/>
    <x v="162"/>
  </r>
  <r>
    <n v="1099052"/>
    <x v="124"/>
    <x v="2"/>
    <x v="77"/>
    <x v="236"/>
  </r>
  <r>
    <n v="1099052"/>
    <x v="124"/>
    <x v="2"/>
    <x v="61"/>
    <x v="234"/>
  </r>
  <r>
    <n v="1099052"/>
    <x v="124"/>
    <x v="2"/>
    <x v="70"/>
    <x v="197"/>
  </r>
  <r>
    <n v="1099052"/>
    <x v="124"/>
    <x v="2"/>
    <x v="78"/>
    <x v="235"/>
  </r>
  <r>
    <n v="1099052"/>
    <x v="124"/>
    <x v="2"/>
    <x v="65"/>
    <x v="98"/>
  </r>
  <r>
    <n v="1099052"/>
    <x v="124"/>
    <x v="2"/>
    <x v="66"/>
    <x v="231"/>
  </r>
  <r>
    <n v="1099052"/>
    <x v="124"/>
    <x v="2"/>
    <x v="68"/>
    <x v="230"/>
  </r>
  <r>
    <n v="1099052"/>
    <x v="124"/>
    <x v="2"/>
    <x v="60"/>
    <x v="229"/>
  </r>
  <r>
    <n v="1099052"/>
    <x v="124"/>
    <x v="2"/>
    <x v="63"/>
    <x v="97"/>
  </r>
  <r>
    <n v="1099052"/>
    <x v="124"/>
    <x v="2"/>
    <x v="56"/>
    <x v="228"/>
  </r>
  <r>
    <n v="1099052"/>
    <x v="124"/>
    <x v="2"/>
    <x v="75"/>
    <x v="173"/>
  </r>
  <r>
    <n v="1099052"/>
    <x v="124"/>
    <x v="2"/>
    <x v="62"/>
    <x v="153"/>
  </r>
  <r>
    <n v="1099052"/>
    <x v="1"/>
    <x v="1"/>
    <x v="2"/>
    <x v="2"/>
  </r>
  <r>
    <n v="1099063"/>
    <x v="125"/>
    <x v="2"/>
    <x v="77"/>
    <x v="184"/>
  </r>
  <r>
    <n v="1099063"/>
    <x v="125"/>
    <x v="2"/>
    <x v="78"/>
    <x v="183"/>
  </r>
  <r>
    <n v="1099063"/>
    <x v="125"/>
    <x v="2"/>
    <x v="82"/>
    <x v="185"/>
  </r>
  <r>
    <n v="1099063"/>
    <x v="1"/>
    <x v="1"/>
    <x v="2"/>
    <x v="2"/>
  </r>
  <r>
    <n v="1099066"/>
    <x v="126"/>
    <x v="10"/>
    <x v="330"/>
    <x v="2"/>
  </r>
  <r>
    <n v="1099066"/>
    <x v="1"/>
    <x v="1"/>
    <x v="2"/>
    <x v="2"/>
  </r>
  <r>
    <n v="1099070"/>
    <x v="127"/>
    <x v="4"/>
    <x v="16"/>
    <x v="14"/>
  </r>
  <r>
    <n v="1099070"/>
    <x v="127"/>
    <x v="4"/>
    <x v="17"/>
    <x v="15"/>
  </r>
  <r>
    <n v="1099070"/>
    <x v="1"/>
    <x v="1"/>
    <x v="2"/>
    <x v="2"/>
  </r>
  <r>
    <n v="1099076"/>
    <x v="128"/>
    <x v="2"/>
    <x v="419"/>
    <x v="491"/>
  </r>
  <r>
    <n v="1099076"/>
    <x v="128"/>
    <x v="2"/>
    <x v="420"/>
    <x v="492"/>
  </r>
  <r>
    <n v="1099076"/>
    <x v="1"/>
    <x v="1"/>
    <x v="2"/>
    <x v="2"/>
  </r>
  <r>
    <n v="1099078"/>
    <x v="129"/>
    <x v="3"/>
    <x v="235"/>
    <x v="214"/>
  </r>
  <r>
    <n v="1099078"/>
    <x v="129"/>
    <x v="3"/>
    <x v="252"/>
    <x v="97"/>
  </r>
  <r>
    <n v="1099078"/>
    <x v="129"/>
    <x v="3"/>
    <x v="238"/>
    <x v="216"/>
  </r>
  <r>
    <n v="1099078"/>
    <x v="129"/>
    <x v="3"/>
    <x v="239"/>
    <x v="119"/>
  </r>
  <r>
    <n v="1099078"/>
    <x v="129"/>
    <x v="3"/>
    <x v="247"/>
    <x v="119"/>
  </r>
  <r>
    <n v="1099078"/>
    <x v="129"/>
    <x v="3"/>
    <x v="240"/>
    <x v="82"/>
  </r>
  <r>
    <n v="1099078"/>
    <x v="129"/>
    <x v="3"/>
    <x v="241"/>
    <x v="217"/>
  </r>
  <r>
    <n v="1099078"/>
    <x v="129"/>
    <x v="3"/>
    <x v="242"/>
    <x v="85"/>
  </r>
  <r>
    <n v="1099078"/>
    <x v="129"/>
    <x v="3"/>
    <x v="243"/>
    <x v="163"/>
  </r>
  <r>
    <n v="1099078"/>
    <x v="129"/>
    <x v="3"/>
    <x v="244"/>
    <x v="213"/>
  </r>
  <r>
    <n v="1099078"/>
    <x v="129"/>
    <x v="3"/>
    <x v="245"/>
    <x v="218"/>
  </r>
  <r>
    <n v="1099078"/>
    <x v="129"/>
    <x v="3"/>
    <x v="246"/>
    <x v="219"/>
  </r>
  <r>
    <n v="1099078"/>
    <x v="129"/>
    <x v="3"/>
    <x v="218"/>
    <x v="202"/>
  </r>
  <r>
    <n v="1099078"/>
    <x v="129"/>
    <x v="3"/>
    <x v="217"/>
    <x v="201"/>
  </r>
  <r>
    <n v="1099078"/>
    <x v="129"/>
    <x v="3"/>
    <x v="220"/>
    <x v="105"/>
  </r>
  <r>
    <n v="1099078"/>
    <x v="129"/>
    <x v="3"/>
    <x v="248"/>
    <x v="161"/>
  </r>
  <r>
    <n v="1099078"/>
    <x v="129"/>
    <x v="3"/>
    <x v="219"/>
    <x v="203"/>
  </r>
  <r>
    <n v="1099078"/>
    <x v="129"/>
    <x v="3"/>
    <x v="221"/>
    <x v="204"/>
  </r>
  <r>
    <n v="1099078"/>
    <x v="129"/>
    <x v="3"/>
    <x v="251"/>
    <x v="176"/>
  </r>
  <r>
    <n v="1099078"/>
    <x v="129"/>
    <x v="3"/>
    <x v="253"/>
    <x v="119"/>
  </r>
  <r>
    <n v="1099078"/>
    <x v="129"/>
    <x v="3"/>
    <x v="254"/>
    <x v="221"/>
  </r>
  <r>
    <n v="1099078"/>
    <x v="129"/>
    <x v="3"/>
    <x v="256"/>
    <x v="223"/>
  </r>
  <r>
    <n v="1099078"/>
    <x v="129"/>
    <x v="3"/>
    <x v="257"/>
    <x v="224"/>
  </r>
  <r>
    <n v="1099078"/>
    <x v="129"/>
    <x v="3"/>
    <x v="258"/>
    <x v="77"/>
  </r>
  <r>
    <n v="1099078"/>
    <x v="129"/>
    <x v="3"/>
    <x v="259"/>
    <x v="197"/>
  </r>
  <r>
    <n v="1099078"/>
    <x v="129"/>
    <x v="3"/>
    <x v="260"/>
    <x v="225"/>
  </r>
  <r>
    <n v="1099078"/>
    <x v="129"/>
    <x v="3"/>
    <x v="261"/>
    <x v="92"/>
  </r>
  <r>
    <n v="1099078"/>
    <x v="129"/>
    <x v="3"/>
    <x v="249"/>
    <x v="220"/>
  </r>
  <r>
    <n v="1099078"/>
    <x v="129"/>
    <x v="3"/>
    <x v="262"/>
    <x v="164"/>
  </r>
  <r>
    <n v="1099078"/>
    <x v="129"/>
    <x v="3"/>
    <x v="263"/>
    <x v="226"/>
  </r>
  <r>
    <n v="1099078"/>
    <x v="129"/>
    <x v="3"/>
    <x v="265"/>
    <x v="176"/>
  </r>
  <r>
    <n v="1099078"/>
    <x v="129"/>
    <x v="3"/>
    <x v="204"/>
    <x v="97"/>
  </r>
  <r>
    <n v="1099078"/>
    <x v="129"/>
    <x v="3"/>
    <x v="205"/>
    <x v="77"/>
  </r>
  <r>
    <n v="1099078"/>
    <x v="129"/>
    <x v="3"/>
    <x v="206"/>
    <x v="144"/>
  </r>
  <r>
    <n v="1099078"/>
    <x v="129"/>
    <x v="3"/>
    <x v="207"/>
    <x v="196"/>
  </r>
  <r>
    <n v="1099078"/>
    <x v="129"/>
    <x v="3"/>
    <x v="208"/>
    <x v="197"/>
  </r>
  <r>
    <n v="1099078"/>
    <x v="129"/>
    <x v="3"/>
    <x v="250"/>
    <x v="34"/>
  </r>
  <r>
    <n v="1099078"/>
    <x v="129"/>
    <x v="3"/>
    <x v="209"/>
    <x v="198"/>
  </r>
  <r>
    <n v="1099078"/>
    <x v="129"/>
    <x v="3"/>
    <x v="210"/>
    <x v="147"/>
  </r>
  <r>
    <n v="1099078"/>
    <x v="129"/>
    <x v="3"/>
    <x v="212"/>
    <x v="199"/>
  </r>
  <r>
    <n v="1099078"/>
    <x v="129"/>
    <x v="3"/>
    <x v="213"/>
    <x v="200"/>
  </r>
  <r>
    <n v="1099078"/>
    <x v="129"/>
    <x v="3"/>
    <x v="214"/>
    <x v="77"/>
  </r>
  <r>
    <n v="1099078"/>
    <x v="129"/>
    <x v="3"/>
    <x v="215"/>
    <x v="77"/>
  </r>
  <r>
    <n v="1099078"/>
    <x v="129"/>
    <x v="3"/>
    <x v="216"/>
    <x v="114"/>
  </r>
  <r>
    <n v="1099078"/>
    <x v="129"/>
    <x v="3"/>
    <x v="222"/>
    <x v="205"/>
  </r>
  <r>
    <n v="1099078"/>
    <x v="129"/>
    <x v="3"/>
    <x v="223"/>
    <x v="3"/>
  </r>
  <r>
    <n v="1099078"/>
    <x v="129"/>
    <x v="3"/>
    <x v="224"/>
    <x v="93"/>
  </r>
  <r>
    <n v="1099078"/>
    <x v="129"/>
    <x v="3"/>
    <x v="225"/>
    <x v="59"/>
  </r>
  <r>
    <n v="1099078"/>
    <x v="129"/>
    <x v="3"/>
    <x v="227"/>
    <x v="207"/>
  </r>
  <r>
    <n v="1099078"/>
    <x v="129"/>
    <x v="3"/>
    <x v="228"/>
    <x v="208"/>
  </r>
  <r>
    <n v="1099078"/>
    <x v="129"/>
    <x v="3"/>
    <x v="229"/>
    <x v="209"/>
  </r>
  <r>
    <n v="1099078"/>
    <x v="129"/>
    <x v="3"/>
    <x v="230"/>
    <x v="210"/>
  </r>
  <r>
    <n v="1099078"/>
    <x v="129"/>
    <x v="3"/>
    <x v="231"/>
    <x v="211"/>
  </r>
  <r>
    <n v="1099078"/>
    <x v="129"/>
    <x v="3"/>
    <x v="232"/>
    <x v="212"/>
  </r>
  <r>
    <n v="1099078"/>
    <x v="129"/>
    <x v="3"/>
    <x v="233"/>
    <x v="213"/>
  </r>
  <r>
    <n v="1099078"/>
    <x v="129"/>
    <x v="3"/>
    <x v="234"/>
    <x v="175"/>
  </r>
  <r>
    <n v="1099078"/>
    <x v="129"/>
    <x v="3"/>
    <x v="236"/>
    <x v="173"/>
  </r>
  <r>
    <n v="1099078"/>
    <x v="129"/>
    <x v="3"/>
    <x v="237"/>
    <x v="215"/>
  </r>
  <r>
    <n v="1099078"/>
    <x v="129"/>
    <x v="3"/>
    <x v="255"/>
    <x v="222"/>
  </r>
  <r>
    <n v="1099078"/>
    <x v="129"/>
    <x v="3"/>
    <x v="264"/>
    <x v="153"/>
  </r>
  <r>
    <n v="1099078"/>
    <x v="129"/>
    <x v="3"/>
    <x v="211"/>
    <x v="153"/>
  </r>
  <r>
    <n v="1099078"/>
    <x v="129"/>
    <x v="3"/>
    <x v="226"/>
    <x v="206"/>
  </r>
  <r>
    <n v="1099078"/>
    <x v="1"/>
    <x v="1"/>
    <x v="2"/>
    <x v="2"/>
  </r>
  <r>
    <n v="1099080"/>
    <x v="130"/>
    <x v="2"/>
    <x v="202"/>
    <x v="493"/>
  </r>
  <r>
    <n v="1099080"/>
    <x v="130"/>
    <x v="2"/>
    <x v="200"/>
    <x v="494"/>
  </r>
  <r>
    <n v="1099080"/>
    <x v="130"/>
    <x v="2"/>
    <x v="390"/>
    <x v="495"/>
  </r>
  <r>
    <n v="1099080"/>
    <x v="130"/>
    <x v="2"/>
    <x v="203"/>
    <x v="496"/>
  </r>
  <r>
    <n v="1099080"/>
    <x v="130"/>
    <x v="2"/>
    <x v="201"/>
    <x v="121"/>
  </r>
  <r>
    <n v="1099080"/>
    <x v="130"/>
    <x v="2"/>
    <x v="199"/>
    <x v="497"/>
  </r>
  <r>
    <n v="1099080"/>
    <x v="130"/>
    <x v="2"/>
    <x v="389"/>
    <x v="498"/>
  </r>
  <r>
    <n v="1099080"/>
    <x v="130"/>
    <x v="2"/>
    <x v="388"/>
    <x v="499"/>
  </r>
  <r>
    <n v="1099080"/>
    <x v="130"/>
    <x v="2"/>
    <x v="387"/>
    <x v="500"/>
  </r>
  <r>
    <n v="1099080"/>
    <x v="130"/>
    <x v="2"/>
    <x v="4"/>
    <x v="3"/>
  </r>
  <r>
    <n v="1099080"/>
    <x v="130"/>
    <x v="2"/>
    <x v="3"/>
    <x v="372"/>
  </r>
  <r>
    <n v="1099080"/>
    <x v="1"/>
    <x v="1"/>
    <x v="2"/>
    <x v="2"/>
  </r>
  <r>
    <n v="1099082"/>
    <x v="131"/>
    <x v="5"/>
    <x v="119"/>
    <x v="2"/>
  </r>
  <r>
    <n v="1099082"/>
    <x v="1"/>
    <x v="1"/>
    <x v="2"/>
    <x v="2"/>
  </r>
  <r>
    <n v="1099089"/>
    <x v="132"/>
    <x v="6"/>
    <x v="292"/>
    <x v="267"/>
  </r>
  <r>
    <n v="1099089"/>
    <x v="132"/>
    <x v="6"/>
    <x v="297"/>
    <x v="30"/>
  </r>
  <r>
    <n v="1099089"/>
    <x v="132"/>
    <x v="6"/>
    <x v="296"/>
    <x v="271"/>
  </r>
  <r>
    <n v="1099089"/>
    <x v="132"/>
    <x v="6"/>
    <x v="294"/>
    <x v="269"/>
  </r>
  <r>
    <n v="1099089"/>
    <x v="132"/>
    <x v="6"/>
    <x v="298"/>
    <x v="272"/>
  </r>
  <r>
    <n v="1099089"/>
    <x v="132"/>
    <x v="6"/>
    <x v="295"/>
    <x v="270"/>
  </r>
  <r>
    <n v="1099089"/>
    <x v="132"/>
    <x v="6"/>
    <x v="291"/>
    <x v="5"/>
  </r>
  <r>
    <n v="1099089"/>
    <x v="132"/>
    <x v="6"/>
    <x v="293"/>
    <x v="268"/>
  </r>
  <r>
    <n v="1099089"/>
    <x v="132"/>
    <x v="6"/>
    <x v="290"/>
    <x v="266"/>
  </r>
  <r>
    <n v="1099089"/>
    <x v="1"/>
    <x v="1"/>
    <x v="2"/>
    <x v="2"/>
  </r>
  <r>
    <n v="1099092"/>
    <x v="133"/>
    <x v="3"/>
    <x v="263"/>
    <x v="226"/>
  </r>
  <r>
    <n v="1099092"/>
    <x v="133"/>
    <x v="3"/>
    <x v="264"/>
    <x v="153"/>
  </r>
  <r>
    <n v="1099092"/>
    <x v="133"/>
    <x v="3"/>
    <x v="265"/>
    <x v="176"/>
  </r>
  <r>
    <n v="1099092"/>
    <x v="133"/>
    <x v="3"/>
    <x v="205"/>
    <x v="77"/>
  </r>
  <r>
    <n v="1099092"/>
    <x v="133"/>
    <x v="3"/>
    <x v="250"/>
    <x v="34"/>
  </r>
  <r>
    <n v="1099092"/>
    <x v="133"/>
    <x v="3"/>
    <x v="209"/>
    <x v="198"/>
  </r>
  <r>
    <n v="1099092"/>
    <x v="133"/>
    <x v="3"/>
    <x v="210"/>
    <x v="147"/>
  </r>
  <r>
    <n v="1099092"/>
    <x v="133"/>
    <x v="3"/>
    <x v="211"/>
    <x v="153"/>
  </r>
  <r>
    <n v="1099092"/>
    <x v="133"/>
    <x v="3"/>
    <x v="212"/>
    <x v="199"/>
  </r>
  <r>
    <n v="1099092"/>
    <x v="133"/>
    <x v="3"/>
    <x v="214"/>
    <x v="77"/>
  </r>
  <r>
    <n v="1099092"/>
    <x v="133"/>
    <x v="3"/>
    <x v="223"/>
    <x v="3"/>
  </r>
  <r>
    <n v="1099092"/>
    <x v="133"/>
    <x v="3"/>
    <x v="224"/>
    <x v="93"/>
  </r>
  <r>
    <n v="1099092"/>
    <x v="133"/>
    <x v="3"/>
    <x v="225"/>
    <x v="59"/>
  </r>
  <r>
    <n v="1099092"/>
    <x v="133"/>
    <x v="3"/>
    <x v="226"/>
    <x v="206"/>
  </r>
  <r>
    <n v="1099092"/>
    <x v="133"/>
    <x v="3"/>
    <x v="227"/>
    <x v="207"/>
  </r>
  <r>
    <n v="1099092"/>
    <x v="133"/>
    <x v="3"/>
    <x v="232"/>
    <x v="212"/>
  </r>
  <r>
    <n v="1099092"/>
    <x v="133"/>
    <x v="3"/>
    <x v="233"/>
    <x v="213"/>
  </r>
  <r>
    <n v="1099092"/>
    <x v="133"/>
    <x v="3"/>
    <x v="234"/>
    <x v="175"/>
  </r>
  <r>
    <n v="1099092"/>
    <x v="133"/>
    <x v="3"/>
    <x v="235"/>
    <x v="214"/>
  </r>
  <r>
    <n v="1099092"/>
    <x v="133"/>
    <x v="3"/>
    <x v="236"/>
    <x v="173"/>
  </r>
  <r>
    <n v="1099092"/>
    <x v="133"/>
    <x v="3"/>
    <x v="238"/>
    <x v="216"/>
  </r>
  <r>
    <n v="1099092"/>
    <x v="133"/>
    <x v="3"/>
    <x v="252"/>
    <x v="97"/>
  </r>
  <r>
    <n v="1099092"/>
    <x v="133"/>
    <x v="3"/>
    <x v="240"/>
    <x v="82"/>
  </r>
  <r>
    <n v="1099092"/>
    <x v="133"/>
    <x v="3"/>
    <x v="241"/>
    <x v="217"/>
  </r>
  <r>
    <n v="1099092"/>
    <x v="133"/>
    <x v="3"/>
    <x v="242"/>
    <x v="85"/>
  </r>
  <r>
    <n v="1099092"/>
    <x v="133"/>
    <x v="3"/>
    <x v="243"/>
    <x v="163"/>
  </r>
  <r>
    <n v="1099092"/>
    <x v="133"/>
    <x v="3"/>
    <x v="217"/>
    <x v="201"/>
  </r>
  <r>
    <n v="1099092"/>
    <x v="133"/>
    <x v="3"/>
    <x v="244"/>
    <x v="213"/>
  </r>
  <r>
    <n v="1099092"/>
    <x v="133"/>
    <x v="3"/>
    <x v="245"/>
    <x v="218"/>
  </r>
  <r>
    <n v="1099092"/>
    <x v="133"/>
    <x v="3"/>
    <x v="246"/>
    <x v="219"/>
  </r>
  <r>
    <n v="1099092"/>
    <x v="133"/>
    <x v="3"/>
    <x v="247"/>
    <x v="119"/>
  </r>
  <r>
    <n v="1099092"/>
    <x v="133"/>
    <x v="3"/>
    <x v="248"/>
    <x v="161"/>
  </r>
  <r>
    <n v="1099092"/>
    <x v="133"/>
    <x v="3"/>
    <x v="218"/>
    <x v="202"/>
  </r>
  <r>
    <n v="1099092"/>
    <x v="133"/>
    <x v="3"/>
    <x v="219"/>
    <x v="203"/>
  </r>
  <r>
    <n v="1099092"/>
    <x v="133"/>
    <x v="3"/>
    <x v="220"/>
    <x v="105"/>
  </r>
  <r>
    <n v="1099092"/>
    <x v="133"/>
    <x v="3"/>
    <x v="221"/>
    <x v="204"/>
  </r>
  <r>
    <n v="1099092"/>
    <x v="133"/>
    <x v="3"/>
    <x v="257"/>
    <x v="224"/>
  </r>
  <r>
    <n v="1099092"/>
    <x v="133"/>
    <x v="3"/>
    <x v="259"/>
    <x v="197"/>
  </r>
  <r>
    <n v="1099092"/>
    <x v="133"/>
    <x v="3"/>
    <x v="260"/>
    <x v="225"/>
  </r>
  <r>
    <n v="1099092"/>
    <x v="133"/>
    <x v="3"/>
    <x v="261"/>
    <x v="92"/>
  </r>
  <r>
    <n v="1099092"/>
    <x v="133"/>
    <x v="3"/>
    <x v="204"/>
    <x v="97"/>
  </r>
  <r>
    <n v="1099092"/>
    <x v="133"/>
    <x v="3"/>
    <x v="206"/>
    <x v="144"/>
  </r>
  <r>
    <n v="1099092"/>
    <x v="133"/>
    <x v="3"/>
    <x v="207"/>
    <x v="196"/>
  </r>
  <r>
    <n v="1099092"/>
    <x v="133"/>
    <x v="3"/>
    <x v="208"/>
    <x v="197"/>
  </r>
  <r>
    <n v="1099092"/>
    <x v="133"/>
    <x v="3"/>
    <x v="213"/>
    <x v="200"/>
  </r>
  <r>
    <n v="1099092"/>
    <x v="133"/>
    <x v="3"/>
    <x v="215"/>
    <x v="77"/>
  </r>
  <r>
    <n v="1099092"/>
    <x v="133"/>
    <x v="3"/>
    <x v="216"/>
    <x v="114"/>
  </r>
  <r>
    <n v="1099092"/>
    <x v="133"/>
    <x v="3"/>
    <x v="222"/>
    <x v="205"/>
  </r>
  <r>
    <n v="1099092"/>
    <x v="133"/>
    <x v="3"/>
    <x v="228"/>
    <x v="208"/>
  </r>
  <r>
    <n v="1099092"/>
    <x v="133"/>
    <x v="3"/>
    <x v="229"/>
    <x v="209"/>
  </r>
  <r>
    <n v="1099092"/>
    <x v="133"/>
    <x v="3"/>
    <x v="230"/>
    <x v="210"/>
  </r>
  <r>
    <n v="1099092"/>
    <x v="133"/>
    <x v="3"/>
    <x v="231"/>
    <x v="211"/>
  </r>
  <r>
    <n v="1099092"/>
    <x v="133"/>
    <x v="3"/>
    <x v="237"/>
    <x v="215"/>
  </r>
  <r>
    <n v="1099092"/>
    <x v="133"/>
    <x v="3"/>
    <x v="239"/>
    <x v="119"/>
  </r>
  <r>
    <n v="1099092"/>
    <x v="133"/>
    <x v="3"/>
    <x v="251"/>
    <x v="176"/>
  </r>
  <r>
    <n v="1099092"/>
    <x v="133"/>
    <x v="3"/>
    <x v="253"/>
    <x v="119"/>
  </r>
  <r>
    <n v="1099092"/>
    <x v="133"/>
    <x v="3"/>
    <x v="254"/>
    <x v="221"/>
  </r>
  <r>
    <n v="1099092"/>
    <x v="133"/>
    <x v="3"/>
    <x v="255"/>
    <x v="222"/>
  </r>
  <r>
    <n v="1099092"/>
    <x v="133"/>
    <x v="3"/>
    <x v="256"/>
    <x v="223"/>
  </r>
  <r>
    <n v="1099092"/>
    <x v="133"/>
    <x v="3"/>
    <x v="258"/>
    <x v="77"/>
  </r>
  <r>
    <n v="1099092"/>
    <x v="133"/>
    <x v="3"/>
    <x v="249"/>
    <x v="220"/>
  </r>
  <r>
    <n v="1099092"/>
    <x v="133"/>
    <x v="3"/>
    <x v="262"/>
    <x v="164"/>
  </r>
  <r>
    <n v="1099092"/>
    <x v="1"/>
    <x v="1"/>
    <x v="2"/>
    <x v="2"/>
  </r>
  <r>
    <n v="1099095"/>
    <x v="134"/>
    <x v="3"/>
    <x v="247"/>
    <x v="119"/>
  </r>
  <r>
    <n v="1099095"/>
    <x v="134"/>
    <x v="3"/>
    <x v="248"/>
    <x v="161"/>
  </r>
  <r>
    <n v="1099095"/>
    <x v="134"/>
    <x v="3"/>
    <x v="219"/>
    <x v="203"/>
  </r>
  <r>
    <n v="1099095"/>
    <x v="134"/>
    <x v="3"/>
    <x v="217"/>
    <x v="201"/>
  </r>
  <r>
    <n v="1099095"/>
    <x v="134"/>
    <x v="3"/>
    <x v="218"/>
    <x v="202"/>
  </r>
  <r>
    <n v="1099095"/>
    <x v="134"/>
    <x v="3"/>
    <x v="244"/>
    <x v="213"/>
  </r>
  <r>
    <n v="1099095"/>
    <x v="134"/>
    <x v="3"/>
    <x v="245"/>
    <x v="218"/>
  </r>
  <r>
    <n v="1099095"/>
    <x v="134"/>
    <x v="3"/>
    <x v="220"/>
    <x v="105"/>
  </r>
  <r>
    <n v="1099095"/>
    <x v="134"/>
    <x v="3"/>
    <x v="221"/>
    <x v="204"/>
  </r>
  <r>
    <n v="1099095"/>
    <x v="134"/>
    <x v="3"/>
    <x v="252"/>
    <x v="97"/>
  </r>
  <r>
    <n v="1099095"/>
    <x v="134"/>
    <x v="3"/>
    <x v="251"/>
    <x v="176"/>
  </r>
  <r>
    <n v="1099095"/>
    <x v="134"/>
    <x v="3"/>
    <x v="254"/>
    <x v="221"/>
  </r>
  <r>
    <n v="1099095"/>
    <x v="134"/>
    <x v="3"/>
    <x v="253"/>
    <x v="119"/>
  </r>
  <r>
    <n v="1099095"/>
    <x v="134"/>
    <x v="3"/>
    <x v="234"/>
    <x v="175"/>
  </r>
  <r>
    <n v="1099095"/>
    <x v="134"/>
    <x v="3"/>
    <x v="255"/>
    <x v="222"/>
  </r>
  <r>
    <n v="1099095"/>
    <x v="134"/>
    <x v="3"/>
    <x v="256"/>
    <x v="223"/>
  </r>
  <r>
    <n v="1099095"/>
    <x v="134"/>
    <x v="3"/>
    <x v="257"/>
    <x v="224"/>
  </r>
  <r>
    <n v="1099095"/>
    <x v="134"/>
    <x v="3"/>
    <x v="258"/>
    <x v="77"/>
  </r>
  <r>
    <n v="1099095"/>
    <x v="134"/>
    <x v="3"/>
    <x v="259"/>
    <x v="197"/>
  </r>
  <r>
    <n v="1099095"/>
    <x v="134"/>
    <x v="3"/>
    <x v="260"/>
    <x v="225"/>
  </r>
  <r>
    <n v="1099095"/>
    <x v="134"/>
    <x v="3"/>
    <x v="261"/>
    <x v="92"/>
  </r>
  <r>
    <n v="1099095"/>
    <x v="134"/>
    <x v="3"/>
    <x v="249"/>
    <x v="220"/>
  </r>
  <r>
    <n v="1099095"/>
    <x v="134"/>
    <x v="3"/>
    <x v="262"/>
    <x v="164"/>
  </r>
  <r>
    <n v="1099095"/>
    <x v="134"/>
    <x v="3"/>
    <x v="263"/>
    <x v="226"/>
  </r>
  <r>
    <n v="1099095"/>
    <x v="134"/>
    <x v="3"/>
    <x v="264"/>
    <x v="153"/>
  </r>
  <r>
    <n v="1099095"/>
    <x v="134"/>
    <x v="3"/>
    <x v="265"/>
    <x v="176"/>
  </r>
  <r>
    <n v="1099095"/>
    <x v="134"/>
    <x v="3"/>
    <x v="204"/>
    <x v="97"/>
  </r>
  <r>
    <n v="1099095"/>
    <x v="134"/>
    <x v="3"/>
    <x v="205"/>
    <x v="77"/>
  </r>
  <r>
    <n v="1099095"/>
    <x v="134"/>
    <x v="3"/>
    <x v="206"/>
    <x v="144"/>
  </r>
  <r>
    <n v="1099095"/>
    <x v="134"/>
    <x v="3"/>
    <x v="207"/>
    <x v="196"/>
  </r>
  <r>
    <n v="1099095"/>
    <x v="134"/>
    <x v="3"/>
    <x v="208"/>
    <x v="197"/>
  </r>
  <r>
    <n v="1099095"/>
    <x v="134"/>
    <x v="3"/>
    <x v="250"/>
    <x v="34"/>
  </r>
  <r>
    <n v="1099095"/>
    <x v="134"/>
    <x v="3"/>
    <x v="209"/>
    <x v="198"/>
  </r>
  <r>
    <n v="1099095"/>
    <x v="134"/>
    <x v="3"/>
    <x v="210"/>
    <x v="147"/>
  </r>
  <r>
    <n v="1099095"/>
    <x v="134"/>
    <x v="3"/>
    <x v="211"/>
    <x v="153"/>
  </r>
  <r>
    <n v="1099095"/>
    <x v="134"/>
    <x v="3"/>
    <x v="212"/>
    <x v="199"/>
  </r>
  <r>
    <n v="1099095"/>
    <x v="134"/>
    <x v="3"/>
    <x v="213"/>
    <x v="200"/>
  </r>
  <r>
    <n v="1099095"/>
    <x v="134"/>
    <x v="3"/>
    <x v="214"/>
    <x v="77"/>
  </r>
  <r>
    <n v="1099095"/>
    <x v="134"/>
    <x v="3"/>
    <x v="215"/>
    <x v="77"/>
  </r>
  <r>
    <n v="1099095"/>
    <x v="134"/>
    <x v="3"/>
    <x v="216"/>
    <x v="114"/>
  </r>
  <r>
    <n v="1099095"/>
    <x v="134"/>
    <x v="3"/>
    <x v="222"/>
    <x v="205"/>
  </r>
  <r>
    <n v="1099095"/>
    <x v="134"/>
    <x v="3"/>
    <x v="223"/>
    <x v="3"/>
  </r>
  <r>
    <n v="1099095"/>
    <x v="134"/>
    <x v="3"/>
    <x v="224"/>
    <x v="93"/>
  </r>
  <r>
    <n v="1099095"/>
    <x v="134"/>
    <x v="3"/>
    <x v="225"/>
    <x v="59"/>
  </r>
  <r>
    <n v="1099095"/>
    <x v="134"/>
    <x v="3"/>
    <x v="226"/>
    <x v="206"/>
  </r>
  <r>
    <n v="1099095"/>
    <x v="134"/>
    <x v="3"/>
    <x v="227"/>
    <x v="207"/>
  </r>
  <r>
    <n v="1099095"/>
    <x v="134"/>
    <x v="3"/>
    <x v="228"/>
    <x v="208"/>
  </r>
  <r>
    <n v="1099095"/>
    <x v="134"/>
    <x v="3"/>
    <x v="229"/>
    <x v="209"/>
  </r>
  <r>
    <n v="1099095"/>
    <x v="134"/>
    <x v="3"/>
    <x v="230"/>
    <x v="210"/>
  </r>
  <r>
    <n v="1099095"/>
    <x v="134"/>
    <x v="3"/>
    <x v="231"/>
    <x v="211"/>
  </r>
  <r>
    <n v="1099095"/>
    <x v="134"/>
    <x v="3"/>
    <x v="232"/>
    <x v="212"/>
  </r>
  <r>
    <n v="1099095"/>
    <x v="134"/>
    <x v="3"/>
    <x v="233"/>
    <x v="213"/>
  </r>
  <r>
    <n v="1099095"/>
    <x v="134"/>
    <x v="3"/>
    <x v="235"/>
    <x v="214"/>
  </r>
  <r>
    <n v="1099095"/>
    <x v="134"/>
    <x v="3"/>
    <x v="236"/>
    <x v="173"/>
  </r>
  <r>
    <n v="1099095"/>
    <x v="134"/>
    <x v="3"/>
    <x v="237"/>
    <x v="215"/>
  </r>
  <r>
    <n v="1099095"/>
    <x v="134"/>
    <x v="3"/>
    <x v="238"/>
    <x v="216"/>
  </r>
  <r>
    <n v="1099095"/>
    <x v="134"/>
    <x v="3"/>
    <x v="239"/>
    <x v="119"/>
  </r>
  <r>
    <n v="1099095"/>
    <x v="134"/>
    <x v="3"/>
    <x v="240"/>
    <x v="82"/>
  </r>
  <r>
    <n v="1099095"/>
    <x v="134"/>
    <x v="3"/>
    <x v="241"/>
    <x v="217"/>
  </r>
  <r>
    <n v="1099095"/>
    <x v="134"/>
    <x v="3"/>
    <x v="242"/>
    <x v="85"/>
  </r>
  <r>
    <n v="1099095"/>
    <x v="134"/>
    <x v="3"/>
    <x v="243"/>
    <x v="163"/>
  </r>
  <r>
    <n v="1099095"/>
    <x v="134"/>
    <x v="3"/>
    <x v="246"/>
    <x v="219"/>
  </r>
  <r>
    <n v="1099095"/>
    <x v="1"/>
    <x v="1"/>
    <x v="2"/>
    <x v="2"/>
  </r>
  <r>
    <n v="1099098"/>
    <x v="135"/>
    <x v="5"/>
    <x v="284"/>
    <x v="301"/>
  </r>
  <r>
    <n v="1099098"/>
    <x v="135"/>
    <x v="5"/>
    <x v="286"/>
    <x v="302"/>
  </r>
  <r>
    <n v="1099098"/>
    <x v="135"/>
    <x v="5"/>
    <x v="278"/>
    <x v="303"/>
  </r>
  <r>
    <n v="1099098"/>
    <x v="1"/>
    <x v="1"/>
    <x v="2"/>
    <x v="2"/>
  </r>
  <r>
    <n v="1099108"/>
    <x v="136"/>
    <x v="3"/>
    <x v="221"/>
    <x v="204"/>
  </r>
  <r>
    <n v="1099108"/>
    <x v="136"/>
    <x v="3"/>
    <x v="251"/>
    <x v="176"/>
  </r>
  <r>
    <n v="1099108"/>
    <x v="136"/>
    <x v="3"/>
    <x v="253"/>
    <x v="119"/>
  </r>
  <r>
    <n v="1099108"/>
    <x v="136"/>
    <x v="3"/>
    <x v="254"/>
    <x v="221"/>
  </r>
  <r>
    <n v="1099108"/>
    <x v="136"/>
    <x v="3"/>
    <x v="255"/>
    <x v="222"/>
  </r>
  <r>
    <n v="1099108"/>
    <x v="136"/>
    <x v="3"/>
    <x v="261"/>
    <x v="92"/>
  </r>
  <r>
    <n v="1099108"/>
    <x v="136"/>
    <x v="3"/>
    <x v="249"/>
    <x v="220"/>
  </r>
  <r>
    <n v="1099108"/>
    <x v="136"/>
    <x v="3"/>
    <x v="262"/>
    <x v="164"/>
  </r>
  <r>
    <n v="1099108"/>
    <x v="136"/>
    <x v="3"/>
    <x v="206"/>
    <x v="144"/>
  </r>
  <r>
    <n v="1099108"/>
    <x v="136"/>
    <x v="3"/>
    <x v="207"/>
    <x v="196"/>
  </r>
  <r>
    <n v="1099108"/>
    <x v="136"/>
    <x v="3"/>
    <x v="208"/>
    <x v="197"/>
  </r>
  <r>
    <n v="1099108"/>
    <x v="136"/>
    <x v="3"/>
    <x v="213"/>
    <x v="200"/>
  </r>
  <r>
    <n v="1099108"/>
    <x v="136"/>
    <x v="3"/>
    <x v="214"/>
    <x v="77"/>
  </r>
  <r>
    <n v="1099108"/>
    <x v="136"/>
    <x v="3"/>
    <x v="215"/>
    <x v="77"/>
  </r>
  <r>
    <n v="1099108"/>
    <x v="136"/>
    <x v="3"/>
    <x v="226"/>
    <x v="206"/>
  </r>
  <r>
    <n v="1099108"/>
    <x v="136"/>
    <x v="3"/>
    <x v="227"/>
    <x v="207"/>
  </r>
  <r>
    <n v="1099108"/>
    <x v="136"/>
    <x v="3"/>
    <x v="228"/>
    <x v="208"/>
  </r>
  <r>
    <n v="1099108"/>
    <x v="136"/>
    <x v="3"/>
    <x v="233"/>
    <x v="213"/>
  </r>
  <r>
    <n v="1099108"/>
    <x v="136"/>
    <x v="3"/>
    <x v="234"/>
    <x v="175"/>
  </r>
  <r>
    <n v="1099108"/>
    <x v="136"/>
    <x v="3"/>
    <x v="235"/>
    <x v="214"/>
  </r>
  <r>
    <n v="1099108"/>
    <x v="136"/>
    <x v="3"/>
    <x v="241"/>
    <x v="217"/>
  </r>
  <r>
    <n v="1099108"/>
    <x v="136"/>
    <x v="3"/>
    <x v="242"/>
    <x v="85"/>
  </r>
  <r>
    <n v="1099108"/>
    <x v="136"/>
    <x v="3"/>
    <x v="243"/>
    <x v="163"/>
  </r>
  <r>
    <n v="1099108"/>
    <x v="136"/>
    <x v="3"/>
    <x v="256"/>
    <x v="223"/>
  </r>
  <r>
    <n v="1099108"/>
    <x v="136"/>
    <x v="3"/>
    <x v="263"/>
    <x v="226"/>
  </r>
  <r>
    <n v="1099108"/>
    <x v="136"/>
    <x v="3"/>
    <x v="250"/>
    <x v="34"/>
  </r>
  <r>
    <n v="1099108"/>
    <x v="136"/>
    <x v="3"/>
    <x v="216"/>
    <x v="114"/>
  </r>
  <r>
    <n v="1099108"/>
    <x v="136"/>
    <x v="3"/>
    <x v="236"/>
    <x v="173"/>
  </r>
  <r>
    <n v="1099108"/>
    <x v="136"/>
    <x v="3"/>
    <x v="244"/>
    <x v="213"/>
  </r>
  <r>
    <n v="1099108"/>
    <x v="136"/>
    <x v="3"/>
    <x v="257"/>
    <x v="224"/>
  </r>
  <r>
    <n v="1099108"/>
    <x v="136"/>
    <x v="3"/>
    <x v="258"/>
    <x v="77"/>
  </r>
  <r>
    <n v="1099108"/>
    <x v="136"/>
    <x v="3"/>
    <x v="259"/>
    <x v="197"/>
  </r>
  <r>
    <n v="1099108"/>
    <x v="136"/>
    <x v="3"/>
    <x v="260"/>
    <x v="225"/>
  </r>
  <r>
    <n v="1099108"/>
    <x v="136"/>
    <x v="3"/>
    <x v="264"/>
    <x v="153"/>
  </r>
  <r>
    <n v="1099108"/>
    <x v="136"/>
    <x v="3"/>
    <x v="265"/>
    <x v="176"/>
  </r>
  <r>
    <n v="1099108"/>
    <x v="136"/>
    <x v="3"/>
    <x v="204"/>
    <x v="97"/>
  </r>
  <r>
    <n v="1099108"/>
    <x v="136"/>
    <x v="3"/>
    <x v="205"/>
    <x v="77"/>
  </r>
  <r>
    <n v="1099108"/>
    <x v="136"/>
    <x v="3"/>
    <x v="209"/>
    <x v="198"/>
  </r>
  <r>
    <n v="1099108"/>
    <x v="136"/>
    <x v="3"/>
    <x v="210"/>
    <x v="147"/>
  </r>
  <r>
    <n v="1099108"/>
    <x v="136"/>
    <x v="3"/>
    <x v="211"/>
    <x v="153"/>
  </r>
  <r>
    <n v="1099108"/>
    <x v="136"/>
    <x v="3"/>
    <x v="212"/>
    <x v="199"/>
  </r>
  <r>
    <n v="1099108"/>
    <x v="136"/>
    <x v="3"/>
    <x v="222"/>
    <x v="205"/>
  </r>
  <r>
    <n v="1099108"/>
    <x v="136"/>
    <x v="3"/>
    <x v="223"/>
    <x v="3"/>
  </r>
  <r>
    <n v="1099108"/>
    <x v="136"/>
    <x v="3"/>
    <x v="224"/>
    <x v="93"/>
  </r>
  <r>
    <n v="1099108"/>
    <x v="136"/>
    <x v="3"/>
    <x v="225"/>
    <x v="59"/>
  </r>
  <r>
    <n v="1099108"/>
    <x v="136"/>
    <x v="3"/>
    <x v="229"/>
    <x v="209"/>
  </r>
  <r>
    <n v="1099108"/>
    <x v="136"/>
    <x v="3"/>
    <x v="230"/>
    <x v="210"/>
  </r>
  <r>
    <n v="1099108"/>
    <x v="136"/>
    <x v="3"/>
    <x v="231"/>
    <x v="211"/>
  </r>
  <r>
    <n v="1099108"/>
    <x v="136"/>
    <x v="3"/>
    <x v="232"/>
    <x v="212"/>
  </r>
  <r>
    <n v="1099108"/>
    <x v="136"/>
    <x v="3"/>
    <x v="237"/>
    <x v="215"/>
  </r>
  <r>
    <n v="1099108"/>
    <x v="136"/>
    <x v="3"/>
    <x v="238"/>
    <x v="216"/>
  </r>
  <r>
    <n v="1099108"/>
    <x v="136"/>
    <x v="3"/>
    <x v="239"/>
    <x v="119"/>
  </r>
  <r>
    <n v="1099108"/>
    <x v="136"/>
    <x v="3"/>
    <x v="240"/>
    <x v="82"/>
  </r>
  <r>
    <n v="1099108"/>
    <x v="136"/>
    <x v="3"/>
    <x v="245"/>
    <x v="218"/>
  </r>
  <r>
    <n v="1099108"/>
    <x v="136"/>
    <x v="3"/>
    <x v="246"/>
    <x v="219"/>
  </r>
  <r>
    <n v="1099108"/>
    <x v="136"/>
    <x v="3"/>
    <x v="252"/>
    <x v="97"/>
  </r>
  <r>
    <n v="1099108"/>
    <x v="136"/>
    <x v="3"/>
    <x v="248"/>
    <x v="161"/>
  </r>
  <r>
    <n v="1099108"/>
    <x v="136"/>
    <x v="3"/>
    <x v="217"/>
    <x v="201"/>
  </r>
  <r>
    <n v="1099108"/>
    <x v="136"/>
    <x v="3"/>
    <x v="218"/>
    <x v="202"/>
  </r>
  <r>
    <n v="1099108"/>
    <x v="136"/>
    <x v="3"/>
    <x v="219"/>
    <x v="203"/>
  </r>
  <r>
    <n v="1099108"/>
    <x v="136"/>
    <x v="3"/>
    <x v="220"/>
    <x v="105"/>
  </r>
  <r>
    <n v="1099108"/>
    <x v="136"/>
    <x v="3"/>
    <x v="247"/>
    <x v="119"/>
  </r>
  <r>
    <n v="1099108"/>
    <x v="1"/>
    <x v="1"/>
    <x v="2"/>
    <x v="2"/>
  </r>
  <r>
    <n v="1099112"/>
    <x v="137"/>
    <x v="5"/>
    <x v="119"/>
    <x v="2"/>
  </r>
  <r>
    <n v="1099112"/>
    <x v="1"/>
    <x v="1"/>
    <x v="2"/>
    <x v="2"/>
  </r>
  <r>
    <n v="1099118"/>
    <x v="138"/>
    <x v="2"/>
    <x v="60"/>
    <x v="229"/>
  </r>
  <r>
    <n v="1099118"/>
    <x v="138"/>
    <x v="2"/>
    <x v="79"/>
    <x v="227"/>
  </r>
  <r>
    <n v="1099118"/>
    <x v="138"/>
    <x v="2"/>
    <x v="65"/>
    <x v="98"/>
  </r>
  <r>
    <n v="1099118"/>
    <x v="138"/>
    <x v="2"/>
    <x v="70"/>
    <x v="197"/>
  </r>
  <r>
    <n v="1099118"/>
    <x v="138"/>
    <x v="2"/>
    <x v="71"/>
    <x v="111"/>
  </r>
  <r>
    <n v="1099118"/>
    <x v="138"/>
    <x v="2"/>
    <x v="61"/>
    <x v="234"/>
  </r>
  <r>
    <n v="1099118"/>
    <x v="138"/>
    <x v="2"/>
    <x v="75"/>
    <x v="173"/>
  </r>
  <r>
    <n v="1099118"/>
    <x v="138"/>
    <x v="2"/>
    <x v="56"/>
    <x v="228"/>
  </r>
  <r>
    <n v="1099118"/>
    <x v="138"/>
    <x v="2"/>
    <x v="76"/>
    <x v="231"/>
  </r>
  <r>
    <n v="1099118"/>
    <x v="138"/>
    <x v="2"/>
    <x v="74"/>
    <x v="51"/>
  </r>
  <r>
    <n v="1099118"/>
    <x v="138"/>
    <x v="2"/>
    <x v="68"/>
    <x v="230"/>
  </r>
  <r>
    <n v="1099118"/>
    <x v="138"/>
    <x v="2"/>
    <x v="58"/>
    <x v="233"/>
  </r>
  <r>
    <n v="1099118"/>
    <x v="138"/>
    <x v="2"/>
    <x v="82"/>
    <x v="162"/>
  </r>
  <r>
    <n v="1099118"/>
    <x v="138"/>
    <x v="2"/>
    <x v="77"/>
    <x v="236"/>
  </r>
  <r>
    <n v="1099118"/>
    <x v="138"/>
    <x v="2"/>
    <x v="66"/>
    <x v="231"/>
  </r>
  <r>
    <n v="1099118"/>
    <x v="138"/>
    <x v="2"/>
    <x v="63"/>
    <x v="97"/>
  </r>
  <r>
    <n v="1099118"/>
    <x v="138"/>
    <x v="2"/>
    <x v="84"/>
    <x v="232"/>
  </r>
  <r>
    <n v="1099118"/>
    <x v="138"/>
    <x v="2"/>
    <x v="62"/>
    <x v="153"/>
  </r>
  <r>
    <n v="1099118"/>
    <x v="138"/>
    <x v="2"/>
    <x v="78"/>
    <x v="235"/>
  </r>
  <r>
    <n v="1099118"/>
    <x v="1"/>
    <x v="1"/>
    <x v="2"/>
    <x v="2"/>
  </r>
  <r>
    <n v="1099123"/>
    <x v="139"/>
    <x v="5"/>
    <x v="328"/>
    <x v="501"/>
  </r>
  <r>
    <n v="1099123"/>
    <x v="139"/>
    <x v="5"/>
    <x v="329"/>
    <x v="502"/>
  </r>
  <r>
    <n v="1099123"/>
    <x v="1"/>
    <x v="1"/>
    <x v="2"/>
    <x v="2"/>
  </r>
  <r>
    <n v="1099129"/>
    <x v="140"/>
    <x v="5"/>
    <x v="110"/>
    <x v="503"/>
  </r>
  <r>
    <n v="1099129"/>
    <x v="140"/>
    <x v="5"/>
    <x v="111"/>
    <x v="504"/>
  </r>
  <r>
    <n v="1099129"/>
    <x v="140"/>
    <x v="5"/>
    <x v="112"/>
    <x v="505"/>
  </r>
  <r>
    <n v="1099129"/>
    <x v="140"/>
    <x v="5"/>
    <x v="114"/>
    <x v="506"/>
  </r>
  <r>
    <n v="1099129"/>
    <x v="140"/>
    <x v="5"/>
    <x v="115"/>
    <x v="507"/>
  </r>
  <r>
    <n v="1099129"/>
    <x v="1"/>
    <x v="1"/>
    <x v="2"/>
    <x v="2"/>
  </r>
  <r>
    <n v="1099146"/>
    <x v="141"/>
    <x v="3"/>
    <x v="126"/>
    <x v="82"/>
  </r>
  <r>
    <n v="1099146"/>
    <x v="141"/>
    <x v="3"/>
    <x v="136"/>
    <x v="82"/>
  </r>
  <r>
    <n v="1099146"/>
    <x v="141"/>
    <x v="3"/>
    <x v="148"/>
    <x v="144"/>
  </r>
  <r>
    <n v="1099146"/>
    <x v="141"/>
    <x v="3"/>
    <x v="155"/>
    <x v="157"/>
  </r>
  <r>
    <n v="1099146"/>
    <x v="141"/>
    <x v="3"/>
    <x v="154"/>
    <x v="149"/>
  </r>
  <r>
    <n v="1099146"/>
    <x v="141"/>
    <x v="3"/>
    <x v="133"/>
    <x v="147"/>
  </r>
  <r>
    <n v="1099146"/>
    <x v="141"/>
    <x v="3"/>
    <x v="144"/>
    <x v="84"/>
  </r>
  <r>
    <n v="1099146"/>
    <x v="141"/>
    <x v="3"/>
    <x v="153"/>
    <x v="147"/>
  </r>
  <r>
    <n v="1099146"/>
    <x v="141"/>
    <x v="3"/>
    <x v="159"/>
    <x v="161"/>
  </r>
  <r>
    <n v="1099146"/>
    <x v="141"/>
    <x v="3"/>
    <x v="128"/>
    <x v="92"/>
  </r>
  <r>
    <n v="1099146"/>
    <x v="141"/>
    <x v="3"/>
    <x v="143"/>
    <x v="91"/>
  </r>
  <r>
    <n v="1099146"/>
    <x v="141"/>
    <x v="3"/>
    <x v="127"/>
    <x v="97"/>
  </r>
  <r>
    <n v="1099146"/>
    <x v="141"/>
    <x v="3"/>
    <x v="137"/>
    <x v="79"/>
  </r>
  <r>
    <n v="1099146"/>
    <x v="141"/>
    <x v="3"/>
    <x v="149"/>
    <x v="154"/>
  </r>
  <r>
    <n v="1099146"/>
    <x v="141"/>
    <x v="3"/>
    <x v="156"/>
    <x v="158"/>
  </r>
  <r>
    <n v="1099146"/>
    <x v="141"/>
    <x v="3"/>
    <x v="162"/>
    <x v="164"/>
  </r>
  <r>
    <n v="1099146"/>
    <x v="141"/>
    <x v="3"/>
    <x v="132"/>
    <x v="146"/>
  </r>
  <r>
    <n v="1099146"/>
    <x v="141"/>
    <x v="3"/>
    <x v="142"/>
    <x v="152"/>
  </r>
  <r>
    <n v="1099146"/>
    <x v="141"/>
    <x v="3"/>
    <x v="152"/>
    <x v="156"/>
  </r>
  <r>
    <n v="1099146"/>
    <x v="141"/>
    <x v="3"/>
    <x v="161"/>
    <x v="163"/>
  </r>
  <r>
    <n v="1099146"/>
    <x v="141"/>
    <x v="3"/>
    <x v="131"/>
    <x v="34"/>
  </r>
  <r>
    <n v="1099146"/>
    <x v="141"/>
    <x v="3"/>
    <x v="141"/>
    <x v="151"/>
  </r>
  <r>
    <n v="1099146"/>
    <x v="141"/>
    <x v="3"/>
    <x v="151"/>
    <x v="35"/>
  </r>
  <r>
    <n v="1099146"/>
    <x v="141"/>
    <x v="3"/>
    <x v="163"/>
    <x v="83"/>
  </r>
  <r>
    <n v="1099146"/>
    <x v="141"/>
    <x v="3"/>
    <x v="134"/>
    <x v="148"/>
  </r>
  <r>
    <n v="1099146"/>
    <x v="141"/>
    <x v="3"/>
    <x v="145"/>
    <x v="153"/>
  </r>
  <r>
    <n v="1099146"/>
    <x v="141"/>
    <x v="3"/>
    <x v="130"/>
    <x v="145"/>
  </r>
  <r>
    <n v="1099146"/>
    <x v="141"/>
    <x v="3"/>
    <x v="124"/>
    <x v="62"/>
  </r>
  <r>
    <n v="1099146"/>
    <x v="141"/>
    <x v="3"/>
    <x v="135"/>
    <x v="64"/>
  </r>
  <r>
    <n v="1099146"/>
    <x v="141"/>
    <x v="3"/>
    <x v="146"/>
    <x v="78"/>
  </r>
  <r>
    <n v="1099146"/>
    <x v="141"/>
    <x v="3"/>
    <x v="139"/>
    <x v="37"/>
  </r>
  <r>
    <n v="1099146"/>
    <x v="141"/>
    <x v="3"/>
    <x v="160"/>
    <x v="162"/>
  </r>
  <r>
    <n v="1099146"/>
    <x v="141"/>
    <x v="3"/>
    <x v="129"/>
    <x v="42"/>
  </r>
  <r>
    <n v="1099146"/>
    <x v="141"/>
    <x v="3"/>
    <x v="138"/>
    <x v="149"/>
  </r>
  <r>
    <n v="1099146"/>
    <x v="141"/>
    <x v="3"/>
    <x v="150"/>
    <x v="155"/>
  </r>
  <r>
    <n v="1099146"/>
    <x v="141"/>
    <x v="3"/>
    <x v="158"/>
    <x v="160"/>
  </r>
  <r>
    <n v="1099146"/>
    <x v="141"/>
    <x v="3"/>
    <x v="125"/>
    <x v="144"/>
  </r>
  <r>
    <n v="1099146"/>
    <x v="141"/>
    <x v="3"/>
    <x v="147"/>
    <x v="24"/>
  </r>
  <r>
    <n v="1099146"/>
    <x v="141"/>
    <x v="3"/>
    <x v="140"/>
    <x v="150"/>
  </r>
  <r>
    <n v="1099146"/>
    <x v="141"/>
    <x v="3"/>
    <x v="157"/>
    <x v="159"/>
  </r>
  <r>
    <n v="1099146"/>
    <x v="1"/>
    <x v="1"/>
    <x v="2"/>
    <x v="2"/>
  </r>
  <r>
    <n v="1099147"/>
    <x v="142"/>
    <x v="13"/>
    <x v="383"/>
    <x v="500"/>
  </r>
  <r>
    <n v="1099147"/>
    <x v="142"/>
    <x v="13"/>
    <x v="385"/>
    <x v="508"/>
  </r>
  <r>
    <n v="1099147"/>
    <x v="1"/>
    <x v="1"/>
    <x v="2"/>
    <x v="2"/>
  </r>
  <r>
    <n v="1099149"/>
    <x v="143"/>
    <x v="13"/>
    <x v="386"/>
    <x v="509"/>
  </r>
  <r>
    <n v="1099149"/>
    <x v="143"/>
    <x v="13"/>
    <x v="384"/>
    <x v="510"/>
  </r>
  <r>
    <n v="1099149"/>
    <x v="1"/>
    <x v="1"/>
    <x v="2"/>
    <x v="2"/>
  </r>
  <r>
    <n v="1099184"/>
    <x v="144"/>
    <x v="10"/>
    <x v="330"/>
    <x v="2"/>
  </r>
  <r>
    <n v="1099184"/>
    <x v="1"/>
    <x v="1"/>
    <x v="2"/>
    <x v="2"/>
  </r>
  <r>
    <n v="1099185"/>
    <x v="145"/>
    <x v="3"/>
    <x v="259"/>
    <x v="79"/>
  </r>
  <r>
    <n v="1099185"/>
    <x v="145"/>
    <x v="3"/>
    <x v="258"/>
    <x v="198"/>
  </r>
  <r>
    <n v="1099185"/>
    <x v="145"/>
    <x v="3"/>
    <x v="256"/>
    <x v="233"/>
  </r>
  <r>
    <n v="1099185"/>
    <x v="145"/>
    <x v="3"/>
    <x v="255"/>
    <x v="80"/>
  </r>
  <r>
    <n v="1099185"/>
    <x v="145"/>
    <x v="3"/>
    <x v="153"/>
    <x v="97"/>
  </r>
  <r>
    <n v="1099185"/>
    <x v="145"/>
    <x v="3"/>
    <x v="150"/>
    <x v="349"/>
  </r>
  <r>
    <n v="1099185"/>
    <x v="145"/>
    <x v="3"/>
    <x v="149"/>
    <x v="348"/>
  </r>
  <r>
    <n v="1099185"/>
    <x v="145"/>
    <x v="3"/>
    <x v="147"/>
    <x v="170"/>
  </r>
  <r>
    <n v="1099185"/>
    <x v="145"/>
    <x v="3"/>
    <x v="146"/>
    <x v="83"/>
  </r>
  <r>
    <n v="1099185"/>
    <x v="145"/>
    <x v="3"/>
    <x v="145"/>
    <x v="154"/>
  </r>
  <r>
    <n v="1099185"/>
    <x v="145"/>
    <x v="3"/>
    <x v="142"/>
    <x v="217"/>
  </r>
  <r>
    <n v="1099185"/>
    <x v="145"/>
    <x v="3"/>
    <x v="7"/>
    <x v="176"/>
  </r>
  <r>
    <n v="1099185"/>
    <x v="145"/>
    <x v="3"/>
    <x v="138"/>
    <x v="4"/>
  </r>
  <r>
    <n v="1099185"/>
    <x v="145"/>
    <x v="3"/>
    <x v="339"/>
    <x v="34"/>
  </r>
  <r>
    <n v="1099185"/>
    <x v="145"/>
    <x v="3"/>
    <x v="334"/>
    <x v="162"/>
  </r>
  <r>
    <n v="1099185"/>
    <x v="145"/>
    <x v="3"/>
    <x v="345"/>
    <x v="153"/>
  </r>
  <r>
    <n v="1099185"/>
    <x v="145"/>
    <x v="3"/>
    <x v="315"/>
    <x v="364"/>
  </r>
  <r>
    <n v="1099185"/>
    <x v="145"/>
    <x v="3"/>
    <x v="246"/>
    <x v="151"/>
  </r>
  <r>
    <n v="1099185"/>
    <x v="145"/>
    <x v="3"/>
    <x v="240"/>
    <x v="198"/>
  </r>
  <r>
    <n v="1099185"/>
    <x v="145"/>
    <x v="3"/>
    <x v="129"/>
    <x v="83"/>
  </r>
  <r>
    <n v="1099185"/>
    <x v="145"/>
    <x v="3"/>
    <x v="128"/>
    <x v="42"/>
  </r>
  <r>
    <n v="1099185"/>
    <x v="145"/>
    <x v="3"/>
    <x v="127"/>
    <x v="83"/>
  </r>
  <r>
    <n v="1099185"/>
    <x v="145"/>
    <x v="3"/>
    <x v="124"/>
    <x v="77"/>
  </r>
  <r>
    <n v="1099185"/>
    <x v="145"/>
    <x v="3"/>
    <x v="163"/>
    <x v="178"/>
  </r>
  <r>
    <n v="1099185"/>
    <x v="145"/>
    <x v="3"/>
    <x v="162"/>
    <x v="161"/>
  </r>
  <r>
    <n v="1099185"/>
    <x v="145"/>
    <x v="3"/>
    <x v="161"/>
    <x v="4"/>
  </r>
  <r>
    <n v="1099185"/>
    <x v="145"/>
    <x v="3"/>
    <x v="160"/>
    <x v="77"/>
  </r>
  <r>
    <n v="1099185"/>
    <x v="145"/>
    <x v="3"/>
    <x v="338"/>
    <x v="179"/>
  </r>
  <r>
    <n v="1099185"/>
    <x v="145"/>
    <x v="3"/>
    <x v="337"/>
    <x v="97"/>
  </r>
  <r>
    <n v="1099185"/>
    <x v="145"/>
    <x v="3"/>
    <x v="335"/>
    <x v="97"/>
  </r>
  <r>
    <n v="1099185"/>
    <x v="145"/>
    <x v="3"/>
    <x v="352"/>
    <x v="346"/>
  </r>
  <r>
    <n v="1099185"/>
    <x v="145"/>
    <x v="3"/>
    <x v="351"/>
    <x v="176"/>
  </r>
  <r>
    <n v="1099185"/>
    <x v="145"/>
    <x v="3"/>
    <x v="333"/>
    <x v="42"/>
  </r>
  <r>
    <n v="1099185"/>
    <x v="145"/>
    <x v="3"/>
    <x v="332"/>
    <x v="156"/>
  </r>
  <r>
    <n v="1099185"/>
    <x v="145"/>
    <x v="3"/>
    <x v="349"/>
    <x v="170"/>
  </r>
  <r>
    <n v="1099185"/>
    <x v="145"/>
    <x v="3"/>
    <x v="348"/>
    <x v="42"/>
  </r>
  <r>
    <n v="1099185"/>
    <x v="145"/>
    <x v="3"/>
    <x v="347"/>
    <x v="42"/>
  </r>
  <r>
    <n v="1099185"/>
    <x v="145"/>
    <x v="3"/>
    <x v="254"/>
    <x v="98"/>
  </r>
  <r>
    <n v="1099185"/>
    <x v="145"/>
    <x v="3"/>
    <x v="253"/>
    <x v="197"/>
  </r>
  <r>
    <n v="1099185"/>
    <x v="145"/>
    <x v="3"/>
    <x v="221"/>
    <x v="149"/>
  </r>
  <r>
    <n v="1099185"/>
    <x v="145"/>
    <x v="3"/>
    <x v="6"/>
    <x v="198"/>
  </r>
  <r>
    <n v="1099185"/>
    <x v="145"/>
    <x v="3"/>
    <x v="220"/>
    <x v="144"/>
  </r>
  <r>
    <n v="1099185"/>
    <x v="145"/>
    <x v="3"/>
    <x v="219"/>
    <x v="363"/>
  </r>
  <r>
    <n v="1099185"/>
    <x v="145"/>
    <x v="3"/>
    <x v="217"/>
    <x v="146"/>
  </r>
  <r>
    <n v="1099185"/>
    <x v="145"/>
    <x v="3"/>
    <x v="317"/>
    <x v="156"/>
  </r>
  <r>
    <n v="1099185"/>
    <x v="145"/>
    <x v="3"/>
    <x v="314"/>
    <x v="346"/>
  </r>
  <r>
    <n v="1099185"/>
    <x v="145"/>
    <x v="3"/>
    <x v="248"/>
    <x v="348"/>
  </r>
  <r>
    <n v="1099185"/>
    <x v="145"/>
    <x v="3"/>
    <x v="341"/>
    <x v="64"/>
  </r>
  <r>
    <n v="1099185"/>
    <x v="145"/>
    <x v="3"/>
    <x v="245"/>
    <x v="92"/>
  </r>
  <r>
    <n v="1099185"/>
    <x v="145"/>
    <x v="3"/>
    <x v="243"/>
    <x v="82"/>
  </r>
  <r>
    <n v="1099185"/>
    <x v="145"/>
    <x v="3"/>
    <x v="242"/>
    <x v="156"/>
  </r>
  <r>
    <n v="1099185"/>
    <x v="145"/>
    <x v="3"/>
    <x v="313"/>
    <x v="90"/>
  </r>
  <r>
    <n v="1099185"/>
    <x v="145"/>
    <x v="3"/>
    <x v="239"/>
    <x v="62"/>
  </r>
  <r>
    <n v="1099185"/>
    <x v="145"/>
    <x v="3"/>
    <x v="9"/>
    <x v="347"/>
  </r>
  <r>
    <n v="1099185"/>
    <x v="145"/>
    <x v="3"/>
    <x v="156"/>
    <x v="359"/>
  </r>
  <r>
    <n v="1099185"/>
    <x v="145"/>
    <x v="3"/>
    <x v="235"/>
    <x v="217"/>
  </r>
  <r>
    <n v="1099185"/>
    <x v="145"/>
    <x v="3"/>
    <x v="234"/>
    <x v="84"/>
  </r>
  <r>
    <n v="1099185"/>
    <x v="145"/>
    <x v="3"/>
    <x v="232"/>
    <x v="92"/>
  </r>
  <r>
    <n v="1099185"/>
    <x v="145"/>
    <x v="3"/>
    <x v="250"/>
    <x v="161"/>
  </r>
  <r>
    <n v="1099185"/>
    <x v="145"/>
    <x v="3"/>
    <x v="14"/>
    <x v="202"/>
  </r>
  <r>
    <n v="1099185"/>
    <x v="145"/>
    <x v="3"/>
    <x v="261"/>
    <x v="34"/>
  </r>
  <r>
    <n v="1099185"/>
    <x v="145"/>
    <x v="3"/>
    <x v="152"/>
    <x v="154"/>
  </r>
  <r>
    <n v="1099185"/>
    <x v="145"/>
    <x v="3"/>
    <x v="135"/>
    <x v="161"/>
  </r>
  <r>
    <n v="1099185"/>
    <x v="145"/>
    <x v="3"/>
    <x v="126"/>
    <x v="346"/>
  </r>
  <r>
    <n v="1099185"/>
    <x v="145"/>
    <x v="3"/>
    <x v="159"/>
    <x v="178"/>
  </r>
  <r>
    <n v="1099185"/>
    <x v="145"/>
    <x v="3"/>
    <x v="350"/>
    <x v="88"/>
  </r>
  <r>
    <n v="1099185"/>
    <x v="145"/>
    <x v="3"/>
    <x v="346"/>
    <x v="198"/>
  </r>
  <r>
    <n v="1099185"/>
    <x v="145"/>
    <x v="3"/>
    <x v="144"/>
    <x v="347"/>
  </r>
  <r>
    <n v="1099185"/>
    <x v="145"/>
    <x v="3"/>
    <x v="223"/>
    <x v="3"/>
  </r>
  <r>
    <n v="1099185"/>
    <x v="145"/>
    <x v="3"/>
    <x v="344"/>
    <x v="179"/>
  </r>
  <r>
    <n v="1099185"/>
    <x v="145"/>
    <x v="3"/>
    <x v="12"/>
    <x v="3"/>
  </r>
  <r>
    <n v="1099185"/>
    <x v="145"/>
    <x v="3"/>
    <x v="15"/>
    <x v="362"/>
  </r>
  <r>
    <n v="1099185"/>
    <x v="145"/>
    <x v="3"/>
    <x v="342"/>
    <x v="347"/>
  </r>
  <r>
    <n v="1099185"/>
    <x v="145"/>
    <x v="3"/>
    <x v="158"/>
    <x v="361"/>
  </r>
  <r>
    <n v="1099185"/>
    <x v="145"/>
    <x v="3"/>
    <x v="263"/>
    <x v="105"/>
  </r>
  <r>
    <n v="1099185"/>
    <x v="145"/>
    <x v="3"/>
    <x v="262"/>
    <x v="4"/>
  </r>
  <r>
    <n v="1099185"/>
    <x v="145"/>
    <x v="3"/>
    <x v="249"/>
    <x v="78"/>
  </r>
  <r>
    <n v="1099185"/>
    <x v="145"/>
    <x v="3"/>
    <x v="318"/>
    <x v="168"/>
  </r>
  <r>
    <n v="1099185"/>
    <x v="145"/>
    <x v="3"/>
    <x v="247"/>
    <x v="62"/>
  </r>
  <r>
    <n v="1099185"/>
    <x v="145"/>
    <x v="3"/>
    <x v="241"/>
    <x v="144"/>
  </r>
  <r>
    <n v="1099185"/>
    <x v="145"/>
    <x v="3"/>
    <x v="227"/>
    <x v="353"/>
  </r>
  <r>
    <n v="1099185"/>
    <x v="145"/>
    <x v="3"/>
    <x v="226"/>
    <x v="224"/>
  </r>
  <r>
    <n v="1099185"/>
    <x v="145"/>
    <x v="3"/>
    <x v="224"/>
    <x v="352"/>
  </r>
  <r>
    <n v="1099185"/>
    <x v="145"/>
    <x v="3"/>
    <x v="130"/>
    <x v="97"/>
  </r>
  <r>
    <n v="1099185"/>
    <x v="145"/>
    <x v="3"/>
    <x v="216"/>
    <x v="62"/>
  </r>
  <r>
    <n v="1099185"/>
    <x v="145"/>
    <x v="3"/>
    <x v="214"/>
    <x v="198"/>
  </r>
  <r>
    <n v="1099185"/>
    <x v="145"/>
    <x v="3"/>
    <x v="209"/>
    <x v="351"/>
  </r>
  <r>
    <n v="1099185"/>
    <x v="145"/>
    <x v="3"/>
    <x v="207"/>
    <x v="61"/>
  </r>
  <r>
    <n v="1099185"/>
    <x v="145"/>
    <x v="3"/>
    <x v="316"/>
    <x v="350"/>
  </r>
  <r>
    <n v="1099185"/>
    <x v="145"/>
    <x v="3"/>
    <x v="264"/>
    <x v="77"/>
  </r>
  <r>
    <n v="1099185"/>
    <x v="145"/>
    <x v="3"/>
    <x v="11"/>
    <x v="347"/>
  </r>
  <r>
    <n v="1099185"/>
    <x v="145"/>
    <x v="3"/>
    <x v="157"/>
    <x v="360"/>
  </r>
  <r>
    <n v="1099185"/>
    <x v="145"/>
    <x v="3"/>
    <x v="257"/>
    <x v="149"/>
  </r>
  <r>
    <n v="1099185"/>
    <x v="145"/>
    <x v="3"/>
    <x v="148"/>
    <x v="170"/>
  </r>
  <r>
    <n v="1099185"/>
    <x v="145"/>
    <x v="3"/>
    <x v="8"/>
    <x v="176"/>
  </r>
  <r>
    <n v="1099185"/>
    <x v="145"/>
    <x v="3"/>
    <x v="131"/>
    <x v="88"/>
  </r>
  <r>
    <n v="1099185"/>
    <x v="145"/>
    <x v="3"/>
    <x v="154"/>
    <x v="4"/>
  </r>
  <r>
    <n v="1099185"/>
    <x v="145"/>
    <x v="3"/>
    <x v="336"/>
    <x v="144"/>
  </r>
  <r>
    <n v="1099185"/>
    <x v="145"/>
    <x v="3"/>
    <x v="331"/>
    <x v="79"/>
  </r>
  <r>
    <n v="1099185"/>
    <x v="145"/>
    <x v="3"/>
    <x v="13"/>
    <x v="170"/>
  </r>
  <r>
    <n v="1099185"/>
    <x v="145"/>
    <x v="3"/>
    <x v="218"/>
    <x v="179"/>
  </r>
  <r>
    <n v="1099185"/>
    <x v="145"/>
    <x v="3"/>
    <x v="244"/>
    <x v="344"/>
  </r>
  <r>
    <n v="1099185"/>
    <x v="145"/>
    <x v="3"/>
    <x v="10"/>
    <x v="105"/>
  </r>
  <r>
    <n v="1099185"/>
    <x v="145"/>
    <x v="3"/>
    <x v="5"/>
    <x v="3"/>
  </r>
  <r>
    <n v="1099185"/>
    <x v="145"/>
    <x v="3"/>
    <x v="155"/>
    <x v="358"/>
  </r>
  <r>
    <n v="1099185"/>
    <x v="145"/>
    <x v="3"/>
    <x v="238"/>
    <x v="357"/>
  </r>
  <r>
    <n v="1099185"/>
    <x v="145"/>
    <x v="3"/>
    <x v="237"/>
    <x v="356"/>
  </r>
  <r>
    <n v="1099185"/>
    <x v="145"/>
    <x v="3"/>
    <x v="236"/>
    <x v="217"/>
  </r>
  <r>
    <n v="1099185"/>
    <x v="145"/>
    <x v="3"/>
    <x v="233"/>
    <x v="344"/>
  </r>
  <r>
    <n v="1099185"/>
    <x v="145"/>
    <x v="3"/>
    <x v="231"/>
    <x v="220"/>
  </r>
  <r>
    <n v="1099185"/>
    <x v="145"/>
    <x v="3"/>
    <x v="230"/>
    <x v="204"/>
  </r>
  <r>
    <n v="1099185"/>
    <x v="145"/>
    <x v="3"/>
    <x v="229"/>
    <x v="355"/>
  </r>
  <r>
    <n v="1099185"/>
    <x v="145"/>
    <x v="3"/>
    <x v="228"/>
    <x v="354"/>
  </r>
  <r>
    <n v="1099185"/>
    <x v="145"/>
    <x v="3"/>
    <x v="225"/>
    <x v="89"/>
  </r>
  <r>
    <n v="1099185"/>
    <x v="145"/>
    <x v="3"/>
    <x v="222"/>
    <x v="51"/>
  </r>
  <r>
    <n v="1099185"/>
    <x v="145"/>
    <x v="3"/>
    <x v="340"/>
    <x v="218"/>
  </r>
  <r>
    <n v="1099185"/>
    <x v="145"/>
    <x v="3"/>
    <x v="140"/>
    <x v="202"/>
  </r>
  <r>
    <n v="1099185"/>
    <x v="145"/>
    <x v="3"/>
    <x v="139"/>
    <x v="144"/>
  </r>
  <r>
    <n v="1099185"/>
    <x v="145"/>
    <x v="3"/>
    <x v="215"/>
    <x v="198"/>
  </r>
  <r>
    <n v="1099185"/>
    <x v="145"/>
    <x v="3"/>
    <x v="213"/>
    <x v="91"/>
  </r>
  <r>
    <n v="1099185"/>
    <x v="145"/>
    <x v="3"/>
    <x v="212"/>
    <x v="84"/>
  </r>
  <r>
    <n v="1099185"/>
    <x v="145"/>
    <x v="3"/>
    <x v="211"/>
    <x v="77"/>
  </r>
  <r>
    <n v="1099185"/>
    <x v="145"/>
    <x v="3"/>
    <x v="210"/>
    <x v="347"/>
  </r>
  <r>
    <n v="1099185"/>
    <x v="145"/>
    <x v="3"/>
    <x v="208"/>
    <x v="79"/>
  </r>
  <r>
    <n v="1099185"/>
    <x v="145"/>
    <x v="3"/>
    <x v="206"/>
    <x v="88"/>
  </r>
  <r>
    <n v="1099185"/>
    <x v="145"/>
    <x v="3"/>
    <x v="205"/>
    <x v="198"/>
  </r>
  <r>
    <n v="1099185"/>
    <x v="145"/>
    <x v="3"/>
    <x v="204"/>
    <x v="161"/>
  </r>
  <r>
    <n v="1099185"/>
    <x v="145"/>
    <x v="3"/>
    <x v="265"/>
    <x v="198"/>
  </r>
  <r>
    <n v="1099185"/>
    <x v="145"/>
    <x v="3"/>
    <x v="141"/>
    <x v="77"/>
  </r>
  <r>
    <n v="1099185"/>
    <x v="145"/>
    <x v="3"/>
    <x v="251"/>
    <x v="170"/>
  </r>
  <r>
    <n v="1099185"/>
    <x v="145"/>
    <x v="3"/>
    <x v="252"/>
    <x v="88"/>
  </r>
  <r>
    <n v="1099185"/>
    <x v="145"/>
    <x v="3"/>
    <x v="137"/>
    <x v="170"/>
  </r>
  <r>
    <n v="1099185"/>
    <x v="145"/>
    <x v="3"/>
    <x v="136"/>
    <x v="346"/>
  </r>
  <r>
    <n v="1099185"/>
    <x v="145"/>
    <x v="3"/>
    <x v="133"/>
    <x v="97"/>
  </r>
  <r>
    <n v="1099185"/>
    <x v="145"/>
    <x v="3"/>
    <x v="132"/>
    <x v="98"/>
  </r>
  <r>
    <n v="1099185"/>
    <x v="145"/>
    <x v="3"/>
    <x v="343"/>
    <x v="64"/>
  </r>
  <r>
    <n v="1099185"/>
    <x v="145"/>
    <x v="3"/>
    <x v="260"/>
    <x v="182"/>
  </r>
  <r>
    <n v="1099185"/>
    <x v="145"/>
    <x v="3"/>
    <x v="151"/>
    <x v="204"/>
  </r>
  <r>
    <n v="1099185"/>
    <x v="145"/>
    <x v="3"/>
    <x v="143"/>
    <x v="98"/>
  </r>
  <r>
    <n v="1099185"/>
    <x v="145"/>
    <x v="3"/>
    <x v="134"/>
    <x v="144"/>
  </r>
  <r>
    <n v="1099185"/>
    <x v="145"/>
    <x v="3"/>
    <x v="125"/>
    <x v="170"/>
  </r>
  <r>
    <n v="1099185"/>
    <x v="1"/>
    <x v="1"/>
    <x v="2"/>
    <x v="2"/>
  </r>
  <r>
    <n v="1099189"/>
    <x v="146"/>
    <x v="6"/>
    <x v="103"/>
    <x v="126"/>
  </r>
  <r>
    <n v="1099189"/>
    <x v="146"/>
    <x v="6"/>
    <x v="107"/>
    <x v="129"/>
  </r>
  <r>
    <n v="1099189"/>
    <x v="146"/>
    <x v="6"/>
    <x v="104"/>
    <x v="126"/>
  </r>
  <r>
    <n v="1099189"/>
    <x v="146"/>
    <x v="6"/>
    <x v="105"/>
    <x v="127"/>
  </r>
  <r>
    <n v="1099189"/>
    <x v="146"/>
    <x v="6"/>
    <x v="101"/>
    <x v="124"/>
  </r>
  <r>
    <n v="1099189"/>
    <x v="146"/>
    <x v="6"/>
    <x v="102"/>
    <x v="125"/>
  </r>
  <r>
    <n v="1099189"/>
    <x v="146"/>
    <x v="6"/>
    <x v="106"/>
    <x v="128"/>
  </r>
  <r>
    <n v="1099189"/>
    <x v="1"/>
    <x v="1"/>
    <x v="2"/>
    <x v="2"/>
  </r>
  <r>
    <n v="1099191"/>
    <x v="147"/>
    <x v="6"/>
    <x v="167"/>
    <x v="2"/>
  </r>
  <r>
    <n v="1099191"/>
    <x v="1"/>
    <x v="1"/>
    <x v="2"/>
    <x v="2"/>
  </r>
  <r>
    <n v="1099202"/>
    <x v="148"/>
    <x v="0"/>
    <x v="1"/>
    <x v="1"/>
  </r>
  <r>
    <n v="1099202"/>
    <x v="148"/>
    <x v="0"/>
    <x v="0"/>
    <x v="0"/>
  </r>
  <r>
    <n v="1099202"/>
    <x v="1"/>
    <x v="1"/>
    <x v="2"/>
    <x v="2"/>
  </r>
  <r>
    <n v="1099205"/>
    <x v="149"/>
    <x v="3"/>
    <x v="235"/>
    <x v="217"/>
  </r>
  <r>
    <n v="1099205"/>
    <x v="149"/>
    <x v="3"/>
    <x v="236"/>
    <x v="217"/>
  </r>
  <r>
    <n v="1099205"/>
    <x v="149"/>
    <x v="3"/>
    <x v="237"/>
    <x v="356"/>
  </r>
  <r>
    <n v="1099205"/>
    <x v="149"/>
    <x v="3"/>
    <x v="155"/>
    <x v="358"/>
  </r>
  <r>
    <n v="1099205"/>
    <x v="149"/>
    <x v="3"/>
    <x v="156"/>
    <x v="359"/>
  </r>
  <r>
    <n v="1099205"/>
    <x v="149"/>
    <x v="3"/>
    <x v="239"/>
    <x v="62"/>
  </r>
  <r>
    <n v="1099205"/>
    <x v="149"/>
    <x v="3"/>
    <x v="240"/>
    <x v="198"/>
  </r>
  <r>
    <n v="1099205"/>
    <x v="149"/>
    <x v="3"/>
    <x v="241"/>
    <x v="144"/>
  </r>
  <r>
    <n v="1099205"/>
    <x v="149"/>
    <x v="3"/>
    <x v="313"/>
    <x v="90"/>
  </r>
  <r>
    <n v="1099205"/>
    <x v="149"/>
    <x v="3"/>
    <x v="242"/>
    <x v="156"/>
  </r>
  <r>
    <n v="1099205"/>
    <x v="149"/>
    <x v="3"/>
    <x v="243"/>
    <x v="82"/>
  </r>
  <r>
    <n v="1099205"/>
    <x v="149"/>
    <x v="3"/>
    <x v="244"/>
    <x v="344"/>
  </r>
  <r>
    <n v="1099205"/>
    <x v="149"/>
    <x v="3"/>
    <x v="341"/>
    <x v="64"/>
  </r>
  <r>
    <n v="1099205"/>
    <x v="149"/>
    <x v="3"/>
    <x v="246"/>
    <x v="151"/>
  </r>
  <r>
    <n v="1099205"/>
    <x v="149"/>
    <x v="3"/>
    <x v="247"/>
    <x v="62"/>
  </r>
  <r>
    <n v="1099205"/>
    <x v="149"/>
    <x v="3"/>
    <x v="248"/>
    <x v="348"/>
  </r>
  <r>
    <n v="1099205"/>
    <x v="149"/>
    <x v="3"/>
    <x v="157"/>
    <x v="360"/>
  </r>
  <r>
    <n v="1099205"/>
    <x v="149"/>
    <x v="3"/>
    <x v="332"/>
    <x v="156"/>
  </r>
  <r>
    <n v="1099205"/>
    <x v="149"/>
    <x v="3"/>
    <x v="333"/>
    <x v="42"/>
  </r>
  <r>
    <n v="1099205"/>
    <x v="149"/>
    <x v="3"/>
    <x v="334"/>
    <x v="162"/>
  </r>
  <r>
    <n v="1099205"/>
    <x v="149"/>
    <x v="3"/>
    <x v="350"/>
    <x v="88"/>
  </r>
  <r>
    <n v="1099205"/>
    <x v="149"/>
    <x v="3"/>
    <x v="351"/>
    <x v="176"/>
  </r>
  <r>
    <n v="1099205"/>
    <x v="149"/>
    <x v="3"/>
    <x v="352"/>
    <x v="346"/>
  </r>
  <r>
    <n v="1099205"/>
    <x v="149"/>
    <x v="3"/>
    <x v="335"/>
    <x v="97"/>
  </r>
  <r>
    <n v="1099205"/>
    <x v="149"/>
    <x v="3"/>
    <x v="336"/>
    <x v="144"/>
  </r>
  <r>
    <n v="1099205"/>
    <x v="149"/>
    <x v="3"/>
    <x v="337"/>
    <x v="97"/>
  </r>
  <r>
    <n v="1099205"/>
    <x v="149"/>
    <x v="3"/>
    <x v="338"/>
    <x v="179"/>
  </r>
  <r>
    <n v="1099205"/>
    <x v="149"/>
    <x v="3"/>
    <x v="339"/>
    <x v="34"/>
  </r>
  <r>
    <n v="1099205"/>
    <x v="149"/>
    <x v="3"/>
    <x v="159"/>
    <x v="178"/>
  </r>
  <r>
    <n v="1099205"/>
    <x v="149"/>
    <x v="3"/>
    <x v="160"/>
    <x v="77"/>
  </r>
  <r>
    <n v="1099205"/>
    <x v="149"/>
    <x v="3"/>
    <x v="161"/>
    <x v="4"/>
  </r>
  <r>
    <n v="1099205"/>
    <x v="149"/>
    <x v="3"/>
    <x v="162"/>
    <x v="161"/>
  </r>
  <r>
    <n v="1099205"/>
    <x v="149"/>
    <x v="3"/>
    <x v="154"/>
    <x v="4"/>
  </r>
  <r>
    <n v="1099205"/>
    <x v="149"/>
    <x v="3"/>
    <x v="163"/>
    <x v="178"/>
  </r>
  <r>
    <n v="1099205"/>
    <x v="149"/>
    <x v="3"/>
    <x v="124"/>
    <x v="77"/>
  </r>
  <r>
    <n v="1099205"/>
    <x v="149"/>
    <x v="3"/>
    <x v="125"/>
    <x v="170"/>
  </r>
  <r>
    <n v="1099205"/>
    <x v="149"/>
    <x v="3"/>
    <x v="126"/>
    <x v="346"/>
  </r>
  <r>
    <n v="1099205"/>
    <x v="149"/>
    <x v="3"/>
    <x v="127"/>
    <x v="83"/>
  </r>
  <r>
    <n v="1099205"/>
    <x v="149"/>
    <x v="3"/>
    <x v="128"/>
    <x v="42"/>
  </r>
  <r>
    <n v="1099205"/>
    <x v="149"/>
    <x v="3"/>
    <x v="129"/>
    <x v="83"/>
  </r>
  <r>
    <n v="1099205"/>
    <x v="149"/>
    <x v="3"/>
    <x v="131"/>
    <x v="88"/>
  </r>
  <r>
    <n v="1099205"/>
    <x v="149"/>
    <x v="3"/>
    <x v="132"/>
    <x v="98"/>
  </r>
  <r>
    <n v="1099205"/>
    <x v="149"/>
    <x v="3"/>
    <x v="133"/>
    <x v="97"/>
  </r>
  <r>
    <n v="1099205"/>
    <x v="149"/>
    <x v="3"/>
    <x v="134"/>
    <x v="144"/>
  </r>
  <r>
    <n v="1099205"/>
    <x v="149"/>
    <x v="3"/>
    <x v="135"/>
    <x v="161"/>
  </r>
  <r>
    <n v="1099205"/>
    <x v="149"/>
    <x v="3"/>
    <x v="136"/>
    <x v="346"/>
  </r>
  <r>
    <n v="1099205"/>
    <x v="149"/>
    <x v="3"/>
    <x v="137"/>
    <x v="170"/>
  </r>
  <r>
    <n v="1099205"/>
    <x v="149"/>
    <x v="3"/>
    <x v="138"/>
    <x v="4"/>
  </r>
  <r>
    <n v="1099205"/>
    <x v="149"/>
    <x v="3"/>
    <x v="141"/>
    <x v="77"/>
  </r>
  <r>
    <n v="1099205"/>
    <x v="149"/>
    <x v="3"/>
    <x v="142"/>
    <x v="217"/>
  </r>
  <r>
    <n v="1099205"/>
    <x v="149"/>
    <x v="3"/>
    <x v="143"/>
    <x v="98"/>
  </r>
  <r>
    <n v="1099205"/>
    <x v="149"/>
    <x v="3"/>
    <x v="144"/>
    <x v="347"/>
  </r>
  <r>
    <n v="1099205"/>
    <x v="149"/>
    <x v="3"/>
    <x v="145"/>
    <x v="154"/>
  </r>
  <r>
    <n v="1099205"/>
    <x v="149"/>
    <x v="3"/>
    <x v="146"/>
    <x v="83"/>
  </r>
  <r>
    <n v="1099205"/>
    <x v="149"/>
    <x v="3"/>
    <x v="147"/>
    <x v="170"/>
  </r>
  <r>
    <n v="1099205"/>
    <x v="149"/>
    <x v="3"/>
    <x v="148"/>
    <x v="170"/>
  </r>
  <r>
    <n v="1099205"/>
    <x v="149"/>
    <x v="3"/>
    <x v="149"/>
    <x v="348"/>
  </r>
  <r>
    <n v="1099205"/>
    <x v="149"/>
    <x v="3"/>
    <x v="150"/>
    <x v="349"/>
  </r>
  <r>
    <n v="1099205"/>
    <x v="149"/>
    <x v="3"/>
    <x v="151"/>
    <x v="204"/>
  </r>
  <r>
    <n v="1099205"/>
    <x v="149"/>
    <x v="3"/>
    <x v="5"/>
    <x v="3"/>
  </r>
  <r>
    <n v="1099205"/>
    <x v="149"/>
    <x v="3"/>
    <x v="251"/>
    <x v="170"/>
  </r>
  <r>
    <n v="1099205"/>
    <x v="149"/>
    <x v="3"/>
    <x v="223"/>
    <x v="3"/>
  </r>
  <r>
    <n v="1099205"/>
    <x v="149"/>
    <x v="3"/>
    <x v="213"/>
    <x v="91"/>
  </r>
  <r>
    <n v="1099205"/>
    <x v="149"/>
    <x v="3"/>
    <x v="214"/>
    <x v="198"/>
  </r>
  <r>
    <n v="1099205"/>
    <x v="149"/>
    <x v="3"/>
    <x v="215"/>
    <x v="198"/>
  </r>
  <r>
    <n v="1099205"/>
    <x v="149"/>
    <x v="3"/>
    <x v="216"/>
    <x v="62"/>
  </r>
  <r>
    <n v="1099205"/>
    <x v="149"/>
    <x v="3"/>
    <x v="130"/>
    <x v="97"/>
  </r>
  <r>
    <n v="1099205"/>
    <x v="149"/>
    <x v="3"/>
    <x v="140"/>
    <x v="202"/>
  </r>
  <r>
    <n v="1099205"/>
    <x v="149"/>
    <x v="3"/>
    <x v="340"/>
    <x v="218"/>
  </r>
  <r>
    <n v="1099205"/>
    <x v="149"/>
    <x v="3"/>
    <x v="222"/>
    <x v="51"/>
  </r>
  <r>
    <n v="1099205"/>
    <x v="149"/>
    <x v="3"/>
    <x v="224"/>
    <x v="352"/>
  </r>
  <r>
    <n v="1099205"/>
    <x v="149"/>
    <x v="3"/>
    <x v="225"/>
    <x v="89"/>
  </r>
  <r>
    <n v="1099205"/>
    <x v="149"/>
    <x v="3"/>
    <x v="226"/>
    <x v="224"/>
  </r>
  <r>
    <n v="1099205"/>
    <x v="149"/>
    <x v="3"/>
    <x v="227"/>
    <x v="353"/>
  </r>
  <r>
    <n v="1099205"/>
    <x v="149"/>
    <x v="3"/>
    <x v="228"/>
    <x v="354"/>
  </r>
  <r>
    <n v="1099205"/>
    <x v="149"/>
    <x v="3"/>
    <x v="229"/>
    <x v="355"/>
  </r>
  <r>
    <n v="1099205"/>
    <x v="149"/>
    <x v="3"/>
    <x v="230"/>
    <x v="204"/>
  </r>
  <r>
    <n v="1099205"/>
    <x v="149"/>
    <x v="3"/>
    <x v="231"/>
    <x v="220"/>
  </r>
  <r>
    <n v="1099205"/>
    <x v="149"/>
    <x v="3"/>
    <x v="232"/>
    <x v="92"/>
  </r>
  <r>
    <n v="1099205"/>
    <x v="149"/>
    <x v="3"/>
    <x v="233"/>
    <x v="344"/>
  </r>
  <r>
    <n v="1099205"/>
    <x v="149"/>
    <x v="3"/>
    <x v="234"/>
    <x v="84"/>
  </r>
  <r>
    <n v="1099205"/>
    <x v="149"/>
    <x v="3"/>
    <x v="152"/>
    <x v="154"/>
  </r>
  <r>
    <n v="1099205"/>
    <x v="149"/>
    <x v="3"/>
    <x v="153"/>
    <x v="97"/>
  </r>
  <r>
    <n v="1099205"/>
    <x v="149"/>
    <x v="3"/>
    <x v="255"/>
    <x v="80"/>
  </r>
  <r>
    <n v="1099205"/>
    <x v="149"/>
    <x v="3"/>
    <x v="256"/>
    <x v="233"/>
  </r>
  <r>
    <n v="1099205"/>
    <x v="149"/>
    <x v="3"/>
    <x v="257"/>
    <x v="149"/>
  </r>
  <r>
    <n v="1099205"/>
    <x v="149"/>
    <x v="3"/>
    <x v="258"/>
    <x v="198"/>
  </r>
  <r>
    <n v="1099205"/>
    <x v="149"/>
    <x v="3"/>
    <x v="259"/>
    <x v="79"/>
  </r>
  <r>
    <n v="1099205"/>
    <x v="149"/>
    <x v="3"/>
    <x v="260"/>
    <x v="182"/>
  </r>
  <r>
    <n v="1099205"/>
    <x v="149"/>
    <x v="3"/>
    <x v="261"/>
    <x v="34"/>
  </r>
  <r>
    <n v="1099205"/>
    <x v="149"/>
    <x v="3"/>
    <x v="249"/>
    <x v="78"/>
  </r>
  <r>
    <n v="1099205"/>
    <x v="149"/>
    <x v="3"/>
    <x v="262"/>
    <x v="4"/>
  </r>
  <r>
    <n v="1099205"/>
    <x v="149"/>
    <x v="3"/>
    <x v="263"/>
    <x v="105"/>
  </r>
  <r>
    <n v="1099205"/>
    <x v="149"/>
    <x v="3"/>
    <x v="264"/>
    <x v="77"/>
  </r>
  <r>
    <n v="1099205"/>
    <x v="149"/>
    <x v="3"/>
    <x v="316"/>
    <x v="350"/>
  </r>
  <r>
    <n v="1099205"/>
    <x v="149"/>
    <x v="3"/>
    <x v="265"/>
    <x v="198"/>
  </r>
  <r>
    <n v="1099205"/>
    <x v="149"/>
    <x v="3"/>
    <x v="204"/>
    <x v="161"/>
  </r>
  <r>
    <n v="1099205"/>
    <x v="149"/>
    <x v="3"/>
    <x v="250"/>
    <x v="161"/>
  </r>
  <r>
    <n v="1099205"/>
    <x v="149"/>
    <x v="3"/>
    <x v="139"/>
    <x v="144"/>
  </r>
  <r>
    <n v="1099205"/>
    <x v="149"/>
    <x v="3"/>
    <x v="238"/>
    <x v="357"/>
  </r>
  <r>
    <n v="1099205"/>
    <x v="149"/>
    <x v="3"/>
    <x v="245"/>
    <x v="92"/>
  </r>
  <r>
    <n v="1099205"/>
    <x v="149"/>
    <x v="3"/>
    <x v="205"/>
    <x v="198"/>
  </r>
  <r>
    <n v="1099205"/>
    <x v="149"/>
    <x v="3"/>
    <x v="206"/>
    <x v="88"/>
  </r>
  <r>
    <n v="1099205"/>
    <x v="149"/>
    <x v="3"/>
    <x v="207"/>
    <x v="61"/>
  </r>
  <r>
    <n v="1099205"/>
    <x v="149"/>
    <x v="3"/>
    <x v="208"/>
    <x v="79"/>
  </r>
  <r>
    <n v="1099205"/>
    <x v="149"/>
    <x v="3"/>
    <x v="209"/>
    <x v="351"/>
  </r>
  <r>
    <n v="1099205"/>
    <x v="149"/>
    <x v="3"/>
    <x v="210"/>
    <x v="347"/>
  </r>
  <r>
    <n v="1099205"/>
    <x v="149"/>
    <x v="3"/>
    <x v="211"/>
    <x v="77"/>
  </r>
  <r>
    <n v="1099205"/>
    <x v="149"/>
    <x v="3"/>
    <x v="212"/>
    <x v="84"/>
  </r>
  <r>
    <n v="1099205"/>
    <x v="149"/>
    <x v="3"/>
    <x v="252"/>
    <x v="88"/>
  </r>
  <r>
    <n v="1099205"/>
    <x v="149"/>
    <x v="3"/>
    <x v="314"/>
    <x v="346"/>
  </r>
  <r>
    <n v="1099205"/>
    <x v="149"/>
    <x v="3"/>
    <x v="317"/>
    <x v="156"/>
  </r>
  <r>
    <n v="1099205"/>
    <x v="149"/>
    <x v="3"/>
    <x v="218"/>
    <x v="179"/>
  </r>
  <r>
    <n v="1099205"/>
    <x v="149"/>
    <x v="3"/>
    <x v="217"/>
    <x v="146"/>
  </r>
  <r>
    <n v="1099205"/>
    <x v="149"/>
    <x v="3"/>
    <x v="219"/>
    <x v="363"/>
  </r>
  <r>
    <n v="1099205"/>
    <x v="149"/>
    <x v="3"/>
    <x v="315"/>
    <x v="364"/>
  </r>
  <r>
    <n v="1099205"/>
    <x v="149"/>
    <x v="3"/>
    <x v="318"/>
    <x v="168"/>
  </r>
  <r>
    <n v="1099205"/>
    <x v="149"/>
    <x v="3"/>
    <x v="220"/>
    <x v="144"/>
  </r>
  <r>
    <n v="1099205"/>
    <x v="149"/>
    <x v="3"/>
    <x v="221"/>
    <x v="149"/>
  </r>
  <r>
    <n v="1099205"/>
    <x v="149"/>
    <x v="3"/>
    <x v="158"/>
    <x v="361"/>
  </r>
  <r>
    <n v="1099205"/>
    <x v="149"/>
    <x v="3"/>
    <x v="342"/>
    <x v="347"/>
  </r>
  <r>
    <n v="1099205"/>
    <x v="149"/>
    <x v="3"/>
    <x v="343"/>
    <x v="64"/>
  </r>
  <r>
    <n v="1099205"/>
    <x v="149"/>
    <x v="3"/>
    <x v="14"/>
    <x v="202"/>
  </r>
  <r>
    <n v="1099205"/>
    <x v="149"/>
    <x v="3"/>
    <x v="15"/>
    <x v="362"/>
  </r>
  <r>
    <n v="1099205"/>
    <x v="149"/>
    <x v="3"/>
    <x v="12"/>
    <x v="3"/>
  </r>
  <r>
    <n v="1099205"/>
    <x v="149"/>
    <x v="3"/>
    <x v="11"/>
    <x v="347"/>
  </r>
  <r>
    <n v="1099205"/>
    <x v="149"/>
    <x v="3"/>
    <x v="344"/>
    <x v="179"/>
  </r>
  <r>
    <n v="1099205"/>
    <x v="149"/>
    <x v="3"/>
    <x v="10"/>
    <x v="105"/>
  </r>
  <r>
    <n v="1099205"/>
    <x v="149"/>
    <x v="3"/>
    <x v="9"/>
    <x v="347"/>
  </r>
  <r>
    <n v="1099205"/>
    <x v="149"/>
    <x v="3"/>
    <x v="8"/>
    <x v="176"/>
  </r>
  <r>
    <n v="1099205"/>
    <x v="149"/>
    <x v="3"/>
    <x v="7"/>
    <x v="176"/>
  </r>
  <r>
    <n v="1099205"/>
    <x v="149"/>
    <x v="3"/>
    <x v="6"/>
    <x v="198"/>
  </r>
  <r>
    <n v="1099205"/>
    <x v="149"/>
    <x v="3"/>
    <x v="13"/>
    <x v="170"/>
  </r>
  <r>
    <n v="1099205"/>
    <x v="149"/>
    <x v="3"/>
    <x v="253"/>
    <x v="197"/>
  </r>
  <r>
    <n v="1099205"/>
    <x v="149"/>
    <x v="3"/>
    <x v="254"/>
    <x v="98"/>
  </r>
  <r>
    <n v="1099205"/>
    <x v="149"/>
    <x v="3"/>
    <x v="345"/>
    <x v="153"/>
  </r>
  <r>
    <n v="1099205"/>
    <x v="149"/>
    <x v="3"/>
    <x v="346"/>
    <x v="198"/>
  </r>
  <r>
    <n v="1099205"/>
    <x v="149"/>
    <x v="3"/>
    <x v="347"/>
    <x v="42"/>
  </r>
  <r>
    <n v="1099205"/>
    <x v="149"/>
    <x v="3"/>
    <x v="348"/>
    <x v="42"/>
  </r>
  <r>
    <n v="1099205"/>
    <x v="149"/>
    <x v="3"/>
    <x v="349"/>
    <x v="170"/>
  </r>
  <r>
    <n v="1099205"/>
    <x v="149"/>
    <x v="3"/>
    <x v="331"/>
    <x v="79"/>
  </r>
  <r>
    <n v="1099205"/>
    <x v="1"/>
    <x v="1"/>
    <x v="2"/>
    <x v="2"/>
  </r>
  <r>
    <n v="1099206"/>
    <x v="150"/>
    <x v="2"/>
    <x v="76"/>
    <x v="231"/>
  </r>
  <r>
    <n v="1099206"/>
    <x v="150"/>
    <x v="2"/>
    <x v="75"/>
    <x v="173"/>
  </r>
  <r>
    <n v="1099206"/>
    <x v="150"/>
    <x v="2"/>
    <x v="71"/>
    <x v="111"/>
  </r>
  <r>
    <n v="1099206"/>
    <x v="150"/>
    <x v="2"/>
    <x v="74"/>
    <x v="51"/>
  </r>
  <r>
    <n v="1099206"/>
    <x v="150"/>
    <x v="2"/>
    <x v="62"/>
    <x v="153"/>
  </r>
  <r>
    <n v="1099206"/>
    <x v="150"/>
    <x v="2"/>
    <x v="70"/>
    <x v="197"/>
  </r>
  <r>
    <n v="1099206"/>
    <x v="150"/>
    <x v="2"/>
    <x v="58"/>
    <x v="233"/>
  </r>
  <r>
    <n v="1099206"/>
    <x v="150"/>
    <x v="2"/>
    <x v="61"/>
    <x v="234"/>
  </r>
  <r>
    <n v="1099206"/>
    <x v="150"/>
    <x v="2"/>
    <x v="84"/>
    <x v="232"/>
  </r>
  <r>
    <n v="1099206"/>
    <x v="150"/>
    <x v="2"/>
    <x v="82"/>
    <x v="162"/>
  </r>
  <r>
    <n v="1099206"/>
    <x v="150"/>
    <x v="2"/>
    <x v="77"/>
    <x v="236"/>
  </r>
  <r>
    <n v="1099206"/>
    <x v="150"/>
    <x v="2"/>
    <x v="79"/>
    <x v="227"/>
  </r>
  <r>
    <n v="1099206"/>
    <x v="150"/>
    <x v="2"/>
    <x v="78"/>
    <x v="235"/>
  </r>
  <r>
    <n v="1099206"/>
    <x v="150"/>
    <x v="2"/>
    <x v="65"/>
    <x v="98"/>
  </r>
  <r>
    <n v="1099206"/>
    <x v="150"/>
    <x v="2"/>
    <x v="66"/>
    <x v="231"/>
  </r>
  <r>
    <n v="1099206"/>
    <x v="150"/>
    <x v="2"/>
    <x v="68"/>
    <x v="230"/>
  </r>
  <r>
    <n v="1099206"/>
    <x v="150"/>
    <x v="2"/>
    <x v="60"/>
    <x v="229"/>
  </r>
  <r>
    <n v="1099206"/>
    <x v="150"/>
    <x v="2"/>
    <x v="63"/>
    <x v="97"/>
  </r>
  <r>
    <n v="1099206"/>
    <x v="150"/>
    <x v="2"/>
    <x v="56"/>
    <x v="228"/>
  </r>
  <r>
    <n v="1099206"/>
    <x v="1"/>
    <x v="1"/>
    <x v="2"/>
    <x v="2"/>
  </r>
  <r>
    <n v="1099207"/>
    <x v="151"/>
    <x v="5"/>
    <x v="303"/>
    <x v="281"/>
  </r>
  <r>
    <n v="1099207"/>
    <x v="151"/>
    <x v="5"/>
    <x v="305"/>
    <x v="283"/>
  </r>
  <r>
    <n v="1099207"/>
    <x v="151"/>
    <x v="5"/>
    <x v="304"/>
    <x v="282"/>
  </r>
  <r>
    <n v="1099207"/>
    <x v="1"/>
    <x v="1"/>
    <x v="2"/>
    <x v="2"/>
  </r>
  <r>
    <n v="1099217"/>
    <x v="152"/>
    <x v="13"/>
    <x v="421"/>
    <x v="511"/>
  </r>
  <r>
    <n v="1099217"/>
    <x v="152"/>
    <x v="13"/>
    <x v="422"/>
    <x v="512"/>
  </r>
  <r>
    <n v="1099217"/>
    <x v="1"/>
    <x v="1"/>
    <x v="2"/>
    <x v="2"/>
  </r>
  <r>
    <n v="1099219"/>
    <x v="153"/>
    <x v="2"/>
    <x v="423"/>
    <x v="2"/>
  </r>
  <r>
    <n v="1099219"/>
    <x v="1"/>
    <x v="1"/>
    <x v="2"/>
    <x v="2"/>
  </r>
  <r>
    <n v="1099220"/>
    <x v="154"/>
    <x v="0"/>
    <x v="302"/>
    <x v="2"/>
  </r>
  <r>
    <n v="1099220"/>
    <x v="1"/>
    <x v="1"/>
    <x v="2"/>
    <x v="2"/>
  </r>
  <r>
    <n v="1099222"/>
    <x v="155"/>
    <x v="5"/>
    <x v="299"/>
    <x v="2"/>
  </r>
  <r>
    <n v="1099222"/>
    <x v="1"/>
    <x v="1"/>
    <x v="2"/>
    <x v="2"/>
  </r>
  <r>
    <n v="1099229"/>
    <x v="156"/>
    <x v="5"/>
    <x v="48"/>
    <x v="287"/>
  </r>
  <r>
    <n v="1099229"/>
    <x v="156"/>
    <x v="5"/>
    <x v="53"/>
    <x v="290"/>
  </r>
  <r>
    <n v="1099229"/>
    <x v="156"/>
    <x v="5"/>
    <x v="49"/>
    <x v="289"/>
  </r>
  <r>
    <n v="1099229"/>
    <x v="156"/>
    <x v="5"/>
    <x v="47"/>
    <x v="288"/>
  </r>
  <r>
    <n v="1099229"/>
    <x v="156"/>
    <x v="5"/>
    <x v="50"/>
    <x v="291"/>
  </r>
  <r>
    <n v="1099229"/>
    <x v="1"/>
    <x v="1"/>
    <x v="2"/>
    <x v="2"/>
  </r>
  <r>
    <n v="1099233"/>
    <x v="157"/>
    <x v="3"/>
    <x v="217"/>
    <x v="201"/>
  </r>
  <r>
    <n v="1099233"/>
    <x v="157"/>
    <x v="3"/>
    <x v="9"/>
    <x v="147"/>
  </r>
  <r>
    <n v="1099233"/>
    <x v="157"/>
    <x v="3"/>
    <x v="229"/>
    <x v="513"/>
  </r>
  <r>
    <n v="1099233"/>
    <x v="157"/>
    <x v="3"/>
    <x v="218"/>
    <x v="84"/>
  </r>
  <r>
    <n v="1099233"/>
    <x v="157"/>
    <x v="3"/>
    <x v="246"/>
    <x v="392"/>
  </r>
  <r>
    <n v="1099233"/>
    <x v="157"/>
    <x v="3"/>
    <x v="342"/>
    <x v="145"/>
  </r>
  <r>
    <n v="1099233"/>
    <x v="157"/>
    <x v="3"/>
    <x v="235"/>
    <x v="173"/>
  </r>
  <r>
    <n v="1099233"/>
    <x v="157"/>
    <x v="3"/>
    <x v="157"/>
    <x v="514"/>
  </r>
  <r>
    <n v="1099233"/>
    <x v="157"/>
    <x v="3"/>
    <x v="228"/>
    <x v="515"/>
  </r>
  <r>
    <n v="1099233"/>
    <x v="157"/>
    <x v="3"/>
    <x v="11"/>
    <x v="145"/>
  </r>
  <r>
    <n v="1099233"/>
    <x v="157"/>
    <x v="3"/>
    <x v="240"/>
    <x v="82"/>
  </r>
  <r>
    <n v="1099233"/>
    <x v="157"/>
    <x v="3"/>
    <x v="150"/>
    <x v="150"/>
  </r>
  <r>
    <n v="1099233"/>
    <x v="157"/>
    <x v="3"/>
    <x v="318"/>
    <x v="232"/>
  </r>
  <r>
    <n v="1099233"/>
    <x v="157"/>
    <x v="3"/>
    <x v="5"/>
    <x v="516"/>
  </r>
  <r>
    <n v="1099233"/>
    <x v="157"/>
    <x v="3"/>
    <x v="14"/>
    <x v="175"/>
  </r>
  <r>
    <n v="1099233"/>
    <x v="157"/>
    <x v="3"/>
    <x v="226"/>
    <x v="517"/>
  </r>
  <r>
    <n v="1099233"/>
    <x v="157"/>
    <x v="3"/>
    <x v="10"/>
    <x v="364"/>
  </r>
  <r>
    <n v="1099233"/>
    <x v="157"/>
    <x v="3"/>
    <x v="141"/>
    <x v="153"/>
  </r>
  <r>
    <n v="1099233"/>
    <x v="157"/>
    <x v="3"/>
    <x v="15"/>
    <x v="441"/>
  </r>
  <r>
    <n v="1099233"/>
    <x v="157"/>
    <x v="3"/>
    <x v="155"/>
    <x v="518"/>
  </r>
  <r>
    <n v="1099233"/>
    <x v="157"/>
    <x v="3"/>
    <x v="343"/>
    <x v="80"/>
  </r>
  <r>
    <n v="1099233"/>
    <x v="157"/>
    <x v="3"/>
    <x v="237"/>
    <x v="519"/>
  </r>
  <r>
    <n v="1099233"/>
    <x v="157"/>
    <x v="3"/>
    <x v="344"/>
    <x v="84"/>
  </r>
  <r>
    <n v="1099233"/>
    <x v="157"/>
    <x v="3"/>
    <x v="313"/>
    <x v="520"/>
  </r>
  <r>
    <n v="1099233"/>
    <x v="157"/>
    <x v="3"/>
    <x v="239"/>
    <x v="119"/>
  </r>
  <r>
    <n v="1099233"/>
    <x v="157"/>
    <x v="3"/>
    <x v="143"/>
    <x v="221"/>
  </r>
  <r>
    <n v="1099233"/>
    <x v="157"/>
    <x v="3"/>
    <x v="315"/>
    <x v="368"/>
  </r>
  <r>
    <n v="1099233"/>
    <x v="157"/>
    <x v="3"/>
    <x v="251"/>
    <x v="98"/>
  </r>
  <r>
    <n v="1099233"/>
    <x v="157"/>
    <x v="3"/>
    <x v="152"/>
    <x v="347"/>
  </r>
  <r>
    <n v="1099233"/>
    <x v="157"/>
    <x v="3"/>
    <x v="8"/>
    <x v="62"/>
  </r>
  <r>
    <n v="1099233"/>
    <x v="157"/>
    <x v="3"/>
    <x v="245"/>
    <x v="212"/>
  </r>
  <r>
    <n v="1099233"/>
    <x v="1"/>
    <x v="1"/>
    <x v="2"/>
    <x v="2"/>
  </r>
  <r>
    <n v="1099234"/>
    <x v="158"/>
    <x v="5"/>
    <x v="110"/>
    <x v="503"/>
  </r>
  <r>
    <n v="1099234"/>
    <x v="158"/>
    <x v="5"/>
    <x v="111"/>
    <x v="504"/>
  </r>
  <r>
    <n v="1099234"/>
    <x v="158"/>
    <x v="5"/>
    <x v="112"/>
    <x v="505"/>
  </r>
  <r>
    <n v="1099234"/>
    <x v="158"/>
    <x v="5"/>
    <x v="114"/>
    <x v="506"/>
  </r>
  <r>
    <n v="1099234"/>
    <x v="158"/>
    <x v="5"/>
    <x v="115"/>
    <x v="507"/>
  </r>
  <r>
    <n v="1099234"/>
    <x v="1"/>
    <x v="1"/>
    <x v="2"/>
    <x v="2"/>
  </r>
  <r>
    <n v="1099246"/>
    <x v="159"/>
    <x v="6"/>
    <x v="105"/>
    <x v="127"/>
  </r>
  <r>
    <n v="1099246"/>
    <x v="159"/>
    <x v="6"/>
    <x v="101"/>
    <x v="124"/>
  </r>
  <r>
    <n v="1099246"/>
    <x v="159"/>
    <x v="6"/>
    <x v="102"/>
    <x v="125"/>
  </r>
  <r>
    <n v="1099246"/>
    <x v="159"/>
    <x v="6"/>
    <x v="106"/>
    <x v="128"/>
  </r>
  <r>
    <n v="1099246"/>
    <x v="159"/>
    <x v="6"/>
    <x v="103"/>
    <x v="126"/>
  </r>
  <r>
    <n v="1099246"/>
    <x v="159"/>
    <x v="6"/>
    <x v="107"/>
    <x v="129"/>
  </r>
  <r>
    <n v="1099246"/>
    <x v="159"/>
    <x v="6"/>
    <x v="104"/>
    <x v="126"/>
  </r>
  <r>
    <n v="1099246"/>
    <x v="1"/>
    <x v="1"/>
    <x v="2"/>
    <x v="2"/>
  </r>
  <r>
    <n v="1099247"/>
    <x v="160"/>
    <x v="12"/>
    <x v="381"/>
    <x v="398"/>
  </r>
  <r>
    <n v="1099247"/>
    <x v="160"/>
    <x v="12"/>
    <x v="379"/>
    <x v="396"/>
  </r>
  <r>
    <n v="1099247"/>
    <x v="160"/>
    <x v="12"/>
    <x v="378"/>
    <x v="395"/>
  </r>
  <r>
    <n v="1099247"/>
    <x v="160"/>
    <x v="12"/>
    <x v="380"/>
    <x v="397"/>
  </r>
  <r>
    <n v="1099247"/>
    <x v="160"/>
    <x v="12"/>
    <x v="382"/>
    <x v="399"/>
  </r>
  <r>
    <n v="1099247"/>
    <x v="1"/>
    <x v="1"/>
    <x v="2"/>
    <x v="2"/>
  </r>
  <r>
    <n v="1099262"/>
    <x v="161"/>
    <x v="2"/>
    <x v="59"/>
    <x v="521"/>
  </r>
  <r>
    <n v="1099262"/>
    <x v="161"/>
    <x v="2"/>
    <x v="67"/>
    <x v="35"/>
  </r>
  <r>
    <n v="1099262"/>
    <x v="161"/>
    <x v="2"/>
    <x v="57"/>
    <x v="522"/>
  </r>
  <r>
    <n v="1099262"/>
    <x v="161"/>
    <x v="2"/>
    <x v="81"/>
    <x v="477"/>
  </r>
  <r>
    <n v="1099262"/>
    <x v="161"/>
    <x v="2"/>
    <x v="80"/>
    <x v="523"/>
  </r>
  <r>
    <n v="1099262"/>
    <x v="161"/>
    <x v="2"/>
    <x v="73"/>
    <x v="347"/>
  </r>
  <r>
    <n v="1099262"/>
    <x v="161"/>
    <x v="2"/>
    <x v="55"/>
    <x v="146"/>
  </r>
  <r>
    <n v="1099262"/>
    <x v="161"/>
    <x v="2"/>
    <x v="83"/>
    <x v="185"/>
  </r>
  <r>
    <n v="1099262"/>
    <x v="161"/>
    <x v="2"/>
    <x v="64"/>
    <x v="524"/>
  </r>
  <r>
    <n v="1099262"/>
    <x v="161"/>
    <x v="2"/>
    <x v="69"/>
    <x v="525"/>
  </r>
  <r>
    <n v="1099262"/>
    <x v="1"/>
    <x v="1"/>
    <x v="2"/>
    <x v="2"/>
  </r>
  <r>
    <n v="1099271"/>
    <x v="162"/>
    <x v="2"/>
    <x v="420"/>
    <x v="526"/>
  </r>
  <r>
    <n v="1099271"/>
    <x v="162"/>
    <x v="2"/>
    <x v="424"/>
    <x v="527"/>
  </r>
  <r>
    <n v="1099271"/>
    <x v="162"/>
    <x v="2"/>
    <x v="419"/>
    <x v="528"/>
  </r>
  <r>
    <n v="1099271"/>
    <x v="162"/>
    <x v="2"/>
    <x v="425"/>
    <x v="529"/>
  </r>
  <r>
    <n v="1099271"/>
    <x v="162"/>
    <x v="2"/>
    <x v="418"/>
    <x v="530"/>
  </r>
  <r>
    <n v="1099271"/>
    <x v="1"/>
    <x v="1"/>
    <x v="2"/>
    <x v="2"/>
  </r>
  <r>
    <n v="1099277"/>
    <x v="163"/>
    <x v="13"/>
    <x v="383"/>
    <x v="227"/>
  </r>
  <r>
    <n v="1099277"/>
    <x v="163"/>
    <x v="13"/>
    <x v="385"/>
    <x v="531"/>
  </r>
  <r>
    <n v="1099277"/>
    <x v="163"/>
    <x v="13"/>
    <x v="386"/>
    <x v="272"/>
  </r>
  <r>
    <n v="1099277"/>
    <x v="163"/>
    <x v="13"/>
    <x v="384"/>
    <x v="532"/>
  </r>
  <r>
    <n v="1099277"/>
    <x v="163"/>
    <x v="13"/>
    <x v="330"/>
    <x v="533"/>
  </r>
  <r>
    <n v="1099277"/>
    <x v="1"/>
    <x v="1"/>
    <x v="2"/>
    <x v="2"/>
  </r>
  <r>
    <n v="1099282"/>
    <x v="164"/>
    <x v="3"/>
    <x v="136"/>
    <x v="82"/>
  </r>
  <r>
    <n v="1099282"/>
    <x v="164"/>
    <x v="3"/>
    <x v="138"/>
    <x v="149"/>
  </r>
  <r>
    <n v="1099282"/>
    <x v="164"/>
    <x v="3"/>
    <x v="144"/>
    <x v="84"/>
  </r>
  <r>
    <n v="1099282"/>
    <x v="164"/>
    <x v="3"/>
    <x v="146"/>
    <x v="78"/>
  </r>
  <r>
    <n v="1099282"/>
    <x v="164"/>
    <x v="3"/>
    <x v="148"/>
    <x v="144"/>
  </r>
  <r>
    <n v="1099282"/>
    <x v="164"/>
    <x v="3"/>
    <x v="149"/>
    <x v="154"/>
  </r>
  <r>
    <n v="1099282"/>
    <x v="164"/>
    <x v="3"/>
    <x v="152"/>
    <x v="156"/>
  </r>
  <r>
    <n v="1099282"/>
    <x v="164"/>
    <x v="3"/>
    <x v="130"/>
    <x v="145"/>
  </r>
  <r>
    <n v="1099282"/>
    <x v="164"/>
    <x v="3"/>
    <x v="140"/>
    <x v="150"/>
  </r>
  <r>
    <n v="1099282"/>
    <x v="164"/>
    <x v="3"/>
    <x v="157"/>
    <x v="159"/>
  </r>
  <r>
    <n v="1099282"/>
    <x v="164"/>
    <x v="3"/>
    <x v="160"/>
    <x v="162"/>
  </r>
  <r>
    <n v="1099282"/>
    <x v="164"/>
    <x v="3"/>
    <x v="161"/>
    <x v="163"/>
  </r>
  <r>
    <n v="1099282"/>
    <x v="164"/>
    <x v="3"/>
    <x v="126"/>
    <x v="82"/>
  </r>
  <r>
    <n v="1099282"/>
    <x v="164"/>
    <x v="3"/>
    <x v="129"/>
    <x v="42"/>
  </r>
  <r>
    <n v="1099282"/>
    <x v="164"/>
    <x v="3"/>
    <x v="131"/>
    <x v="34"/>
  </r>
  <r>
    <n v="1099282"/>
    <x v="164"/>
    <x v="3"/>
    <x v="137"/>
    <x v="79"/>
  </r>
  <r>
    <n v="1099282"/>
    <x v="164"/>
    <x v="3"/>
    <x v="141"/>
    <x v="151"/>
  </r>
  <r>
    <n v="1099282"/>
    <x v="164"/>
    <x v="3"/>
    <x v="142"/>
    <x v="152"/>
  </r>
  <r>
    <n v="1099282"/>
    <x v="164"/>
    <x v="3"/>
    <x v="143"/>
    <x v="91"/>
  </r>
  <r>
    <n v="1099282"/>
    <x v="164"/>
    <x v="3"/>
    <x v="145"/>
    <x v="153"/>
  </r>
  <r>
    <n v="1099282"/>
    <x v="164"/>
    <x v="3"/>
    <x v="147"/>
    <x v="24"/>
  </r>
  <r>
    <n v="1099282"/>
    <x v="164"/>
    <x v="3"/>
    <x v="150"/>
    <x v="155"/>
  </r>
  <r>
    <n v="1099282"/>
    <x v="164"/>
    <x v="3"/>
    <x v="151"/>
    <x v="35"/>
  </r>
  <r>
    <n v="1099282"/>
    <x v="164"/>
    <x v="3"/>
    <x v="153"/>
    <x v="147"/>
  </r>
  <r>
    <n v="1099282"/>
    <x v="164"/>
    <x v="3"/>
    <x v="139"/>
    <x v="37"/>
  </r>
  <r>
    <n v="1099282"/>
    <x v="164"/>
    <x v="3"/>
    <x v="155"/>
    <x v="157"/>
  </r>
  <r>
    <n v="1099282"/>
    <x v="164"/>
    <x v="3"/>
    <x v="156"/>
    <x v="158"/>
  </r>
  <r>
    <n v="1099282"/>
    <x v="164"/>
    <x v="3"/>
    <x v="158"/>
    <x v="160"/>
  </r>
  <r>
    <n v="1099282"/>
    <x v="164"/>
    <x v="3"/>
    <x v="159"/>
    <x v="161"/>
  </r>
  <r>
    <n v="1099282"/>
    <x v="164"/>
    <x v="3"/>
    <x v="162"/>
    <x v="164"/>
  </r>
  <r>
    <n v="1099282"/>
    <x v="164"/>
    <x v="3"/>
    <x v="154"/>
    <x v="149"/>
  </r>
  <r>
    <n v="1099282"/>
    <x v="164"/>
    <x v="3"/>
    <x v="163"/>
    <x v="83"/>
  </r>
  <r>
    <n v="1099282"/>
    <x v="164"/>
    <x v="3"/>
    <x v="124"/>
    <x v="62"/>
  </r>
  <r>
    <n v="1099282"/>
    <x v="164"/>
    <x v="3"/>
    <x v="125"/>
    <x v="144"/>
  </r>
  <r>
    <n v="1099282"/>
    <x v="164"/>
    <x v="3"/>
    <x v="127"/>
    <x v="97"/>
  </r>
  <r>
    <n v="1099282"/>
    <x v="164"/>
    <x v="3"/>
    <x v="128"/>
    <x v="92"/>
  </r>
  <r>
    <n v="1099282"/>
    <x v="164"/>
    <x v="3"/>
    <x v="132"/>
    <x v="146"/>
  </r>
  <r>
    <n v="1099282"/>
    <x v="164"/>
    <x v="3"/>
    <x v="133"/>
    <x v="147"/>
  </r>
  <r>
    <n v="1099282"/>
    <x v="164"/>
    <x v="3"/>
    <x v="134"/>
    <x v="148"/>
  </r>
  <r>
    <n v="1099282"/>
    <x v="164"/>
    <x v="3"/>
    <x v="135"/>
    <x v="64"/>
  </r>
  <r>
    <n v="1099282"/>
    <x v="1"/>
    <x v="1"/>
    <x v="2"/>
    <x v="2"/>
  </r>
  <r>
    <n v="1099290"/>
    <x v="165"/>
    <x v="5"/>
    <x v="276"/>
    <x v="2"/>
  </r>
  <r>
    <n v="1099290"/>
    <x v="1"/>
    <x v="1"/>
    <x v="2"/>
    <x v="2"/>
  </r>
  <r>
    <n v="1099296"/>
    <x v="166"/>
    <x v="13"/>
    <x v="395"/>
    <x v="430"/>
  </r>
  <r>
    <n v="1099296"/>
    <x v="166"/>
    <x v="13"/>
    <x v="394"/>
    <x v="429"/>
  </r>
  <r>
    <n v="1099296"/>
    <x v="1"/>
    <x v="1"/>
    <x v="2"/>
    <x v="2"/>
  </r>
  <r>
    <n v="1099304"/>
    <x v="167"/>
    <x v="6"/>
    <x v="231"/>
    <x v="88"/>
  </r>
  <r>
    <n v="1099304"/>
    <x v="167"/>
    <x v="6"/>
    <x v="239"/>
    <x v="198"/>
  </r>
  <r>
    <n v="1099304"/>
    <x v="167"/>
    <x v="6"/>
    <x v="247"/>
    <x v="198"/>
  </r>
  <r>
    <n v="1099304"/>
    <x v="167"/>
    <x v="6"/>
    <x v="221"/>
    <x v="198"/>
  </r>
  <r>
    <n v="1099304"/>
    <x v="167"/>
    <x v="6"/>
    <x v="174"/>
    <x v="88"/>
  </r>
  <r>
    <n v="1099304"/>
    <x v="167"/>
    <x v="6"/>
    <x v="176"/>
    <x v="83"/>
  </r>
  <r>
    <n v="1099304"/>
    <x v="167"/>
    <x v="6"/>
    <x v="166"/>
    <x v="534"/>
  </r>
  <r>
    <n v="1099304"/>
    <x v="167"/>
    <x v="6"/>
    <x v="35"/>
    <x v="178"/>
  </r>
  <r>
    <n v="1099304"/>
    <x v="167"/>
    <x v="6"/>
    <x v="41"/>
    <x v="203"/>
  </r>
  <r>
    <n v="1099304"/>
    <x v="167"/>
    <x v="6"/>
    <x v="65"/>
    <x v="351"/>
  </r>
  <r>
    <n v="1099304"/>
    <x v="167"/>
    <x v="6"/>
    <x v="58"/>
    <x v="82"/>
  </r>
  <r>
    <n v="1099304"/>
    <x v="167"/>
    <x v="6"/>
    <x v="3"/>
    <x v="24"/>
  </r>
  <r>
    <n v="1099304"/>
    <x v="167"/>
    <x v="6"/>
    <x v="4"/>
    <x v="3"/>
  </r>
  <r>
    <n v="1099304"/>
    <x v="167"/>
    <x v="6"/>
    <x v="61"/>
    <x v="172"/>
  </r>
  <r>
    <n v="1099304"/>
    <x v="167"/>
    <x v="6"/>
    <x v="159"/>
    <x v="516"/>
  </r>
  <r>
    <n v="1099304"/>
    <x v="167"/>
    <x v="6"/>
    <x v="126"/>
    <x v="516"/>
  </r>
  <r>
    <n v="1099304"/>
    <x v="167"/>
    <x v="6"/>
    <x v="128"/>
    <x v="178"/>
  </r>
  <r>
    <n v="1099304"/>
    <x v="167"/>
    <x v="6"/>
    <x v="137"/>
    <x v="535"/>
  </r>
  <r>
    <n v="1099304"/>
    <x v="167"/>
    <x v="6"/>
    <x v="141"/>
    <x v="351"/>
  </r>
  <r>
    <n v="1099304"/>
    <x v="167"/>
    <x v="6"/>
    <x v="149"/>
    <x v="516"/>
  </r>
  <r>
    <n v="1099304"/>
    <x v="167"/>
    <x v="6"/>
    <x v="151"/>
    <x v="77"/>
  </r>
  <r>
    <n v="1099304"/>
    <x v="167"/>
    <x v="6"/>
    <x v="260"/>
    <x v="83"/>
  </r>
  <r>
    <n v="1099304"/>
    <x v="167"/>
    <x v="6"/>
    <x v="249"/>
    <x v="348"/>
  </r>
  <r>
    <n v="1099304"/>
    <x v="167"/>
    <x v="6"/>
    <x v="206"/>
    <x v="535"/>
  </r>
  <r>
    <n v="1099304"/>
    <x v="167"/>
    <x v="6"/>
    <x v="208"/>
    <x v="178"/>
  </r>
  <r>
    <n v="1099304"/>
    <x v="167"/>
    <x v="6"/>
    <x v="215"/>
    <x v="516"/>
  </r>
  <r>
    <n v="1099304"/>
    <x v="167"/>
    <x v="6"/>
    <x v="226"/>
    <x v="82"/>
  </r>
  <r>
    <n v="1099304"/>
    <x v="167"/>
    <x v="6"/>
    <x v="130"/>
    <x v="348"/>
  </r>
  <r>
    <n v="1099304"/>
    <x v="167"/>
    <x v="6"/>
    <x v="251"/>
    <x v="535"/>
  </r>
  <r>
    <n v="1099304"/>
    <x v="167"/>
    <x v="6"/>
    <x v="234"/>
    <x v="4"/>
  </r>
  <r>
    <n v="1099304"/>
    <x v="167"/>
    <x v="6"/>
    <x v="236"/>
    <x v="83"/>
  </r>
  <r>
    <n v="1099304"/>
    <x v="167"/>
    <x v="6"/>
    <x v="313"/>
    <x v="98"/>
  </r>
  <r>
    <n v="1099304"/>
    <x v="167"/>
    <x v="6"/>
    <x v="243"/>
    <x v="351"/>
  </r>
  <r>
    <n v="1099304"/>
    <x v="167"/>
    <x v="6"/>
    <x v="218"/>
    <x v="346"/>
  </r>
  <r>
    <n v="1099304"/>
    <x v="167"/>
    <x v="6"/>
    <x v="315"/>
    <x v="144"/>
  </r>
  <r>
    <n v="1099304"/>
    <x v="167"/>
    <x v="6"/>
    <x v="173"/>
    <x v="516"/>
  </r>
  <r>
    <n v="1099304"/>
    <x v="167"/>
    <x v="6"/>
    <x v="168"/>
    <x v="535"/>
  </r>
  <r>
    <n v="1099304"/>
    <x v="167"/>
    <x v="6"/>
    <x v="187"/>
    <x v="98"/>
  </r>
  <r>
    <n v="1099304"/>
    <x v="167"/>
    <x v="6"/>
    <x v="175"/>
    <x v="516"/>
  </r>
  <r>
    <n v="1099304"/>
    <x v="167"/>
    <x v="6"/>
    <x v="184"/>
    <x v="516"/>
  </r>
  <r>
    <n v="1099304"/>
    <x v="167"/>
    <x v="6"/>
    <x v="177"/>
    <x v="198"/>
  </r>
  <r>
    <n v="1099304"/>
    <x v="167"/>
    <x v="6"/>
    <x v="0"/>
    <x v="529"/>
  </r>
  <r>
    <n v="1099304"/>
    <x v="167"/>
    <x v="6"/>
    <x v="38"/>
    <x v="198"/>
  </r>
  <r>
    <n v="1099304"/>
    <x v="167"/>
    <x v="6"/>
    <x v="36"/>
    <x v="34"/>
  </r>
  <r>
    <n v="1099304"/>
    <x v="167"/>
    <x v="6"/>
    <x v="34"/>
    <x v="105"/>
  </r>
  <r>
    <n v="1099304"/>
    <x v="167"/>
    <x v="6"/>
    <x v="81"/>
    <x v="229"/>
  </r>
  <r>
    <n v="1099304"/>
    <x v="167"/>
    <x v="6"/>
    <x v="77"/>
    <x v="536"/>
  </r>
  <r>
    <n v="1099304"/>
    <x v="167"/>
    <x v="6"/>
    <x v="83"/>
    <x v="348"/>
  </r>
  <r>
    <n v="1099304"/>
    <x v="167"/>
    <x v="6"/>
    <x v="60"/>
    <x v="82"/>
  </r>
  <r>
    <n v="1099304"/>
    <x v="167"/>
    <x v="6"/>
    <x v="71"/>
    <x v="97"/>
  </r>
  <r>
    <n v="1099304"/>
    <x v="167"/>
    <x v="6"/>
    <x v="201"/>
    <x v="88"/>
  </r>
  <r>
    <n v="1099304"/>
    <x v="167"/>
    <x v="6"/>
    <x v="389"/>
    <x v="537"/>
  </r>
  <r>
    <n v="1099304"/>
    <x v="167"/>
    <x v="6"/>
    <x v="69"/>
    <x v="538"/>
  </r>
  <r>
    <n v="1099304"/>
    <x v="167"/>
    <x v="6"/>
    <x v="422"/>
    <x v="154"/>
  </r>
  <r>
    <n v="1099304"/>
    <x v="167"/>
    <x v="6"/>
    <x v="14"/>
    <x v="4"/>
  </r>
  <r>
    <n v="1099304"/>
    <x v="167"/>
    <x v="6"/>
    <x v="13"/>
    <x v="535"/>
  </r>
  <r>
    <n v="1099304"/>
    <x v="167"/>
    <x v="6"/>
    <x v="333"/>
    <x v="348"/>
  </r>
  <r>
    <n v="1099304"/>
    <x v="167"/>
    <x v="6"/>
    <x v="263"/>
    <x v="83"/>
  </r>
  <r>
    <n v="1099304"/>
    <x v="167"/>
    <x v="6"/>
    <x v="209"/>
    <x v="516"/>
  </r>
  <r>
    <n v="1099304"/>
    <x v="167"/>
    <x v="6"/>
    <x v="140"/>
    <x v="4"/>
  </r>
  <r>
    <n v="1099304"/>
    <x v="167"/>
    <x v="6"/>
    <x v="228"/>
    <x v="30"/>
  </r>
  <r>
    <n v="1099304"/>
    <x v="167"/>
    <x v="6"/>
    <x v="238"/>
    <x v="375"/>
  </r>
  <r>
    <n v="1099304"/>
    <x v="167"/>
    <x v="6"/>
    <x v="245"/>
    <x v="161"/>
  </r>
  <r>
    <n v="1099304"/>
    <x v="167"/>
    <x v="6"/>
    <x v="318"/>
    <x v="88"/>
  </r>
  <r>
    <n v="1099304"/>
    <x v="167"/>
    <x v="6"/>
    <x v="193"/>
    <x v="170"/>
  </r>
  <r>
    <n v="1099304"/>
    <x v="167"/>
    <x v="6"/>
    <x v="191"/>
    <x v="178"/>
  </r>
  <r>
    <n v="1099304"/>
    <x v="167"/>
    <x v="6"/>
    <x v="189"/>
    <x v="178"/>
  </r>
  <r>
    <n v="1099304"/>
    <x v="167"/>
    <x v="6"/>
    <x v="194"/>
    <x v="516"/>
  </r>
  <r>
    <n v="1099304"/>
    <x v="167"/>
    <x v="6"/>
    <x v="40"/>
    <x v="161"/>
  </r>
  <r>
    <n v="1099304"/>
    <x v="167"/>
    <x v="6"/>
    <x v="25"/>
    <x v="105"/>
  </r>
  <r>
    <n v="1099304"/>
    <x v="167"/>
    <x v="6"/>
    <x v="390"/>
    <x v="220"/>
  </r>
  <r>
    <n v="1099304"/>
    <x v="167"/>
    <x v="6"/>
    <x v="200"/>
    <x v="179"/>
  </r>
  <r>
    <n v="1099304"/>
    <x v="167"/>
    <x v="6"/>
    <x v="62"/>
    <x v="348"/>
  </r>
  <r>
    <n v="1099304"/>
    <x v="167"/>
    <x v="6"/>
    <x v="57"/>
    <x v="36"/>
  </r>
  <r>
    <n v="1099304"/>
    <x v="167"/>
    <x v="6"/>
    <x v="395"/>
    <x v="539"/>
  </r>
  <r>
    <n v="1099304"/>
    <x v="167"/>
    <x v="6"/>
    <x v="254"/>
    <x v="178"/>
  </r>
  <r>
    <n v="1099304"/>
    <x v="167"/>
    <x v="6"/>
    <x v="350"/>
    <x v="535"/>
  </r>
  <r>
    <n v="1099304"/>
    <x v="167"/>
    <x v="6"/>
    <x v="161"/>
    <x v="351"/>
  </r>
  <r>
    <n v="1099304"/>
    <x v="167"/>
    <x v="6"/>
    <x v="131"/>
    <x v="535"/>
  </r>
  <r>
    <n v="1099304"/>
    <x v="167"/>
    <x v="6"/>
    <x v="143"/>
    <x v="178"/>
  </r>
  <r>
    <n v="1099304"/>
    <x v="167"/>
    <x v="6"/>
    <x v="153"/>
    <x v="348"/>
  </r>
  <r>
    <n v="1099304"/>
    <x v="167"/>
    <x v="6"/>
    <x v="394"/>
    <x v="54"/>
  </r>
  <r>
    <n v="1099304"/>
    <x v="167"/>
    <x v="6"/>
    <x v="343"/>
    <x v="348"/>
  </r>
  <r>
    <n v="1099304"/>
    <x v="167"/>
    <x v="6"/>
    <x v="6"/>
    <x v="516"/>
  </r>
  <r>
    <n v="1099304"/>
    <x v="167"/>
    <x v="6"/>
    <x v="332"/>
    <x v="346"/>
  </r>
  <r>
    <n v="1099304"/>
    <x v="167"/>
    <x v="6"/>
    <x v="339"/>
    <x v="348"/>
  </r>
  <r>
    <n v="1099304"/>
    <x v="167"/>
    <x v="6"/>
    <x v="127"/>
    <x v="535"/>
  </r>
  <r>
    <n v="1099304"/>
    <x v="167"/>
    <x v="6"/>
    <x v="138"/>
    <x v="351"/>
  </r>
  <r>
    <n v="1099304"/>
    <x v="167"/>
    <x v="6"/>
    <x v="150"/>
    <x v="77"/>
  </r>
  <r>
    <n v="1099304"/>
    <x v="167"/>
    <x v="6"/>
    <x v="261"/>
    <x v="348"/>
  </r>
  <r>
    <n v="1099304"/>
    <x v="167"/>
    <x v="6"/>
    <x v="207"/>
    <x v="88"/>
  </r>
  <r>
    <n v="1099304"/>
    <x v="167"/>
    <x v="6"/>
    <x v="216"/>
    <x v="198"/>
  </r>
  <r>
    <n v="1099304"/>
    <x v="167"/>
    <x v="6"/>
    <x v="426"/>
    <x v="170"/>
  </r>
  <r>
    <n v="1099304"/>
    <x v="167"/>
    <x v="6"/>
    <x v="235"/>
    <x v="83"/>
  </r>
  <r>
    <n v="1099304"/>
    <x v="167"/>
    <x v="6"/>
    <x v="242"/>
    <x v="346"/>
  </r>
  <r>
    <n v="1099304"/>
    <x v="167"/>
    <x v="6"/>
    <x v="219"/>
    <x v="77"/>
  </r>
  <r>
    <n v="1099304"/>
    <x v="167"/>
    <x v="6"/>
    <x v="185"/>
    <x v="3"/>
  </r>
  <r>
    <n v="1099304"/>
    <x v="167"/>
    <x v="6"/>
    <x v="170"/>
    <x v="178"/>
  </r>
  <r>
    <n v="1099304"/>
    <x v="167"/>
    <x v="6"/>
    <x v="172"/>
    <x v="154"/>
  </r>
  <r>
    <n v="1099304"/>
    <x v="167"/>
    <x v="6"/>
    <x v="1"/>
    <x v="540"/>
  </r>
  <r>
    <n v="1099304"/>
    <x v="167"/>
    <x v="6"/>
    <x v="27"/>
    <x v="64"/>
  </r>
  <r>
    <n v="1099304"/>
    <x v="167"/>
    <x v="6"/>
    <x v="78"/>
    <x v="541"/>
  </r>
  <r>
    <n v="1099304"/>
    <x v="167"/>
    <x v="6"/>
    <x v="75"/>
    <x v="176"/>
  </r>
  <r>
    <n v="1099304"/>
    <x v="167"/>
    <x v="6"/>
    <x v="199"/>
    <x v="542"/>
  </r>
  <r>
    <n v="1099304"/>
    <x v="167"/>
    <x v="6"/>
    <x v="387"/>
    <x v="233"/>
  </r>
  <r>
    <n v="1099304"/>
    <x v="167"/>
    <x v="6"/>
    <x v="383"/>
    <x v="220"/>
  </r>
  <r>
    <n v="1099304"/>
    <x v="167"/>
    <x v="6"/>
    <x v="158"/>
    <x v="472"/>
  </r>
  <r>
    <n v="1099304"/>
    <x v="167"/>
    <x v="6"/>
    <x v="344"/>
    <x v="346"/>
  </r>
  <r>
    <n v="1099304"/>
    <x v="167"/>
    <x v="6"/>
    <x v="347"/>
    <x v="348"/>
  </r>
  <r>
    <n v="1099304"/>
    <x v="167"/>
    <x v="6"/>
    <x v="335"/>
    <x v="348"/>
  </r>
  <r>
    <n v="1099304"/>
    <x v="167"/>
    <x v="6"/>
    <x v="163"/>
    <x v="516"/>
  </r>
  <r>
    <n v="1099304"/>
    <x v="167"/>
    <x v="6"/>
    <x v="134"/>
    <x v="178"/>
  </r>
  <r>
    <n v="1099304"/>
    <x v="167"/>
    <x v="6"/>
    <x v="146"/>
    <x v="535"/>
  </r>
  <r>
    <n v="1099304"/>
    <x v="167"/>
    <x v="6"/>
    <x v="257"/>
    <x v="198"/>
  </r>
  <r>
    <n v="1099304"/>
    <x v="167"/>
    <x v="6"/>
    <x v="265"/>
    <x v="535"/>
  </r>
  <r>
    <n v="1099304"/>
    <x v="167"/>
    <x v="6"/>
    <x v="212"/>
    <x v="4"/>
  </r>
  <r>
    <n v="1099304"/>
    <x v="167"/>
    <x v="6"/>
    <x v="223"/>
    <x v="3"/>
  </r>
  <r>
    <n v="1099304"/>
    <x v="167"/>
    <x v="6"/>
    <x v="340"/>
    <x v="78"/>
  </r>
  <r>
    <n v="1099304"/>
    <x v="167"/>
    <x v="6"/>
    <x v="229"/>
    <x v="219"/>
  </r>
  <r>
    <n v="1099304"/>
    <x v="167"/>
    <x v="6"/>
    <x v="155"/>
    <x v="331"/>
  </r>
  <r>
    <n v="1099304"/>
    <x v="167"/>
    <x v="6"/>
    <x v="341"/>
    <x v="346"/>
  </r>
  <r>
    <n v="1099304"/>
    <x v="167"/>
    <x v="6"/>
    <x v="317"/>
    <x v="346"/>
  </r>
  <r>
    <n v="1099304"/>
    <x v="167"/>
    <x v="6"/>
    <x v="186"/>
    <x v="535"/>
  </r>
  <r>
    <n v="1099304"/>
    <x v="167"/>
    <x v="6"/>
    <x v="188"/>
    <x v="88"/>
  </r>
  <r>
    <n v="1099304"/>
    <x v="167"/>
    <x v="6"/>
    <x v="164"/>
    <x v="105"/>
  </r>
  <r>
    <n v="1099304"/>
    <x v="167"/>
    <x v="6"/>
    <x v="26"/>
    <x v="351"/>
  </r>
  <r>
    <n v="1099304"/>
    <x v="167"/>
    <x v="6"/>
    <x v="42"/>
    <x v="182"/>
  </r>
  <r>
    <n v="1099304"/>
    <x v="167"/>
    <x v="6"/>
    <x v="388"/>
    <x v="37"/>
  </r>
  <r>
    <n v="1099304"/>
    <x v="167"/>
    <x v="6"/>
    <x v="203"/>
    <x v="543"/>
  </r>
  <r>
    <n v="1099304"/>
    <x v="167"/>
    <x v="6"/>
    <x v="70"/>
    <x v="198"/>
  </r>
  <r>
    <n v="1099304"/>
    <x v="167"/>
    <x v="6"/>
    <x v="73"/>
    <x v="351"/>
  </r>
  <r>
    <n v="1099304"/>
    <x v="167"/>
    <x v="6"/>
    <x v="424"/>
    <x v="170"/>
  </r>
  <r>
    <n v="1099304"/>
    <x v="167"/>
    <x v="6"/>
    <x v="385"/>
    <x v="5"/>
  </r>
  <r>
    <n v="1099304"/>
    <x v="167"/>
    <x v="6"/>
    <x v="9"/>
    <x v="348"/>
  </r>
  <r>
    <n v="1099304"/>
    <x v="167"/>
    <x v="6"/>
    <x v="8"/>
    <x v="351"/>
  </r>
  <r>
    <n v="1099304"/>
    <x v="167"/>
    <x v="6"/>
    <x v="349"/>
    <x v="535"/>
  </r>
  <r>
    <n v="1099304"/>
    <x v="167"/>
    <x v="6"/>
    <x v="337"/>
    <x v="348"/>
  </r>
  <r>
    <n v="1099304"/>
    <x v="167"/>
    <x v="6"/>
    <x v="125"/>
    <x v="535"/>
  </r>
  <r>
    <n v="1099304"/>
    <x v="167"/>
    <x v="6"/>
    <x v="136"/>
    <x v="516"/>
  </r>
  <r>
    <n v="1099304"/>
    <x v="167"/>
    <x v="6"/>
    <x v="148"/>
    <x v="535"/>
  </r>
  <r>
    <n v="1099304"/>
    <x v="167"/>
    <x v="6"/>
    <x v="259"/>
    <x v="178"/>
  </r>
  <r>
    <n v="1099304"/>
    <x v="167"/>
    <x v="6"/>
    <x v="205"/>
    <x v="516"/>
  </r>
  <r>
    <n v="1099304"/>
    <x v="167"/>
    <x v="6"/>
    <x v="214"/>
    <x v="516"/>
  </r>
  <r>
    <n v="1099304"/>
    <x v="167"/>
    <x v="6"/>
    <x v="225"/>
    <x v="4"/>
  </r>
  <r>
    <n v="1099304"/>
    <x v="167"/>
    <x v="6"/>
    <x v="233"/>
    <x v="154"/>
  </r>
  <r>
    <n v="1099304"/>
    <x v="167"/>
    <x v="6"/>
    <x v="241"/>
    <x v="178"/>
  </r>
  <r>
    <n v="1099304"/>
    <x v="167"/>
    <x v="6"/>
    <x v="217"/>
    <x v="170"/>
  </r>
  <r>
    <n v="1099304"/>
    <x v="167"/>
    <x v="6"/>
    <x v="195"/>
    <x v="535"/>
  </r>
  <r>
    <n v="1099304"/>
    <x v="167"/>
    <x v="6"/>
    <x v="192"/>
    <x v="535"/>
  </r>
  <r>
    <n v="1099304"/>
    <x v="167"/>
    <x v="6"/>
    <x v="190"/>
    <x v="346"/>
  </r>
  <r>
    <n v="1099304"/>
    <x v="167"/>
    <x v="6"/>
    <x v="28"/>
    <x v="226"/>
  </r>
  <r>
    <n v="1099304"/>
    <x v="167"/>
    <x v="6"/>
    <x v="157"/>
    <x v="544"/>
  </r>
  <r>
    <n v="1099304"/>
    <x v="167"/>
    <x v="6"/>
    <x v="11"/>
    <x v="348"/>
  </r>
  <r>
    <n v="1099304"/>
    <x v="167"/>
    <x v="6"/>
    <x v="346"/>
    <x v="516"/>
  </r>
  <r>
    <n v="1099304"/>
    <x v="167"/>
    <x v="6"/>
    <x v="352"/>
    <x v="516"/>
  </r>
  <r>
    <n v="1099304"/>
    <x v="167"/>
    <x v="6"/>
    <x v="154"/>
    <x v="351"/>
  </r>
  <r>
    <n v="1099304"/>
    <x v="167"/>
    <x v="6"/>
    <x v="133"/>
    <x v="348"/>
  </r>
  <r>
    <n v="1099304"/>
    <x v="167"/>
    <x v="6"/>
    <x v="145"/>
    <x v="351"/>
  </r>
  <r>
    <n v="1099304"/>
    <x v="167"/>
    <x v="6"/>
    <x v="256"/>
    <x v="79"/>
  </r>
  <r>
    <n v="1099304"/>
    <x v="167"/>
    <x v="6"/>
    <x v="316"/>
    <x v="347"/>
  </r>
  <r>
    <n v="1099304"/>
    <x v="167"/>
    <x v="6"/>
    <x v="211"/>
    <x v="351"/>
  </r>
  <r>
    <n v="1099304"/>
    <x v="167"/>
    <x v="6"/>
    <x v="222"/>
    <x v="77"/>
  </r>
  <r>
    <n v="1099304"/>
    <x v="167"/>
    <x v="6"/>
    <x v="230"/>
    <x v="77"/>
  </r>
  <r>
    <n v="1099304"/>
    <x v="167"/>
    <x v="6"/>
    <x v="156"/>
    <x v="545"/>
  </r>
  <r>
    <n v="1099304"/>
    <x v="167"/>
    <x v="6"/>
    <x v="246"/>
    <x v="198"/>
  </r>
  <r>
    <n v="1099304"/>
    <x v="167"/>
    <x v="6"/>
    <x v="220"/>
    <x v="178"/>
  </r>
  <r>
    <n v="1099304"/>
    <x v="167"/>
    <x v="6"/>
    <x v="169"/>
    <x v="351"/>
  </r>
  <r>
    <n v="1099304"/>
    <x v="167"/>
    <x v="6"/>
    <x v="171"/>
    <x v="351"/>
  </r>
  <r>
    <n v="1099304"/>
    <x v="167"/>
    <x v="6"/>
    <x v="165"/>
    <x v="546"/>
  </r>
  <r>
    <n v="1099304"/>
    <x v="167"/>
    <x v="6"/>
    <x v="43"/>
    <x v="351"/>
  </r>
  <r>
    <n v="1099304"/>
    <x v="167"/>
    <x v="6"/>
    <x v="29"/>
    <x v="197"/>
  </r>
  <r>
    <n v="1099304"/>
    <x v="167"/>
    <x v="6"/>
    <x v="30"/>
    <x v="203"/>
  </r>
  <r>
    <n v="1099304"/>
    <x v="167"/>
    <x v="6"/>
    <x v="31"/>
    <x v="162"/>
  </r>
  <r>
    <n v="1099304"/>
    <x v="167"/>
    <x v="6"/>
    <x v="82"/>
    <x v="346"/>
  </r>
  <r>
    <n v="1099304"/>
    <x v="167"/>
    <x v="6"/>
    <x v="202"/>
    <x v="238"/>
  </r>
  <r>
    <n v="1099304"/>
    <x v="167"/>
    <x v="6"/>
    <x v="68"/>
    <x v="98"/>
  </r>
  <r>
    <n v="1099304"/>
    <x v="167"/>
    <x v="6"/>
    <x v="63"/>
    <x v="178"/>
  </r>
  <r>
    <n v="1099304"/>
    <x v="167"/>
    <x v="6"/>
    <x v="56"/>
    <x v="69"/>
  </r>
  <r>
    <n v="1099304"/>
    <x v="167"/>
    <x v="6"/>
    <x v="55"/>
    <x v="178"/>
  </r>
  <r>
    <n v="1099304"/>
    <x v="167"/>
    <x v="6"/>
    <x v="420"/>
    <x v="547"/>
  </r>
  <r>
    <n v="1099304"/>
    <x v="167"/>
    <x v="6"/>
    <x v="425"/>
    <x v="170"/>
  </r>
  <r>
    <n v="1099304"/>
    <x v="167"/>
    <x v="6"/>
    <x v="421"/>
    <x v="58"/>
  </r>
  <r>
    <n v="1099304"/>
    <x v="167"/>
    <x v="6"/>
    <x v="15"/>
    <x v="154"/>
  </r>
  <r>
    <n v="1099304"/>
    <x v="167"/>
    <x v="6"/>
    <x v="253"/>
    <x v="170"/>
  </r>
  <r>
    <n v="1099304"/>
    <x v="167"/>
    <x v="6"/>
    <x v="334"/>
    <x v="198"/>
  </r>
  <r>
    <n v="1099304"/>
    <x v="167"/>
    <x v="6"/>
    <x v="160"/>
    <x v="351"/>
  </r>
  <r>
    <n v="1099304"/>
    <x v="167"/>
    <x v="6"/>
    <x v="129"/>
    <x v="535"/>
  </r>
  <r>
    <n v="1099304"/>
    <x v="167"/>
    <x v="6"/>
    <x v="142"/>
    <x v="83"/>
  </r>
  <r>
    <n v="1099304"/>
    <x v="167"/>
    <x v="6"/>
    <x v="152"/>
    <x v="535"/>
  </r>
  <r>
    <n v="1099304"/>
    <x v="167"/>
    <x v="6"/>
    <x v="262"/>
    <x v="351"/>
  </r>
  <r>
    <n v="1099304"/>
    <x v="167"/>
    <x v="6"/>
    <x v="250"/>
    <x v="535"/>
  </r>
  <r>
    <n v="1099304"/>
    <x v="167"/>
    <x v="6"/>
    <x v="139"/>
    <x v="178"/>
  </r>
  <r>
    <n v="1099304"/>
    <x v="167"/>
    <x v="6"/>
    <x v="227"/>
    <x v="4"/>
  </r>
  <r>
    <n v="1099304"/>
    <x v="167"/>
    <x v="6"/>
    <x v="237"/>
    <x v="548"/>
  </r>
  <r>
    <n v="1099304"/>
    <x v="167"/>
    <x v="6"/>
    <x v="244"/>
    <x v="154"/>
  </r>
  <r>
    <n v="1099304"/>
    <x v="167"/>
    <x v="6"/>
    <x v="314"/>
    <x v="516"/>
  </r>
  <r>
    <n v="1099304"/>
    <x v="167"/>
    <x v="6"/>
    <x v="179"/>
    <x v="516"/>
  </r>
  <r>
    <n v="1099304"/>
    <x v="167"/>
    <x v="6"/>
    <x v="181"/>
    <x v="161"/>
  </r>
  <r>
    <n v="1099304"/>
    <x v="167"/>
    <x v="6"/>
    <x v="183"/>
    <x v="535"/>
  </r>
  <r>
    <n v="1099304"/>
    <x v="167"/>
    <x v="6"/>
    <x v="24"/>
    <x v="88"/>
  </r>
  <r>
    <n v="1099304"/>
    <x v="167"/>
    <x v="6"/>
    <x v="39"/>
    <x v="105"/>
  </r>
  <r>
    <n v="1099304"/>
    <x v="167"/>
    <x v="6"/>
    <x v="64"/>
    <x v="549"/>
  </r>
  <r>
    <n v="1099304"/>
    <x v="167"/>
    <x v="6"/>
    <x v="59"/>
    <x v="62"/>
  </r>
  <r>
    <n v="1099304"/>
    <x v="167"/>
    <x v="6"/>
    <x v="74"/>
    <x v="154"/>
  </r>
  <r>
    <n v="1099304"/>
    <x v="167"/>
    <x v="6"/>
    <x v="80"/>
    <x v="550"/>
  </r>
  <r>
    <n v="1099304"/>
    <x v="167"/>
    <x v="6"/>
    <x v="384"/>
    <x v="551"/>
  </r>
  <r>
    <n v="1099304"/>
    <x v="167"/>
    <x v="6"/>
    <x v="342"/>
    <x v="348"/>
  </r>
  <r>
    <n v="1099304"/>
    <x v="167"/>
    <x v="6"/>
    <x v="7"/>
    <x v="351"/>
  </r>
  <r>
    <n v="1099304"/>
    <x v="167"/>
    <x v="6"/>
    <x v="331"/>
    <x v="178"/>
  </r>
  <r>
    <n v="1099304"/>
    <x v="167"/>
    <x v="6"/>
    <x v="338"/>
    <x v="346"/>
  </r>
  <r>
    <n v="1099304"/>
    <x v="167"/>
    <x v="6"/>
    <x v="386"/>
    <x v="85"/>
  </r>
  <r>
    <n v="1099304"/>
    <x v="167"/>
    <x v="6"/>
    <x v="5"/>
    <x v="3"/>
  </r>
  <r>
    <n v="1099304"/>
    <x v="167"/>
    <x v="6"/>
    <x v="10"/>
    <x v="83"/>
  </r>
  <r>
    <n v="1099304"/>
    <x v="167"/>
    <x v="6"/>
    <x v="348"/>
    <x v="178"/>
  </r>
  <r>
    <n v="1099304"/>
    <x v="167"/>
    <x v="6"/>
    <x v="336"/>
    <x v="178"/>
  </r>
  <r>
    <n v="1099304"/>
    <x v="167"/>
    <x v="6"/>
    <x v="124"/>
    <x v="351"/>
  </r>
  <r>
    <n v="1099304"/>
    <x v="167"/>
    <x v="6"/>
    <x v="135"/>
    <x v="535"/>
  </r>
  <r>
    <n v="1099304"/>
    <x v="167"/>
    <x v="6"/>
    <x v="147"/>
    <x v="535"/>
  </r>
  <r>
    <n v="1099304"/>
    <x v="167"/>
    <x v="6"/>
    <x v="258"/>
    <x v="516"/>
  </r>
  <r>
    <n v="1099304"/>
    <x v="167"/>
    <x v="6"/>
    <x v="204"/>
    <x v="535"/>
  </r>
  <r>
    <n v="1099304"/>
    <x v="167"/>
    <x v="6"/>
    <x v="213"/>
    <x v="83"/>
  </r>
  <r>
    <n v="1099304"/>
    <x v="167"/>
    <x v="6"/>
    <x v="224"/>
    <x v="144"/>
  </r>
  <r>
    <n v="1099304"/>
    <x v="167"/>
    <x v="6"/>
    <x v="232"/>
    <x v="161"/>
  </r>
  <r>
    <n v="1099304"/>
    <x v="167"/>
    <x v="6"/>
    <x v="240"/>
    <x v="535"/>
  </r>
  <r>
    <n v="1099304"/>
    <x v="167"/>
    <x v="6"/>
    <x v="248"/>
    <x v="516"/>
  </r>
  <r>
    <n v="1099304"/>
    <x v="167"/>
    <x v="6"/>
    <x v="178"/>
    <x v="516"/>
  </r>
  <r>
    <n v="1099304"/>
    <x v="167"/>
    <x v="6"/>
    <x v="180"/>
    <x v="88"/>
  </r>
  <r>
    <n v="1099304"/>
    <x v="167"/>
    <x v="6"/>
    <x v="182"/>
    <x v="516"/>
  </r>
  <r>
    <n v="1099304"/>
    <x v="167"/>
    <x v="6"/>
    <x v="33"/>
    <x v="90"/>
  </r>
  <r>
    <n v="1099304"/>
    <x v="167"/>
    <x v="6"/>
    <x v="32"/>
    <x v="62"/>
  </r>
  <r>
    <n v="1099304"/>
    <x v="167"/>
    <x v="6"/>
    <x v="37"/>
    <x v="149"/>
  </r>
  <r>
    <n v="1099304"/>
    <x v="167"/>
    <x v="6"/>
    <x v="418"/>
    <x v="552"/>
  </r>
  <r>
    <n v="1099304"/>
    <x v="167"/>
    <x v="6"/>
    <x v="66"/>
    <x v="98"/>
  </r>
  <r>
    <n v="1099304"/>
    <x v="167"/>
    <x v="6"/>
    <x v="79"/>
    <x v="69"/>
  </r>
  <r>
    <n v="1099304"/>
    <x v="167"/>
    <x v="6"/>
    <x v="419"/>
    <x v="84"/>
  </r>
  <r>
    <n v="1099304"/>
    <x v="167"/>
    <x v="6"/>
    <x v="330"/>
    <x v="553"/>
  </r>
  <r>
    <n v="1099304"/>
    <x v="167"/>
    <x v="6"/>
    <x v="12"/>
    <x v="3"/>
  </r>
  <r>
    <n v="1099304"/>
    <x v="167"/>
    <x v="6"/>
    <x v="345"/>
    <x v="346"/>
  </r>
  <r>
    <n v="1099304"/>
    <x v="167"/>
    <x v="6"/>
    <x v="351"/>
    <x v="351"/>
  </r>
  <r>
    <n v="1099304"/>
    <x v="167"/>
    <x v="6"/>
    <x v="162"/>
    <x v="535"/>
  </r>
  <r>
    <n v="1099304"/>
    <x v="167"/>
    <x v="6"/>
    <x v="132"/>
    <x v="178"/>
  </r>
  <r>
    <n v="1099304"/>
    <x v="167"/>
    <x v="6"/>
    <x v="144"/>
    <x v="348"/>
  </r>
  <r>
    <n v="1099304"/>
    <x v="167"/>
    <x v="6"/>
    <x v="255"/>
    <x v="154"/>
  </r>
  <r>
    <n v="1099304"/>
    <x v="167"/>
    <x v="6"/>
    <x v="264"/>
    <x v="351"/>
  </r>
  <r>
    <n v="1099304"/>
    <x v="167"/>
    <x v="6"/>
    <x v="210"/>
    <x v="348"/>
  </r>
  <r>
    <n v="1099304"/>
    <x v="1"/>
    <x v="1"/>
    <x v="2"/>
    <x v="2"/>
  </r>
  <r>
    <n v="1099315"/>
    <x v="168"/>
    <x v="6"/>
    <x v="427"/>
    <x v="2"/>
  </r>
  <r>
    <n v="1099315"/>
    <x v="1"/>
    <x v="1"/>
    <x v="2"/>
    <x v="2"/>
  </r>
  <r>
    <n v="1099319"/>
    <x v="169"/>
    <x v="4"/>
    <x v="16"/>
    <x v="14"/>
  </r>
  <r>
    <n v="1099319"/>
    <x v="169"/>
    <x v="4"/>
    <x v="17"/>
    <x v="15"/>
  </r>
  <r>
    <n v="1099319"/>
    <x v="1"/>
    <x v="1"/>
    <x v="2"/>
    <x v="2"/>
  </r>
  <r>
    <n v="1099321"/>
    <x v="170"/>
    <x v="5"/>
    <x v="305"/>
    <x v="283"/>
  </r>
  <r>
    <n v="1099321"/>
    <x v="170"/>
    <x v="5"/>
    <x v="304"/>
    <x v="282"/>
  </r>
  <r>
    <n v="1099321"/>
    <x v="170"/>
    <x v="5"/>
    <x v="303"/>
    <x v="281"/>
  </r>
  <r>
    <n v="1099321"/>
    <x v="1"/>
    <x v="1"/>
    <x v="2"/>
    <x v="2"/>
  </r>
  <r>
    <n v="1099323"/>
    <x v="171"/>
    <x v="2"/>
    <x v="67"/>
    <x v="35"/>
  </r>
  <r>
    <n v="1099323"/>
    <x v="171"/>
    <x v="2"/>
    <x v="59"/>
    <x v="521"/>
  </r>
  <r>
    <n v="1099323"/>
    <x v="171"/>
    <x v="2"/>
    <x v="64"/>
    <x v="524"/>
  </r>
  <r>
    <n v="1099323"/>
    <x v="171"/>
    <x v="2"/>
    <x v="81"/>
    <x v="477"/>
  </r>
  <r>
    <n v="1099323"/>
    <x v="171"/>
    <x v="2"/>
    <x v="73"/>
    <x v="347"/>
  </r>
  <r>
    <n v="1099323"/>
    <x v="171"/>
    <x v="2"/>
    <x v="69"/>
    <x v="525"/>
  </r>
  <r>
    <n v="1099323"/>
    <x v="171"/>
    <x v="2"/>
    <x v="80"/>
    <x v="523"/>
  </r>
  <r>
    <n v="1099323"/>
    <x v="171"/>
    <x v="2"/>
    <x v="57"/>
    <x v="522"/>
  </r>
  <r>
    <n v="1099323"/>
    <x v="171"/>
    <x v="2"/>
    <x v="55"/>
    <x v="146"/>
  </r>
  <r>
    <n v="1099323"/>
    <x v="171"/>
    <x v="2"/>
    <x v="83"/>
    <x v="185"/>
  </r>
  <r>
    <n v="1099323"/>
    <x v="1"/>
    <x v="1"/>
    <x v="2"/>
    <x v="2"/>
  </r>
  <r>
    <n v="1099324"/>
    <x v="172"/>
    <x v="12"/>
    <x v="379"/>
    <x v="396"/>
  </r>
  <r>
    <n v="1099324"/>
    <x v="172"/>
    <x v="12"/>
    <x v="378"/>
    <x v="395"/>
  </r>
  <r>
    <n v="1099324"/>
    <x v="172"/>
    <x v="12"/>
    <x v="380"/>
    <x v="397"/>
  </r>
  <r>
    <n v="1099324"/>
    <x v="172"/>
    <x v="12"/>
    <x v="381"/>
    <x v="398"/>
  </r>
  <r>
    <n v="1099324"/>
    <x v="172"/>
    <x v="12"/>
    <x v="382"/>
    <x v="399"/>
  </r>
  <r>
    <n v="1099324"/>
    <x v="1"/>
    <x v="1"/>
    <x v="2"/>
    <x v="2"/>
  </r>
  <r>
    <n v="1099326"/>
    <x v="173"/>
    <x v="2"/>
    <x v="80"/>
    <x v="102"/>
  </r>
  <r>
    <n v="1099326"/>
    <x v="173"/>
    <x v="2"/>
    <x v="72"/>
    <x v="100"/>
  </r>
  <r>
    <n v="1099326"/>
    <x v="173"/>
    <x v="2"/>
    <x v="81"/>
    <x v="106"/>
  </r>
  <r>
    <n v="1099326"/>
    <x v="173"/>
    <x v="2"/>
    <x v="73"/>
    <x v="34"/>
  </r>
  <r>
    <n v="1099326"/>
    <x v="173"/>
    <x v="2"/>
    <x v="69"/>
    <x v="103"/>
  </r>
  <r>
    <n v="1099326"/>
    <x v="173"/>
    <x v="2"/>
    <x v="67"/>
    <x v="99"/>
  </r>
  <r>
    <n v="1099326"/>
    <x v="173"/>
    <x v="2"/>
    <x v="57"/>
    <x v="101"/>
  </r>
  <r>
    <n v="1099326"/>
    <x v="173"/>
    <x v="2"/>
    <x v="83"/>
    <x v="105"/>
  </r>
  <r>
    <n v="1099326"/>
    <x v="173"/>
    <x v="2"/>
    <x v="55"/>
    <x v="54"/>
  </r>
  <r>
    <n v="1099326"/>
    <x v="173"/>
    <x v="2"/>
    <x v="64"/>
    <x v="107"/>
  </r>
  <r>
    <n v="1099326"/>
    <x v="173"/>
    <x v="2"/>
    <x v="59"/>
    <x v="104"/>
  </r>
  <r>
    <n v="1099326"/>
    <x v="1"/>
    <x v="1"/>
    <x v="2"/>
    <x v="2"/>
  </r>
  <r>
    <n v="1099329"/>
    <x v="174"/>
    <x v="2"/>
    <x v="201"/>
    <x v="194"/>
  </r>
  <r>
    <n v="1099329"/>
    <x v="174"/>
    <x v="2"/>
    <x v="203"/>
    <x v="195"/>
  </r>
  <r>
    <n v="1099329"/>
    <x v="174"/>
    <x v="2"/>
    <x v="202"/>
    <x v="141"/>
  </r>
  <r>
    <n v="1099329"/>
    <x v="174"/>
    <x v="2"/>
    <x v="199"/>
    <x v="192"/>
  </r>
  <r>
    <n v="1099329"/>
    <x v="174"/>
    <x v="2"/>
    <x v="200"/>
    <x v="193"/>
  </r>
  <r>
    <n v="1099329"/>
    <x v="1"/>
    <x v="1"/>
    <x v="2"/>
    <x v="2"/>
  </r>
  <r>
    <n v="1099334"/>
    <x v="175"/>
    <x v="2"/>
    <x v="418"/>
    <x v="554"/>
  </r>
  <r>
    <n v="1099334"/>
    <x v="175"/>
    <x v="2"/>
    <x v="424"/>
    <x v="555"/>
  </r>
  <r>
    <n v="1099334"/>
    <x v="175"/>
    <x v="2"/>
    <x v="425"/>
    <x v="556"/>
  </r>
  <r>
    <n v="1099334"/>
    <x v="1"/>
    <x v="1"/>
    <x v="2"/>
    <x v="2"/>
  </r>
  <r>
    <n v="1099344"/>
    <x v="176"/>
    <x v="12"/>
    <x v="428"/>
    <x v="40"/>
  </r>
  <r>
    <n v="1099344"/>
    <x v="176"/>
    <x v="12"/>
    <x v="429"/>
    <x v="456"/>
  </r>
  <r>
    <n v="1099344"/>
    <x v="176"/>
    <x v="12"/>
    <x v="430"/>
    <x v="64"/>
  </r>
  <r>
    <n v="1099344"/>
    <x v="176"/>
    <x v="12"/>
    <x v="291"/>
    <x v="114"/>
  </r>
  <r>
    <n v="1099344"/>
    <x v="176"/>
    <x v="12"/>
    <x v="431"/>
    <x v="172"/>
  </r>
  <r>
    <n v="1099344"/>
    <x v="176"/>
    <x v="12"/>
    <x v="297"/>
    <x v="51"/>
  </r>
  <r>
    <n v="1099344"/>
    <x v="176"/>
    <x v="12"/>
    <x v="288"/>
    <x v="557"/>
  </r>
  <r>
    <n v="1099344"/>
    <x v="176"/>
    <x v="12"/>
    <x v="102"/>
    <x v="558"/>
  </r>
  <r>
    <n v="1099344"/>
    <x v="176"/>
    <x v="12"/>
    <x v="432"/>
    <x v="57"/>
  </r>
  <r>
    <n v="1099344"/>
    <x v="176"/>
    <x v="12"/>
    <x v="293"/>
    <x v="559"/>
  </r>
  <r>
    <n v="1099344"/>
    <x v="176"/>
    <x v="12"/>
    <x v="105"/>
    <x v="560"/>
  </r>
  <r>
    <n v="1099344"/>
    <x v="176"/>
    <x v="12"/>
    <x v="433"/>
    <x v="149"/>
  </r>
  <r>
    <n v="1099344"/>
    <x v="176"/>
    <x v="12"/>
    <x v="296"/>
    <x v="561"/>
  </r>
  <r>
    <n v="1099344"/>
    <x v="176"/>
    <x v="12"/>
    <x v="107"/>
    <x v="222"/>
  </r>
  <r>
    <n v="1099344"/>
    <x v="176"/>
    <x v="12"/>
    <x v="434"/>
    <x v="225"/>
  </r>
  <r>
    <n v="1099344"/>
    <x v="176"/>
    <x v="12"/>
    <x v="101"/>
    <x v="232"/>
  </r>
  <r>
    <n v="1099344"/>
    <x v="176"/>
    <x v="12"/>
    <x v="435"/>
    <x v="144"/>
  </r>
  <r>
    <n v="1099344"/>
    <x v="176"/>
    <x v="12"/>
    <x v="104"/>
    <x v="552"/>
  </r>
  <r>
    <n v="1099344"/>
    <x v="176"/>
    <x v="12"/>
    <x v="292"/>
    <x v="21"/>
  </r>
  <r>
    <n v="1099344"/>
    <x v="176"/>
    <x v="12"/>
    <x v="379"/>
    <x v="562"/>
  </r>
  <r>
    <n v="1099344"/>
    <x v="176"/>
    <x v="12"/>
    <x v="436"/>
    <x v="376"/>
  </r>
  <r>
    <n v="1099344"/>
    <x v="176"/>
    <x v="12"/>
    <x v="294"/>
    <x v="58"/>
  </r>
  <r>
    <n v="1099344"/>
    <x v="176"/>
    <x v="12"/>
    <x v="378"/>
    <x v="90"/>
  </r>
  <r>
    <n v="1099344"/>
    <x v="176"/>
    <x v="12"/>
    <x v="106"/>
    <x v="150"/>
  </r>
  <r>
    <n v="1099344"/>
    <x v="176"/>
    <x v="12"/>
    <x v="295"/>
    <x v="563"/>
  </r>
  <r>
    <n v="1099344"/>
    <x v="176"/>
    <x v="12"/>
    <x v="103"/>
    <x v="552"/>
  </r>
  <r>
    <n v="1099344"/>
    <x v="176"/>
    <x v="12"/>
    <x v="290"/>
    <x v="564"/>
  </r>
  <r>
    <n v="1099344"/>
    <x v="176"/>
    <x v="12"/>
    <x v="382"/>
    <x v="565"/>
  </r>
  <r>
    <n v="1099344"/>
    <x v="176"/>
    <x v="12"/>
    <x v="381"/>
    <x v="566"/>
  </r>
  <r>
    <n v="1099344"/>
    <x v="176"/>
    <x v="12"/>
    <x v="380"/>
    <x v="21"/>
  </r>
  <r>
    <n v="1099344"/>
    <x v="176"/>
    <x v="12"/>
    <x v="298"/>
    <x v="567"/>
  </r>
  <r>
    <n v="1099344"/>
    <x v="176"/>
    <x v="12"/>
    <x v="437"/>
    <x v="213"/>
  </r>
  <r>
    <n v="1099344"/>
    <x v="176"/>
    <x v="12"/>
    <x v="287"/>
    <x v="217"/>
  </r>
  <r>
    <n v="1099344"/>
    <x v="176"/>
    <x v="12"/>
    <x v="289"/>
    <x v="568"/>
  </r>
  <r>
    <n v="1099344"/>
    <x v="1"/>
    <x v="1"/>
    <x v="2"/>
    <x v="2"/>
  </r>
  <r>
    <n v="1099348"/>
    <x v="177"/>
    <x v="5"/>
    <x v="370"/>
    <x v="377"/>
  </r>
  <r>
    <n v="1099348"/>
    <x v="177"/>
    <x v="5"/>
    <x v="371"/>
    <x v="173"/>
  </r>
  <r>
    <n v="1099348"/>
    <x v="177"/>
    <x v="5"/>
    <x v="369"/>
    <x v="376"/>
  </r>
  <r>
    <n v="1099348"/>
    <x v="177"/>
    <x v="5"/>
    <x v="358"/>
    <x v="370"/>
  </r>
  <r>
    <n v="1099348"/>
    <x v="177"/>
    <x v="5"/>
    <x v="366"/>
    <x v="218"/>
  </r>
  <r>
    <n v="1099348"/>
    <x v="177"/>
    <x v="5"/>
    <x v="377"/>
    <x v="382"/>
  </r>
  <r>
    <n v="1099348"/>
    <x v="177"/>
    <x v="5"/>
    <x v="359"/>
    <x v="371"/>
  </r>
  <r>
    <n v="1099348"/>
    <x v="177"/>
    <x v="5"/>
    <x v="367"/>
    <x v="150"/>
  </r>
  <r>
    <n v="1099348"/>
    <x v="177"/>
    <x v="5"/>
    <x v="357"/>
    <x v="369"/>
  </r>
  <r>
    <n v="1099348"/>
    <x v="177"/>
    <x v="5"/>
    <x v="365"/>
    <x v="202"/>
  </r>
  <r>
    <n v="1099348"/>
    <x v="177"/>
    <x v="5"/>
    <x v="376"/>
    <x v="381"/>
  </r>
  <r>
    <n v="1099348"/>
    <x v="177"/>
    <x v="5"/>
    <x v="354"/>
    <x v="367"/>
  </r>
  <r>
    <n v="1099348"/>
    <x v="177"/>
    <x v="5"/>
    <x v="362"/>
    <x v="374"/>
  </r>
  <r>
    <n v="1099348"/>
    <x v="177"/>
    <x v="5"/>
    <x v="373"/>
    <x v="379"/>
  </r>
  <r>
    <n v="1099348"/>
    <x v="177"/>
    <x v="5"/>
    <x v="355"/>
    <x v="322"/>
  </r>
  <r>
    <n v="1099348"/>
    <x v="177"/>
    <x v="5"/>
    <x v="360"/>
    <x v="372"/>
  </r>
  <r>
    <n v="1099348"/>
    <x v="177"/>
    <x v="5"/>
    <x v="361"/>
    <x v="373"/>
  </r>
  <r>
    <n v="1099348"/>
    <x v="177"/>
    <x v="5"/>
    <x v="363"/>
    <x v="373"/>
  </r>
  <r>
    <n v="1099348"/>
    <x v="177"/>
    <x v="5"/>
    <x v="368"/>
    <x v="375"/>
  </r>
  <r>
    <n v="1099348"/>
    <x v="177"/>
    <x v="5"/>
    <x v="372"/>
    <x v="378"/>
  </r>
  <r>
    <n v="1099348"/>
    <x v="177"/>
    <x v="5"/>
    <x v="374"/>
    <x v="380"/>
  </r>
  <r>
    <n v="1099348"/>
    <x v="177"/>
    <x v="5"/>
    <x v="356"/>
    <x v="368"/>
  </r>
  <r>
    <n v="1099348"/>
    <x v="177"/>
    <x v="5"/>
    <x v="364"/>
    <x v="57"/>
  </r>
  <r>
    <n v="1099348"/>
    <x v="177"/>
    <x v="5"/>
    <x v="375"/>
    <x v="217"/>
  </r>
  <r>
    <n v="1099348"/>
    <x v="1"/>
    <x v="1"/>
    <x v="2"/>
    <x v="2"/>
  </r>
  <r>
    <n v="1099350"/>
    <x v="178"/>
    <x v="8"/>
    <x v="164"/>
    <x v="2"/>
  </r>
  <r>
    <n v="1099350"/>
    <x v="1"/>
    <x v="1"/>
    <x v="2"/>
    <x v="2"/>
  </r>
  <r>
    <n v="1099352"/>
    <x v="179"/>
    <x v="5"/>
    <x v="50"/>
    <x v="291"/>
  </r>
  <r>
    <n v="1099352"/>
    <x v="179"/>
    <x v="5"/>
    <x v="49"/>
    <x v="289"/>
  </r>
  <r>
    <n v="1099352"/>
    <x v="179"/>
    <x v="5"/>
    <x v="47"/>
    <x v="288"/>
  </r>
  <r>
    <n v="1099352"/>
    <x v="179"/>
    <x v="5"/>
    <x v="53"/>
    <x v="290"/>
  </r>
  <r>
    <n v="1099352"/>
    <x v="179"/>
    <x v="5"/>
    <x v="48"/>
    <x v="287"/>
  </r>
  <r>
    <n v="1099352"/>
    <x v="1"/>
    <x v="1"/>
    <x v="2"/>
    <x v="2"/>
  </r>
  <r>
    <n v="1099353"/>
    <x v="180"/>
    <x v="2"/>
    <x v="70"/>
    <x v="98"/>
  </r>
  <r>
    <n v="1099353"/>
    <x v="180"/>
    <x v="2"/>
    <x v="63"/>
    <x v="88"/>
  </r>
  <r>
    <n v="1099353"/>
    <x v="180"/>
    <x v="2"/>
    <x v="58"/>
    <x v="54"/>
  </r>
  <r>
    <n v="1099353"/>
    <x v="180"/>
    <x v="2"/>
    <x v="79"/>
    <x v="339"/>
  </r>
  <r>
    <n v="1099353"/>
    <x v="180"/>
    <x v="2"/>
    <x v="56"/>
    <x v="569"/>
  </r>
  <r>
    <n v="1099353"/>
    <x v="180"/>
    <x v="2"/>
    <x v="201"/>
    <x v="164"/>
  </r>
  <r>
    <n v="1099353"/>
    <x v="180"/>
    <x v="2"/>
    <x v="199"/>
    <x v="570"/>
  </r>
  <r>
    <n v="1099353"/>
    <x v="180"/>
    <x v="2"/>
    <x v="69"/>
    <x v="571"/>
  </r>
  <r>
    <n v="1099353"/>
    <x v="180"/>
    <x v="2"/>
    <x v="80"/>
    <x v="126"/>
  </r>
  <r>
    <n v="1099353"/>
    <x v="180"/>
    <x v="2"/>
    <x v="57"/>
    <x v="572"/>
  </r>
  <r>
    <n v="1099353"/>
    <x v="180"/>
    <x v="2"/>
    <x v="73"/>
    <x v="198"/>
  </r>
  <r>
    <n v="1099353"/>
    <x v="180"/>
    <x v="2"/>
    <x v="55"/>
    <x v="154"/>
  </r>
  <r>
    <n v="1099353"/>
    <x v="180"/>
    <x v="2"/>
    <x v="3"/>
    <x v="92"/>
  </r>
  <r>
    <n v="1099353"/>
    <x v="180"/>
    <x v="2"/>
    <x v="420"/>
    <x v="573"/>
  </r>
  <r>
    <n v="1099353"/>
    <x v="180"/>
    <x v="2"/>
    <x v="389"/>
    <x v="93"/>
  </r>
  <r>
    <n v="1099353"/>
    <x v="180"/>
    <x v="2"/>
    <x v="387"/>
    <x v="142"/>
  </r>
  <r>
    <n v="1099353"/>
    <x v="180"/>
    <x v="2"/>
    <x v="61"/>
    <x v="41"/>
  </r>
  <r>
    <n v="1099353"/>
    <x v="180"/>
    <x v="2"/>
    <x v="424"/>
    <x v="97"/>
  </r>
  <r>
    <n v="1099353"/>
    <x v="180"/>
    <x v="2"/>
    <x v="425"/>
    <x v="97"/>
  </r>
  <r>
    <n v="1099353"/>
    <x v="180"/>
    <x v="2"/>
    <x v="84"/>
    <x v="168"/>
  </r>
  <r>
    <n v="1099353"/>
    <x v="180"/>
    <x v="2"/>
    <x v="76"/>
    <x v="168"/>
  </r>
  <r>
    <n v="1099353"/>
    <x v="180"/>
    <x v="2"/>
    <x v="67"/>
    <x v="61"/>
  </r>
  <r>
    <n v="1099353"/>
    <x v="180"/>
    <x v="2"/>
    <x v="4"/>
    <x v="3"/>
  </r>
  <r>
    <n v="1099353"/>
    <x v="180"/>
    <x v="2"/>
    <x v="438"/>
    <x v="176"/>
  </r>
  <r>
    <n v="1099353"/>
    <x v="180"/>
    <x v="2"/>
    <x v="72"/>
    <x v="574"/>
  </r>
  <r>
    <n v="1099353"/>
    <x v="180"/>
    <x v="2"/>
    <x v="419"/>
    <x v="99"/>
  </r>
  <r>
    <n v="1099353"/>
    <x v="180"/>
    <x v="2"/>
    <x v="81"/>
    <x v="550"/>
  </r>
  <r>
    <n v="1099353"/>
    <x v="180"/>
    <x v="2"/>
    <x v="64"/>
    <x v="575"/>
  </r>
  <r>
    <n v="1099353"/>
    <x v="180"/>
    <x v="2"/>
    <x v="390"/>
    <x v="57"/>
  </r>
  <r>
    <n v="1099353"/>
    <x v="180"/>
    <x v="2"/>
    <x v="388"/>
    <x v="207"/>
  </r>
  <r>
    <n v="1099353"/>
    <x v="180"/>
    <x v="2"/>
    <x v="418"/>
    <x v="576"/>
  </r>
  <r>
    <n v="1099353"/>
    <x v="180"/>
    <x v="2"/>
    <x v="82"/>
    <x v="176"/>
  </r>
  <r>
    <n v="1099353"/>
    <x v="180"/>
    <x v="2"/>
    <x v="77"/>
    <x v="577"/>
  </r>
  <r>
    <n v="1099353"/>
    <x v="180"/>
    <x v="2"/>
    <x v="78"/>
    <x v="578"/>
  </r>
  <r>
    <n v="1099353"/>
    <x v="180"/>
    <x v="2"/>
    <x v="83"/>
    <x v="4"/>
  </r>
  <r>
    <n v="1099353"/>
    <x v="180"/>
    <x v="2"/>
    <x v="59"/>
    <x v="230"/>
  </r>
  <r>
    <n v="1099353"/>
    <x v="180"/>
    <x v="2"/>
    <x v="439"/>
    <x v="392"/>
  </r>
  <r>
    <n v="1099353"/>
    <x v="180"/>
    <x v="2"/>
    <x v="200"/>
    <x v="114"/>
  </r>
  <r>
    <n v="1099353"/>
    <x v="180"/>
    <x v="2"/>
    <x v="203"/>
    <x v="568"/>
  </r>
  <r>
    <n v="1099353"/>
    <x v="180"/>
    <x v="2"/>
    <x v="202"/>
    <x v="579"/>
  </r>
  <r>
    <n v="1099353"/>
    <x v="180"/>
    <x v="2"/>
    <x v="65"/>
    <x v="170"/>
  </r>
  <r>
    <n v="1099353"/>
    <x v="180"/>
    <x v="2"/>
    <x v="66"/>
    <x v="168"/>
  </r>
  <r>
    <n v="1099353"/>
    <x v="180"/>
    <x v="2"/>
    <x v="68"/>
    <x v="182"/>
  </r>
  <r>
    <n v="1099353"/>
    <x v="180"/>
    <x v="2"/>
    <x v="60"/>
    <x v="117"/>
  </r>
  <r>
    <n v="1099353"/>
    <x v="180"/>
    <x v="2"/>
    <x v="75"/>
    <x v="217"/>
  </r>
  <r>
    <n v="1099353"/>
    <x v="180"/>
    <x v="2"/>
    <x v="71"/>
    <x v="202"/>
  </r>
  <r>
    <n v="1099353"/>
    <x v="180"/>
    <x v="2"/>
    <x v="74"/>
    <x v="163"/>
  </r>
  <r>
    <n v="1099353"/>
    <x v="180"/>
    <x v="2"/>
    <x v="62"/>
    <x v="77"/>
  </r>
  <r>
    <n v="1099353"/>
    <x v="1"/>
    <x v="1"/>
    <x v="2"/>
    <x v="2"/>
  </r>
  <r>
    <n v="1099354"/>
    <x v="181"/>
    <x v="5"/>
    <x v="369"/>
    <x v="580"/>
  </r>
  <r>
    <n v="1099354"/>
    <x v="181"/>
    <x v="5"/>
    <x v="370"/>
    <x v="581"/>
  </r>
  <r>
    <n v="1099354"/>
    <x v="181"/>
    <x v="5"/>
    <x v="354"/>
    <x v="582"/>
  </r>
  <r>
    <n v="1099354"/>
    <x v="181"/>
    <x v="5"/>
    <x v="355"/>
    <x v="583"/>
  </r>
  <r>
    <n v="1099354"/>
    <x v="1"/>
    <x v="1"/>
    <x v="2"/>
    <x v="2"/>
  </r>
  <r>
    <n v="1099356"/>
    <x v="182"/>
    <x v="2"/>
    <x v="81"/>
    <x v="477"/>
  </r>
  <r>
    <n v="1099356"/>
    <x v="182"/>
    <x v="2"/>
    <x v="64"/>
    <x v="524"/>
  </r>
  <r>
    <n v="1099356"/>
    <x v="182"/>
    <x v="2"/>
    <x v="67"/>
    <x v="35"/>
  </r>
  <r>
    <n v="1099356"/>
    <x v="182"/>
    <x v="2"/>
    <x v="59"/>
    <x v="521"/>
  </r>
  <r>
    <n v="1099356"/>
    <x v="182"/>
    <x v="2"/>
    <x v="83"/>
    <x v="185"/>
  </r>
  <r>
    <n v="1099356"/>
    <x v="182"/>
    <x v="2"/>
    <x v="69"/>
    <x v="525"/>
  </r>
  <r>
    <n v="1099356"/>
    <x v="182"/>
    <x v="2"/>
    <x v="80"/>
    <x v="523"/>
  </r>
  <r>
    <n v="1099356"/>
    <x v="182"/>
    <x v="2"/>
    <x v="57"/>
    <x v="522"/>
  </r>
  <r>
    <n v="1099356"/>
    <x v="182"/>
    <x v="2"/>
    <x v="73"/>
    <x v="347"/>
  </r>
  <r>
    <n v="1099356"/>
    <x v="182"/>
    <x v="2"/>
    <x v="55"/>
    <x v="146"/>
  </r>
  <r>
    <n v="1099356"/>
    <x v="1"/>
    <x v="1"/>
    <x v="2"/>
    <x v="2"/>
  </r>
  <r>
    <n v="1099362"/>
    <x v="183"/>
    <x v="8"/>
    <x v="164"/>
    <x v="165"/>
  </r>
  <r>
    <n v="1099362"/>
    <x v="183"/>
    <x v="8"/>
    <x v="165"/>
    <x v="166"/>
  </r>
  <r>
    <n v="1099362"/>
    <x v="183"/>
    <x v="8"/>
    <x v="166"/>
    <x v="167"/>
  </r>
  <r>
    <n v="1099362"/>
    <x v="1"/>
    <x v="1"/>
    <x v="2"/>
    <x v="2"/>
  </r>
  <r>
    <n v="1099363"/>
    <x v="184"/>
    <x v="6"/>
    <x v="433"/>
    <x v="368"/>
  </r>
  <r>
    <n v="1099363"/>
    <x v="184"/>
    <x v="6"/>
    <x v="437"/>
    <x v="584"/>
  </r>
  <r>
    <n v="1099363"/>
    <x v="184"/>
    <x v="6"/>
    <x v="429"/>
    <x v="585"/>
  </r>
  <r>
    <n v="1099363"/>
    <x v="184"/>
    <x v="6"/>
    <x v="434"/>
    <x v="586"/>
  </r>
  <r>
    <n v="1099363"/>
    <x v="184"/>
    <x v="6"/>
    <x v="435"/>
    <x v="441"/>
  </r>
  <r>
    <n v="1099363"/>
    <x v="184"/>
    <x v="6"/>
    <x v="436"/>
    <x v="587"/>
  </r>
  <r>
    <n v="1099363"/>
    <x v="184"/>
    <x v="6"/>
    <x v="431"/>
    <x v="588"/>
  </r>
  <r>
    <n v="1099363"/>
    <x v="184"/>
    <x v="6"/>
    <x v="432"/>
    <x v="448"/>
  </r>
  <r>
    <n v="1099363"/>
    <x v="184"/>
    <x v="6"/>
    <x v="428"/>
    <x v="589"/>
  </r>
  <r>
    <n v="1099363"/>
    <x v="184"/>
    <x v="6"/>
    <x v="430"/>
    <x v="590"/>
  </r>
  <r>
    <n v="1099363"/>
    <x v="1"/>
    <x v="1"/>
    <x v="2"/>
    <x v="2"/>
  </r>
  <r>
    <n v="1099365"/>
    <x v="185"/>
    <x v="5"/>
    <x v="54"/>
    <x v="300"/>
  </r>
  <r>
    <n v="1099365"/>
    <x v="185"/>
    <x v="5"/>
    <x v="52"/>
    <x v="30"/>
  </r>
  <r>
    <n v="1099365"/>
    <x v="185"/>
    <x v="5"/>
    <x v="51"/>
    <x v="299"/>
  </r>
  <r>
    <n v="1099365"/>
    <x v="185"/>
    <x v="5"/>
    <x v="46"/>
    <x v="298"/>
  </r>
  <r>
    <n v="1099365"/>
    <x v="1"/>
    <x v="1"/>
    <x v="2"/>
    <x v="2"/>
  </r>
  <r>
    <n v="1099367"/>
    <x v="186"/>
    <x v="13"/>
    <x v="385"/>
    <x v="418"/>
  </r>
  <r>
    <n v="1099367"/>
    <x v="186"/>
    <x v="13"/>
    <x v="386"/>
    <x v="419"/>
  </r>
  <r>
    <n v="1099367"/>
    <x v="186"/>
    <x v="13"/>
    <x v="384"/>
    <x v="417"/>
  </r>
  <r>
    <n v="1099367"/>
    <x v="186"/>
    <x v="13"/>
    <x v="383"/>
    <x v="416"/>
  </r>
  <r>
    <n v="1099367"/>
    <x v="1"/>
    <x v="1"/>
    <x v="2"/>
    <x v="2"/>
  </r>
  <r>
    <n v="1099385"/>
    <x v="187"/>
    <x v="5"/>
    <x v="113"/>
    <x v="333"/>
  </r>
  <r>
    <n v="1099385"/>
    <x v="187"/>
    <x v="5"/>
    <x v="118"/>
    <x v="332"/>
  </r>
  <r>
    <n v="1099385"/>
    <x v="187"/>
    <x v="5"/>
    <x v="122"/>
    <x v="335"/>
  </r>
  <r>
    <n v="1099385"/>
    <x v="187"/>
    <x v="5"/>
    <x v="116"/>
    <x v="334"/>
  </r>
  <r>
    <n v="1099385"/>
    <x v="1"/>
    <x v="1"/>
    <x v="2"/>
    <x v="2"/>
  </r>
  <r>
    <n v="1099387"/>
    <x v="188"/>
    <x v="5"/>
    <x v="440"/>
    <x v="591"/>
  </r>
  <r>
    <n v="1099387"/>
    <x v="188"/>
    <x v="5"/>
    <x v="441"/>
    <x v="592"/>
  </r>
  <r>
    <n v="1099387"/>
    <x v="188"/>
    <x v="5"/>
    <x v="442"/>
    <x v="593"/>
  </r>
  <r>
    <n v="1099387"/>
    <x v="188"/>
    <x v="5"/>
    <x v="443"/>
    <x v="594"/>
  </r>
  <r>
    <n v="1099387"/>
    <x v="188"/>
    <x v="5"/>
    <x v="444"/>
    <x v="548"/>
  </r>
  <r>
    <n v="1099387"/>
    <x v="188"/>
    <x v="5"/>
    <x v="445"/>
    <x v="595"/>
  </r>
  <r>
    <n v="1099387"/>
    <x v="1"/>
    <x v="1"/>
    <x v="2"/>
    <x v="2"/>
  </r>
  <r>
    <n v="1099394"/>
    <x v="189"/>
    <x v="14"/>
    <x v="391"/>
    <x v="2"/>
  </r>
  <r>
    <n v="1099394"/>
    <x v="1"/>
    <x v="1"/>
    <x v="2"/>
    <x v="2"/>
  </r>
  <r>
    <n v="1099397"/>
    <x v="190"/>
    <x v="5"/>
    <x v="113"/>
    <x v="82"/>
  </r>
  <r>
    <n v="1099397"/>
    <x v="190"/>
    <x v="5"/>
    <x v="112"/>
    <x v="105"/>
  </r>
  <r>
    <n v="1099397"/>
    <x v="190"/>
    <x v="5"/>
    <x v="114"/>
    <x v="154"/>
  </r>
  <r>
    <n v="1099397"/>
    <x v="190"/>
    <x v="5"/>
    <x v="310"/>
    <x v="472"/>
  </r>
  <r>
    <n v="1099397"/>
    <x v="190"/>
    <x v="5"/>
    <x v="312"/>
    <x v="135"/>
  </r>
  <r>
    <n v="1099397"/>
    <x v="190"/>
    <x v="5"/>
    <x v="309"/>
    <x v="135"/>
  </r>
  <r>
    <n v="1099397"/>
    <x v="190"/>
    <x v="5"/>
    <x v="328"/>
    <x v="97"/>
  </r>
  <r>
    <n v="1099397"/>
    <x v="190"/>
    <x v="5"/>
    <x v="329"/>
    <x v="142"/>
  </r>
  <r>
    <n v="1099397"/>
    <x v="190"/>
    <x v="5"/>
    <x v="445"/>
    <x v="34"/>
  </r>
  <r>
    <n v="1099397"/>
    <x v="190"/>
    <x v="5"/>
    <x v="122"/>
    <x v="363"/>
  </r>
  <r>
    <n v="1099397"/>
    <x v="190"/>
    <x v="5"/>
    <x v="118"/>
    <x v="210"/>
  </r>
  <r>
    <n v="1099397"/>
    <x v="190"/>
    <x v="5"/>
    <x v="100"/>
    <x v="119"/>
  </r>
  <r>
    <n v="1099397"/>
    <x v="190"/>
    <x v="5"/>
    <x v="54"/>
    <x v="347"/>
  </r>
  <r>
    <n v="1099397"/>
    <x v="190"/>
    <x v="5"/>
    <x v="304"/>
    <x v="229"/>
  </r>
  <r>
    <n v="1099397"/>
    <x v="190"/>
    <x v="5"/>
    <x v="99"/>
    <x v="596"/>
  </r>
  <r>
    <n v="1099397"/>
    <x v="190"/>
    <x v="5"/>
    <x v="98"/>
    <x v="92"/>
  </r>
  <r>
    <n v="1099397"/>
    <x v="190"/>
    <x v="5"/>
    <x v="92"/>
    <x v="597"/>
  </r>
  <r>
    <n v="1099397"/>
    <x v="190"/>
    <x v="5"/>
    <x v="375"/>
    <x v="348"/>
  </r>
  <r>
    <n v="1099397"/>
    <x v="190"/>
    <x v="5"/>
    <x v="376"/>
    <x v="54"/>
  </r>
  <r>
    <n v="1099397"/>
    <x v="190"/>
    <x v="5"/>
    <x v="120"/>
    <x v="598"/>
  </r>
  <r>
    <n v="1099397"/>
    <x v="190"/>
    <x v="5"/>
    <x v="119"/>
    <x v="599"/>
  </r>
  <r>
    <n v="1099397"/>
    <x v="190"/>
    <x v="5"/>
    <x v="377"/>
    <x v="600"/>
  </r>
  <r>
    <n v="1099397"/>
    <x v="190"/>
    <x v="5"/>
    <x v="440"/>
    <x v="377"/>
  </r>
  <r>
    <n v="1099397"/>
    <x v="190"/>
    <x v="5"/>
    <x v="441"/>
    <x v="550"/>
  </r>
  <r>
    <n v="1099397"/>
    <x v="190"/>
    <x v="5"/>
    <x v="53"/>
    <x v="223"/>
  </r>
  <r>
    <n v="1099397"/>
    <x v="190"/>
    <x v="5"/>
    <x v="87"/>
    <x v="132"/>
  </r>
  <r>
    <n v="1099397"/>
    <x v="190"/>
    <x v="5"/>
    <x v="93"/>
    <x v="414"/>
  </r>
  <r>
    <n v="1099397"/>
    <x v="190"/>
    <x v="5"/>
    <x v="121"/>
    <x v="151"/>
  </r>
  <r>
    <n v="1099397"/>
    <x v="190"/>
    <x v="5"/>
    <x v="117"/>
    <x v="201"/>
  </r>
  <r>
    <n v="1099397"/>
    <x v="190"/>
    <x v="5"/>
    <x v="303"/>
    <x v="601"/>
  </r>
  <r>
    <n v="1099397"/>
    <x v="190"/>
    <x v="5"/>
    <x v="305"/>
    <x v="234"/>
  </r>
  <r>
    <n v="1099397"/>
    <x v="190"/>
    <x v="5"/>
    <x v="49"/>
    <x v="182"/>
  </r>
  <r>
    <n v="1099397"/>
    <x v="190"/>
    <x v="5"/>
    <x v="46"/>
    <x v="442"/>
  </r>
  <r>
    <n v="1099397"/>
    <x v="190"/>
    <x v="5"/>
    <x v="51"/>
    <x v="602"/>
  </r>
  <r>
    <n v="1099397"/>
    <x v="190"/>
    <x v="5"/>
    <x v="48"/>
    <x v="33"/>
  </r>
  <r>
    <n v="1099397"/>
    <x v="190"/>
    <x v="5"/>
    <x v="47"/>
    <x v="603"/>
  </r>
  <r>
    <n v="1099397"/>
    <x v="190"/>
    <x v="5"/>
    <x v="50"/>
    <x v="182"/>
  </r>
  <r>
    <n v="1099397"/>
    <x v="190"/>
    <x v="5"/>
    <x v="354"/>
    <x v="84"/>
  </r>
  <r>
    <n v="1099397"/>
    <x v="190"/>
    <x v="5"/>
    <x v="355"/>
    <x v="89"/>
  </r>
  <r>
    <n v="1099397"/>
    <x v="190"/>
    <x v="5"/>
    <x v="311"/>
    <x v="90"/>
  </r>
  <r>
    <n v="1099397"/>
    <x v="190"/>
    <x v="5"/>
    <x v="96"/>
    <x v="42"/>
  </r>
  <r>
    <n v="1099397"/>
    <x v="190"/>
    <x v="5"/>
    <x v="356"/>
    <x v="64"/>
  </r>
  <r>
    <n v="1099397"/>
    <x v="190"/>
    <x v="5"/>
    <x v="94"/>
    <x v="161"/>
  </r>
  <r>
    <n v="1099397"/>
    <x v="190"/>
    <x v="5"/>
    <x v="357"/>
    <x v="219"/>
  </r>
  <r>
    <n v="1099397"/>
    <x v="190"/>
    <x v="5"/>
    <x v="52"/>
    <x v="154"/>
  </r>
  <r>
    <n v="1099397"/>
    <x v="190"/>
    <x v="5"/>
    <x v="358"/>
    <x v="37"/>
  </r>
  <r>
    <n v="1099397"/>
    <x v="190"/>
    <x v="5"/>
    <x v="359"/>
    <x v="105"/>
  </r>
  <r>
    <n v="1099397"/>
    <x v="190"/>
    <x v="5"/>
    <x v="360"/>
    <x v="182"/>
  </r>
  <r>
    <n v="1099397"/>
    <x v="190"/>
    <x v="5"/>
    <x v="88"/>
    <x v="62"/>
  </r>
  <r>
    <n v="1099397"/>
    <x v="190"/>
    <x v="5"/>
    <x v="97"/>
    <x v="604"/>
  </r>
  <r>
    <n v="1099397"/>
    <x v="190"/>
    <x v="5"/>
    <x v="89"/>
    <x v="605"/>
  </r>
  <r>
    <n v="1099397"/>
    <x v="190"/>
    <x v="5"/>
    <x v="361"/>
    <x v="197"/>
  </r>
  <r>
    <n v="1099397"/>
    <x v="190"/>
    <x v="5"/>
    <x v="362"/>
    <x v="204"/>
  </r>
  <r>
    <n v="1099397"/>
    <x v="190"/>
    <x v="5"/>
    <x v="363"/>
    <x v="197"/>
  </r>
  <r>
    <n v="1099397"/>
    <x v="190"/>
    <x v="5"/>
    <x v="90"/>
    <x v="182"/>
  </r>
  <r>
    <n v="1099397"/>
    <x v="190"/>
    <x v="5"/>
    <x v="364"/>
    <x v="98"/>
  </r>
  <r>
    <n v="1099397"/>
    <x v="190"/>
    <x v="5"/>
    <x v="115"/>
    <x v="156"/>
  </r>
  <r>
    <n v="1099397"/>
    <x v="190"/>
    <x v="5"/>
    <x v="443"/>
    <x v="214"/>
  </r>
  <r>
    <n v="1099397"/>
    <x v="190"/>
    <x v="5"/>
    <x v="95"/>
    <x v="397"/>
  </r>
  <r>
    <n v="1099397"/>
    <x v="190"/>
    <x v="5"/>
    <x v="111"/>
    <x v="219"/>
  </r>
  <r>
    <n v="1099397"/>
    <x v="190"/>
    <x v="5"/>
    <x v="442"/>
    <x v="151"/>
  </r>
  <r>
    <n v="1099397"/>
    <x v="190"/>
    <x v="5"/>
    <x v="365"/>
    <x v="170"/>
  </r>
  <r>
    <n v="1099397"/>
    <x v="190"/>
    <x v="5"/>
    <x v="366"/>
    <x v="77"/>
  </r>
  <r>
    <n v="1099397"/>
    <x v="190"/>
    <x v="5"/>
    <x v="367"/>
    <x v="24"/>
  </r>
  <r>
    <n v="1099397"/>
    <x v="190"/>
    <x v="5"/>
    <x v="368"/>
    <x v="24"/>
  </r>
  <r>
    <n v="1099397"/>
    <x v="190"/>
    <x v="5"/>
    <x v="91"/>
    <x v="42"/>
  </r>
  <r>
    <n v="1099397"/>
    <x v="190"/>
    <x v="5"/>
    <x v="444"/>
    <x v="170"/>
  </r>
  <r>
    <n v="1099397"/>
    <x v="190"/>
    <x v="5"/>
    <x v="369"/>
    <x v="176"/>
  </r>
  <r>
    <n v="1099397"/>
    <x v="190"/>
    <x v="5"/>
    <x v="370"/>
    <x v="34"/>
  </r>
  <r>
    <n v="1099397"/>
    <x v="190"/>
    <x v="5"/>
    <x v="371"/>
    <x v="161"/>
  </r>
  <r>
    <n v="1099397"/>
    <x v="190"/>
    <x v="5"/>
    <x v="372"/>
    <x v="145"/>
  </r>
  <r>
    <n v="1099397"/>
    <x v="190"/>
    <x v="5"/>
    <x v="373"/>
    <x v="145"/>
  </r>
  <r>
    <n v="1099397"/>
    <x v="190"/>
    <x v="5"/>
    <x v="374"/>
    <x v="217"/>
  </r>
  <r>
    <n v="1099397"/>
    <x v="190"/>
    <x v="5"/>
    <x v="44"/>
    <x v="97"/>
  </r>
  <r>
    <n v="1099397"/>
    <x v="190"/>
    <x v="5"/>
    <x v="45"/>
    <x v="407"/>
  </r>
  <r>
    <n v="1099397"/>
    <x v="190"/>
    <x v="5"/>
    <x v="116"/>
    <x v="552"/>
  </r>
  <r>
    <n v="1099397"/>
    <x v="190"/>
    <x v="5"/>
    <x v="110"/>
    <x v="119"/>
  </r>
  <r>
    <n v="1099397"/>
    <x v="1"/>
    <x v="1"/>
    <x v="2"/>
    <x v="2"/>
  </r>
  <r>
    <n v="1099400"/>
    <x v="191"/>
    <x v="10"/>
    <x v="330"/>
    <x v="2"/>
  </r>
  <r>
    <n v="1099400"/>
    <x v="1"/>
    <x v="1"/>
    <x v="2"/>
    <x v="2"/>
  </r>
  <r>
    <n v="1099410"/>
    <x v="192"/>
    <x v="2"/>
    <x v="56"/>
    <x v="228"/>
  </r>
  <r>
    <n v="1099410"/>
    <x v="192"/>
    <x v="2"/>
    <x v="78"/>
    <x v="235"/>
  </r>
  <r>
    <n v="1099410"/>
    <x v="192"/>
    <x v="2"/>
    <x v="71"/>
    <x v="111"/>
  </r>
  <r>
    <n v="1099410"/>
    <x v="192"/>
    <x v="2"/>
    <x v="70"/>
    <x v="197"/>
  </r>
  <r>
    <n v="1099410"/>
    <x v="192"/>
    <x v="2"/>
    <x v="82"/>
    <x v="162"/>
  </r>
  <r>
    <n v="1099410"/>
    <x v="192"/>
    <x v="2"/>
    <x v="66"/>
    <x v="231"/>
  </r>
  <r>
    <n v="1099410"/>
    <x v="192"/>
    <x v="2"/>
    <x v="58"/>
    <x v="233"/>
  </r>
  <r>
    <n v="1099410"/>
    <x v="192"/>
    <x v="2"/>
    <x v="65"/>
    <x v="98"/>
  </r>
  <r>
    <n v="1099410"/>
    <x v="192"/>
    <x v="2"/>
    <x v="63"/>
    <x v="97"/>
  </r>
  <r>
    <n v="1099410"/>
    <x v="192"/>
    <x v="2"/>
    <x v="76"/>
    <x v="231"/>
  </r>
  <r>
    <n v="1099410"/>
    <x v="192"/>
    <x v="2"/>
    <x v="77"/>
    <x v="236"/>
  </r>
  <r>
    <n v="1099410"/>
    <x v="192"/>
    <x v="2"/>
    <x v="74"/>
    <x v="51"/>
  </r>
  <r>
    <n v="1099410"/>
    <x v="192"/>
    <x v="2"/>
    <x v="68"/>
    <x v="230"/>
  </r>
  <r>
    <n v="1099410"/>
    <x v="192"/>
    <x v="2"/>
    <x v="79"/>
    <x v="227"/>
  </r>
  <r>
    <n v="1099410"/>
    <x v="192"/>
    <x v="2"/>
    <x v="75"/>
    <x v="173"/>
  </r>
  <r>
    <n v="1099410"/>
    <x v="192"/>
    <x v="2"/>
    <x v="61"/>
    <x v="234"/>
  </r>
  <r>
    <n v="1099410"/>
    <x v="192"/>
    <x v="2"/>
    <x v="84"/>
    <x v="232"/>
  </r>
  <r>
    <n v="1099410"/>
    <x v="192"/>
    <x v="2"/>
    <x v="62"/>
    <x v="153"/>
  </r>
  <r>
    <n v="1099410"/>
    <x v="192"/>
    <x v="2"/>
    <x v="60"/>
    <x v="229"/>
  </r>
  <r>
    <n v="1099410"/>
    <x v="1"/>
    <x v="1"/>
    <x v="2"/>
    <x v="2"/>
  </r>
  <r>
    <n v="1099411"/>
    <x v="193"/>
    <x v="3"/>
    <x v="244"/>
    <x v="213"/>
  </r>
  <r>
    <n v="1099411"/>
    <x v="193"/>
    <x v="3"/>
    <x v="245"/>
    <x v="218"/>
  </r>
  <r>
    <n v="1099411"/>
    <x v="193"/>
    <x v="3"/>
    <x v="217"/>
    <x v="201"/>
  </r>
  <r>
    <n v="1099411"/>
    <x v="193"/>
    <x v="3"/>
    <x v="218"/>
    <x v="202"/>
  </r>
  <r>
    <n v="1099411"/>
    <x v="193"/>
    <x v="3"/>
    <x v="220"/>
    <x v="105"/>
  </r>
  <r>
    <n v="1099411"/>
    <x v="193"/>
    <x v="3"/>
    <x v="248"/>
    <x v="161"/>
  </r>
  <r>
    <n v="1099411"/>
    <x v="193"/>
    <x v="3"/>
    <x v="219"/>
    <x v="203"/>
  </r>
  <r>
    <n v="1099411"/>
    <x v="193"/>
    <x v="3"/>
    <x v="221"/>
    <x v="204"/>
  </r>
  <r>
    <n v="1099411"/>
    <x v="193"/>
    <x v="3"/>
    <x v="252"/>
    <x v="97"/>
  </r>
  <r>
    <n v="1099411"/>
    <x v="193"/>
    <x v="3"/>
    <x v="254"/>
    <x v="221"/>
  </r>
  <r>
    <n v="1099411"/>
    <x v="193"/>
    <x v="3"/>
    <x v="256"/>
    <x v="223"/>
  </r>
  <r>
    <n v="1099411"/>
    <x v="193"/>
    <x v="3"/>
    <x v="258"/>
    <x v="77"/>
  </r>
  <r>
    <n v="1099411"/>
    <x v="193"/>
    <x v="3"/>
    <x v="249"/>
    <x v="220"/>
  </r>
  <r>
    <n v="1099411"/>
    <x v="193"/>
    <x v="3"/>
    <x v="263"/>
    <x v="226"/>
  </r>
  <r>
    <n v="1099411"/>
    <x v="193"/>
    <x v="3"/>
    <x v="265"/>
    <x v="176"/>
  </r>
  <r>
    <n v="1099411"/>
    <x v="193"/>
    <x v="3"/>
    <x v="205"/>
    <x v="77"/>
  </r>
  <r>
    <n v="1099411"/>
    <x v="193"/>
    <x v="3"/>
    <x v="250"/>
    <x v="34"/>
  </r>
  <r>
    <n v="1099411"/>
    <x v="193"/>
    <x v="3"/>
    <x v="210"/>
    <x v="147"/>
  </r>
  <r>
    <n v="1099411"/>
    <x v="193"/>
    <x v="3"/>
    <x v="212"/>
    <x v="199"/>
  </r>
  <r>
    <n v="1099411"/>
    <x v="193"/>
    <x v="3"/>
    <x v="214"/>
    <x v="77"/>
  </r>
  <r>
    <n v="1099411"/>
    <x v="193"/>
    <x v="3"/>
    <x v="223"/>
    <x v="3"/>
  </r>
  <r>
    <n v="1099411"/>
    <x v="193"/>
    <x v="3"/>
    <x v="225"/>
    <x v="59"/>
  </r>
  <r>
    <n v="1099411"/>
    <x v="193"/>
    <x v="3"/>
    <x v="227"/>
    <x v="207"/>
  </r>
  <r>
    <n v="1099411"/>
    <x v="193"/>
    <x v="3"/>
    <x v="253"/>
    <x v="119"/>
  </r>
  <r>
    <n v="1099411"/>
    <x v="193"/>
    <x v="3"/>
    <x v="255"/>
    <x v="222"/>
  </r>
  <r>
    <n v="1099411"/>
    <x v="193"/>
    <x v="3"/>
    <x v="257"/>
    <x v="224"/>
  </r>
  <r>
    <n v="1099411"/>
    <x v="193"/>
    <x v="3"/>
    <x v="259"/>
    <x v="197"/>
  </r>
  <r>
    <n v="1099411"/>
    <x v="193"/>
    <x v="3"/>
    <x v="260"/>
    <x v="225"/>
  </r>
  <r>
    <n v="1099411"/>
    <x v="193"/>
    <x v="3"/>
    <x v="261"/>
    <x v="92"/>
  </r>
  <r>
    <n v="1099411"/>
    <x v="193"/>
    <x v="3"/>
    <x v="262"/>
    <x v="164"/>
  </r>
  <r>
    <n v="1099411"/>
    <x v="193"/>
    <x v="3"/>
    <x v="264"/>
    <x v="153"/>
  </r>
  <r>
    <n v="1099411"/>
    <x v="193"/>
    <x v="3"/>
    <x v="204"/>
    <x v="97"/>
  </r>
  <r>
    <n v="1099411"/>
    <x v="193"/>
    <x v="3"/>
    <x v="206"/>
    <x v="144"/>
  </r>
  <r>
    <n v="1099411"/>
    <x v="193"/>
    <x v="3"/>
    <x v="207"/>
    <x v="196"/>
  </r>
  <r>
    <n v="1099411"/>
    <x v="193"/>
    <x v="3"/>
    <x v="208"/>
    <x v="197"/>
  </r>
  <r>
    <n v="1099411"/>
    <x v="193"/>
    <x v="3"/>
    <x v="209"/>
    <x v="198"/>
  </r>
  <r>
    <n v="1099411"/>
    <x v="193"/>
    <x v="3"/>
    <x v="211"/>
    <x v="153"/>
  </r>
  <r>
    <n v="1099411"/>
    <x v="193"/>
    <x v="3"/>
    <x v="213"/>
    <x v="200"/>
  </r>
  <r>
    <n v="1099411"/>
    <x v="193"/>
    <x v="3"/>
    <x v="215"/>
    <x v="77"/>
  </r>
  <r>
    <n v="1099411"/>
    <x v="193"/>
    <x v="3"/>
    <x v="216"/>
    <x v="114"/>
  </r>
  <r>
    <n v="1099411"/>
    <x v="193"/>
    <x v="3"/>
    <x v="222"/>
    <x v="205"/>
  </r>
  <r>
    <n v="1099411"/>
    <x v="193"/>
    <x v="3"/>
    <x v="224"/>
    <x v="93"/>
  </r>
  <r>
    <n v="1099411"/>
    <x v="193"/>
    <x v="3"/>
    <x v="226"/>
    <x v="206"/>
  </r>
  <r>
    <n v="1099411"/>
    <x v="193"/>
    <x v="3"/>
    <x v="251"/>
    <x v="176"/>
  </r>
  <r>
    <n v="1099411"/>
    <x v="193"/>
    <x v="3"/>
    <x v="228"/>
    <x v="208"/>
  </r>
  <r>
    <n v="1099411"/>
    <x v="193"/>
    <x v="3"/>
    <x v="229"/>
    <x v="209"/>
  </r>
  <r>
    <n v="1099411"/>
    <x v="193"/>
    <x v="3"/>
    <x v="230"/>
    <x v="210"/>
  </r>
  <r>
    <n v="1099411"/>
    <x v="193"/>
    <x v="3"/>
    <x v="246"/>
    <x v="219"/>
  </r>
  <r>
    <n v="1099411"/>
    <x v="193"/>
    <x v="3"/>
    <x v="231"/>
    <x v="211"/>
  </r>
  <r>
    <n v="1099411"/>
    <x v="193"/>
    <x v="3"/>
    <x v="232"/>
    <x v="212"/>
  </r>
  <r>
    <n v="1099411"/>
    <x v="193"/>
    <x v="3"/>
    <x v="233"/>
    <x v="213"/>
  </r>
  <r>
    <n v="1099411"/>
    <x v="193"/>
    <x v="3"/>
    <x v="234"/>
    <x v="175"/>
  </r>
  <r>
    <n v="1099411"/>
    <x v="193"/>
    <x v="3"/>
    <x v="235"/>
    <x v="214"/>
  </r>
  <r>
    <n v="1099411"/>
    <x v="193"/>
    <x v="3"/>
    <x v="236"/>
    <x v="173"/>
  </r>
  <r>
    <n v="1099411"/>
    <x v="193"/>
    <x v="3"/>
    <x v="237"/>
    <x v="215"/>
  </r>
  <r>
    <n v="1099411"/>
    <x v="193"/>
    <x v="3"/>
    <x v="247"/>
    <x v="119"/>
  </r>
  <r>
    <n v="1099411"/>
    <x v="193"/>
    <x v="3"/>
    <x v="238"/>
    <x v="216"/>
  </r>
  <r>
    <n v="1099411"/>
    <x v="193"/>
    <x v="3"/>
    <x v="239"/>
    <x v="119"/>
  </r>
  <r>
    <n v="1099411"/>
    <x v="193"/>
    <x v="3"/>
    <x v="240"/>
    <x v="82"/>
  </r>
  <r>
    <n v="1099411"/>
    <x v="193"/>
    <x v="3"/>
    <x v="241"/>
    <x v="217"/>
  </r>
  <r>
    <n v="1099411"/>
    <x v="193"/>
    <x v="3"/>
    <x v="242"/>
    <x v="85"/>
  </r>
  <r>
    <n v="1099411"/>
    <x v="193"/>
    <x v="3"/>
    <x v="243"/>
    <x v="163"/>
  </r>
  <r>
    <n v="1099411"/>
    <x v="1"/>
    <x v="1"/>
    <x v="2"/>
    <x v="2"/>
  </r>
  <r>
    <n v="1099422"/>
    <x v="194"/>
    <x v="5"/>
    <x v="377"/>
    <x v="606"/>
  </r>
  <r>
    <n v="1099422"/>
    <x v="194"/>
    <x v="5"/>
    <x v="356"/>
    <x v="343"/>
  </r>
  <r>
    <n v="1099422"/>
    <x v="1"/>
    <x v="1"/>
    <x v="2"/>
    <x v="2"/>
  </r>
  <r>
    <n v="1099423"/>
    <x v="195"/>
    <x v="13"/>
    <x v="422"/>
    <x v="512"/>
  </r>
  <r>
    <n v="1099423"/>
    <x v="195"/>
    <x v="13"/>
    <x v="421"/>
    <x v="511"/>
  </r>
  <r>
    <n v="1099423"/>
    <x v="1"/>
    <x v="1"/>
    <x v="2"/>
    <x v="2"/>
  </r>
  <r>
    <n v="1099424"/>
    <x v="196"/>
    <x v="2"/>
    <x v="58"/>
    <x v="233"/>
  </r>
  <r>
    <n v="1099424"/>
    <x v="196"/>
    <x v="2"/>
    <x v="61"/>
    <x v="234"/>
  </r>
  <r>
    <n v="1099424"/>
    <x v="196"/>
    <x v="2"/>
    <x v="74"/>
    <x v="51"/>
  </r>
  <r>
    <n v="1099424"/>
    <x v="196"/>
    <x v="2"/>
    <x v="70"/>
    <x v="197"/>
  </r>
  <r>
    <n v="1099424"/>
    <x v="196"/>
    <x v="2"/>
    <x v="71"/>
    <x v="111"/>
  </r>
  <r>
    <n v="1099424"/>
    <x v="196"/>
    <x v="2"/>
    <x v="76"/>
    <x v="231"/>
  </r>
  <r>
    <n v="1099424"/>
    <x v="196"/>
    <x v="2"/>
    <x v="62"/>
    <x v="153"/>
  </r>
  <r>
    <n v="1099424"/>
    <x v="196"/>
    <x v="2"/>
    <x v="84"/>
    <x v="232"/>
  </r>
  <r>
    <n v="1099424"/>
    <x v="196"/>
    <x v="2"/>
    <x v="82"/>
    <x v="162"/>
  </r>
  <r>
    <n v="1099424"/>
    <x v="196"/>
    <x v="2"/>
    <x v="65"/>
    <x v="98"/>
  </r>
  <r>
    <n v="1099424"/>
    <x v="196"/>
    <x v="2"/>
    <x v="66"/>
    <x v="231"/>
  </r>
  <r>
    <n v="1099424"/>
    <x v="196"/>
    <x v="2"/>
    <x v="68"/>
    <x v="230"/>
  </r>
  <r>
    <n v="1099424"/>
    <x v="196"/>
    <x v="2"/>
    <x v="60"/>
    <x v="229"/>
  </r>
  <r>
    <n v="1099424"/>
    <x v="196"/>
    <x v="2"/>
    <x v="63"/>
    <x v="97"/>
  </r>
  <r>
    <n v="1099424"/>
    <x v="196"/>
    <x v="2"/>
    <x v="79"/>
    <x v="227"/>
  </r>
  <r>
    <n v="1099424"/>
    <x v="196"/>
    <x v="2"/>
    <x v="56"/>
    <x v="228"/>
  </r>
  <r>
    <n v="1099424"/>
    <x v="196"/>
    <x v="2"/>
    <x v="77"/>
    <x v="236"/>
  </r>
  <r>
    <n v="1099424"/>
    <x v="196"/>
    <x v="2"/>
    <x v="78"/>
    <x v="235"/>
  </r>
  <r>
    <n v="1099424"/>
    <x v="196"/>
    <x v="2"/>
    <x v="75"/>
    <x v="173"/>
  </r>
  <r>
    <n v="1099424"/>
    <x v="1"/>
    <x v="1"/>
    <x v="2"/>
    <x v="2"/>
  </r>
  <r>
    <n v="1099425"/>
    <x v="197"/>
    <x v="2"/>
    <x v="69"/>
    <x v="607"/>
  </r>
  <r>
    <n v="1099425"/>
    <x v="197"/>
    <x v="2"/>
    <x v="67"/>
    <x v="608"/>
  </r>
  <r>
    <n v="1099425"/>
    <x v="197"/>
    <x v="2"/>
    <x v="55"/>
    <x v="37"/>
  </r>
  <r>
    <n v="1099425"/>
    <x v="197"/>
    <x v="2"/>
    <x v="80"/>
    <x v="609"/>
  </r>
  <r>
    <n v="1099425"/>
    <x v="197"/>
    <x v="2"/>
    <x v="57"/>
    <x v="610"/>
  </r>
  <r>
    <n v="1099425"/>
    <x v="197"/>
    <x v="2"/>
    <x v="73"/>
    <x v="163"/>
  </r>
  <r>
    <n v="1099425"/>
    <x v="1"/>
    <x v="1"/>
    <x v="2"/>
    <x v="2"/>
  </r>
  <r>
    <n v="1099427"/>
    <x v="198"/>
    <x v="6"/>
    <x v="404"/>
    <x v="178"/>
  </r>
  <r>
    <n v="1099427"/>
    <x v="198"/>
    <x v="6"/>
    <x v="355"/>
    <x v="198"/>
  </r>
  <r>
    <n v="1099427"/>
    <x v="198"/>
    <x v="6"/>
    <x v="409"/>
    <x v="351"/>
  </r>
  <r>
    <n v="1099427"/>
    <x v="198"/>
    <x v="6"/>
    <x v="357"/>
    <x v="83"/>
  </r>
  <r>
    <n v="1099427"/>
    <x v="198"/>
    <x v="6"/>
    <x v="115"/>
    <x v="351"/>
  </r>
  <r>
    <n v="1099427"/>
    <x v="198"/>
    <x v="6"/>
    <x v="40"/>
    <x v="346"/>
  </r>
  <r>
    <n v="1099427"/>
    <x v="198"/>
    <x v="6"/>
    <x v="25"/>
    <x v="347"/>
  </r>
  <r>
    <n v="1099427"/>
    <x v="198"/>
    <x v="6"/>
    <x v="390"/>
    <x v="156"/>
  </r>
  <r>
    <n v="1099427"/>
    <x v="198"/>
    <x v="6"/>
    <x v="389"/>
    <x v="185"/>
  </r>
  <r>
    <n v="1099427"/>
    <x v="198"/>
    <x v="6"/>
    <x v="203"/>
    <x v="54"/>
  </r>
  <r>
    <n v="1099427"/>
    <x v="198"/>
    <x v="6"/>
    <x v="63"/>
    <x v="535"/>
  </r>
  <r>
    <n v="1099427"/>
    <x v="198"/>
    <x v="6"/>
    <x v="73"/>
    <x v="535"/>
  </r>
  <r>
    <n v="1099427"/>
    <x v="198"/>
    <x v="6"/>
    <x v="422"/>
    <x v="198"/>
  </r>
  <r>
    <n v="1099427"/>
    <x v="198"/>
    <x v="6"/>
    <x v="15"/>
    <x v="198"/>
  </r>
  <r>
    <n v="1099427"/>
    <x v="198"/>
    <x v="6"/>
    <x v="253"/>
    <x v="348"/>
  </r>
  <r>
    <n v="1099427"/>
    <x v="198"/>
    <x v="6"/>
    <x v="334"/>
    <x v="178"/>
  </r>
  <r>
    <n v="1099427"/>
    <x v="198"/>
    <x v="6"/>
    <x v="160"/>
    <x v="535"/>
  </r>
  <r>
    <n v="1099427"/>
    <x v="198"/>
    <x v="6"/>
    <x v="129"/>
    <x v="516"/>
  </r>
  <r>
    <n v="1099427"/>
    <x v="198"/>
    <x v="6"/>
    <x v="142"/>
    <x v="348"/>
  </r>
  <r>
    <n v="1099427"/>
    <x v="198"/>
    <x v="6"/>
    <x v="152"/>
    <x v="516"/>
  </r>
  <r>
    <n v="1099427"/>
    <x v="198"/>
    <x v="6"/>
    <x v="262"/>
    <x v="535"/>
  </r>
  <r>
    <n v="1099427"/>
    <x v="198"/>
    <x v="6"/>
    <x v="250"/>
    <x v="516"/>
  </r>
  <r>
    <n v="1099427"/>
    <x v="198"/>
    <x v="6"/>
    <x v="139"/>
    <x v="351"/>
  </r>
  <r>
    <n v="1099427"/>
    <x v="198"/>
    <x v="6"/>
    <x v="228"/>
    <x v="53"/>
  </r>
  <r>
    <n v="1099427"/>
    <x v="198"/>
    <x v="6"/>
    <x v="238"/>
    <x v="214"/>
  </r>
  <r>
    <n v="1099427"/>
    <x v="198"/>
    <x v="6"/>
    <x v="245"/>
    <x v="346"/>
  </r>
  <r>
    <n v="1099427"/>
    <x v="198"/>
    <x v="6"/>
    <x v="318"/>
    <x v="346"/>
  </r>
  <r>
    <n v="1099427"/>
    <x v="198"/>
    <x v="6"/>
    <x v="257"/>
    <x v="178"/>
  </r>
  <r>
    <n v="1099427"/>
    <x v="198"/>
    <x v="6"/>
    <x v="265"/>
    <x v="516"/>
  </r>
  <r>
    <n v="1099427"/>
    <x v="198"/>
    <x v="6"/>
    <x v="212"/>
    <x v="170"/>
  </r>
  <r>
    <n v="1099427"/>
    <x v="198"/>
    <x v="6"/>
    <x v="232"/>
    <x v="346"/>
  </r>
  <r>
    <n v="1099427"/>
    <x v="198"/>
    <x v="6"/>
    <x v="240"/>
    <x v="516"/>
  </r>
  <r>
    <n v="1099427"/>
    <x v="198"/>
    <x v="6"/>
    <x v="248"/>
    <x v="516"/>
  </r>
  <r>
    <n v="1099427"/>
    <x v="198"/>
    <x v="6"/>
    <x v="178"/>
    <x v="516"/>
  </r>
  <r>
    <n v="1099427"/>
    <x v="198"/>
    <x v="6"/>
    <x v="180"/>
    <x v="346"/>
  </r>
  <r>
    <n v="1099427"/>
    <x v="198"/>
    <x v="6"/>
    <x v="392"/>
    <x v="64"/>
  </r>
  <r>
    <n v="1099427"/>
    <x v="198"/>
    <x v="6"/>
    <x v="320"/>
    <x v="83"/>
  </r>
  <r>
    <n v="1099427"/>
    <x v="198"/>
    <x v="6"/>
    <x v="87"/>
    <x v="69"/>
  </r>
  <r>
    <n v="1099427"/>
    <x v="198"/>
    <x v="6"/>
    <x v="270"/>
    <x v="161"/>
  </r>
  <r>
    <n v="1099427"/>
    <x v="198"/>
    <x v="6"/>
    <x v="402"/>
    <x v="178"/>
  </r>
  <r>
    <n v="1099427"/>
    <x v="198"/>
    <x v="6"/>
    <x v="50"/>
    <x v="348"/>
  </r>
  <r>
    <n v="1099427"/>
    <x v="198"/>
    <x v="6"/>
    <x v="283"/>
    <x v="77"/>
  </r>
  <r>
    <n v="1099427"/>
    <x v="198"/>
    <x v="6"/>
    <x v="94"/>
    <x v="516"/>
  </r>
  <r>
    <n v="1099427"/>
    <x v="198"/>
    <x v="6"/>
    <x v="88"/>
    <x v="178"/>
  </r>
  <r>
    <n v="1099427"/>
    <x v="198"/>
    <x v="6"/>
    <x v="90"/>
    <x v="348"/>
  </r>
  <r>
    <n v="1099427"/>
    <x v="198"/>
    <x v="6"/>
    <x v="442"/>
    <x v="178"/>
  </r>
  <r>
    <n v="1099427"/>
    <x v="198"/>
    <x v="6"/>
    <x v="28"/>
    <x v="145"/>
  </r>
  <r>
    <n v="1099427"/>
    <x v="198"/>
    <x v="6"/>
    <x v="29"/>
    <x v="97"/>
  </r>
  <r>
    <n v="1099427"/>
    <x v="198"/>
    <x v="6"/>
    <x v="31"/>
    <x v="144"/>
  </r>
  <r>
    <n v="1099427"/>
    <x v="198"/>
    <x v="6"/>
    <x v="82"/>
    <x v="178"/>
  </r>
  <r>
    <n v="1099427"/>
    <x v="198"/>
    <x v="6"/>
    <x v="424"/>
    <x v="348"/>
  </r>
  <r>
    <n v="1099427"/>
    <x v="198"/>
    <x v="6"/>
    <x v="60"/>
    <x v="83"/>
  </r>
  <r>
    <n v="1099427"/>
    <x v="198"/>
    <x v="6"/>
    <x v="199"/>
    <x v="543"/>
  </r>
  <r>
    <n v="1099427"/>
    <x v="198"/>
    <x v="6"/>
    <x v="383"/>
    <x v="34"/>
  </r>
  <r>
    <n v="1099427"/>
    <x v="198"/>
    <x v="6"/>
    <x v="10"/>
    <x v="348"/>
  </r>
  <r>
    <n v="1099427"/>
    <x v="198"/>
    <x v="6"/>
    <x v="348"/>
    <x v="351"/>
  </r>
  <r>
    <n v="1099427"/>
    <x v="198"/>
    <x v="6"/>
    <x v="336"/>
    <x v="535"/>
  </r>
  <r>
    <n v="1099427"/>
    <x v="198"/>
    <x v="6"/>
    <x v="124"/>
    <x v="535"/>
  </r>
  <r>
    <n v="1099427"/>
    <x v="198"/>
    <x v="6"/>
    <x v="135"/>
    <x v="516"/>
  </r>
  <r>
    <n v="1099427"/>
    <x v="198"/>
    <x v="6"/>
    <x v="147"/>
    <x v="516"/>
  </r>
  <r>
    <n v="1099427"/>
    <x v="198"/>
    <x v="6"/>
    <x v="258"/>
    <x v="516"/>
  </r>
  <r>
    <n v="1099427"/>
    <x v="198"/>
    <x v="6"/>
    <x v="204"/>
    <x v="516"/>
  </r>
  <r>
    <n v="1099427"/>
    <x v="198"/>
    <x v="6"/>
    <x v="213"/>
    <x v="348"/>
  </r>
  <r>
    <n v="1099427"/>
    <x v="198"/>
    <x v="6"/>
    <x v="224"/>
    <x v="154"/>
  </r>
  <r>
    <n v="1099427"/>
    <x v="198"/>
    <x v="6"/>
    <x v="0"/>
    <x v="475"/>
  </r>
  <r>
    <n v="1099427"/>
    <x v="198"/>
    <x v="6"/>
    <x v="36"/>
    <x v="77"/>
  </r>
  <r>
    <n v="1099427"/>
    <x v="198"/>
    <x v="6"/>
    <x v="77"/>
    <x v="611"/>
  </r>
  <r>
    <n v="1099427"/>
    <x v="198"/>
    <x v="6"/>
    <x v="425"/>
    <x v="348"/>
  </r>
  <r>
    <n v="1099427"/>
    <x v="198"/>
    <x v="6"/>
    <x v="75"/>
    <x v="83"/>
  </r>
  <r>
    <n v="1099427"/>
    <x v="198"/>
    <x v="6"/>
    <x v="69"/>
    <x v="612"/>
  </r>
  <r>
    <n v="1099427"/>
    <x v="198"/>
    <x v="6"/>
    <x v="386"/>
    <x v="221"/>
  </r>
  <r>
    <n v="1099427"/>
    <x v="198"/>
    <x v="6"/>
    <x v="9"/>
    <x v="351"/>
  </r>
  <r>
    <n v="1099427"/>
    <x v="198"/>
    <x v="6"/>
    <x v="8"/>
    <x v="535"/>
  </r>
  <r>
    <n v="1099427"/>
    <x v="198"/>
    <x v="6"/>
    <x v="349"/>
    <x v="516"/>
  </r>
  <r>
    <n v="1099427"/>
    <x v="198"/>
    <x v="6"/>
    <x v="337"/>
    <x v="351"/>
  </r>
  <r>
    <n v="1099427"/>
    <x v="198"/>
    <x v="6"/>
    <x v="125"/>
    <x v="516"/>
  </r>
  <r>
    <n v="1099427"/>
    <x v="198"/>
    <x v="6"/>
    <x v="136"/>
    <x v="516"/>
  </r>
  <r>
    <n v="1099427"/>
    <x v="198"/>
    <x v="6"/>
    <x v="148"/>
    <x v="516"/>
  </r>
  <r>
    <n v="1099427"/>
    <x v="198"/>
    <x v="6"/>
    <x v="259"/>
    <x v="535"/>
  </r>
  <r>
    <n v="1099427"/>
    <x v="198"/>
    <x v="6"/>
    <x v="205"/>
    <x v="516"/>
  </r>
  <r>
    <n v="1099427"/>
    <x v="198"/>
    <x v="6"/>
    <x v="214"/>
    <x v="516"/>
  </r>
  <r>
    <n v="1099427"/>
    <x v="198"/>
    <x v="6"/>
    <x v="225"/>
    <x v="170"/>
  </r>
  <r>
    <n v="1099427"/>
    <x v="198"/>
    <x v="6"/>
    <x v="234"/>
    <x v="170"/>
  </r>
  <r>
    <n v="1099427"/>
    <x v="198"/>
    <x v="6"/>
    <x v="313"/>
    <x v="88"/>
  </r>
  <r>
    <n v="1099427"/>
    <x v="198"/>
    <x v="6"/>
    <x v="218"/>
    <x v="351"/>
  </r>
  <r>
    <n v="1099427"/>
    <x v="198"/>
    <x v="6"/>
    <x v="187"/>
    <x v="88"/>
  </r>
  <r>
    <n v="1099427"/>
    <x v="198"/>
    <x v="6"/>
    <x v="184"/>
    <x v="516"/>
  </r>
  <r>
    <n v="1099427"/>
    <x v="198"/>
    <x v="6"/>
    <x v="393"/>
    <x v="156"/>
  </r>
  <r>
    <n v="1099427"/>
    <x v="198"/>
    <x v="6"/>
    <x v="109"/>
    <x v="217"/>
  </r>
  <r>
    <n v="1099427"/>
    <x v="198"/>
    <x v="6"/>
    <x v="153"/>
    <x v="351"/>
  </r>
  <r>
    <n v="1099427"/>
    <x v="198"/>
    <x v="6"/>
    <x v="263"/>
    <x v="348"/>
  </r>
  <r>
    <n v="1099427"/>
    <x v="198"/>
    <x v="6"/>
    <x v="140"/>
    <x v="198"/>
  </r>
  <r>
    <n v="1099427"/>
    <x v="198"/>
    <x v="6"/>
    <x v="229"/>
    <x v="217"/>
  </r>
  <r>
    <n v="1099427"/>
    <x v="198"/>
    <x v="6"/>
    <x v="155"/>
    <x v="205"/>
  </r>
  <r>
    <n v="1099427"/>
    <x v="198"/>
    <x v="6"/>
    <x v="341"/>
    <x v="351"/>
  </r>
  <r>
    <n v="1099427"/>
    <x v="198"/>
    <x v="6"/>
    <x v="317"/>
    <x v="178"/>
  </r>
  <r>
    <n v="1099427"/>
    <x v="198"/>
    <x v="6"/>
    <x v="186"/>
    <x v="516"/>
  </r>
  <r>
    <n v="1099427"/>
    <x v="198"/>
    <x v="6"/>
    <x v="188"/>
    <x v="346"/>
  </r>
  <r>
    <n v="1099427"/>
    <x v="198"/>
    <x v="6"/>
    <x v="164"/>
    <x v="347"/>
  </r>
  <r>
    <n v="1099427"/>
    <x v="198"/>
    <x v="6"/>
    <x v="322"/>
    <x v="85"/>
  </r>
  <r>
    <n v="1099427"/>
    <x v="198"/>
    <x v="6"/>
    <x v="53"/>
    <x v="97"/>
  </r>
  <r>
    <n v="1099427"/>
    <x v="198"/>
    <x v="6"/>
    <x v="274"/>
    <x v="84"/>
  </r>
  <r>
    <n v="1099427"/>
    <x v="198"/>
    <x v="6"/>
    <x v="405"/>
    <x v="535"/>
  </r>
  <r>
    <n v="1099427"/>
    <x v="198"/>
    <x v="6"/>
    <x v="86"/>
    <x v="37"/>
  </r>
  <r>
    <n v="1099427"/>
    <x v="198"/>
    <x v="6"/>
    <x v="358"/>
    <x v="346"/>
  </r>
  <r>
    <n v="1099427"/>
    <x v="198"/>
    <x v="6"/>
    <x v="361"/>
    <x v="178"/>
  </r>
  <r>
    <n v="1099427"/>
    <x v="198"/>
    <x v="6"/>
    <x v="284"/>
    <x v="79"/>
  </r>
  <r>
    <n v="1099427"/>
    <x v="198"/>
    <x v="6"/>
    <x v="43"/>
    <x v="535"/>
  </r>
  <r>
    <n v="1099427"/>
    <x v="198"/>
    <x v="6"/>
    <x v="30"/>
    <x v="238"/>
  </r>
  <r>
    <n v="1099427"/>
    <x v="198"/>
    <x v="6"/>
    <x v="61"/>
    <x v="51"/>
  </r>
  <r>
    <n v="1099427"/>
    <x v="198"/>
    <x v="6"/>
    <x v="65"/>
    <x v="535"/>
  </r>
  <r>
    <n v="1099427"/>
    <x v="198"/>
    <x v="6"/>
    <x v="79"/>
    <x v="151"/>
  </r>
  <r>
    <n v="1099427"/>
    <x v="198"/>
    <x v="6"/>
    <x v="395"/>
    <x v="574"/>
  </r>
  <r>
    <n v="1099427"/>
    <x v="198"/>
    <x v="6"/>
    <x v="12"/>
    <x v="3"/>
  </r>
  <r>
    <n v="1099427"/>
    <x v="198"/>
    <x v="6"/>
    <x v="345"/>
    <x v="178"/>
  </r>
  <r>
    <n v="1099427"/>
    <x v="198"/>
    <x v="6"/>
    <x v="351"/>
    <x v="535"/>
  </r>
  <r>
    <n v="1099427"/>
    <x v="198"/>
    <x v="6"/>
    <x v="162"/>
    <x v="516"/>
  </r>
  <r>
    <n v="1099427"/>
    <x v="198"/>
    <x v="6"/>
    <x v="132"/>
    <x v="535"/>
  </r>
  <r>
    <n v="1099427"/>
    <x v="198"/>
    <x v="6"/>
    <x v="144"/>
    <x v="351"/>
  </r>
  <r>
    <n v="1099427"/>
    <x v="198"/>
    <x v="6"/>
    <x v="255"/>
    <x v="198"/>
  </r>
  <r>
    <n v="1099427"/>
    <x v="198"/>
    <x v="6"/>
    <x v="264"/>
    <x v="535"/>
  </r>
  <r>
    <n v="1099427"/>
    <x v="198"/>
    <x v="6"/>
    <x v="210"/>
    <x v="351"/>
  </r>
  <r>
    <n v="1099427"/>
    <x v="198"/>
    <x v="6"/>
    <x v="340"/>
    <x v="77"/>
  </r>
  <r>
    <n v="1099427"/>
    <x v="198"/>
    <x v="6"/>
    <x v="230"/>
    <x v="170"/>
  </r>
  <r>
    <n v="1099427"/>
    <x v="198"/>
    <x v="6"/>
    <x v="156"/>
    <x v="254"/>
  </r>
  <r>
    <n v="1099427"/>
    <x v="198"/>
    <x v="6"/>
    <x v="246"/>
    <x v="178"/>
  </r>
  <r>
    <n v="1099427"/>
    <x v="198"/>
    <x v="6"/>
    <x v="193"/>
    <x v="348"/>
  </r>
  <r>
    <n v="1099427"/>
    <x v="198"/>
    <x v="6"/>
    <x v="191"/>
    <x v="535"/>
  </r>
  <r>
    <n v="1099427"/>
    <x v="198"/>
    <x v="6"/>
    <x v="189"/>
    <x v="535"/>
  </r>
  <r>
    <n v="1099427"/>
    <x v="198"/>
    <x v="6"/>
    <x v="319"/>
    <x v="85"/>
  </r>
  <r>
    <n v="1099427"/>
    <x v="198"/>
    <x v="6"/>
    <x v="321"/>
    <x v="162"/>
  </r>
  <r>
    <n v="1099427"/>
    <x v="198"/>
    <x v="6"/>
    <x v="275"/>
    <x v="69"/>
  </r>
  <r>
    <n v="1099427"/>
    <x v="198"/>
    <x v="6"/>
    <x v="397"/>
    <x v="178"/>
  </r>
  <r>
    <n v="1099427"/>
    <x v="198"/>
    <x v="6"/>
    <x v="196"/>
    <x v="474"/>
  </r>
  <r>
    <n v="1099427"/>
    <x v="198"/>
    <x v="6"/>
    <x v="440"/>
    <x v="78"/>
  </r>
  <r>
    <n v="1099427"/>
    <x v="198"/>
    <x v="6"/>
    <x v="398"/>
    <x v="516"/>
  </r>
  <r>
    <n v="1099427"/>
    <x v="198"/>
    <x v="6"/>
    <x v="271"/>
    <x v="170"/>
  </r>
  <r>
    <n v="1099427"/>
    <x v="198"/>
    <x v="6"/>
    <x v="368"/>
    <x v="535"/>
  </r>
  <r>
    <n v="1099427"/>
    <x v="198"/>
    <x v="6"/>
    <x v="209"/>
    <x v="3"/>
  </r>
  <r>
    <n v="1099427"/>
    <x v="198"/>
    <x v="6"/>
    <x v="22"/>
    <x v="348"/>
  </r>
  <r>
    <n v="1099427"/>
    <x v="198"/>
    <x v="6"/>
    <x v="33"/>
    <x v="168"/>
  </r>
  <r>
    <n v="1099427"/>
    <x v="198"/>
    <x v="6"/>
    <x v="32"/>
    <x v="42"/>
  </r>
  <r>
    <n v="1099427"/>
    <x v="198"/>
    <x v="6"/>
    <x v="37"/>
    <x v="24"/>
  </r>
  <r>
    <n v="1099427"/>
    <x v="198"/>
    <x v="6"/>
    <x v="418"/>
    <x v="148"/>
  </r>
  <r>
    <n v="1099427"/>
    <x v="198"/>
    <x v="6"/>
    <x v="68"/>
    <x v="88"/>
  </r>
  <r>
    <n v="1099427"/>
    <x v="198"/>
    <x v="6"/>
    <x v="201"/>
    <x v="346"/>
  </r>
  <r>
    <n v="1099427"/>
    <x v="198"/>
    <x v="6"/>
    <x v="330"/>
    <x v="401"/>
  </r>
  <r>
    <n v="1099427"/>
    <x v="198"/>
    <x v="6"/>
    <x v="158"/>
    <x v="204"/>
  </r>
  <r>
    <n v="1099427"/>
    <x v="198"/>
    <x v="6"/>
    <x v="344"/>
    <x v="178"/>
  </r>
  <r>
    <n v="1099427"/>
    <x v="198"/>
    <x v="6"/>
    <x v="347"/>
    <x v="351"/>
  </r>
  <r>
    <n v="1099427"/>
    <x v="198"/>
    <x v="6"/>
    <x v="335"/>
    <x v="351"/>
  </r>
  <r>
    <n v="1099427"/>
    <x v="198"/>
    <x v="6"/>
    <x v="134"/>
    <x v="535"/>
  </r>
  <r>
    <n v="1099427"/>
    <x v="198"/>
    <x v="6"/>
    <x v="146"/>
    <x v="516"/>
  </r>
  <r>
    <n v="1099427"/>
    <x v="198"/>
    <x v="6"/>
    <x v="316"/>
    <x v="82"/>
  </r>
  <r>
    <n v="1099427"/>
    <x v="198"/>
    <x v="6"/>
    <x v="211"/>
    <x v="535"/>
  </r>
  <r>
    <n v="1099427"/>
    <x v="198"/>
    <x v="6"/>
    <x v="222"/>
    <x v="170"/>
  </r>
  <r>
    <n v="1099427"/>
    <x v="198"/>
    <x v="6"/>
    <x v="231"/>
    <x v="346"/>
  </r>
  <r>
    <n v="1099427"/>
    <x v="198"/>
    <x v="6"/>
    <x v="239"/>
    <x v="178"/>
  </r>
  <r>
    <n v="1099427"/>
    <x v="198"/>
    <x v="6"/>
    <x v="247"/>
    <x v="178"/>
  </r>
  <r>
    <n v="1099427"/>
    <x v="198"/>
    <x v="6"/>
    <x v="221"/>
    <x v="178"/>
  </r>
  <r>
    <n v="1099427"/>
    <x v="198"/>
    <x v="6"/>
    <x v="174"/>
    <x v="346"/>
  </r>
  <r>
    <n v="1099427"/>
    <x v="198"/>
    <x v="6"/>
    <x v="176"/>
    <x v="348"/>
  </r>
  <r>
    <n v="1099427"/>
    <x v="198"/>
    <x v="6"/>
    <x v="166"/>
    <x v="438"/>
  </r>
  <r>
    <n v="1099427"/>
    <x v="198"/>
    <x v="6"/>
    <x v="323"/>
    <x v="153"/>
  </r>
  <r>
    <n v="1099427"/>
    <x v="198"/>
    <x v="6"/>
    <x v="400"/>
    <x v="535"/>
  </r>
  <r>
    <n v="1099427"/>
    <x v="198"/>
    <x v="6"/>
    <x v="18"/>
    <x v="535"/>
  </r>
  <r>
    <n v="1099427"/>
    <x v="198"/>
    <x v="6"/>
    <x v="47"/>
    <x v="352"/>
  </r>
  <r>
    <n v="1099427"/>
    <x v="198"/>
    <x v="6"/>
    <x v="282"/>
    <x v="97"/>
  </r>
  <r>
    <n v="1099427"/>
    <x v="198"/>
    <x v="6"/>
    <x v="356"/>
    <x v="351"/>
  </r>
  <r>
    <n v="1099427"/>
    <x v="198"/>
    <x v="6"/>
    <x v="360"/>
    <x v="348"/>
  </r>
  <r>
    <n v="1099427"/>
    <x v="198"/>
    <x v="6"/>
    <x v="363"/>
    <x v="178"/>
  </r>
  <r>
    <n v="1099427"/>
    <x v="198"/>
    <x v="6"/>
    <x v="111"/>
    <x v="83"/>
  </r>
  <r>
    <n v="1099427"/>
    <x v="198"/>
    <x v="6"/>
    <x v="1"/>
    <x v="613"/>
  </r>
  <r>
    <n v="1099427"/>
    <x v="198"/>
    <x v="6"/>
    <x v="27"/>
    <x v="82"/>
  </r>
  <r>
    <n v="1099427"/>
    <x v="198"/>
    <x v="6"/>
    <x v="78"/>
    <x v="614"/>
  </r>
  <r>
    <n v="1099427"/>
    <x v="198"/>
    <x v="6"/>
    <x v="83"/>
    <x v="351"/>
  </r>
  <r>
    <n v="1099427"/>
    <x v="198"/>
    <x v="6"/>
    <x v="74"/>
    <x v="198"/>
  </r>
  <r>
    <n v="1099427"/>
    <x v="198"/>
    <x v="6"/>
    <x v="385"/>
    <x v="375"/>
  </r>
  <r>
    <n v="1099427"/>
    <x v="198"/>
    <x v="6"/>
    <x v="342"/>
    <x v="351"/>
  </r>
  <r>
    <n v="1099427"/>
    <x v="198"/>
    <x v="6"/>
    <x v="7"/>
    <x v="535"/>
  </r>
  <r>
    <n v="1099427"/>
    <x v="198"/>
    <x v="6"/>
    <x v="331"/>
    <x v="535"/>
  </r>
  <r>
    <n v="1099427"/>
    <x v="198"/>
    <x v="6"/>
    <x v="338"/>
    <x v="178"/>
  </r>
  <r>
    <n v="1099427"/>
    <x v="198"/>
    <x v="6"/>
    <x v="126"/>
    <x v="516"/>
  </r>
  <r>
    <n v="1099427"/>
    <x v="198"/>
    <x v="6"/>
    <x v="137"/>
    <x v="516"/>
  </r>
  <r>
    <n v="1099427"/>
    <x v="198"/>
    <x v="6"/>
    <x v="149"/>
    <x v="516"/>
  </r>
  <r>
    <n v="1099427"/>
    <x v="198"/>
    <x v="6"/>
    <x v="260"/>
    <x v="346"/>
  </r>
  <r>
    <n v="1099427"/>
    <x v="198"/>
    <x v="6"/>
    <x v="206"/>
    <x v="516"/>
  </r>
  <r>
    <n v="1099427"/>
    <x v="198"/>
    <x v="6"/>
    <x v="215"/>
    <x v="516"/>
  </r>
  <r>
    <n v="1099427"/>
    <x v="198"/>
    <x v="6"/>
    <x v="426"/>
    <x v="348"/>
  </r>
  <r>
    <n v="1099427"/>
    <x v="198"/>
    <x v="6"/>
    <x v="235"/>
    <x v="348"/>
  </r>
  <r>
    <n v="1099427"/>
    <x v="198"/>
    <x v="6"/>
    <x v="233"/>
    <x v="198"/>
  </r>
  <r>
    <n v="1099427"/>
    <x v="198"/>
    <x v="6"/>
    <x v="241"/>
    <x v="535"/>
  </r>
  <r>
    <n v="1099427"/>
    <x v="198"/>
    <x v="6"/>
    <x v="217"/>
    <x v="348"/>
  </r>
  <r>
    <n v="1099427"/>
    <x v="198"/>
    <x v="6"/>
    <x v="195"/>
    <x v="516"/>
  </r>
  <r>
    <n v="1099427"/>
    <x v="198"/>
    <x v="6"/>
    <x v="192"/>
    <x v="516"/>
  </r>
  <r>
    <n v="1099427"/>
    <x v="198"/>
    <x v="6"/>
    <x v="190"/>
    <x v="178"/>
  </r>
  <r>
    <n v="1099427"/>
    <x v="198"/>
    <x v="6"/>
    <x v="391"/>
    <x v="383"/>
  </r>
  <r>
    <n v="1099427"/>
    <x v="198"/>
    <x v="6"/>
    <x v="327"/>
    <x v="179"/>
  </r>
  <r>
    <n v="1099427"/>
    <x v="198"/>
    <x v="6"/>
    <x v="93"/>
    <x v="197"/>
  </r>
  <r>
    <n v="1099427"/>
    <x v="198"/>
    <x v="6"/>
    <x v="21"/>
    <x v="516"/>
  </r>
  <r>
    <n v="1099427"/>
    <x v="198"/>
    <x v="6"/>
    <x v="49"/>
    <x v="348"/>
  </r>
  <r>
    <n v="1099427"/>
    <x v="198"/>
    <x v="6"/>
    <x v="354"/>
    <x v="198"/>
  </r>
  <r>
    <n v="1099427"/>
    <x v="198"/>
    <x v="6"/>
    <x v="406"/>
    <x v="535"/>
  </r>
  <r>
    <n v="1099427"/>
    <x v="198"/>
    <x v="6"/>
    <x v="364"/>
    <x v="535"/>
  </r>
  <r>
    <n v="1099427"/>
    <x v="198"/>
    <x v="6"/>
    <x v="26"/>
    <x v="535"/>
  </r>
  <r>
    <n v="1099427"/>
    <x v="198"/>
    <x v="6"/>
    <x v="42"/>
    <x v="64"/>
  </r>
  <r>
    <n v="1099427"/>
    <x v="198"/>
    <x v="6"/>
    <x v="388"/>
    <x v="153"/>
  </r>
  <r>
    <n v="1099427"/>
    <x v="198"/>
    <x v="6"/>
    <x v="387"/>
    <x v="220"/>
  </r>
  <r>
    <n v="1099427"/>
    <x v="198"/>
    <x v="6"/>
    <x v="202"/>
    <x v="61"/>
  </r>
  <r>
    <n v="1099427"/>
    <x v="198"/>
    <x v="6"/>
    <x v="58"/>
    <x v="83"/>
  </r>
  <r>
    <n v="1099427"/>
    <x v="198"/>
    <x v="6"/>
    <x v="55"/>
    <x v="351"/>
  </r>
  <r>
    <n v="1099427"/>
    <x v="198"/>
    <x v="6"/>
    <x v="421"/>
    <x v="136"/>
  </r>
  <r>
    <n v="1099427"/>
    <x v="198"/>
    <x v="6"/>
    <x v="254"/>
    <x v="535"/>
  </r>
  <r>
    <n v="1099427"/>
    <x v="198"/>
    <x v="6"/>
    <x v="350"/>
    <x v="516"/>
  </r>
  <r>
    <n v="1099427"/>
    <x v="198"/>
    <x v="6"/>
    <x v="161"/>
    <x v="535"/>
  </r>
  <r>
    <n v="1099427"/>
    <x v="198"/>
    <x v="6"/>
    <x v="131"/>
    <x v="516"/>
  </r>
  <r>
    <n v="1099427"/>
    <x v="198"/>
    <x v="6"/>
    <x v="143"/>
    <x v="535"/>
  </r>
  <r>
    <n v="1099427"/>
    <x v="198"/>
    <x v="6"/>
    <x v="138"/>
    <x v="535"/>
  </r>
  <r>
    <n v="1099427"/>
    <x v="198"/>
    <x v="6"/>
    <x v="150"/>
    <x v="170"/>
  </r>
  <r>
    <n v="1099427"/>
    <x v="198"/>
    <x v="6"/>
    <x v="261"/>
    <x v="351"/>
  </r>
  <r>
    <n v="1099427"/>
    <x v="198"/>
    <x v="6"/>
    <x v="207"/>
    <x v="346"/>
  </r>
  <r>
    <n v="1099427"/>
    <x v="198"/>
    <x v="6"/>
    <x v="216"/>
    <x v="178"/>
  </r>
  <r>
    <n v="1099427"/>
    <x v="198"/>
    <x v="6"/>
    <x v="226"/>
    <x v="83"/>
  </r>
  <r>
    <n v="1099427"/>
    <x v="198"/>
    <x v="6"/>
    <x v="236"/>
    <x v="348"/>
  </r>
  <r>
    <n v="1099427"/>
    <x v="198"/>
    <x v="6"/>
    <x v="243"/>
    <x v="535"/>
  </r>
  <r>
    <n v="1099427"/>
    <x v="198"/>
    <x v="6"/>
    <x v="315"/>
    <x v="154"/>
  </r>
  <r>
    <n v="1099427"/>
    <x v="198"/>
    <x v="6"/>
    <x v="168"/>
    <x v="516"/>
  </r>
  <r>
    <n v="1099427"/>
    <x v="198"/>
    <x v="6"/>
    <x v="175"/>
    <x v="516"/>
  </r>
  <r>
    <n v="1099427"/>
    <x v="198"/>
    <x v="6"/>
    <x v="177"/>
    <x v="178"/>
  </r>
  <r>
    <n v="1099427"/>
    <x v="198"/>
    <x v="6"/>
    <x v="17"/>
    <x v="544"/>
  </r>
  <r>
    <n v="1099427"/>
    <x v="198"/>
    <x v="6"/>
    <x v="325"/>
    <x v="344"/>
  </r>
  <r>
    <n v="1099427"/>
    <x v="198"/>
    <x v="6"/>
    <x v="303"/>
    <x v="220"/>
  </r>
  <r>
    <n v="1099427"/>
    <x v="198"/>
    <x v="6"/>
    <x v="20"/>
    <x v="351"/>
  </r>
  <r>
    <n v="1099427"/>
    <x v="198"/>
    <x v="6"/>
    <x v="51"/>
    <x v="182"/>
  </r>
  <r>
    <n v="1099427"/>
    <x v="198"/>
    <x v="6"/>
    <x v="281"/>
    <x v="149"/>
  </r>
  <r>
    <n v="1099427"/>
    <x v="198"/>
    <x v="6"/>
    <x v="19"/>
    <x v="516"/>
  </r>
  <r>
    <n v="1099427"/>
    <x v="198"/>
    <x v="6"/>
    <x v="52"/>
    <x v="535"/>
  </r>
  <r>
    <n v="1099427"/>
    <x v="198"/>
    <x v="6"/>
    <x v="89"/>
    <x v="220"/>
  </r>
  <r>
    <n v="1099427"/>
    <x v="198"/>
    <x v="6"/>
    <x v="95"/>
    <x v="64"/>
  </r>
  <r>
    <n v="1099427"/>
    <x v="198"/>
    <x v="6"/>
    <x v="366"/>
    <x v="535"/>
  </r>
  <r>
    <n v="1099427"/>
    <x v="198"/>
    <x v="6"/>
    <x v="24"/>
    <x v="346"/>
  </r>
  <r>
    <n v="1099427"/>
    <x v="198"/>
    <x v="6"/>
    <x v="39"/>
    <x v="64"/>
  </r>
  <r>
    <n v="1099427"/>
    <x v="198"/>
    <x v="6"/>
    <x v="64"/>
    <x v="344"/>
  </r>
  <r>
    <n v="1099427"/>
    <x v="198"/>
    <x v="6"/>
    <x v="420"/>
    <x v="85"/>
  </r>
  <r>
    <n v="1099427"/>
    <x v="198"/>
    <x v="6"/>
    <x v="200"/>
    <x v="98"/>
  </r>
  <r>
    <n v="1099427"/>
    <x v="198"/>
    <x v="6"/>
    <x v="70"/>
    <x v="178"/>
  </r>
  <r>
    <n v="1099427"/>
    <x v="198"/>
    <x v="6"/>
    <x v="57"/>
    <x v="199"/>
  </r>
  <r>
    <n v="1099427"/>
    <x v="198"/>
    <x v="6"/>
    <x v="394"/>
    <x v="78"/>
  </r>
  <r>
    <n v="1099427"/>
    <x v="198"/>
    <x v="6"/>
    <x v="14"/>
    <x v="198"/>
  </r>
  <r>
    <n v="1099427"/>
    <x v="198"/>
    <x v="6"/>
    <x v="13"/>
    <x v="516"/>
  </r>
  <r>
    <n v="1099427"/>
    <x v="198"/>
    <x v="6"/>
    <x v="333"/>
    <x v="351"/>
  </r>
  <r>
    <n v="1099427"/>
    <x v="198"/>
    <x v="6"/>
    <x v="159"/>
    <x v="516"/>
  </r>
  <r>
    <n v="1099427"/>
    <x v="198"/>
    <x v="6"/>
    <x v="128"/>
    <x v="351"/>
  </r>
  <r>
    <n v="1099427"/>
    <x v="198"/>
    <x v="6"/>
    <x v="141"/>
    <x v="535"/>
  </r>
  <r>
    <n v="1099427"/>
    <x v="198"/>
    <x v="6"/>
    <x v="220"/>
    <x v="351"/>
  </r>
  <r>
    <n v="1099427"/>
    <x v="198"/>
    <x v="6"/>
    <x v="169"/>
    <x v="535"/>
  </r>
  <r>
    <n v="1099427"/>
    <x v="198"/>
    <x v="6"/>
    <x v="171"/>
    <x v="535"/>
  </r>
  <r>
    <n v="1099427"/>
    <x v="198"/>
    <x v="6"/>
    <x v="165"/>
    <x v="475"/>
  </r>
  <r>
    <n v="1099427"/>
    <x v="198"/>
    <x v="6"/>
    <x v="272"/>
    <x v="226"/>
  </r>
  <r>
    <n v="1099427"/>
    <x v="198"/>
    <x v="6"/>
    <x v="408"/>
    <x v="516"/>
  </r>
  <r>
    <n v="1099427"/>
    <x v="198"/>
    <x v="6"/>
    <x v="414"/>
    <x v="516"/>
  </r>
  <r>
    <n v="1099427"/>
    <x v="198"/>
    <x v="6"/>
    <x v="48"/>
    <x v="62"/>
  </r>
  <r>
    <n v="1099427"/>
    <x v="198"/>
    <x v="6"/>
    <x v="415"/>
    <x v="198"/>
  </r>
  <r>
    <n v="1099427"/>
    <x v="198"/>
    <x v="6"/>
    <x v="278"/>
    <x v="179"/>
  </r>
  <r>
    <n v="1099427"/>
    <x v="198"/>
    <x v="6"/>
    <x v="359"/>
    <x v="348"/>
  </r>
  <r>
    <n v="1099427"/>
    <x v="198"/>
    <x v="6"/>
    <x v="362"/>
    <x v="170"/>
  </r>
  <r>
    <n v="1099427"/>
    <x v="198"/>
    <x v="6"/>
    <x v="4"/>
    <x v="3"/>
  </r>
  <r>
    <n v="1099427"/>
    <x v="198"/>
    <x v="6"/>
    <x v="5"/>
    <x v="3"/>
  </r>
  <r>
    <n v="1099427"/>
    <x v="198"/>
    <x v="6"/>
    <x v="71"/>
    <x v="4"/>
  </r>
  <r>
    <n v="1099427"/>
    <x v="198"/>
    <x v="6"/>
    <x v="35"/>
    <x v="535"/>
  </r>
  <r>
    <n v="1099427"/>
    <x v="198"/>
    <x v="6"/>
    <x v="41"/>
    <x v="615"/>
  </r>
  <r>
    <n v="1099427"/>
    <x v="198"/>
    <x v="6"/>
    <x v="66"/>
    <x v="88"/>
  </r>
  <r>
    <n v="1099427"/>
    <x v="198"/>
    <x v="6"/>
    <x v="56"/>
    <x v="151"/>
  </r>
  <r>
    <n v="1099427"/>
    <x v="198"/>
    <x v="6"/>
    <x v="157"/>
    <x v="204"/>
  </r>
  <r>
    <n v="1099427"/>
    <x v="198"/>
    <x v="6"/>
    <x v="11"/>
    <x v="351"/>
  </r>
  <r>
    <n v="1099427"/>
    <x v="198"/>
    <x v="6"/>
    <x v="346"/>
    <x v="516"/>
  </r>
  <r>
    <n v="1099427"/>
    <x v="198"/>
    <x v="6"/>
    <x v="352"/>
    <x v="516"/>
  </r>
  <r>
    <n v="1099427"/>
    <x v="198"/>
    <x v="6"/>
    <x v="154"/>
    <x v="535"/>
  </r>
  <r>
    <n v="1099427"/>
    <x v="198"/>
    <x v="6"/>
    <x v="133"/>
    <x v="351"/>
  </r>
  <r>
    <n v="1099427"/>
    <x v="198"/>
    <x v="6"/>
    <x v="145"/>
    <x v="535"/>
  </r>
  <r>
    <n v="1099427"/>
    <x v="198"/>
    <x v="6"/>
    <x v="256"/>
    <x v="88"/>
  </r>
  <r>
    <n v="1099427"/>
    <x v="198"/>
    <x v="6"/>
    <x v="444"/>
    <x v="516"/>
  </r>
  <r>
    <n v="1099427"/>
    <x v="198"/>
    <x v="6"/>
    <x v="369"/>
    <x v="535"/>
  </r>
  <r>
    <n v="1099427"/>
    <x v="198"/>
    <x v="6"/>
    <x v="370"/>
    <x v="351"/>
  </r>
  <r>
    <n v="1099427"/>
    <x v="198"/>
    <x v="6"/>
    <x v="371"/>
    <x v="516"/>
  </r>
  <r>
    <n v="1099427"/>
    <x v="198"/>
    <x v="6"/>
    <x v="308"/>
    <x v="198"/>
  </r>
  <r>
    <n v="1099427"/>
    <x v="198"/>
    <x v="6"/>
    <x v="372"/>
    <x v="198"/>
  </r>
  <r>
    <n v="1099427"/>
    <x v="198"/>
    <x v="6"/>
    <x v="373"/>
    <x v="198"/>
  </r>
  <r>
    <n v="1099427"/>
    <x v="198"/>
    <x v="6"/>
    <x v="92"/>
    <x v="185"/>
  </r>
  <r>
    <n v="1099427"/>
    <x v="198"/>
    <x v="6"/>
    <x v="99"/>
    <x v="197"/>
  </r>
  <r>
    <n v="1099427"/>
    <x v="198"/>
    <x v="6"/>
    <x v="374"/>
    <x v="348"/>
  </r>
  <r>
    <n v="1099427"/>
    <x v="198"/>
    <x v="6"/>
    <x v="44"/>
    <x v="351"/>
  </r>
  <r>
    <n v="1099427"/>
    <x v="198"/>
    <x v="6"/>
    <x v="45"/>
    <x v="4"/>
  </r>
  <r>
    <n v="1099427"/>
    <x v="198"/>
    <x v="6"/>
    <x v="116"/>
    <x v="88"/>
  </r>
  <r>
    <n v="1099427"/>
    <x v="198"/>
    <x v="6"/>
    <x v="110"/>
    <x v="83"/>
  </r>
  <r>
    <n v="1099427"/>
    <x v="198"/>
    <x v="6"/>
    <x v="113"/>
    <x v="535"/>
  </r>
  <r>
    <n v="1099427"/>
    <x v="198"/>
    <x v="6"/>
    <x v="112"/>
    <x v="348"/>
  </r>
  <r>
    <n v="1099427"/>
    <x v="198"/>
    <x v="6"/>
    <x v="306"/>
    <x v="178"/>
  </r>
  <r>
    <n v="1099427"/>
    <x v="198"/>
    <x v="6"/>
    <x v="114"/>
    <x v="516"/>
  </r>
  <r>
    <n v="1099427"/>
    <x v="198"/>
    <x v="6"/>
    <x v="307"/>
    <x v="202"/>
  </r>
  <r>
    <n v="1099427"/>
    <x v="198"/>
    <x v="6"/>
    <x v="310"/>
    <x v="77"/>
  </r>
  <r>
    <n v="1099427"/>
    <x v="198"/>
    <x v="6"/>
    <x v="312"/>
    <x v="154"/>
  </r>
  <r>
    <n v="1099427"/>
    <x v="198"/>
    <x v="6"/>
    <x v="309"/>
    <x v="154"/>
  </r>
  <r>
    <n v="1099427"/>
    <x v="198"/>
    <x v="6"/>
    <x v="410"/>
    <x v="178"/>
  </r>
  <r>
    <n v="1099427"/>
    <x v="198"/>
    <x v="6"/>
    <x v="403"/>
    <x v="4"/>
  </r>
  <r>
    <n v="1099427"/>
    <x v="198"/>
    <x v="6"/>
    <x v="399"/>
    <x v="176"/>
  </r>
  <r>
    <n v="1099427"/>
    <x v="198"/>
    <x v="6"/>
    <x v="273"/>
    <x v="170"/>
  </r>
  <r>
    <n v="1099427"/>
    <x v="198"/>
    <x v="6"/>
    <x v="328"/>
    <x v="351"/>
  </r>
  <r>
    <n v="1099427"/>
    <x v="198"/>
    <x v="6"/>
    <x v="329"/>
    <x v="164"/>
  </r>
  <r>
    <n v="1099427"/>
    <x v="198"/>
    <x v="6"/>
    <x v="445"/>
    <x v="351"/>
  </r>
  <r>
    <n v="1099427"/>
    <x v="198"/>
    <x v="6"/>
    <x v="417"/>
    <x v="346"/>
  </r>
  <r>
    <n v="1099427"/>
    <x v="198"/>
    <x v="6"/>
    <x v="411"/>
    <x v="346"/>
  </r>
  <r>
    <n v="1099427"/>
    <x v="198"/>
    <x v="6"/>
    <x v="122"/>
    <x v="170"/>
  </r>
  <r>
    <n v="1099427"/>
    <x v="198"/>
    <x v="6"/>
    <x v="118"/>
    <x v="98"/>
  </r>
  <r>
    <n v="1099427"/>
    <x v="198"/>
    <x v="6"/>
    <x v="285"/>
    <x v="535"/>
  </r>
  <r>
    <n v="1099427"/>
    <x v="198"/>
    <x v="6"/>
    <x v="286"/>
    <x v="24"/>
  </r>
  <r>
    <n v="1099427"/>
    <x v="198"/>
    <x v="6"/>
    <x v="280"/>
    <x v="351"/>
  </r>
  <r>
    <n v="1099427"/>
    <x v="198"/>
    <x v="6"/>
    <x v="85"/>
    <x v="182"/>
  </r>
  <r>
    <n v="1099427"/>
    <x v="198"/>
    <x v="6"/>
    <x v="242"/>
    <x v="178"/>
  </r>
  <r>
    <n v="1099427"/>
    <x v="198"/>
    <x v="6"/>
    <x v="219"/>
    <x v="170"/>
  </r>
  <r>
    <n v="1099427"/>
    <x v="198"/>
    <x v="6"/>
    <x v="170"/>
    <x v="535"/>
  </r>
  <r>
    <n v="1099427"/>
    <x v="198"/>
    <x v="6"/>
    <x v="172"/>
    <x v="198"/>
  </r>
  <r>
    <n v="1099427"/>
    <x v="198"/>
    <x v="6"/>
    <x v="16"/>
    <x v="542"/>
  </r>
  <r>
    <n v="1099427"/>
    <x v="198"/>
    <x v="6"/>
    <x v="108"/>
    <x v="105"/>
  </r>
  <r>
    <n v="1099427"/>
    <x v="198"/>
    <x v="6"/>
    <x v="413"/>
    <x v="535"/>
  </r>
  <r>
    <n v="1099427"/>
    <x v="198"/>
    <x v="6"/>
    <x v="46"/>
    <x v="24"/>
  </r>
  <r>
    <n v="1099427"/>
    <x v="198"/>
    <x v="6"/>
    <x v="266"/>
    <x v="347"/>
  </r>
  <r>
    <n v="1099427"/>
    <x v="198"/>
    <x v="6"/>
    <x v="311"/>
    <x v="83"/>
  </r>
  <r>
    <n v="1099427"/>
    <x v="198"/>
    <x v="6"/>
    <x v="416"/>
    <x v="161"/>
  </r>
  <r>
    <n v="1099427"/>
    <x v="198"/>
    <x v="6"/>
    <x v="97"/>
    <x v="69"/>
  </r>
  <r>
    <n v="1099427"/>
    <x v="198"/>
    <x v="6"/>
    <x v="443"/>
    <x v="161"/>
  </r>
  <r>
    <n v="1099427"/>
    <x v="198"/>
    <x v="6"/>
    <x v="365"/>
    <x v="516"/>
  </r>
  <r>
    <n v="1099427"/>
    <x v="198"/>
    <x v="6"/>
    <x v="38"/>
    <x v="178"/>
  </r>
  <r>
    <n v="1099427"/>
    <x v="198"/>
    <x v="6"/>
    <x v="34"/>
    <x v="64"/>
  </r>
  <r>
    <n v="1099427"/>
    <x v="198"/>
    <x v="6"/>
    <x v="81"/>
    <x v="148"/>
  </r>
  <r>
    <n v="1099427"/>
    <x v="198"/>
    <x v="6"/>
    <x v="419"/>
    <x v="62"/>
  </r>
  <r>
    <n v="1099427"/>
    <x v="198"/>
    <x v="6"/>
    <x v="59"/>
    <x v="42"/>
  </r>
  <r>
    <n v="1099427"/>
    <x v="198"/>
    <x v="6"/>
    <x v="62"/>
    <x v="351"/>
  </r>
  <r>
    <n v="1099427"/>
    <x v="198"/>
    <x v="6"/>
    <x v="80"/>
    <x v="111"/>
  </r>
  <r>
    <n v="1099427"/>
    <x v="198"/>
    <x v="6"/>
    <x v="384"/>
    <x v="395"/>
  </r>
  <r>
    <n v="1099427"/>
    <x v="198"/>
    <x v="6"/>
    <x v="343"/>
    <x v="351"/>
  </r>
  <r>
    <n v="1099427"/>
    <x v="198"/>
    <x v="6"/>
    <x v="6"/>
    <x v="516"/>
  </r>
  <r>
    <n v="1099427"/>
    <x v="198"/>
    <x v="6"/>
    <x v="332"/>
    <x v="178"/>
  </r>
  <r>
    <n v="1099427"/>
    <x v="198"/>
    <x v="6"/>
    <x v="339"/>
    <x v="351"/>
  </r>
  <r>
    <n v="1099427"/>
    <x v="198"/>
    <x v="6"/>
    <x v="127"/>
    <x v="516"/>
  </r>
  <r>
    <n v="1099427"/>
    <x v="198"/>
    <x v="6"/>
    <x v="380"/>
    <x v="198"/>
  </r>
  <r>
    <n v="1099427"/>
    <x v="198"/>
    <x v="6"/>
    <x v="379"/>
    <x v="441"/>
  </r>
  <r>
    <n v="1099427"/>
    <x v="198"/>
    <x v="6"/>
    <x v="382"/>
    <x v="376"/>
  </r>
  <r>
    <n v="1099427"/>
    <x v="198"/>
    <x v="6"/>
    <x v="298"/>
    <x v="77"/>
  </r>
  <r>
    <n v="1099427"/>
    <x v="198"/>
    <x v="6"/>
    <x v="436"/>
    <x v="154"/>
  </r>
  <r>
    <n v="1099427"/>
    <x v="198"/>
    <x v="6"/>
    <x v="437"/>
    <x v="154"/>
  </r>
  <r>
    <n v="1099427"/>
    <x v="198"/>
    <x v="6"/>
    <x v="287"/>
    <x v="178"/>
  </r>
  <r>
    <n v="1099427"/>
    <x v="198"/>
    <x v="6"/>
    <x v="295"/>
    <x v="24"/>
  </r>
  <r>
    <n v="1099427"/>
    <x v="198"/>
    <x v="6"/>
    <x v="296"/>
    <x v="24"/>
  </r>
  <r>
    <n v="1099427"/>
    <x v="198"/>
    <x v="6"/>
    <x v="289"/>
    <x v="79"/>
  </r>
  <r>
    <n v="1099427"/>
    <x v="198"/>
    <x v="6"/>
    <x v="434"/>
    <x v="83"/>
  </r>
  <r>
    <n v="1099427"/>
    <x v="198"/>
    <x v="6"/>
    <x v="428"/>
    <x v="364"/>
  </r>
  <r>
    <n v="1099427"/>
    <x v="198"/>
    <x v="6"/>
    <x v="429"/>
    <x v="170"/>
  </r>
  <r>
    <n v="1099427"/>
    <x v="198"/>
    <x v="6"/>
    <x v="430"/>
    <x v="351"/>
  </r>
  <r>
    <n v="1099427"/>
    <x v="198"/>
    <x v="6"/>
    <x v="291"/>
    <x v="170"/>
  </r>
  <r>
    <n v="1099427"/>
    <x v="198"/>
    <x v="6"/>
    <x v="431"/>
    <x v="161"/>
  </r>
  <r>
    <n v="1099427"/>
    <x v="198"/>
    <x v="6"/>
    <x v="292"/>
    <x v="198"/>
  </r>
  <r>
    <n v="1099427"/>
    <x v="198"/>
    <x v="6"/>
    <x v="297"/>
    <x v="198"/>
  </r>
  <r>
    <n v="1099427"/>
    <x v="198"/>
    <x v="6"/>
    <x v="288"/>
    <x v="80"/>
  </r>
  <r>
    <n v="1099427"/>
    <x v="198"/>
    <x v="6"/>
    <x v="102"/>
    <x v="238"/>
  </r>
  <r>
    <n v="1099427"/>
    <x v="198"/>
    <x v="6"/>
    <x v="432"/>
    <x v="4"/>
  </r>
  <r>
    <n v="1099427"/>
    <x v="198"/>
    <x v="6"/>
    <x v="294"/>
    <x v="163"/>
  </r>
  <r>
    <n v="1099427"/>
    <x v="198"/>
    <x v="6"/>
    <x v="293"/>
    <x v="200"/>
  </r>
  <r>
    <n v="1099427"/>
    <x v="198"/>
    <x v="6"/>
    <x v="106"/>
    <x v="82"/>
  </r>
  <r>
    <n v="1099427"/>
    <x v="198"/>
    <x v="6"/>
    <x v="105"/>
    <x v="82"/>
  </r>
  <r>
    <n v="1099427"/>
    <x v="198"/>
    <x v="6"/>
    <x v="433"/>
    <x v="351"/>
  </r>
  <r>
    <n v="1099427"/>
    <x v="198"/>
    <x v="6"/>
    <x v="107"/>
    <x v="154"/>
  </r>
  <r>
    <n v="1099427"/>
    <x v="198"/>
    <x v="6"/>
    <x v="101"/>
    <x v="88"/>
  </r>
  <r>
    <n v="1099427"/>
    <x v="198"/>
    <x v="6"/>
    <x v="435"/>
    <x v="535"/>
  </r>
  <r>
    <n v="1099427"/>
    <x v="198"/>
    <x v="6"/>
    <x v="103"/>
    <x v="170"/>
  </r>
  <r>
    <n v="1099427"/>
    <x v="198"/>
    <x v="6"/>
    <x v="104"/>
    <x v="170"/>
  </r>
  <r>
    <n v="1099427"/>
    <x v="198"/>
    <x v="6"/>
    <x v="290"/>
    <x v="72"/>
  </r>
  <r>
    <n v="1099427"/>
    <x v="198"/>
    <x v="6"/>
    <x v="173"/>
    <x v="3"/>
  </r>
  <r>
    <n v="1099427"/>
    <x v="198"/>
    <x v="6"/>
    <x v="198"/>
    <x v="4"/>
  </r>
  <r>
    <n v="1099427"/>
    <x v="198"/>
    <x v="6"/>
    <x v="185"/>
    <x v="3"/>
  </r>
  <r>
    <n v="1099427"/>
    <x v="198"/>
    <x v="6"/>
    <x v="3"/>
    <x v="161"/>
  </r>
  <r>
    <n v="1099427"/>
    <x v="198"/>
    <x v="6"/>
    <x v="223"/>
    <x v="3"/>
  </r>
  <r>
    <n v="1099427"/>
    <x v="198"/>
    <x v="6"/>
    <x v="151"/>
    <x v="170"/>
  </r>
  <r>
    <n v="1099427"/>
    <x v="198"/>
    <x v="6"/>
    <x v="249"/>
    <x v="351"/>
  </r>
  <r>
    <n v="1099427"/>
    <x v="198"/>
    <x v="6"/>
    <x v="208"/>
    <x v="535"/>
  </r>
  <r>
    <n v="1099427"/>
    <x v="198"/>
    <x v="6"/>
    <x v="130"/>
    <x v="351"/>
  </r>
  <r>
    <n v="1099427"/>
    <x v="198"/>
    <x v="6"/>
    <x v="227"/>
    <x v="170"/>
  </r>
  <r>
    <n v="1099427"/>
    <x v="198"/>
    <x v="6"/>
    <x v="237"/>
    <x v="214"/>
  </r>
  <r>
    <n v="1099427"/>
    <x v="198"/>
    <x v="6"/>
    <x v="244"/>
    <x v="198"/>
  </r>
  <r>
    <n v="1099427"/>
    <x v="198"/>
    <x v="6"/>
    <x v="314"/>
    <x v="516"/>
  </r>
  <r>
    <n v="1099427"/>
    <x v="198"/>
    <x v="6"/>
    <x v="179"/>
    <x v="516"/>
  </r>
  <r>
    <n v="1099427"/>
    <x v="198"/>
    <x v="6"/>
    <x v="181"/>
    <x v="346"/>
  </r>
  <r>
    <n v="1099427"/>
    <x v="198"/>
    <x v="6"/>
    <x v="183"/>
    <x v="516"/>
  </r>
  <r>
    <n v="1099427"/>
    <x v="198"/>
    <x v="6"/>
    <x v="324"/>
    <x v="198"/>
  </r>
  <r>
    <n v="1099427"/>
    <x v="198"/>
    <x v="6"/>
    <x v="326"/>
    <x v="351"/>
  </r>
  <r>
    <n v="1099427"/>
    <x v="198"/>
    <x v="6"/>
    <x v="305"/>
    <x v="537"/>
  </r>
  <r>
    <n v="1099427"/>
    <x v="198"/>
    <x v="6"/>
    <x v="401"/>
    <x v="535"/>
  </r>
  <r>
    <n v="1099427"/>
    <x v="198"/>
    <x v="6"/>
    <x v="197"/>
    <x v="211"/>
  </r>
  <r>
    <n v="1099427"/>
    <x v="198"/>
    <x v="6"/>
    <x v="96"/>
    <x v="351"/>
  </r>
  <r>
    <n v="1099427"/>
    <x v="198"/>
    <x v="6"/>
    <x v="268"/>
    <x v="348"/>
  </r>
  <r>
    <n v="1099427"/>
    <x v="198"/>
    <x v="6"/>
    <x v="367"/>
    <x v="535"/>
  </r>
  <r>
    <n v="1099427"/>
    <x v="198"/>
    <x v="6"/>
    <x v="251"/>
    <x v="516"/>
  </r>
  <r>
    <n v="1099427"/>
    <x v="198"/>
    <x v="6"/>
    <x v="98"/>
    <x v="346"/>
  </r>
  <r>
    <n v="1099427"/>
    <x v="198"/>
    <x v="6"/>
    <x v="182"/>
    <x v="3"/>
  </r>
  <r>
    <n v="1099427"/>
    <x v="198"/>
    <x v="6"/>
    <x v="23"/>
    <x v="348"/>
  </r>
  <r>
    <n v="1099427"/>
    <x v="198"/>
    <x v="6"/>
    <x v="194"/>
    <x v="516"/>
  </r>
  <r>
    <n v="1099427"/>
    <x v="198"/>
    <x v="6"/>
    <x v="163"/>
    <x v="3"/>
  </r>
  <r>
    <n v="1099427"/>
    <x v="198"/>
    <x v="6"/>
    <x v="267"/>
    <x v="3"/>
  </r>
  <r>
    <n v="1099427"/>
    <x v="198"/>
    <x v="6"/>
    <x v="91"/>
    <x v="351"/>
  </r>
  <r>
    <n v="1099427"/>
    <x v="198"/>
    <x v="6"/>
    <x v="100"/>
    <x v="83"/>
  </r>
  <r>
    <n v="1099427"/>
    <x v="198"/>
    <x v="6"/>
    <x v="54"/>
    <x v="351"/>
  </r>
  <r>
    <n v="1099427"/>
    <x v="198"/>
    <x v="6"/>
    <x v="304"/>
    <x v="88"/>
  </r>
  <r>
    <n v="1099427"/>
    <x v="198"/>
    <x v="6"/>
    <x v="375"/>
    <x v="516"/>
  </r>
  <r>
    <n v="1099427"/>
    <x v="198"/>
    <x v="6"/>
    <x v="376"/>
    <x v="348"/>
  </r>
  <r>
    <n v="1099427"/>
    <x v="198"/>
    <x v="6"/>
    <x v="120"/>
    <x v="92"/>
  </r>
  <r>
    <n v="1099427"/>
    <x v="198"/>
    <x v="6"/>
    <x v="119"/>
    <x v="84"/>
  </r>
  <r>
    <n v="1099427"/>
    <x v="198"/>
    <x v="6"/>
    <x v="269"/>
    <x v="105"/>
  </r>
  <r>
    <n v="1099427"/>
    <x v="198"/>
    <x v="6"/>
    <x v="377"/>
    <x v="69"/>
  </r>
  <r>
    <n v="1099427"/>
    <x v="198"/>
    <x v="6"/>
    <x v="279"/>
    <x v="153"/>
  </r>
  <r>
    <n v="1099427"/>
    <x v="198"/>
    <x v="6"/>
    <x v="441"/>
    <x v="64"/>
  </r>
  <r>
    <n v="1099427"/>
    <x v="198"/>
    <x v="6"/>
    <x v="121"/>
    <x v="178"/>
  </r>
  <r>
    <n v="1099427"/>
    <x v="198"/>
    <x v="6"/>
    <x v="117"/>
    <x v="88"/>
  </r>
  <r>
    <n v="1099427"/>
    <x v="198"/>
    <x v="6"/>
    <x v="407"/>
    <x v="178"/>
  </r>
  <r>
    <n v="1099427"/>
    <x v="198"/>
    <x v="6"/>
    <x v="381"/>
    <x v="21"/>
  </r>
  <r>
    <n v="1099427"/>
    <x v="198"/>
    <x v="6"/>
    <x v="378"/>
    <x v="170"/>
  </r>
  <r>
    <n v="1099427"/>
    <x v="1"/>
    <x v="1"/>
    <x v="2"/>
    <x v="2"/>
  </r>
  <r>
    <n v="1099431"/>
    <x v="199"/>
    <x v="0"/>
    <x v="302"/>
    <x v="2"/>
  </r>
  <r>
    <n v="1099431"/>
    <x v="1"/>
    <x v="1"/>
    <x v="2"/>
    <x v="2"/>
  </r>
  <r>
    <n v="1099436"/>
    <x v="200"/>
    <x v="6"/>
    <x v="427"/>
    <x v="2"/>
  </r>
  <r>
    <n v="1099436"/>
    <x v="1"/>
    <x v="1"/>
    <x v="2"/>
    <x v="2"/>
  </r>
  <r>
    <n v="1099445"/>
    <x v="201"/>
    <x v="6"/>
    <x v="293"/>
    <x v="421"/>
  </r>
  <r>
    <n v="1099445"/>
    <x v="201"/>
    <x v="6"/>
    <x v="290"/>
    <x v="422"/>
  </r>
  <r>
    <n v="1099445"/>
    <x v="201"/>
    <x v="6"/>
    <x v="294"/>
    <x v="420"/>
  </r>
  <r>
    <n v="1099445"/>
    <x v="1"/>
    <x v="1"/>
    <x v="2"/>
    <x v="2"/>
  </r>
  <r>
    <n v="1099446"/>
    <x v="202"/>
    <x v="5"/>
    <x v="98"/>
    <x v="456"/>
  </r>
  <r>
    <n v="1099446"/>
    <x v="202"/>
    <x v="5"/>
    <x v="360"/>
    <x v="39"/>
  </r>
  <r>
    <n v="1099446"/>
    <x v="202"/>
    <x v="5"/>
    <x v="89"/>
    <x v="616"/>
  </r>
  <r>
    <n v="1099446"/>
    <x v="202"/>
    <x v="5"/>
    <x v="361"/>
    <x v="84"/>
  </r>
  <r>
    <n v="1099446"/>
    <x v="202"/>
    <x v="5"/>
    <x v="362"/>
    <x v="617"/>
  </r>
  <r>
    <n v="1099446"/>
    <x v="202"/>
    <x v="5"/>
    <x v="363"/>
    <x v="84"/>
  </r>
  <r>
    <n v="1099446"/>
    <x v="202"/>
    <x v="5"/>
    <x v="90"/>
    <x v="219"/>
  </r>
  <r>
    <n v="1099446"/>
    <x v="202"/>
    <x v="5"/>
    <x v="364"/>
    <x v="179"/>
  </r>
  <r>
    <n v="1099446"/>
    <x v="202"/>
    <x v="5"/>
    <x v="115"/>
    <x v="61"/>
  </r>
  <r>
    <n v="1099446"/>
    <x v="202"/>
    <x v="5"/>
    <x v="443"/>
    <x v="560"/>
  </r>
  <r>
    <n v="1099446"/>
    <x v="202"/>
    <x v="5"/>
    <x v="111"/>
    <x v="350"/>
  </r>
  <r>
    <n v="1099446"/>
    <x v="202"/>
    <x v="5"/>
    <x v="442"/>
    <x v="80"/>
  </r>
  <r>
    <n v="1099446"/>
    <x v="202"/>
    <x v="5"/>
    <x v="365"/>
    <x v="4"/>
  </r>
  <r>
    <n v="1099446"/>
    <x v="202"/>
    <x v="5"/>
    <x v="366"/>
    <x v="78"/>
  </r>
  <r>
    <n v="1099446"/>
    <x v="202"/>
    <x v="5"/>
    <x v="367"/>
    <x v="163"/>
  </r>
  <r>
    <n v="1099446"/>
    <x v="202"/>
    <x v="5"/>
    <x v="368"/>
    <x v="149"/>
  </r>
  <r>
    <n v="1099446"/>
    <x v="202"/>
    <x v="5"/>
    <x v="91"/>
    <x v="151"/>
  </r>
  <r>
    <n v="1099446"/>
    <x v="202"/>
    <x v="5"/>
    <x v="444"/>
    <x v="77"/>
  </r>
  <r>
    <n v="1099446"/>
    <x v="202"/>
    <x v="5"/>
    <x v="370"/>
    <x v="146"/>
  </r>
  <r>
    <n v="1099446"/>
    <x v="202"/>
    <x v="5"/>
    <x v="371"/>
    <x v="24"/>
  </r>
  <r>
    <n v="1099446"/>
    <x v="202"/>
    <x v="5"/>
    <x v="373"/>
    <x v="214"/>
  </r>
  <r>
    <n v="1099446"/>
    <x v="202"/>
    <x v="5"/>
    <x v="374"/>
    <x v="349"/>
  </r>
  <r>
    <n v="1099446"/>
    <x v="202"/>
    <x v="5"/>
    <x v="45"/>
    <x v="26"/>
  </r>
  <r>
    <n v="1099446"/>
    <x v="202"/>
    <x v="5"/>
    <x v="116"/>
    <x v="315"/>
  </r>
  <r>
    <n v="1099446"/>
    <x v="202"/>
    <x v="5"/>
    <x v="110"/>
    <x v="74"/>
  </r>
  <r>
    <n v="1099446"/>
    <x v="202"/>
    <x v="5"/>
    <x v="113"/>
    <x v="347"/>
  </r>
  <r>
    <n v="1099446"/>
    <x v="202"/>
    <x v="5"/>
    <x v="112"/>
    <x v="21"/>
  </r>
  <r>
    <n v="1099446"/>
    <x v="202"/>
    <x v="5"/>
    <x v="114"/>
    <x v="24"/>
  </r>
  <r>
    <n v="1099446"/>
    <x v="202"/>
    <x v="5"/>
    <x v="309"/>
    <x v="99"/>
  </r>
  <r>
    <n v="1099446"/>
    <x v="202"/>
    <x v="5"/>
    <x v="329"/>
    <x v="618"/>
  </r>
  <r>
    <n v="1099446"/>
    <x v="202"/>
    <x v="5"/>
    <x v="445"/>
    <x v="54"/>
  </r>
  <r>
    <n v="1099446"/>
    <x v="202"/>
    <x v="5"/>
    <x v="118"/>
    <x v="619"/>
  </r>
  <r>
    <n v="1099446"/>
    <x v="202"/>
    <x v="5"/>
    <x v="100"/>
    <x v="74"/>
  </r>
  <r>
    <n v="1099446"/>
    <x v="202"/>
    <x v="5"/>
    <x v="54"/>
    <x v="91"/>
  </r>
  <r>
    <n v="1099446"/>
    <x v="202"/>
    <x v="5"/>
    <x v="304"/>
    <x v="315"/>
  </r>
  <r>
    <n v="1099446"/>
    <x v="202"/>
    <x v="5"/>
    <x v="376"/>
    <x v="363"/>
  </r>
  <r>
    <n v="1099446"/>
    <x v="202"/>
    <x v="5"/>
    <x v="119"/>
    <x v="620"/>
  </r>
  <r>
    <n v="1099446"/>
    <x v="202"/>
    <x v="5"/>
    <x v="377"/>
    <x v="621"/>
  </r>
  <r>
    <n v="1099446"/>
    <x v="202"/>
    <x v="5"/>
    <x v="440"/>
    <x v="622"/>
  </r>
  <r>
    <n v="1099446"/>
    <x v="202"/>
    <x v="5"/>
    <x v="53"/>
    <x v="33"/>
  </r>
  <r>
    <n v="1099446"/>
    <x v="202"/>
    <x v="5"/>
    <x v="93"/>
    <x v="623"/>
  </r>
  <r>
    <n v="1099446"/>
    <x v="202"/>
    <x v="5"/>
    <x v="117"/>
    <x v="624"/>
  </r>
  <r>
    <n v="1099446"/>
    <x v="202"/>
    <x v="5"/>
    <x v="305"/>
    <x v="564"/>
  </r>
  <r>
    <n v="1099446"/>
    <x v="202"/>
    <x v="5"/>
    <x v="49"/>
    <x v="392"/>
  </r>
  <r>
    <n v="1099446"/>
    <x v="202"/>
    <x v="5"/>
    <x v="51"/>
    <x v="625"/>
  </r>
  <r>
    <n v="1099446"/>
    <x v="202"/>
    <x v="5"/>
    <x v="47"/>
    <x v="626"/>
  </r>
  <r>
    <n v="1099446"/>
    <x v="202"/>
    <x v="5"/>
    <x v="50"/>
    <x v="219"/>
  </r>
  <r>
    <n v="1099446"/>
    <x v="202"/>
    <x v="5"/>
    <x v="355"/>
    <x v="196"/>
  </r>
  <r>
    <n v="1099446"/>
    <x v="202"/>
    <x v="5"/>
    <x v="311"/>
    <x v="199"/>
  </r>
  <r>
    <n v="1099446"/>
    <x v="202"/>
    <x v="5"/>
    <x v="96"/>
    <x v="62"/>
  </r>
  <r>
    <n v="1099446"/>
    <x v="202"/>
    <x v="5"/>
    <x v="356"/>
    <x v="217"/>
  </r>
  <r>
    <n v="1099446"/>
    <x v="202"/>
    <x v="5"/>
    <x v="94"/>
    <x v="79"/>
  </r>
  <r>
    <n v="1099446"/>
    <x v="202"/>
    <x v="5"/>
    <x v="357"/>
    <x v="350"/>
  </r>
  <r>
    <n v="1099446"/>
    <x v="202"/>
    <x v="5"/>
    <x v="52"/>
    <x v="144"/>
  </r>
  <r>
    <n v="1099446"/>
    <x v="202"/>
    <x v="5"/>
    <x v="358"/>
    <x v="552"/>
  </r>
  <r>
    <n v="1099446"/>
    <x v="1"/>
    <x v="1"/>
    <x v="2"/>
    <x v="2"/>
  </r>
  <r>
    <n v="1099447"/>
    <x v="203"/>
    <x v="5"/>
    <x v="197"/>
    <x v="627"/>
  </r>
  <r>
    <n v="1099447"/>
    <x v="203"/>
    <x v="5"/>
    <x v="196"/>
    <x v="628"/>
  </r>
  <r>
    <n v="1099447"/>
    <x v="1"/>
    <x v="1"/>
    <x v="2"/>
    <x v="2"/>
  </r>
  <r>
    <n v="1099449"/>
    <x v="204"/>
    <x v="3"/>
    <x v="148"/>
    <x v="170"/>
  </r>
  <r>
    <n v="1099449"/>
    <x v="204"/>
    <x v="3"/>
    <x v="153"/>
    <x v="97"/>
  </r>
  <r>
    <n v="1099449"/>
    <x v="204"/>
    <x v="3"/>
    <x v="259"/>
    <x v="79"/>
  </r>
  <r>
    <n v="1099449"/>
    <x v="204"/>
    <x v="3"/>
    <x v="263"/>
    <x v="105"/>
  </r>
  <r>
    <n v="1099449"/>
    <x v="204"/>
    <x v="3"/>
    <x v="205"/>
    <x v="198"/>
  </r>
  <r>
    <n v="1099449"/>
    <x v="204"/>
    <x v="3"/>
    <x v="209"/>
    <x v="351"/>
  </r>
  <r>
    <n v="1099449"/>
    <x v="204"/>
    <x v="3"/>
    <x v="214"/>
    <x v="198"/>
  </r>
  <r>
    <n v="1099449"/>
    <x v="204"/>
    <x v="3"/>
    <x v="140"/>
    <x v="202"/>
  </r>
  <r>
    <n v="1099449"/>
    <x v="204"/>
    <x v="3"/>
    <x v="225"/>
    <x v="89"/>
  </r>
  <r>
    <n v="1099449"/>
    <x v="204"/>
    <x v="3"/>
    <x v="230"/>
    <x v="204"/>
  </r>
  <r>
    <n v="1099449"/>
    <x v="204"/>
    <x v="3"/>
    <x v="235"/>
    <x v="217"/>
  </r>
  <r>
    <n v="1099449"/>
    <x v="204"/>
    <x v="3"/>
    <x v="156"/>
    <x v="359"/>
  </r>
  <r>
    <n v="1099449"/>
    <x v="204"/>
    <x v="3"/>
    <x v="242"/>
    <x v="156"/>
  </r>
  <r>
    <n v="1099449"/>
    <x v="204"/>
    <x v="3"/>
    <x v="132"/>
    <x v="98"/>
  </r>
  <r>
    <n v="1099449"/>
    <x v="204"/>
    <x v="3"/>
    <x v="137"/>
    <x v="170"/>
  </r>
  <r>
    <n v="1099449"/>
    <x v="204"/>
    <x v="3"/>
    <x v="144"/>
    <x v="347"/>
  </r>
  <r>
    <n v="1099449"/>
    <x v="204"/>
    <x v="3"/>
    <x v="149"/>
    <x v="348"/>
  </r>
  <r>
    <n v="1099449"/>
    <x v="204"/>
    <x v="3"/>
    <x v="255"/>
    <x v="80"/>
  </r>
  <r>
    <n v="1099449"/>
    <x v="204"/>
    <x v="3"/>
    <x v="260"/>
    <x v="182"/>
  </r>
  <r>
    <n v="1099449"/>
    <x v="204"/>
    <x v="3"/>
    <x v="264"/>
    <x v="77"/>
  </r>
  <r>
    <n v="1099449"/>
    <x v="204"/>
    <x v="3"/>
    <x v="206"/>
    <x v="88"/>
  </r>
  <r>
    <n v="1099449"/>
    <x v="204"/>
    <x v="3"/>
    <x v="210"/>
    <x v="347"/>
  </r>
  <r>
    <n v="1099449"/>
    <x v="204"/>
    <x v="3"/>
    <x v="215"/>
    <x v="198"/>
  </r>
  <r>
    <n v="1099449"/>
    <x v="204"/>
    <x v="3"/>
    <x v="340"/>
    <x v="218"/>
  </r>
  <r>
    <n v="1099449"/>
    <x v="204"/>
    <x v="3"/>
    <x v="226"/>
    <x v="224"/>
  </r>
  <r>
    <n v="1099449"/>
    <x v="204"/>
    <x v="3"/>
    <x v="231"/>
    <x v="220"/>
  </r>
  <r>
    <n v="1099449"/>
    <x v="204"/>
    <x v="3"/>
    <x v="236"/>
    <x v="217"/>
  </r>
  <r>
    <n v="1099449"/>
    <x v="204"/>
    <x v="3"/>
    <x v="239"/>
    <x v="62"/>
  </r>
  <r>
    <n v="1099449"/>
    <x v="204"/>
    <x v="3"/>
    <x v="243"/>
    <x v="82"/>
  </r>
  <r>
    <n v="1099449"/>
    <x v="204"/>
    <x v="3"/>
    <x v="247"/>
    <x v="62"/>
  </r>
  <r>
    <n v="1099449"/>
    <x v="204"/>
    <x v="3"/>
    <x v="315"/>
    <x v="364"/>
  </r>
  <r>
    <n v="1099449"/>
    <x v="204"/>
    <x v="3"/>
    <x v="221"/>
    <x v="149"/>
  </r>
  <r>
    <n v="1099449"/>
    <x v="204"/>
    <x v="3"/>
    <x v="5"/>
    <x v="3"/>
  </r>
  <r>
    <n v="1099449"/>
    <x v="204"/>
    <x v="3"/>
    <x v="208"/>
    <x v="79"/>
  </r>
  <r>
    <n v="1099449"/>
    <x v="204"/>
    <x v="3"/>
    <x v="343"/>
    <x v="64"/>
  </r>
  <r>
    <n v="1099449"/>
    <x v="204"/>
    <x v="3"/>
    <x v="11"/>
    <x v="347"/>
  </r>
  <r>
    <n v="1099449"/>
    <x v="204"/>
    <x v="3"/>
    <x v="6"/>
    <x v="198"/>
  </r>
  <r>
    <n v="1099449"/>
    <x v="204"/>
    <x v="3"/>
    <x v="346"/>
    <x v="198"/>
  </r>
  <r>
    <n v="1099449"/>
    <x v="204"/>
    <x v="3"/>
    <x v="332"/>
    <x v="156"/>
  </r>
  <r>
    <n v="1099449"/>
    <x v="204"/>
    <x v="3"/>
    <x v="352"/>
    <x v="346"/>
  </r>
  <r>
    <n v="1099449"/>
    <x v="204"/>
    <x v="3"/>
    <x v="339"/>
    <x v="34"/>
  </r>
  <r>
    <n v="1099449"/>
    <x v="204"/>
    <x v="3"/>
    <x v="154"/>
    <x v="4"/>
  </r>
  <r>
    <n v="1099449"/>
    <x v="204"/>
    <x v="3"/>
    <x v="127"/>
    <x v="83"/>
  </r>
  <r>
    <n v="1099449"/>
    <x v="204"/>
    <x v="3"/>
    <x v="133"/>
    <x v="97"/>
  </r>
  <r>
    <n v="1099449"/>
    <x v="204"/>
    <x v="3"/>
    <x v="138"/>
    <x v="4"/>
  </r>
  <r>
    <n v="1099449"/>
    <x v="204"/>
    <x v="3"/>
    <x v="145"/>
    <x v="154"/>
  </r>
  <r>
    <n v="1099449"/>
    <x v="204"/>
    <x v="3"/>
    <x v="150"/>
    <x v="349"/>
  </r>
  <r>
    <n v="1099449"/>
    <x v="204"/>
    <x v="3"/>
    <x v="256"/>
    <x v="233"/>
  </r>
  <r>
    <n v="1099449"/>
    <x v="204"/>
    <x v="3"/>
    <x v="261"/>
    <x v="34"/>
  </r>
  <r>
    <n v="1099449"/>
    <x v="204"/>
    <x v="3"/>
    <x v="316"/>
    <x v="350"/>
  </r>
  <r>
    <n v="1099449"/>
    <x v="204"/>
    <x v="3"/>
    <x v="245"/>
    <x v="92"/>
  </r>
  <r>
    <n v="1099449"/>
    <x v="204"/>
    <x v="3"/>
    <x v="217"/>
    <x v="146"/>
  </r>
  <r>
    <n v="1099449"/>
    <x v="204"/>
    <x v="3"/>
    <x v="318"/>
    <x v="168"/>
  </r>
  <r>
    <n v="1099449"/>
    <x v="204"/>
    <x v="3"/>
    <x v="204"/>
    <x v="161"/>
  </r>
  <r>
    <n v="1099449"/>
    <x v="204"/>
    <x v="3"/>
    <x v="250"/>
    <x v="161"/>
  </r>
  <r>
    <n v="1099449"/>
    <x v="204"/>
    <x v="3"/>
    <x v="213"/>
    <x v="91"/>
  </r>
  <r>
    <n v="1099449"/>
    <x v="204"/>
    <x v="3"/>
    <x v="139"/>
    <x v="144"/>
  </r>
  <r>
    <n v="1099449"/>
    <x v="204"/>
    <x v="3"/>
    <x v="224"/>
    <x v="352"/>
  </r>
  <r>
    <n v="1099449"/>
    <x v="204"/>
    <x v="3"/>
    <x v="229"/>
    <x v="355"/>
  </r>
  <r>
    <n v="1099449"/>
    <x v="204"/>
    <x v="3"/>
    <x v="234"/>
    <x v="84"/>
  </r>
  <r>
    <n v="1099449"/>
    <x v="204"/>
    <x v="3"/>
    <x v="155"/>
    <x v="358"/>
  </r>
  <r>
    <n v="1099449"/>
    <x v="204"/>
    <x v="3"/>
    <x v="313"/>
    <x v="90"/>
  </r>
  <r>
    <n v="1099449"/>
    <x v="204"/>
    <x v="3"/>
    <x v="341"/>
    <x v="64"/>
  </r>
  <r>
    <n v="1099449"/>
    <x v="204"/>
    <x v="3"/>
    <x v="218"/>
    <x v="179"/>
  </r>
  <r>
    <n v="1099449"/>
    <x v="204"/>
    <x v="3"/>
    <x v="317"/>
    <x v="156"/>
  </r>
  <r>
    <n v="1099449"/>
    <x v="204"/>
    <x v="3"/>
    <x v="252"/>
    <x v="88"/>
  </r>
  <r>
    <n v="1099449"/>
    <x v="204"/>
    <x v="3"/>
    <x v="9"/>
    <x v="347"/>
  </r>
  <r>
    <n v="1099449"/>
    <x v="204"/>
    <x v="3"/>
    <x v="8"/>
    <x v="176"/>
  </r>
  <r>
    <n v="1099449"/>
    <x v="204"/>
    <x v="3"/>
    <x v="254"/>
    <x v="98"/>
  </r>
  <r>
    <n v="1099449"/>
    <x v="204"/>
    <x v="3"/>
    <x v="349"/>
    <x v="170"/>
  </r>
  <r>
    <n v="1099449"/>
    <x v="204"/>
    <x v="3"/>
    <x v="350"/>
    <x v="88"/>
  </r>
  <r>
    <n v="1099449"/>
    <x v="204"/>
    <x v="3"/>
    <x v="337"/>
    <x v="97"/>
  </r>
  <r>
    <n v="1099449"/>
    <x v="204"/>
    <x v="3"/>
    <x v="161"/>
    <x v="4"/>
  </r>
  <r>
    <n v="1099449"/>
    <x v="204"/>
    <x v="3"/>
    <x v="125"/>
    <x v="170"/>
  </r>
  <r>
    <n v="1099449"/>
    <x v="204"/>
    <x v="3"/>
    <x v="131"/>
    <x v="88"/>
  </r>
  <r>
    <n v="1099449"/>
    <x v="204"/>
    <x v="3"/>
    <x v="136"/>
    <x v="346"/>
  </r>
  <r>
    <n v="1099449"/>
    <x v="204"/>
    <x v="3"/>
    <x v="143"/>
    <x v="98"/>
  </r>
  <r>
    <n v="1099449"/>
    <x v="204"/>
    <x v="3"/>
    <x v="251"/>
    <x v="170"/>
  </r>
  <r>
    <n v="1099449"/>
    <x v="204"/>
    <x v="3"/>
    <x v="342"/>
    <x v="347"/>
  </r>
  <r>
    <n v="1099449"/>
    <x v="204"/>
    <x v="3"/>
    <x v="12"/>
    <x v="3"/>
  </r>
  <r>
    <n v="1099449"/>
    <x v="204"/>
    <x v="3"/>
    <x v="7"/>
    <x v="176"/>
  </r>
  <r>
    <n v="1099449"/>
    <x v="204"/>
    <x v="3"/>
    <x v="345"/>
    <x v="153"/>
  </r>
  <r>
    <n v="1099449"/>
    <x v="204"/>
    <x v="3"/>
    <x v="331"/>
    <x v="79"/>
  </r>
  <r>
    <n v="1099449"/>
    <x v="204"/>
    <x v="3"/>
    <x v="351"/>
    <x v="176"/>
  </r>
  <r>
    <n v="1099449"/>
    <x v="204"/>
    <x v="3"/>
    <x v="338"/>
    <x v="179"/>
  </r>
  <r>
    <n v="1099449"/>
    <x v="204"/>
    <x v="3"/>
    <x v="162"/>
    <x v="161"/>
  </r>
  <r>
    <n v="1099449"/>
    <x v="204"/>
    <x v="3"/>
    <x v="126"/>
    <x v="346"/>
  </r>
  <r>
    <n v="1099449"/>
    <x v="204"/>
    <x v="3"/>
    <x v="207"/>
    <x v="61"/>
  </r>
  <r>
    <n v="1099449"/>
    <x v="204"/>
    <x v="3"/>
    <x v="211"/>
    <x v="77"/>
  </r>
  <r>
    <n v="1099449"/>
    <x v="204"/>
    <x v="3"/>
    <x v="216"/>
    <x v="62"/>
  </r>
  <r>
    <n v="1099449"/>
    <x v="204"/>
    <x v="3"/>
    <x v="222"/>
    <x v="51"/>
  </r>
  <r>
    <n v="1099449"/>
    <x v="204"/>
    <x v="3"/>
    <x v="227"/>
    <x v="353"/>
  </r>
  <r>
    <n v="1099449"/>
    <x v="204"/>
    <x v="3"/>
    <x v="232"/>
    <x v="92"/>
  </r>
  <r>
    <n v="1099449"/>
    <x v="204"/>
    <x v="3"/>
    <x v="237"/>
    <x v="356"/>
  </r>
  <r>
    <n v="1099449"/>
    <x v="204"/>
    <x v="3"/>
    <x v="240"/>
    <x v="198"/>
  </r>
  <r>
    <n v="1099449"/>
    <x v="204"/>
    <x v="3"/>
    <x v="244"/>
    <x v="344"/>
  </r>
  <r>
    <n v="1099449"/>
    <x v="204"/>
    <x v="3"/>
    <x v="248"/>
    <x v="348"/>
  </r>
  <r>
    <n v="1099449"/>
    <x v="204"/>
    <x v="3"/>
    <x v="314"/>
    <x v="346"/>
  </r>
  <r>
    <n v="1099449"/>
    <x v="204"/>
    <x v="3"/>
    <x v="158"/>
    <x v="361"/>
  </r>
  <r>
    <n v="1099449"/>
    <x v="204"/>
    <x v="3"/>
    <x v="15"/>
    <x v="362"/>
  </r>
  <r>
    <n v="1099449"/>
    <x v="204"/>
    <x v="3"/>
    <x v="10"/>
    <x v="105"/>
  </r>
  <r>
    <n v="1099449"/>
    <x v="204"/>
    <x v="3"/>
    <x v="253"/>
    <x v="197"/>
  </r>
  <r>
    <n v="1099449"/>
    <x v="204"/>
    <x v="3"/>
    <x v="348"/>
    <x v="42"/>
  </r>
  <r>
    <n v="1099449"/>
    <x v="204"/>
    <x v="3"/>
    <x v="334"/>
    <x v="162"/>
  </r>
  <r>
    <n v="1099449"/>
    <x v="204"/>
    <x v="3"/>
    <x v="336"/>
    <x v="144"/>
  </r>
  <r>
    <n v="1099449"/>
    <x v="204"/>
    <x v="3"/>
    <x v="160"/>
    <x v="77"/>
  </r>
  <r>
    <n v="1099449"/>
    <x v="204"/>
    <x v="3"/>
    <x v="124"/>
    <x v="77"/>
  </r>
  <r>
    <n v="1099449"/>
    <x v="204"/>
    <x v="3"/>
    <x v="129"/>
    <x v="83"/>
  </r>
  <r>
    <n v="1099449"/>
    <x v="204"/>
    <x v="3"/>
    <x v="135"/>
    <x v="161"/>
  </r>
  <r>
    <n v="1099449"/>
    <x v="204"/>
    <x v="3"/>
    <x v="142"/>
    <x v="217"/>
  </r>
  <r>
    <n v="1099449"/>
    <x v="204"/>
    <x v="3"/>
    <x v="147"/>
    <x v="170"/>
  </r>
  <r>
    <n v="1099449"/>
    <x v="204"/>
    <x v="3"/>
    <x v="152"/>
    <x v="154"/>
  </r>
  <r>
    <n v="1099449"/>
    <x v="204"/>
    <x v="3"/>
    <x v="258"/>
    <x v="198"/>
  </r>
  <r>
    <n v="1099449"/>
    <x v="204"/>
    <x v="3"/>
    <x v="262"/>
    <x v="4"/>
  </r>
  <r>
    <n v="1099449"/>
    <x v="204"/>
    <x v="3"/>
    <x v="246"/>
    <x v="151"/>
  </r>
  <r>
    <n v="1099449"/>
    <x v="204"/>
    <x v="3"/>
    <x v="157"/>
    <x v="360"/>
  </r>
  <r>
    <n v="1099449"/>
    <x v="204"/>
    <x v="3"/>
    <x v="14"/>
    <x v="202"/>
  </r>
  <r>
    <n v="1099449"/>
    <x v="204"/>
    <x v="3"/>
    <x v="344"/>
    <x v="179"/>
  </r>
  <r>
    <n v="1099449"/>
    <x v="204"/>
    <x v="3"/>
    <x v="13"/>
    <x v="170"/>
  </r>
  <r>
    <n v="1099449"/>
    <x v="204"/>
    <x v="3"/>
    <x v="347"/>
    <x v="42"/>
  </r>
  <r>
    <n v="1099449"/>
    <x v="204"/>
    <x v="3"/>
    <x v="333"/>
    <x v="42"/>
  </r>
  <r>
    <n v="1099449"/>
    <x v="204"/>
    <x v="3"/>
    <x v="335"/>
    <x v="97"/>
  </r>
  <r>
    <n v="1099449"/>
    <x v="204"/>
    <x v="3"/>
    <x v="159"/>
    <x v="178"/>
  </r>
  <r>
    <n v="1099449"/>
    <x v="204"/>
    <x v="3"/>
    <x v="163"/>
    <x v="178"/>
  </r>
  <r>
    <n v="1099449"/>
    <x v="204"/>
    <x v="3"/>
    <x v="128"/>
    <x v="42"/>
  </r>
  <r>
    <n v="1099449"/>
    <x v="204"/>
    <x v="3"/>
    <x v="134"/>
    <x v="144"/>
  </r>
  <r>
    <n v="1099449"/>
    <x v="204"/>
    <x v="3"/>
    <x v="141"/>
    <x v="77"/>
  </r>
  <r>
    <n v="1099449"/>
    <x v="204"/>
    <x v="3"/>
    <x v="146"/>
    <x v="83"/>
  </r>
  <r>
    <n v="1099449"/>
    <x v="204"/>
    <x v="3"/>
    <x v="151"/>
    <x v="204"/>
  </r>
  <r>
    <n v="1099449"/>
    <x v="204"/>
    <x v="3"/>
    <x v="257"/>
    <x v="149"/>
  </r>
  <r>
    <n v="1099449"/>
    <x v="204"/>
    <x v="3"/>
    <x v="219"/>
    <x v="363"/>
  </r>
  <r>
    <n v="1099449"/>
    <x v="204"/>
    <x v="3"/>
    <x v="220"/>
    <x v="144"/>
  </r>
  <r>
    <n v="1099449"/>
    <x v="204"/>
    <x v="3"/>
    <x v="249"/>
    <x v="78"/>
  </r>
  <r>
    <n v="1099449"/>
    <x v="204"/>
    <x v="3"/>
    <x v="265"/>
    <x v="198"/>
  </r>
  <r>
    <n v="1099449"/>
    <x v="204"/>
    <x v="3"/>
    <x v="212"/>
    <x v="84"/>
  </r>
  <r>
    <n v="1099449"/>
    <x v="204"/>
    <x v="3"/>
    <x v="130"/>
    <x v="97"/>
  </r>
  <r>
    <n v="1099449"/>
    <x v="204"/>
    <x v="3"/>
    <x v="223"/>
    <x v="3"/>
  </r>
  <r>
    <n v="1099449"/>
    <x v="204"/>
    <x v="3"/>
    <x v="228"/>
    <x v="354"/>
  </r>
  <r>
    <n v="1099449"/>
    <x v="204"/>
    <x v="3"/>
    <x v="233"/>
    <x v="344"/>
  </r>
  <r>
    <n v="1099449"/>
    <x v="204"/>
    <x v="3"/>
    <x v="238"/>
    <x v="357"/>
  </r>
  <r>
    <n v="1099449"/>
    <x v="204"/>
    <x v="3"/>
    <x v="241"/>
    <x v="144"/>
  </r>
  <r>
    <n v="1099449"/>
    <x v="1"/>
    <x v="1"/>
    <x v="2"/>
    <x v="2"/>
  </r>
  <r>
    <n v="1099455"/>
    <x v="205"/>
    <x v="2"/>
    <x v="203"/>
    <x v="448"/>
  </r>
  <r>
    <n v="1099455"/>
    <x v="205"/>
    <x v="2"/>
    <x v="419"/>
    <x v="403"/>
  </r>
  <r>
    <n v="1099455"/>
    <x v="205"/>
    <x v="2"/>
    <x v="424"/>
    <x v="231"/>
  </r>
  <r>
    <n v="1099455"/>
    <x v="205"/>
    <x v="2"/>
    <x v="4"/>
    <x v="3"/>
  </r>
  <r>
    <n v="1099455"/>
    <x v="205"/>
    <x v="2"/>
    <x v="390"/>
    <x v="629"/>
  </r>
  <r>
    <n v="1099455"/>
    <x v="205"/>
    <x v="2"/>
    <x v="388"/>
    <x v="313"/>
  </r>
  <r>
    <n v="1099455"/>
    <x v="205"/>
    <x v="2"/>
    <x v="200"/>
    <x v="630"/>
  </r>
  <r>
    <n v="1099455"/>
    <x v="205"/>
    <x v="2"/>
    <x v="202"/>
    <x v="631"/>
  </r>
  <r>
    <n v="1099455"/>
    <x v="205"/>
    <x v="2"/>
    <x v="199"/>
    <x v="632"/>
  </r>
  <r>
    <n v="1099455"/>
    <x v="205"/>
    <x v="2"/>
    <x v="389"/>
    <x v="633"/>
  </r>
  <r>
    <n v="1099455"/>
    <x v="205"/>
    <x v="2"/>
    <x v="387"/>
    <x v="634"/>
  </r>
  <r>
    <n v="1099455"/>
    <x v="205"/>
    <x v="2"/>
    <x v="425"/>
    <x v="231"/>
  </r>
  <r>
    <n v="1099455"/>
    <x v="205"/>
    <x v="2"/>
    <x v="420"/>
    <x v="635"/>
  </r>
  <r>
    <n v="1099455"/>
    <x v="205"/>
    <x v="2"/>
    <x v="418"/>
    <x v="636"/>
  </r>
  <r>
    <n v="1099455"/>
    <x v="205"/>
    <x v="2"/>
    <x v="201"/>
    <x v="181"/>
  </r>
  <r>
    <n v="1099455"/>
    <x v="205"/>
    <x v="2"/>
    <x v="3"/>
    <x v="637"/>
  </r>
  <r>
    <n v="1099455"/>
    <x v="1"/>
    <x v="1"/>
    <x v="2"/>
    <x v="2"/>
  </r>
  <r>
    <n v="1099458"/>
    <x v="206"/>
    <x v="5"/>
    <x v="286"/>
    <x v="302"/>
  </r>
  <r>
    <n v="1099458"/>
    <x v="206"/>
    <x v="5"/>
    <x v="278"/>
    <x v="303"/>
  </r>
  <r>
    <n v="1099458"/>
    <x v="206"/>
    <x v="5"/>
    <x v="284"/>
    <x v="301"/>
  </r>
  <r>
    <n v="1099458"/>
    <x v="1"/>
    <x v="1"/>
    <x v="2"/>
    <x v="2"/>
  </r>
  <r>
    <n v="1099460"/>
    <x v="207"/>
    <x v="6"/>
    <x v="292"/>
    <x v="280"/>
  </r>
  <r>
    <n v="1099460"/>
    <x v="207"/>
    <x v="6"/>
    <x v="295"/>
    <x v="278"/>
  </r>
  <r>
    <n v="1099460"/>
    <x v="207"/>
    <x v="6"/>
    <x v="291"/>
    <x v="279"/>
  </r>
  <r>
    <n v="1099460"/>
    <x v="207"/>
    <x v="6"/>
    <x v="297"/>
    <x v="275"/>
  </r>
  <r>
    <n v="1099460"/>
    <x v="207"/>
    <x v="6"/>
    <x v="296"/>
    <x v="276"/>
  </r>
  <r>
    <n v="1099460"/>
    <x v="207"/>
    <x v="6"/>
    <x v="298"/>
    <x v="277"/>
  </r>
  <r>
    <n v="1099460"/>
    <x v="1"/>
    <x v="1"/>
    <x v="2"/>
    <x v="2"/>
  </r>
  <r>
    <n v="1099464"/>
    <x v="208"/>
    <x v="2"/>
    <x v="55"/>
    <x v="37"/>
  </r>
  <r>
    <n v="1099464"/>
    <x v="208"/>
    <x v="2"/>
    <x v="67"/>
    <x v="608"/>
  </r>
  <r>
    <n v="1099464"/>
    <x v="208"/>
    <x v="2"/>
    <x v="69"/>
    <x v="607"/>
  </r>
  <r>
    <n v="1099464"/>
    <x v="208"/>
    <x v="2"/>
    <x v="80"/>
    <x v="609"/>
  </r>
  <r>
    <n v="1099464"/>
    <x v="208"/>
    <x v="2"/>
    <x v="57"/>
    <x v="610"/>
  </r>
  <r>
    <n v="1099464"/>
    <x v="208"/>
    <x v="2"/>
    <x v="73"/>
    <x v="163"/>
  </r>
  <r>
    <n v="1099464"/>
    <x v="1"/>
    <x v="1"/>
    <x v="2"/>
    <x v="2"/>
  </r>
  <r>
    <n v="1099465"/>
    <x v="209"/>
    <x v="6"/>
    <x v="288"/>
    <x v="260"/>
  </r>
  <r>
    <n v="1099465"/>
    <x v="209"/>
    <x v="6"/>
    <x v="287"/>
    <x v="259"/>
  </r>
  <r>
    <n v="1099465"/>
    <x v="209"/>
    <x v="6"/>
    <x v="289"/>
    <x v="261"/>
  </r>
  <r>
    <n v="1099465"/>
    <x v="1"/>
    <x v="1"/>
    <x v="2"/>
    <x v="2"/>
  </r>
  <r>
    <n v="1099467"/>
    <x v="210"/>
    <x v="2"/>
    <x v="82"/>
    <x v="185"/>
  </r>
  <r>
    <n v="1099467"/>
    <x v="210"/>
    <x v="2"/>
    <x v="77"/>
    <x v="184"/>
  </r>
  <r>
    <n v="1099467"/>
    <x v="210"/>
    <x v="2"/>
    <x v="78"/>
    <x v="183"/>
  </r>
  <r>
    <n v="1099467"/>
    <x v="1"/>
    <x v="1"/>
    <x v="2"/>
    <x v="2"/>
  </r>
  <r>
    <n v="1099500"/>
    <x v="211"/>
    <x v="13"/>
    <x v="383"/>
    <x v="500"/>
  </r>
  <r>
    <n v="1099500"/>
    <x v="211"/>
    <x v="13"/>
    <x v="385"/>
    <x v="508"/>
  </r>
  <r>
    <n v="1099500"/>
    <x v="1"/>
    <x v="1"/>
    <x v="2"/>
    <x v="2"/>
  </r>
  <r>
    <n v="1099503"/>
    <x v="212"/>
    <x v="13"/>
    <x v="167"/>
    <x v="2"/>
  </r>
  <r>
    <n v="1099503"/>
    <x v="1"/>
    <x v="1"/>
    <x v="2"/>
    <x v="2"/>
  </r>
  <r>
    <n v="1099519"/>
    <x v="213"/>
    <x v="2"/>
    <x v="69"/>
    <x v="571"/>
  </r>
  <r>
    <n v="1099519"/>
    <x v="213"/>
    <x v="2"/>
    <x v="80"/>
    <x v="126"/>
  </r>
  <r>
    <n v="1099519"/>
    <x v="213"/>
    <x v="2"/>
    <x v="73"/>
    <x v="198"/>
  </r>
  <r>
    <n v="1099519"/>
    <x v="213"/>
    <x v="2"/>
    <x v="3"/>
    <x v="92"/>
  </r>
  <r>
    <n v="1099519"/>
    <x v="213"/>
    <x v="2"/>
    <x v="439"/>
    <x v="392"/>
  </r>
  <r>
    <n v="1099519"/>
    <x v="213"/>
    <x v="2"/>
    <x v="76"/>
    <x v="168"/>
  </r>
  <r>
    <n v="1099519"/>
    <x v="213"/>
    <x v="2"/>
    <x v="67"/>
    <x v="61"/>
  </r>
  <r>
    <n v="1099519"/>
    <x v="213"/>
    <x v="2"/>
    <x v="72"/>
    <x v="574"/>
  </r>
  <r>
    <n v="1099519"/>
    <x v="213"/>
    <x v="2"/>
    <x v="81"/>
    <x v="550"/>
  </r>
  <r>
    <n v="1099519"/>
    <x v="213"/>
    <x v="2"/>
    <x v="4"/>
    <x v="3"/>
  </r>
  <r>
    <n v="1099519"/>
    <x v="213"/>
    <x v="2"/>
    <x v="64"/>
    <x v="575"/>
  </r>
  <r>
    <n v="1099519"/>
    <x v="213"/>
    <x v="2"/>
    <x v="390"/>
    <x v="57"/>
  </r>
  <r>
    <n v="1099519"/>
    <x v="213"/>
    <x v="2"/>
    <x v="418"/>
    <x v="576"/>
  </r>
  <r>
    <n v="1099519"/>
    <x v="213"/>
    <x v="2"/>
    <x v="82"/>
    <x v="176"/>
  </r>
  <r>
    <n v="1099519"/>
    <x v="213"/>
    <x v="2"/>
    <x v="77"/>
    <x v="577"/>
  </r>
  <r>
    <n v="1099519"/>
    <x v="213"/>
    <x v="2"/>
    <x v="78"/>
    <x v="578"/>
  </r>
  <r>
    <n v="1099519"/>
    <x v="213"/>
    <x v="2"/>
    <x v="83"/>
    <x v="4"/>
  </r>
  <r>
    <n v="1099519"/>
    <x v="213"/>
    <x v="2"/>
    <x v="59"/>
    <x v="230"/>
  </r>
  <r>
    <n v="1099519"/>
    <x v="213"/>
    <x v="2"/>
    <x v="200"/>
    <x v="114"/>
  </r>
  <r>
    <n v="1099519"/>
    <x v="213"/>
    <x v="2"/>
    <x v="203"/>
    <x v="568"/>
  </r>
  <r>
    <n v="1099519"/>
    <x v="213"/>
    <x v="2"/>
    <x v="202"/>
    <x v="579"/>
  </r>
  <r>
    <n v="1099519"/>
    <x v="213"/>
    <x v="2"/>
    <x v="66"/>
    <x v="168"/>
  </r>
  <r>
    <n v="1099519"/>
    <x v="213"/>
    <x v="2"/>
    <x v="68"/>
    <x v="182"/>
  </r>
  <r>
    <n v="1099519"/>
    <x v="213"/>
    <x v="2"/>
    <x v="60"/>
    <x v="117"/>
  </r>
  <r>
    <n v="1099519"/>
    <x v="213"/>
    <x v="2"/>
    <x v="75"/>
    <x v="217"/>
  </r>
  <r>
    <n v="1099519"/>
    <x v="213"/>
    <x v="2"/>
    <x v="71"/>
    <x v="202"/>
  </r>
  <r>
    <n v="1099519"/>
    <x v="213"/>
    <x v="2"/>
    <x v="74"/>
    <x v="163"/>
  </r>
  <r>
    <n v="1099519"/>
    <x v="213"/>
    <x v="2"/>
    <x v="62"/>
    <x v="77"/>
  </r>
  <r>
    <n v="1099519"/>
    <x v="213"/>
    <x v="2"/>
    <x v="70"/>
    <x v="98"/>
  </r>
  <r>
    <n v="1099519"/>
    <x v="213"/>
    <x v="2"/>
    <x v="58"/>
    <x v="54"/>
  </r>
  <r>
    <n v="1099519"/>
    <x v="213"/>
    <x v="2"/>
    <x v="79"/>
    <x v="339"/>
  </r>
  <r>
    <n v="1099519"/>
    <x v="213"/>
    <x v="2"/>
    <x v="56"/>
    <x v="569"/>
  </r>
  <r>
    <n v="1099519"/>
    <x v="213"/>
    <x v="2"/>
    <x v="201"/>
    <x v="164"/>
  </r>
  <r>
    <n v="1099519"/>
    <x v="213"/>
    <x v="2"/>
    <x v="199"/>
    <x v="570"/>
  </r>
  <r>
    <n v="1099519"/>
    <x v="213"/>
    <x v="2"/>
    <x v="419"/>
    <x v="99"/>
  </r>
  <r>
    <n v="1099519"/>
    <x v="213"/>
    <x v="2"/>
    <x v="420"/>
    <x v="573"/>
  </r>
  <r>
    <n v="1099519"/>
    <x v="213"/>
    <x v="2"/>
    <x v="389"/>
    <x v="93"/>
  </r>
  <r>
    <n v="1099519"/>
    <x v="213"/>
    <x v="2"/>
    <x v="387"/>
    <x v="142"/>
  </r>
  <r>
    <n v="1099519"/>
    <x v="213"/>
    <x v="2"/>
    <x v="424"/>
    <x v="97"/>
  </r>
  <r>
    <n v="1099519"/>
    <x v="213"/>
    <x v="2"/>
    <x v="425"/>
    <x v="97"/>
  </r>
  <r>
    <n v="1099519"/>
    <x v="213"/>
    <x v="2"/>
    <x v="84"/>
    <x v="168"/>
  </r>
  <r>
    <n v="1099519"/>
    <x v="213"/>
    <x v="2"/>
    <x v="388"/>
    <x v="207"/>
  </r>
  <r>
    <n v="1099519"/>
    <x v="213"/>
    <x v="2"/>
    <x v="65"/>
    <x v="170"/>
  </r>
  <r>
    <n v="1099519"/>
    <x v="213"/>
    <x v="2"/>
    <x v="63"/>
    <x v="88"/>
  </r>
  <r>
    <n v="1099519"/>
    <x v="213"/>
    <x v="2"/>
    <x v="57"/>
    <x v="572"/>
  </r>
  <r>
    <n v="1099519"/>
    <x v="213"/>
    <x v="2"/>
    <x v="61"/>
    <x v="41"/>
  </r>
  <r>
    <n v="1099519"/>
    <x v="213"/>
    <x v="2"/>
    <x v="438"/>
    <x v="176"/>
  </r>
  <r>
    <n v="1099519"/>
    <x v="213"/>
    <x v="2"/>
    <x v="55"/>
    <x v="154"/>
  </r>
  <r>
    <n v="1099519"/>
    <x v="1"/>
    <x v="1"/>
    <x v="2"/>
    <x v="2"/>
  </r>
  <r>
    <n v="1099521"/>
    <x v="214"/>
    <x v="2"/>
    <x v="3"/>
    <x v="2"/>
  </r>
  <r>
    <n v="1099521"/>
    <x v="214"/>
    <x v="2"/>
    <x v="4"/>
    <x v="3"/>
  </r>
  <r>
    <n v="1099521"/>
    <x v="1"/>
    <x v="1"/>
    <x v="2"/>
    <x v="2"/>
  </r>
  <r>
    <n v="1099528"/>
    <x v="215"/>
    <x v="5"/>
    <x v="89"/>
    <x v="638"/>
  </r>
  <r>
    <n v="1099528"/>
    <x v="215"/>
    <x v="5"/>
    <x v="90"/>
    <x v="639"/>
  </r>
  <r>
    <n v="1099528"/>
    <x v="215"/>
    <x v="5"/>
    <x v="97"/>
    <x v="640"/>
  </r>
  <r>
    <n v="1099528"/>
    <x v="1"/>
    <x v="1"/>
    <x v="2"/>
    <x v="2"/>
  </r>
  <r>
    <n v="1099532"/>
    <x v="216"/>
    <x v="0"/>
    <x v="29"/>
    <x v="641"/>
  </r>
  <r>
    <n v="1099532"/>
    <x v="216"/>
    <x v="0"/>
    <x v="42"/>
    <x v="642"/>
  </r>
  <r>
    <n v="1099532"/>
    <x v="216"/>
    <x v="0"/>
    <x v="25"/>
    <x v="643"/>
  </r>
  <r>
    <n v="1099532"/>
    <x v="216"/>
    <x v="0"/>
    <x v="32"/>
    <x v="644"/>
  </r>
  <r>
    <n v="1099532"/>
    <x v="1"/>
    <x v="1"/>
    <x v="2"/>
    <x v="2"/>
  </r>
  <r>
    <n v="1099533"/>
    <x v="217"/>
    <x v="9"/>
    <x v="319"/>
    <x v="645"/>
  </r>
  <r>
    <n v="1099533"/>
    <x v="217"/>
    <x v="9"/>
    <x v="323"/>
    <x v="646"/>
  </r>
  <r>
    <n v="1099533"/>
    <x v="217"/>
    <x v="9"/>
    <x v="322"/>
    <x v="647"/>
  </r>
  <r>
    <n v="1099533"/>
    <x v="1"/>
    <x v="1"/>
    <x v="2"/>
    <x v="2"/>
  </r>
  <r>
    <n v="1099535"/>
    <x v="218"/>
    <x v="5"/>
    <x v="377"/>
    <x v="606"/>
  </r>
  <r>
    <n v="1099535"/>
    <x v="218"/>
    <x v="5"/>
    <x v="356"/>
    <x v="343"/>
  </r>
  <r>
    <n v="1099535"/>
    <x v="1"/>
    <x v="1"/>
    <x v="2"/>
    <x v="2"/>
  </r>
  <r>
    <n v="1099538"/>
    <x v="219"/>
    <x v="6"/>
    <x v="353"/>
    <x v="2"/>
  </r>
  <r>
    <n v="1099538"/>
    <x v="1"/>
    <x v="1"/>
    <x v="2"/>
    <x v="2"/>
  </r>
  <r>
    <n v="1099542"/>
    <x v="220"/>
    <x v="2"/>
    <x v="419"/>
    <x v="491"/>
  </r>
  <r>
    <n v="1099542"/>
    <x v="220"/>
    <x v="2"/>
    <x v="420"/>
    <x v="492"/>
  </r>
  <r>
    <n v="1099542"/>
    <x v="1"/>
    <x v="1"/>
    <x v="2"/>
    <x v="2"/>
  </r>
  <r>
    <n v="1099543"/>
    <x v="221"/>
    <x v="2"/>
    <x v="276"/>
    <x v="2"/>
  </r>
  <r>
    <n v="1099543"/>
    <x v="1"/>
    <x v="1"/>
    <x v="2"/>
    <x v="2"/>
  </r>
  <r>
    <n v="1099545"/>
    <x v="222"/>
    <x v="7"/>
    <x v="321"/>
    <x v="648"/>
  </r>
  <r>
    <n v="1099545"/>
    <x v="222"/>
    <x v="7"/>
    <x v="326"/>
    <x v="459"/>
  </r>
  <r>
    <n v="1099545"/>
    <x v="222"/>
    <x v="7"/>
    <x v="325"/>
    <x v="649"/>
  </r>
  <r>
    <n v="1099545"/>
    <x v="222"/>
    <x v="7"/>
    <x v="324"/>
    <x v="194"/>
  </r>
  <r>
    <n v="1099545"/>
    <x v="222"/>
    <x v="7"/>
    <x v="108"/>
    <x v="650"/>
  </r>
  <r>
    <n v="1099545"/>
    <x v="222"/>
    <x v="7"/>
    <x v="109"/>
    <x v="651"/>
  </r>
  <r>
    <n v="1099545"/>
    <x v="1"/>
    <x v="1"/>
    <x v="2"/>
    <x v="2"/>
  </r>
  <r>
    <n v="1099548"/>
    <x v="223"/>
    <x v="6"/>
    <x v="167"/>
    <x v="2"/>
  </r>
  <r>
    <n v="1099548"/>
    <x v="1"/>
    <x v="1"/>
    <x v="2"/>
    <x v="2"/>
  </r>
  <r>
    <n v="1099555"/>
    <x v="224"/>
    <x v="6"/>
    <x v="105"/>
    <x v="127"/>
  </r>
  <r>
    <n v="1099555"/>
    <x v="224"/>
    <x v="6"/>
    <x v="103"/>
    <x v="126"/>
  </r>
  <r>
    <n v="1099555"/>
    <x v="224"/>
    <x v="6"/>
    <x v="104"/>
    <x v="126"/>
  </r>
  <r>
    <n v="1099555"/>
    <x v="224"/>
    <x v="6"/>
    <x v="106"/>
    <x v="128"/>
  </r>
  <r>
    <n v="1099555"/>
    <x v="224"/>
    <x v="6"/>
    <x v="101"/>
    <x v="124"/>
  </r>
  <r>
    <n v="1099555"/>
    <x v="224"/>
    <x v="6"/>
    <x v="102"/>
    <x v="125"/>
  </r>
  <r>
    <n v="1099555"/>
    <x v="224"/>
    <x v="6"/>
    <x v="107"/>
    <x v="129"/>
  </r>
  <r>
    <n v="1099555"/>
    <x v="1"/>
    <x v="1"/>
    <x v="2"/>
    <x v="2"/>
  </r>
  <r>
    <n v="1099558"/>
    <x v="225"/>
    <x v="5"/>
    <x v="276"/>
    <x v="2"/>
  </r>
  <r>
    <n v="1099558"/>
    <x v="1"/>
    <x v="1"/>
    <x v="2"/>
    <x v="2"/>
  </r>
  <r>
    <n v="1099559"/>
    <x v="226"/>
    <x v="3"/>
    <x v="160"/>
    <x v="162"/>
  </r>
  <r>
    <n v="1099559"/>
    <x v="226"/>
    <x v="3"/>
    <x v="149"/>
    <x v="154"/>
  </r>
  <r>
    <n v="1099559"/>
    <x v="226"/>
    <x v="3"/>
    <x v="136"/>
    <x v="82"/>
  </r>
  <r>
    <n v="1099559"/>
    <x v="226"/>
    <x v="3"/>
    <x v="128"/>
    <x v="92"/>
  </r>
  <r>
    <n v="1099559"/>
    <x v="226"/>
    <x v="3"/>
    <x v="154"/>
    <x v="149"/>
  </r>
  <r>
    <n v="1099559"/>
    <x v="226"/>
    <x v="3"/>
    <x v="155"/>
    <x v="157"/>
  </r>
  <r>
    <n v="1099559"/>
    <x v="226"/>
    <x v="3"/>
    <x v="147"/>
    <x v="24"/>
  </r>
  <r>
    <n v="1099559"/>
    <x v="226"/>
    <x v="3"/>
    <x v="137"/>
    <x v="79"/>
  </r>
  <r>
    <n v="1099559"/>
    <x v="226"/>
    <x v="3"/>
    <x v="157"/>
    <x v="159"/>
  </r>
  <r>
    <n v="1099559"/>
    <x v="226"/>
    <x v="3"/>
    <x v="148"/>
    <x v="144"/>
  </r>
  <r>
    <n v="1099559"/>
    <x v="226"/>
    <x v="3"/>
    <x v="135"/>
    <x v="64"/>
  </r>
  <r>
    <n v="1099559"/>
    <x v="226"/>
    <x v="3"/>
    <x v="127"/>
    <x v="97"/>
  </r>
  <r>
    <n v="1099559"/>
    <x v="226"/>
    <x v="3"/>
    <x v="162"/>
    <x v="164"/>
  </r>
  <r>
    <n v="1099559"/>
    <x v="226"/>
    <x v="3"/>
    <x v="139"/>
    <x v="37"/>
  </r>
  <r>
    <n v="1099559"/>
    <x v="226"/>
    <x v="3"/>
    <x v="145"/>
    <x v="153"/>
  </r>
  <r>
    <n v="1099559"/>
    <x v="226"/>
    <x v="3"/>
    <x v="126"/>
    <x v="82"/>
  </r>
  <r>
    <n v="1099559"/>
    <x v="226"/>
    <x v="3"/>
    <x v="131"/>
    <x v="34"/>
  </r>
  <r>
    <n v="1099559"/>
    <x v="226"/>
    <x v="3"/>
    <x v="130"/>
    <x v="145"/>
  </r>
  <r>
    <n v="1099559"/>
    <x v="226"/>
    <x v="3"/>
    <x v="144"/>
    <x v="84"/>
  </r>
  <r>
    <n v="1099559"/>
    <x v="226"/>
    <x v="3"/>
    <x v="133"/>
    <x v="147"/>
  </r>
  <r>
    <n v="1099559"/>
    <x v="226"/>
    <x v="3"/>
    <x v="124"/>
    <x v="62"/>
  </r>
  <r>
    <n v="1099559"/>
    <x v="226"/>
    <x v="3"/>
    <x v="158"/>
    <x v="160"/>
  </r>
  <r>
    <n v="1099559"/>
    <x v="226"/>
    <x v="3"/>
    <x v="151"/>
    <x v="35"/>
  </r>
  <r>
    <n v="1099559"/>
    <x v="226"/>
    <x v="3"/>
    <x v="142"/>
    <x v="152"/>
  </r>
  <r>
    <n v="1099559"/>
    <x v="226"/>
    <x v="3"/>
    <x v="140"/>
    <x v="150"/>
  </r>
  <r>
    <n v="1099559"/>
    <x v="226"/>
    <x v="3"/>
    <x v="146"/>
    <x v="78"/>
  </r>
  <r>
    <n v="1099559"/>
    <x v="226"/>
    <x v="3"/>
    <x v="134"/>
    <x v="148"/>
  </r>
  <r>
    <n v="1099559"/>
    <x v="226"/>
    <x v="3"/>
    <x v="125"/>
    <x v="144"/>
  </r>
  <r>
    <n v="1099559"/>
    <x v="226"/>
    <x v="3"/>
    <x v="159"/>
    <x v="161"/>
  </r>
  <r>
    <n v="1099559"/>
    <x v="226"/>
    <x v="3"/>
    <x v="153"/>
    <x v="147"/>
  </r>
  <r>
    <n v="1099559"/>
    <x v="226"/>
    <x v="3"/>
    <x v="143"/>
    <x v="91"/>
  </r>
  <r>
    <n v="1099559"/>
    <x v="226"/>
    <x v="3"/>
    <x v="129"/>
    <x v="42"/>
  </r>
  <r>
    <n v="1099559"/>
    <x v="226"/>
    <x v="3"/>
    <x v="161"/>
    <x v="163"/>
  </r>
  <r>
    <n v="1099559"/>
    <x v="226"/>
    <x v="3"/>
    <x v="152"/>
    <x v="156"/>
  </r>
  <r>
    <n v="1099559"/>
    <x v="226"/>
    <x v="3"/>
    <x v="138"/>
    <x v="149"/>
  </r>
  <r>
    <n v="1099559"/>
    <x v="226"/>
    <x v="3"/>
    <x v="132"/>
    <x v="146"/>
  </r>
  <r>
    <n v="1099559"/>
    <x v="226"/>
    <x v="3"/>
    <x v="163"/>
    <x v="83"/>
  </r>
  <r>
    <n v="1099559"/>
    <x v="226"/>
    <x v="3"/>
    <x v="156"/>
    <x v="158"/>
  </r>
  <r>
    <n v="1099559"/>
    <x v="226"/>
    <x v="3"/>
    <x v="150"/>
    <x v="155"/>
  </r>
  <r>
    <n v="1099559"/>
    <x v="226"/>
    <x v="3"/>
    <x v="141"/>
    <x v="151"/>
  </r>
  <r>
    <n v="1099559"/>
    <x v="1"/>
    <x v="1"/>
    <x v="2"/>
    <x v="2"/>
  </r>
  <r>
    <n v="1099560"/>
    <x v="227"/>
    <x v="5"/>
    <x v="267"/>
    <x v="3"/>
  </r>
  <r>
    <n v="1099560"/>
    <x v="227"/>
    <x v="5"/>
    <x v="270"/>
    <x v="242"/>
  </r>
  <r>
    <n v="1099560"/>
    <x v="227"/>
    <x v="5"/>
    <x v="268"/>
    <x v="240"/>
  </r>
  <r>
    <n v="1099560"/>
    <x v="227"/>
    <x v="5"/>
    <x v="271"/>
    <x v="243"/>
  </r>
  <r>
    <n v="1099560"/>
    <x v="227"/>
    <x v="5"/>
    <x v="266"/>
    <x v="239"/>
  </r>
  <r>
    <n v="1099560"/>
    <x v="227"/>
    <x v="5"/>
    <x v="269"/>
    <x v="241"/>
  </r>
  <r>
    <n v="1099560"/>
    <x v="1"/>
    <x v="1"/>
    <x v="2"/>
    <x v="2"/>
  </r>
  <r>
    <n v="1099562"/>
    <x v="228"/>
    <x v="5"/>
    <x v="442"/>
    <x v="593"/>
  </r>
  <r>
    <n v="1099562"/>
    <x v="228"/>
    <x v="5"/>
    <x v="440"/>
    <x v="591"/>
  </r>
  <r>
    <n v="1099562"/>
    <x v="228"/>
    <x v="5"/>
    <x v="443"/>
    <x v="594"/>
  </r>
  <r>
    <n v="1099562"/>
    <x v="228"/>
    <x v="5"/>
    <x v="444"/>
    <x v="548"/>
  </r>
  <r>
    <n v="1099562"/>
    <x v="228"/>
    <x v="5"/>
    <x v="445"/>
    <x v="595"/>
  </r>
  <r>
    <n v="1099562"/>
    <x v="228"/>
    <x v="5"/>
    <x v="441"/>
    <x v="592"/>
  </r>
  <r>
    <n v="1099562"/>
    <x v="1"/>
    <x v="1"/>
    <x v="2"/>
    <x v="2"/>
  </r>
  <r>
    <n v="1099566"/>
    <x v="229"/>
    <x v="5"/>
    <x v="361"/>
    <x v="652"/>
  </r>
  <r>
    <n v="1099566"/>
    <x v="229"/>
    <x v="5"/>
    <x v="362"/>
    <x v="653"/>
  </r>
  <r>
    <n v="1099566"/>
    <x v="229"/>
    <x v="5"/>
    <x v="366"/>
    <x v="654"/>
  </r>
  <r>
    <n v="1099566"/>
    <x v="229"/>
    <x v="5"/>
    <x v="358"/>
    <x v="655"/>
  </r>
  <r>
    <n v="1099566"/>
    <x v="229"/>
    <x v="5"/>
    <x v="357"/>
    <x v="656"/>
  </r>
  <r>
    <n v="1099566"/>
    <x v="229"/>
    <x v="5"/>
    <x v="364"/>
    <x v="657"/>
  </r>
  <r>
    <n v="1099566"/>
    <x v="1"/>
    <x v="1"/>
    <x v="2"/>
    <x v="2"/>
  </r>
  <r>
    <n v="1099571"/>
    <x v="230"/>
    <x v="2"/>
    <x v="67"/>
    <x v="35"/>
  </r>
  <r>
    <n v="1099571"/>
    <x v="230"/>
    <x v="2"/>
    <x v="59"/>
    <x v="521"/>
  </r>
  <r>
    <n v="1099571"/>
    <x v="230"/>
    <x v="2"/>
    <x v="81"/>
    <x v="477"/>
  </r>
  <r>
    <n v="1099571"/>
    <x v="230"/>
    <x v="2"/>
    <x v="80"/>
    <x v="523"/>
  </r>
  <r>
    <n v="1099571"/>
    <x v="230"/>
    <x v="2"/>
    <x v="69"/>
    <x v="525"/>
  </r>
  <r>
    <n v="1099571"/>
    <x v="230"/>
    <x v="2"/>
    <x v="73"/>
    <x v="347"/>
  </r>
  <r>
    <n v="1099571"/>
    <x v="230"/>
    <x v="2"/>
    <x v="64"/>
    <x v="524"/>
  </r>
  <r>
    <n v="1099571"/>
    <x v="230"/>
    <x v="2"/>
    <x v="57"/>
    <x v="522"/>
  </r>
  <r>
    <n v="1099571"/>
    <x v="230"/>
    <x v="2"/>
    <x v="83"/>
    <x v="185"/>
  </r>
  <r>
    <n v="1099571"/>
    <x v="230"/>
    <x v="2"/>
    <x v="55"/>
    <x v="146"/>
  </r>
  <r>
    <n v="1099571"/>
    <x v="1"/>
    <x v="1"/>
    <x v="2"/>
    <x v="2"/>
  </r>
  <r>
    <n v="1099574"/>
    <x v="231"/>
    <x v="5"/>
    <x v="285"/>
    <x v="613"/>
  </r>
  <r>
    <n v="1099574"/>
    <x v="231"/>
    <x v="5"/>
    <x v="198"/>
    <x v="658"/>
  </r>
  <r>
    <n v="1099574"/>
    <x v="231"/>
    <x v="5"/>
    <x v="280"/>
    <x v="659"/>
  </r>
  <r>
    <n v="1099574"/>
    <x v="231"/>
    <x v="5"/>
    <x v="283"/>
    <x v="660"/>
  </r>
  <r>
    <n v="1099574"/>
    <x v="231"/>
    <x v="5"/>
    <x v="279"/>
    <x v="661"/>
  </r>
  <r>
    <n v="1099574"/>
    <x v="231"/>
    <x v="5"/>
    <x v="282"/>
    <x v="662"/>
  </r>
  <r>
    <n v="1099574"/>
    <x v="231"/>
    <x v="5"/>
    <x v="281"/>
    <x v="464"/>
  </r>
  <r>
    <n v="1099574"/>
    <x v="1"/>
    <x v="1"/>
    <x v="2"/>
    <x v="2"/>
  </r>
  <r>
    <n v="1099575"/>
    <x v="232"/>
    <x v="7"/>
    <x v="325"/>
    <x v="2"/>
  </r>
  <r>
    <n v="1099575"/>
    <x v="1"/>
    <x v="1"/>
    <x v="2"/>
    <x v="2"/>
  </r>
  <r>
    <n v="1099576"/>
    <x v="233"/>
    <x v="3"/>
    <x v="15"/>
    <x v="403"/>
  </r>
  <r>
    <n v="1099576"/>
    <x v="233"/>
    <x v="3"/>
    <x v="5"/>
    <x v="346"/>
  </r>
  <r>
    <n v="1099576"/>
    <x v="233"/>
    <x v="3"/>
    <x v="12"/>
    <x v="3"/>
  </r>
  <r>
    <n v="1099576"/>
    <x v="233"/>
    <x v="3"/>
    <x v="11"/>
    <x v="228"/>
  </r>
  <r>
    <n v="1099576"/>
    <x v="233"/>
    <x v="3"/>
    <x v="334"/>
    <x v="411"/>
  </r>
  <r>
    <n v="1099576"/>
    <x v="233"/>
    <x v="3"/>
    <x v="331"/>
    <x v="48"/>
  </r>
  <r>
    <n v="1099576"/>
    <x v="233"/>
    <x v="3"/>
    <x v="338"/>
    <x v="404"/>
  </r>
  <r>
    <n v="1099576"/>
    <x v="233"/>
    <x v="3"/>
    <x v="342"/>
    <x v="227"/>
  </r>
  <r>
    <n v="1099576"/>
    <x v="233"/>
    <x v="3"/>
    <x v="6"/>
    <x v="233"/>
  </r>
  <r>
    <n v="1099576"/>
    <x v="233"/>
    <x v="3"/>
    <x v="10"/>
    <x v="405"/>
  </r>
  <r>
    <n v="1099576"/>
    <x v="233"/>
    <x v="3"/>
    <x v="7"/>
    <x v="406"/>
  </r>
  <r>
    <n v="1099576"/>
    <x v="233"/>
    <x v="3"/>
    <x v="337"/>
    <x v="413"/>
  </r>
  <r>
    <n v="1099576"/>
    <x v="233"/>
    <x v="3"/>
    <x v="346"/>
    <x v="233"/>
  </r>
  <r>
    <n v="1099576"/>
    <x v="233"/>
    <x v="3"/>
    <x v="352"/>
    <x v="219"/>
  </r>
  <r>
    <n v="1099576"/>
    <x v="233"/>
    <x v="3"/>
    <x v="343"/>
    <x v="401"/>
  </r>
  <r>
    <n v="1099576"/>
    <x v="233"/>
    <x v="3"/>
    <x v="13"/>
    <x v="407"/>
  </r>
  <r>
    <n v="1099576"/>
    <x v="233"/>
    <x v="3"/>
    <x v="344"/>
    <x v="404"/>
  </r>
  <r>
    <n v="1099576"/>
    <x v="233"/>
    <x v="3"/>
    <x v="335"/>
    <x v="415"/>
  </r>
  <r>
    <n v="1099576"/>
    <x v="233"/>
    <x v="3"/>
    <x v="349"/>
    <x v="407"/>
  </r>
  <r>
    <n v="1099576"/>
    <x v="233"/>
    <x v="3"/>
    <x v="347"/>
    <x v="409"/>
  </r>
  <r>
    <n v="1099576"/>
    <x v="233"/>
    <x v="3"/>
    <x v="9"/>
    <x v="380"/>
  </r>
  <r>
    <n v="1099576"/>
    <x v="233"/>
    <x v="3"/>
    <x v="8"/>
    <x v="180"/>
  </r>
  <r>
    <n v="1099576"/>
    <x v="233"/>
    <x v="3"/>
    <x v="14"/>
    <x v="402"/>
  </r>
  <r>
    <n v="1099576"/>
    <x v="233"/>
    <x v="3"/>
    <x v="340"/>
    <x v="400"/>
  </r>
  <r>
    <n v="1099576"/>
    <x v="233"/>
    <x v="3"/>
    <x v="350"/>
    <x v="53"/>
  </r>
  <r>
    <n v="1099576"/>
    <x v="233"/>
    <x v="3"/>
    <x v="332"/>
    <x v="410"/>
  </r>
  <r>
    <n v="1099576"/>
    <x v="233"/>
    <x v="3"/>
    <x v="339"/>
    <x v="414"/>
  </r>
  <r>
    <n v="1099576"/>
    <x v="233"/>
    <x v="3"/>
    <x v="348"/>
    <x v="123"/>
  </r>
  <r>
    <n v="1099576"/>
    <x v="233"/>
    <x v="3"/>
    <x v="333"/>
    <x v="409"/>
  </r>
  <r>
    <n v="1099576"/>
    <x v="233"/>
    <x v="3"/>
    <x v="336"/>
    <x v="412"/>
  </r>
  <r>
    <n v="1099576"/>
    <x v="233"/>
    <x v="3"/>
    <x v="345"/>
    <x v="408"/>
  </r>
  <r>
    <n v="1099576"/>
    <x v="233"/>
    <x v="3"/>
    <x v="351"/>
    <x v="406"/>
  </r>
  <r>
    <n v="1099576"/>
    <x v="1"/>
    <x v="1"/>
    <x v="2"/>
    <x v="2"/>
  </r>
  <r>
    <n v="1099577"/>
    <x v="234"/>
    <x v="9"/>
    <x v="319"/>
    <x v="645"/>
  </r>
  <r>
    <n v="1099577"/>
    <x v="234"/>
    <x v="9"/>
    <x v="322"/>
    <x v="647"/>
  </r>
  <r>
    <n v="1099577"/>
    <x v="234"/>
    <x v="9"/>
    <x v="323"/>
    <x v="646"/>
  </r>
  <r>
    <n v="1099577"/>
    <x v="1"/>
    <x v="1"/>
    <x v="2"/>
    <x v="2"/>
  </r>
  <r>
    <n v="1099579"/>
    <x v="235"/>
    <x v="14"/>
    <x v="393"/>
    <x v="663"/>
  </r>
  <r>
    <n v="1099579"/>
    <x v="235"/>
    <x v="14"/>
    <x v="391"/>
    <x v="664"/>
  </r>
  <r>
    <n v="1099579"/>
    <x v="235"/>
    <x v="14"/>
    <x v="392"/>
    <x v="665"/>
  </r>
  <r>
    <n v="1099579"/>
    <x v="1"/>
    <x v="1"/>
    <x v="2"/>
    <x v="2"/>
  </r>
  <r>
    <n v="1099580"/>
    <x v="236"/>
    <x v="13"/>
    <x v="446"/>
    <x v="2"/>
  </r>
  <r>
    <n v="1099580"/>
    <x v="1"/>
    <x v="1"/>
    <x v="2"/>
    <x v="2"/>
  </r>
  <r>
    <n v="1099582"/>
    <x v="237"/>
    <x v="5"/>
    <x v="310"/>
    <x v="666"/>
  </r>
  <r>
    <n v="1099582"/>
    <x v="237"/>
    <x v="5"/>
    <x v="309"/>
    <x v="667"/>
  </r>
  <r>
    <n v="1099582"/>
    <x v="237"/>
    <x v="5"/>
    <x v="311"/>
    <x v="668"/>
  </r>
  <r>
    <n v="1099582"/>
    <x v="237"/>
    <x v="5"/>
    <x v="312"/>
    <x v="669"/>
  </r>
  <r>
    <n v="1099582"/>
    <x v="1"/>
    <x v="1"/>
    <x v="2"/>
    <x v="2"/>
  </r>
  <r>
    <n v="1099583"/>
    <x v="238"/>
    <x v="2"/>
    <x v="3"/>
    <x v="2"/>
  </r>
  <r>
    <n v="1099583"/>
    <x v="238"/>
    <x v="2"/>
    <x v="4"/>
    <x v="3"/>
  </r>
  <r>
    <n v="1099583"/>
    <x v="1"/>
    <x v="1"/>
    <x v="2"/>
    <x v="2"/>
  </r>
  <r>
    <n v="1099585"/>
    <x v="239"/>
    <x v="13"/>
    <x v="276"/>
    <x v="2"/>
  </r>
  <r>
    <n v="1099585"/>
    <x v="1"/>
    <x v="1"/>
    <x v="2"/>
    <x v="2"/>
  </r>
  <r>
    <n v="1099587"/>
    <x v="240"/>
    <x v="2"/>
    <x v="71"/>
    <x v="111"/>
  </r>
  <r>
    <n v="1099587"/>
    <x v="240"/>
    <x v="2"/>
    <x v="61"/>
    <x v="234"/>
  </r>
  <r>
    <n v="1099587"/>
    <x v="240"/>
    <x v="2"/>
    <x v="76"/>
    <x v="231"/>
  </r>
  <r>
    <n v="1099587"/>
    <x v="240"/>
    <x v="2"/>
    <x v="68"/>
    <x v="230"/>
  </r>
  <r>
    <n v="1099587"/>
    <x v="240"/>
    <x v="2"/>
    <x v="75"/>
    <x v="173"/>
  </r>
  <r>
    <n v="1099587"/>
    <x v="240"/>
    <x v="2"/>
    <x v="84"/>
    <x v="232"/>
  </r>
  <r>
    <n v="1099587"/>
    <x v="240"/>
    <x v="2"/>
    <x v="74"/>
    <x v="51"/>
  </r>
  <r>
    <n v="1099587"/>
    <x v="240"/>
    <x v="2"/>
    <x v="77"/>
    <x v="236"/>
  </r>
  <r>
    <n v="1099587"/>
    <x v="240"/>
    <x v="2"/>
    <x v="60"/>
    <x v="229"/>
  </r>
  <r>
    <n v="1099587"/>
    <x v="240"/>
    <x v="2"/>
    <x v="56"/>
    <x v="228"/>
  </r>
  <r>
    <n v="1099587"/>
    <x v="240"/>
    <x v="2"/>
    <x v="82"/>
    <x v="162"/>
  </r>
  <r>
    <n v="1099587"/>
    <x v="240"/>
    <x v="2"/>
    <x v="79"/>
    <x v="227"/>
  </r>
  <r>
    <n v="1099587"/>
    <x v="240"/>
    <x v="2"/>
    <x v="66"/>
    <x v="231"/>
  </r>
  <r>
    <n v="1099587"/>
    <x v="240"/>
    <x v="2"/>
    <x v="58"/>
    <x v="233"/>
  </r>
  <r>
    <n v="1099587"/>
    <x v="240"/>
    <x v="2"/>
    <x v="78"/>
    <x v="235"/>
  </r>
  <r>
    <n v="1099587"/>
    <x v="240"/>
    <x v="2"/>
    <x v="65"/>
    <x v="98"/>
  </r>
  <r>
    <n v="1099587"/>
    <x v="240"/>
    <x v="2"/>
    <x v="70"/>
    <x v="197"/>
  </r>
  <r>
    <n v="1099587"/>
    <x v="240"/>
    <x v="2"/>
    <x v="62"/>
    <x v="153"/>
  </r>
  <r>
    <n v="1099587"/>
    <x v="240"/>
    <x v="2"/>
    <x v="63"/>
    <x v="97"/>
  </r>
  <r>
    <n v="1099587"/>
    <x v="1"/>
    <x v="1"/>
    <x v="2"/>
    <x v="2"/>
  </r>
  <r>
    <n v="1099589"/>
    <x v="241"/>
    <x v="6"/>
    <x v="428"/>
    <x v="589"/>
  </r>
  <r>
    <n v="1099589"/>
    <x v="241"/>
    <x v="6"/>
    <x v="431"/>
    <x v="588"/>
  </r>
  <r>
    <n v="1099589"/>
    <x v="241"/>
    <x v="6"/>
    <x v="436"/>
    <x v="587"/>
  </r>
  <r>
    <n v="1099589"/>
    <x v="241"/>
    <x v="6"/>
    <x v="437"/>
    <x v="584"/>
  </r>
  <r>
    <n v="1099589"/>
    <x v="241"/>
    <x v="6"/>
    <x v="434"/>
    <x v="586"/>
  </r>
  <r>
    <n v="1099589"/>
    <x v="241"/>
    <x v="6"/>
    <x v="429"/>
    <x v="585"/>
  </r>
  <r>
    <n v="1099589"/>
    <x v="241"/>
    <x v="6"/>
    <x v="430"/>
    <x v="590"/>
  </r>
  <r>
    <n v="1099589"/>
    <x v="241"/>
    <x v="6"/>
    <x v="433"/>
    <x v="368"/>
  </r>
  <r>
    <n v="1099589"/>
    <x v="241"/>
    <x v="6"/>
    <x v="435"/>
    <x v="441"/>
  </r>
  <r>
    <n v="1099589"/>
    <x v="241"/>
    <x v="6"/>
    <x v="432"/>
    <x v="448"/>
  </r>
  <r>
    <n v="1099589"/>
    <x v="1"/>
    <x v="1"/>
    <x v="2"/>
    <x v="2"/>
  </r>
  <r>
    <n v="1099593"/>
    <x v="242"/>
    <x v="2"/>
    <x v="56"/>
    <x v="228"/>
  </r>
  <r>
    <n v="1099593"/>
    <x v="242"/>
    <x v="2"/>
    <x v="78"/>
    <x v="235"/>
  </r>
  <r>
    <n v="1099593"/>
    <x v="242"/>
    <x v="2"/>
    <x v="71"/>
    <x v="111"/>
  </r>
  <r>
    <n v="1099593"/>
    <x v="242"/>
    <x v="2"/>
    <x v="79"/>
    <x v="227"/>
  </r>
  <r>
    <n v="1099593"/>
    <x v="242"/>
    <x v="2"/>
    <x v="61"/>
    <x v="234"/>
  </r>
  <r>
    <n v="1099593"/>
    <x v="242"/>
    <x v="2"/>
    <x v="66"/>
    <x v="231"/>
  </r>
  <r>
    <n v="1099593"/>
    <x v="242"/>
    <x v="2"/>
    <x v="62"/>
    <x v="153"/>
  </r>
  <r>
    <n v="1099593"/>
    <x v="242"/>
    <x v="2"/>
    <x v="76"/>
    <x v="231"/>
  </r>
  <r>
    <n v="1099593"/>
    <x v="242"/>
    <x v="2"/>
    <x v="84"/>
    <x v="232"/>
  </r>
  <r>
    <n v="1099593"/>
    <x v="242"/>
    <x v="2"/>
    <x v="82"/>
    <x v="162"/>
  </r>
  <r>
    <n v="1099593"/>
    <x v="242"/>
    <x v="2"/>
    <x v="60"/>
    <x v="229"/>
  </r>
  <r>
    <n v="1099593"/>
    <x v="242"/>
    <x v="2"/>
    <x v="63"/>
    <x v="97"/>
  </r>
  <r>
    <n v="1099593"/>
    <x v="242"/>
    <x v="2"/>
    <x v="75"/>
    <x v="173"/>
  </r>
  <r>
    <n v="1099593"/>
    <x v="242"/>
    <x v="2"/>
    <x v="58"/>
    <x v="233"/>
  </r>
  <r>
    <n v="1099593"/>
    <x v="242"/>
    <x v="2"/>
    <x v="77"/>
    <x v="236"/>
  </r>
  <r>
    <n v="1099593"/>
    <x v="242"/>
    <x v="2"/>
    <x v="65"/>
    <x v="98"/>
  </r>
  <r>
    <n v="1099593"/>
    <x v="242"/>
    <x v="2"/>
    <x v="68"/>
    <x v="230"/>
  </r>
  <r>
    <n v="1099593"/>
    <x v="242"/>
    <x v="2"/>
    <x v="74"/>
    <x v="51"/>
  </r>
  <r>
    <n v="1099593"/>
    <x v="242"/>
    <x v="2"/>
    <x v="70"/>
    <x v="197"/>
  </r>
  <r>
    <n v="1099593"/>
    <x v="1"/>
    <x v="1"/>
    <x v="2"/>
    <x v="2"/>
  </r>
  <r>
    <n v="1099594"/>
    <x v="243"/>
    <x v="12"/>
    <x v="381"/>
    <x v="398"/>
  </r>
  <r>
    <n v="1099594"/>
    <x v="243"/>
    <x v="12"/>
    <x v="380"/>
    <x v="397"/>
  </r>
  <r>
    <n v="1099594"/>
    <x v="243"/>
    <x v="12"/>
    <x v="382"/>
    <x v="399"/>
  </r>
  <r>
    <n v="1099594"/>
    <x v="243"/>
    <x v="12"/>
    <x v="378"/>
    <x v="395"/>
  </r>
  <r>
    <n v="1099594"/>
    <x v="243"/>
    <x v="12"/>
    <x v="379"/>
    <x v="396"/>
  </r>
  <r>
    <n v="1099594"/>
    <x v="1"/>
    <x v="1"/>
    <x v="2"/>
    <x v="2"/>
  </r>
  <r>
    <n v="1099595"/>
    <x v="244"/>
    <x v="0"/>
    <x v="447"/>
    <x v="2"/>
  </r>
  <r>
    <n v="1099595"/>
    <x v="1"/>
    <x v="1"/>
    <x v="2"/>
    <x v="2"/>
  </r>
  <r>
    <n v="1099601"/>
    <x v="245"/>
    <x v="5"/>
    <x v="88"/>
    <x v="670"/>
  </r>
  <r>
    <n v="1099601"/>
    <x v="245"/>
    <x v="5"/>
    <x v="100"/>
    <x v="671"/>
  </r>
  <r>
    <n v="1099601"/>
    <x v="245"/>
    <x v="5"/>
    <x v="92"/>
    <x v="672"/>
  </r>
  <r>
    <n v="1099601"/>
    <x v="245"/>
    <x v="5"/>
    <x v="448"/>
    <x v="3"/>
  </r>
  <r>
    <n v="1099601"/>
    <x v="245"/>
    <x v="5"/>
    <x v="99"/>
    <x v="673"/>
  </r>
  <r>
    <n v="1099601"/>
    <x v="1"/>
    <x v="1"/>
    <x v="2"/>
    <x v="2"/>
  </r>
  <r>
    <n v="1099605"/>
    <x v="246"/>
    <x v="3"/>
    <x v="161"/>
    <x v="163"/>
  </r>
  <r>
    <n v="1099605"/>
    <x v="246"/>
    <x v="3"/>
    <x v="131"/>
    <x v="34"/>
  </r>
  <r>
    <n v="1099605"/>
    <x v="246"/>
    <x v="3"/>
    <x v="143"/>
    <x v="91"/>
  </r>
  <r>
    <n v="1099605"/>
    <x v="246"/>
    <x v="3"/>
    <x v="153"/>
    <x v="147"/>
  </r>
  <r>
    <n v="1099605"/>
    <x v="246"/>
    <x v="3"/>
    <x v="160"/>
    <x v="162"/>
  </r>
  <r>
    <n v="1099605"/>
    <x v="246"/>
    <x v="3"/>
    <x v="129"/>
    <x v="42"/>
  </r>
  <r>
    <n v="1099605"/>
    <x v="246"/>
    <x v="3"/>
    <x v="152"/>
    <x v="156"/>
  </r>
  <r>
    <n v="1099605"/>
    <x v="246"/>
    <x v="3"/>
    <x v="142"/>
    <x v="152"/>
  </r>
  <r>
    <n v="1099605"/>
    <x v="246"/>
    <x v="3"/>
    <x v="158"/>
    <x v="160"/>
  </r>
  <r>
    <n v="1099605"/>
    <x v="246"/>
    <x v="3"/>
    <x v="127"/>
    <x v="97"/>
  </r>
  <r>
    <n v="1099605"/>
    <x v="246"/>
    <x v="3"/>
    <x v="138"/>
    <x v="149"/>
  </r>
  <r>
    <n v="1099605"/>
    <x v="246"/>
    <x v="3"/>
    <x v="150"/>
    <x v="155"/>
  </r>
  <r>
    <n v="1099605"/>
    <x v="246"/>
    <x v="3"/>
    <x v="124"/>
    <x v="62"/>
  </r>
  <r>
    <n v="1099605"/>
    <x v="246"/>
    <x v="3"/>
    <x v="135"/>
    <x v="64"/>
  </r>
  <r>
    <n v="1099605"/>
    <x v="246"/>
    <x v="3"/>
    <x v="147"/>
    <x v="24"/>
  </r>
  <r>
    <n v="1099605"/>
    <x v="246"/>
    <x v="3"/>
    <x v="155"/>
    <x v="157"/>
  </r>
  <r>
    <n v="1099605"/>
    <x v="246"/>
    <x v="3"/>
    <x v="151"/>
    <x v="35"/>
  </r>
  <r>
    <n v="1099605"/>
    <x v="246"/>
    <x v="3"/>
    <x v="157"/>
    <x v="159"/>
  </r>
  <r>
    <n v="1099605"/>
    <x v="246"/>
    <x v="3"/>
    <x v="126"/>
    <x v="82"/>
  </r>
  <r>
    <n v="1099605"/>
    <x v="246"/>
    <x v="3"/>
    <x v="137"/>
    <x v="79"/>
  </r>
  <r>
    <n v="1099605"/>
    <x v="246"/>
    <x v="3"/>
    <x v="149"/>
    <x v="154"/>
  </r>
  <r>
    <n v="1099605"/>
    <x v="246"/>
    <x v="3"/>
    <x v="154"/>
    <x v="149"/>
  </r>
  <r>
    <n v="1099605"/>
    <x v="246"/>
    <x v="3"/>
    <x v="133"/>
    <x v="147"/>
  </r>
  <r>
    <n v="1099605"/>
    <x v="246"/>
    <x v="3"/>
    <x v="145"/>
    <x v="153"/>
  </r>
  <r>
    <n v="1099605"/>
    <x v="246"/>
    <x v="3"/>
    <x v="139"/>
    <x v="37"/>
  </r>
  <r>
    <n v="1099605"/>
    <x v="246"/>
    <x v="3"/>
    <x v="159"/>
    <x v="161"/>
  </r>
  <r>
    <n v="1099605"/>
    <x v="246"/>
    <x v="3"/>
    <x v="128"/>
    <x v="92"/>
  </r>
  <r>
    <n v="1099605"/>
    <x v="246"/>
    <x v="3"/>
    <x v="141"/>
    <x v="151"/>
  </r>
  <r>
    <n v="1099605"/>
    <x v="246"/>
    <x v="3"/>
    <x v="125"/>
    <x v="144"/>
  </r>
  <r>
    <n v="1099605"/>
    <x v="246"/>
    <x v="3"/>
    <x v="136"/>
    <x v="82"/>
  </r>
  <r>
    <n v="1099605"/>
    <x v="246"/>
    <x v="3"/>
    <x v="148"/>
    <x v="144"/>
  </r>
  <r>
    <n v="1099605"/>
    <x v="246"/>
    <x v="3"/>
    <x v="156"/>
    <x v="158"/>
  </r>
  <r>
    <n v="1099605"/>
    <x v="246"/>
    <x v="3"/>
    <x v="163"/>
    <x v="83"/>
  </r>
  <r>
    <n v="1099605"/>
    <x v="246"/>
    <x v="3"/>
    <x v="134"/>
    <x v="148"/>
  </r>
  <r>
    <n v="1099605"/>
    <x v="246"/>
    <x v="3"/>
    <x v="130"/>
    <x v="145"/>
  </r>
  <r>
    <n v="1099605"/>
    <x v="246"/>
    <x v="3"/>
    <x v="144"/>
    <x v="84"/>
  </r>
  <r>
    <n v="1099605"/>
    <x v="246"/>
    <x v="3"/>
    <x v="132"/>
    <x v="146"/>
  </r>
  <r>
    <n v="1099605"/>
    <x v="246"/>
    <x v="3"/>
    <x v="146"/>
    <x v="78"/>
  </r>
  <r>
    <n v="1099605"/>
    <x v="246"/>
    <x v="3"/>
    <x v="140"/>
    <x v="150"/>
  </r>
  <r>
    <n v="1099605"/>
    <x v="246"/>
    <x v="3"/>
    <x v="162"/>
    <x v="164"/>
  </r>
  <r>
    <n v="1099605"/>
    <x v="1"/>
    <x v="1"/>
    <x v="2"/>
    <x v="2"/>
  </r>
  <r>
    <n v="1099606"/>
    <x v="247"/>
    <x v="3"/>
    <x v="158"/>
    <x v="160"/>
  </r>
  <r>
    <n v="1099606"/>
    <x v="247"/>
    <x v="3"/>
    <x v="127"/>
    <x v="97"/>
  </r>
  <r>
    <n v="1099606"/>
    <x v="247"/>
    <x v="3"/>
    <x v="138"/>
    <x v="149"/>
  </r>
  <r>
    <n v="1099606"/>
    <x v="247"/>
    <x v="3"/>
    <x v="150"/>
    <x v="155"/>
  </r>
  <r>
    <n v="1099606"/>
    <x v="247"/>
    <x v="3"/>
    <x v="124"/>
    <x v="62"/>
  </r>
  <r>
    <n v="1099606"/>
    <x v="247"/>
    <x v="3"/>
    <x v="135"/>
    <x v="64"/>
  </r>
  <r>
    <n v="1099606"/>
    <x v="247"/>
    <x v="3"/>
    <x v="147"/>
    <x v="24"/>
  </r>
  <r>
    <n v="1099606"/>
    <x v="247"/>
    <x v="3"/>
    <x v="155"/>
    <x v="157"/>
  </r>
  <r>
    <n v="1099606"/>
    <x v="247"/>
    <x v="3"/>
    <x v="157"/>
    <x v="159"/>
  </r>
  <r>
    <n v="1099606"/>
    <x v="247"/>
    <x v="3"/>
    <x v="126"/>
    <x v="82"/>
  </r>
  <r>
    <n v="1099606"/>
    <x v="247"/>
    <x v="3"/>
    <x v="137"/>
    <x v="79"/>
  </r>
  <r>
    <n v="1099606"/>
    <x v="247"/>
    <x v="3"/>
    <x v="149"/>
    <x v="154"/>
  </r>
  <r>
    <n v="1099606"/>
    <x v="247"/>
    <x v="3"/>
    <x v="130"/>
    <x v="145"/>
  </r>
  <r>
    <n v="1099606"/>
    <x v="247"/>
    <x v="3"/>
    <x v="154"/>
    <x v="149"/>
  </r>
  <r>
    <n v="1099606"/>
    <x v="247"/>
    <x v="3"/>
    <x v="133"/>
    <x v="147"/>
  </r>
  <r>
    <n v="1099606"/>
    <x v="247"/>
    <x v="3"/>
    <x v="145"/>
    <x v="153"/>
  </r>
  <r>
    <n v="1099606"/>
    <x v="247"/>
    <x v="3"/>
    <x v="139"/>
    <x v="37"/>
  </r>
  <r>
    <n v="1099606"/>
    <x v="247"/>
    <x v="3"/>
    <x v="159"/>
    <x v="161"/>
  </r>
  <r>
    <n v="1099606"/>
    <x v="247"/>
    <x v="3"/>
    <x v="128"/>
    <x v="92"/>
  </r>
  <r>
    <n v="1099606"/>
    <x v="247"/>
    <x v="3"/>
    <x v="141"/>
    <x v="151"/>
  </r>
  <r>
    <n v="1099606"/>
    <x v="247"/>
    <x v="3"/>
    <x v="151"/>
    <x v="35"/>
  </r>
  <r>
    <n v="1099606"/>
    <x v="247"/>
    <x v="3"/>
    <x v="125"/>
    <x v="144"/>
  </r>
  <r>
    <n v="1099606"/>
    <x v="247"/>
    <x v="3"/>
    <x v="136"/>
    <x v="82"/>
  </r>
  <r>
    <n v="1099606"/>
    <x v="247"/>
    <x v="3"/>
    <x v="148"/>
    <x v="144"/>
  </r>
  <r>
    <n v="1099606"/>
    <x v="247"/>
    <x v="3"/>
    <x v="156"/>
    <x v="158"/>
  </r>
  <r>
    <n v="1099606"/>
    <x v="247"/>
    <x v="3"/>
    <x v="163"/>
    <x v="83"/>
  </r>
  <r>
    <n v="1099606"/>
    <x v="247"/>
    <x v="3"/>
    <x v="134"/>
    <x v="148"/>
  </r>
  <r>
    <n v="1099606"/>
    <x v="247"/>
    <x v="3"/>
    <x v="146"/>
    <x v="78"/>
  </r>
  <r>
    <n v="1099606"/>
    <x v="247"/>
    <x v="3"/>
    <x v="140"/>
    <x v="150"/>
  </r>
  <r>
    <n v="1099606"/>
    <x v="247"/>
    <x v="3"/>
    <x v="162"/>
    <x v="164"/>
  </r>
  <r>
    <n v="1099606"/>
    <x v="247"/>
    <x v="3"/>
    <x v="132"/>
    <x v="146"/>
  </r>
  <r>
    <n v="1099606"/>
    <x v="247"/>
    <x v="3"/>
    <x v="144"/>
    <x v="84"/>
  </r>
  <r>
    <n v="1099606"/>
    <x v="247"/>
    <x v="3"/>
    <x v="161"/>
    <x v="163"/>
  </r>
  <r>
    <n v="1099606"/>
    <x v="247"/>
    <x v="3"/>
    <x v="131"/>
    <x v="34"/>
  </r>
  <r>
    <n v="1099606"/>
    <x v="247"/>
    <x v="3"/>
    <x v="143"/>
    <x v="91"/>
  </r>
  <r>
    <n v="1099606"/>
    <x v="247"/>
    <x v="3"/>
    <x v="153"/>
    <x v="147"/>
  </r>
  <r>
    <n v="1099606"/>
    <x v="247"/>
    <x v="3"/>
    <x v="160"/>
    <x v="162"/>
  </r>
  <r>
    <n v="1099606"/>
    <x v="247"/>
    <x v="3"/>
    <x v="129"/>
    <x v="42"/>
  </r>
  <r>
    <n v="1099606"/>
    <x v="247"/>
    <x v="3"/>
    <x v="142"/>
    <x v="152"/>
  </r>
  <r>
    <n v="1099606"/>
    <x v="247"/>
    <x v="3"/>
    <x v="152"/>
    <x v="156"/>
  </r>
  <r>
    <n v="1099606"/>
    <x v="1"/>
    <x v="1"/>
    <x v="2"/>
    <x v="2"/>
  </r>
  <r>
    <n v="1099609"/>
    <x v="248"/>
    <x v="6"/>
    <x v="432"/>
    <x v="448"/>
  </r>
  <r>
    <n v="1099609"/>
    <x v="248"/>
    <x v="6"/>
    <x v="431"/>
    <x v="588"/>
  </r>
  <r>
    <n v="1099609"/>
    <x v="248"/>
    <x v="6"/>
    <x v="435"/>
    <x v="441"/>
  </r>
  <r>
    <n v="1099609"/>
    <x v="248"/>
    <x v="6"/>
    <x v="434"/>
    <x v="586"/>
  </r>
  <r>
    <n v="1099609"/>
    <x v="248"/>
    <x v="6"/>
    <x v="437"/>
    <x v="584"/>
  </r>
  <r>
    <n v="1099609"/>
    <x v="248"/>
    <x v="6"/>
    <x v="436"/>
    <x v="587"/>
  </r>
  <r>
    <n v="1099609"/>
    <x v="248"/>
    <x v="6"/>
    <x v="430"/>
    <x v="590"/>
  </r>
  <r>
    <n v="1099609"/>
    <x v="248"/>
    <x v="6"/>
    <x v="428"/>
    <x v="589"/>
  </r>
  <r>
    <n v="1099609"/>
    <x v="248"/>
    <x v="6"/>
    <x v="429"/>
    <x v="585"/>
  </r>
  <r>
    <n v="1099609"/>
    <x v="248"/>
    <x v="6"/>
    <x v="433"/>
    <x v="368"/>
  </r>
  <r>
    <n v="1099609"/>
    <x v="1"/>
    <x v="1"/>
    <x v="2"/>
    <x v="2"/>
  </r>
  <r>
    <n v="1099610"/>
    <x v="249"/>
    <x v="3"/>
    <x v="263"/>
    <x v="226"/>
  </r>
  <r>
    <n v="1099610"/>
    <x v="249"/>
    <x v="3"/>
    <x v="259"/>
    <x v="197"/>
  </r>
  <r>
    <n v="1099610"/>
    <x v="249"/>
    <x v="3"/>
    <x v="210"/>
    <x v="147"/>
  </r>
  <r>
    <n v="1099610"/>
    <x v="249"/>
    <x v="3"/>
    <x v="215"/>
    <x v="77"/>
  </r>
  <r>
    <n v="1099610"/>
    <x v="249"/>
    <x v="3"/>
    <x v="225"/>
    <x v="59"/>
  </r>
  <r>
    <n v="1099610"/>
    <x v="249"/>
    <x v="3"/>
    <x v="230"/>
    <x v="210"/>
  </r>
  <r>
    <n v="1099610"/>
    <x v="249"/>
    <x v="3"/>
    <x v="235"/>
    <x v="214"/>
  </r>
  <r>
    <n v="1099610"/>
    <x v="249"/>
    <x v="3"/>
    <x v="240"/>
    <x v="82"/>
  </r>
  <r>
    <n v="1099610"/>
    <x v="249"/>
    <x v="3"/>
    <x v="245"/>
    <x v="218"/>
  </r>
  <r>
    <n v="1099610"/>
    <x v="249"/>
    <x v="3"/>
    <x v="218"/>
    <x v="202"/>
  </r>
  <r>
    <n v="1099610"/>
    <x v="249"/>
    <x v="3"/>
    <x v="255"/>
    <x v="222"/>
  </r>
  <r>
    <n v="1099610"/>
    <x v="249"/>
    <x v="3"/>
    <x v="260"/>
    <x v="225"/>
  </r>
  <r>
    <n v="1099610"/>
    <x v="249"/>
    <x v="3"/>
    <x v="264"/>
    <x v="153"/>
  </r>
  <r>
    <n v="1099610"/>
    <x v="249"/>
    <x v="3"/>
    <x v="207"/>
    <x v="196"/>
  </r>
  <r>
    <n v="1099610"/>
    <x v="249"/>
    <x v="3"/>
    <x v="211"/>
    <x v="153"/>
  </r>
  <r>
    <n v="1099610"/>
    <x v="249"/>
    <x v="3"/>
    <x v="216"/>
    <x v="114"/>
  </r>
  <r>
    <n v="1099610"/>
    <x v="249"/>
    <x v="3"/>
    <x v="226"/>
    <x v="206"/>
  </r>
  <r>
    <n v="1099610"/>
    <x v="249"/>
    <x v="3"/>
    <x v="231"/>
    <x v="211"/>
  </r>
  <r>
    <n v="1099610"/>
    <x v="249"/>
    <x v="3"/>
    <x v="236"/>
    <x v="173"/>
  </r>
  <r>
    <n v="1099610"/>
    <x v="249"/>
    <x v="3"/>
    <x v="241"/>
    <x v="217"/>
  </r>
  <r>
    <n v="1099610"/>
    <x v="249"/>
    <x v="3"/>
    <x v="246"/>
    <x v="219"/>
  </r>
  <r>
    <n v="1099610"/>
    <x v="249"/>
    <x v="3"/>
    <x v="219"/>
    <x v="203"/>
  </r>
  <r>
    <n v="1099610"/>
    <x v="249"/>
    <x v="3"/>
    <x v="253"/>
    <x v="119"/>
  </r>
  <r>
    <n v="1099610"/>
    <x v="249"/>
    <x v="3"/>
    <x v="258"/>
    <x v="77"/>
  </r>
  <r>
    <n v="1099610"/>
    <x v="249"/>
    <x v="3"/>
    <x v="262"/>
    <x v="164"/>
  </r>
  <r>
    <n v="1099610"/>
    <x v="249"/>
    <x v="3"/>
    <x v="205"/>
    <x v="77"/>
  </r>
  <r>
    <n v="1099610"/>
    <x v="249"/>
    <x v="3"/>
    <x v="209"/>
    <x v="198"/>
  </r>
  <r>
    <n v="1099610"/>
    <x v="249"/>
    <x v="3"/>
    <x v="214"/>
    <x v="77"/>
  </r>
  <r>
    <n v="1099610"/>
    <x v="249"/>
    <x v="3"/>
    <x v="224"/>
    <x v="93"/>
  </r>
  <r>
    <n v="1099610"/>
    <x v="249"/>
    <x v="3"/>
    <x v="229"/>
    <x v="209"/>
  </r>
  <r>
    <n v="1099610"/>
    <x v="249"/>
    <x v="3"/>
    <x v="234"/>
    <x v="175"/>
  </r>
  <r>
    <n v="1099610"/>
    <x v="249"/>
    <x v="3"/>
    <x v="239"/>
    <x v="119"/>
  </r>
  <r>
    <n v="1099610"/>
    <x v="249"/>
    <x v="3"/>
    <x v="244"/>
    <x v="213"/>
  </r>
  <r>
    <n v="1099610"/>
    <x v="249"/>
    <x v="3"/>
    <x v="217"/>
    <x v="201"/>
  </r>
  <r>
    <n v="1099610"/>
    <x v="249"/>
    <x v="3"/>
    <x v="256"/>
    <x v="223"/>
  </r>
  <r>
    <n v="1099610"/>
    <x v="249"/>
    <x v="3"/>
    <x v="261"/>
    <x v="92"/>
  </r>
  <r>
    <n v="1099610"/>
    <x v="249"/>
    <x v="3"/>
    <x v="265"/>
    <x v="176"/>
  </r>
  <r>
    <n v="1099610"/>
    <x v="249"/>
    <x v="3"/>
    <x v="208"/>
    <x v="197"/>
  </r>
  <r>
    <n v="1099610"/>
    <x v="249"/>
    <x v="3"/>
    <x v="212"/>
    <x v="199"/>
  </r>
  <r>
    <n v="1099610"/>
    <x v="249"/>
    <x v="3"/>
    <x v="222"/>
    <x v="205"/>
  </r>
  <r>
    <n v="1099610"/>
    <x v="249"/>
    <x v="3"/>
    <x v="227"/>
    <x v="207"/>
  </r>
  <r>
    <n v="1099610"/>
    <x v="249"/>
    <x v="3"/>
    <x v="232"/>
    <x v="212"/>
  </r>
  <r>
    <n v="1099610"/>
    <x v="249"/>
    <x v="3"/>
    <x v="237"/>
    <x v="215"/>
  </r>
  <r>
    <n v="1099610"/>
    <x v="249"/>
    <x v="3"/>
    <x v="242"/>
    <x v="85"/>
  </r>
  <r>
    <n v="1099610"/>
    <x v="249"/>
    <x v="3"/>
    <x v="247"/>
    <x v="119"/>
  </r>
  <r>
    <n v="1099610"/>
    <x v="249"/>
    <x v="3"/>
    <x v="220"/>
    <x v="105"/>
  </r>
  <r>
    <n v="1099610"/>
    <x v="249"/>
    <x v="3"/>
    <x v="251"/>
    <x v="176"/>
  </r>
  <r>
    <n v="1099610"/>
    <x v="249"/>
    <x v="3"/>
    <x v="257"/>
    <x v="224"/>
  </r>
  <r>
    <n v="1099610"/>
    <x v="249"/>
    <x v="3"/>
    <x v="249"/>
    <x v="220"/>
  </r>
  <r>
    <n v="1099610"/>
    <x v="249"/>
    <x v="3"/>
    <x v="204"/>
    <x v="97"/>
  </r>
  <r>
    <n v="1099610"/>
    <x v="249"/>
    <x v="3"/>
    <x v="250"/>
    <x v="34"/>
  </r>
  <r>
    <n v="1099610"/>
    <x v="249"/>
    <x v="3"/>
    <x v="213"/>
    <x v="200"/>
  </r>
  <r>
    <n v="1099610"/>
    <x v="249"/>
    <x v="3"/>
    <x v="223"/>
    <x v="3"/>
  </r>
  <r>
    <n v="1099610"/>
    <x v="249"/>
    <x v="3"/>
    <x v="228"/>
    <x v="208"/>
  </r>
  <r>
    <n v="1099610"/>
    <x v="249"/>
    <x v="3"/>
    <x v="233"/>
    <x v="213"/>
  </r>
  <r>
    <n v="1099610"/>
    <x v="249"/>
    <x v="3"/>
    <x v="238"/>
    <x v="216"/>
  </r>
  <r>
    <n v="1099610"/>
    <x v="249"/>
    <x v="3"/>
    <x v="243"/>
    <x v="163"/>
  </r>
  <r>
    <n v="1099610"/>
    <x v="249"/>
    <x v="3"/>
    <x v="248"/>
    <x v="161"/>
  </r>
  <r>
    <n v="1099610"/>
    <x v="249"/>
    <x v="3"/>
    <x v="221"/>
    <x v="204"/>
  </r>
  <r>
    <n v="1099610"/>
    <x v="249"/>
    <x v="3"/>
    <x v="252"/>
    <x v="97"/>
  </r>
  <r>
    <n v="1099610"/>
    <x v="249"/>
    <x v="3"/>
    <x v="254"/>
    <x v="221"/>
  </r>
  <r>
    <n v="1099610"/>
    <x v="249"/>
    <x v="3"/>
    <x v="206"/>
    <x v="144"/>
  </r>
  <r>
    <n v="1099610"/>
    <x v="1"/>
    <x v="1"/>
    <x v="2"/>
    <x v="2"/>
  </r>
  <r>
    <n v="1099616"/>
    <x v="250"/>
    <x v="5"/>
    <x v="285"/>
    <x v="674"/>
  </r>
  <r>
    <n v="1099616"/>
    <x v="250"/>
    <x v="5"/>
    <x v="280"/>
    <x v="408"/>
  </r>
  <r>
    <n v="1099616"/>
    <x v="250"/>
    <x v="5"/>
    <x v="279"/>
    <x v="675"/>
  </r>
  <r>
    <n v="1099616"/>
    <x v="250"/>
    <x v="5"/>
    <x v="281"/>
    <x v="676"/>
  </r>
  <r>
    <n v="1099616"/>
    <x v="1"/>
    <x v="1"/>
    <x v="2"/>
    <x v="2"/>
  </r>
  <r>
    <n v="1099618"/>
    <x v="251"/>
    <x v="12"/>
    <x v="380"/>
    <x v="397"/>
  </r>
  <r>
    <n v="1099618"/>
    <x v="251"/>
    <x v="12"/>
    <x v="381"/>
    <x v="398"/>
  </r>
  <r>
    <n v="1099618"/>
    <x v="251"/>
    <x v="12"/>
    <x v="379"/>
    <x v="396"/>
  </r>
  <r>
    <n v="1099618"/>
    <x v="251"/>
    <x v="12"/>
    <x v="378"/>
    <x v="395"/>
  </r>
  <r>
    <n v="1099618"/>
    <x v="251"/>
    <x v="12"/>
    <x v="382"/>
    <x v="399"/>
  </r>
  <r>
    <n v="1099618"/>
    <x v="1"/>
    <x v="1"/>
    <x v="2"/>
    <x v="2"/>
  </r>
  <r>
    <n v="1099619"/>
    <x v="252"/>
    <x v="5"/>
    <x v="329"/>
    <x v="502"/>
  </r>
  <r>
    <n v="1099619"/>
    <x v="252"/>
    <x v="5"/>
    <x v="328"/>
    <x v="501"/>
  </r>
  <r>
    <n v="1099619"/>
    <x v="1"/>
    <x v="1"/>
    <x v="2"/>
    <x v="2"/>
  </r>
  <r>
    <n v="1099621"/>
    <x v="253"/>
    <x v="13"/>
    <x v="167"/>
    <x v="2"/>
  </r>
  <r>
    <n v="1099621"/>
    <x v="1"/>
    <x v="1"/>
    <x v="2"/>
    <x v="2"/>
  </r>
  <r>
    <n v="1099622"/>
    <x v="254"/>
    <x v="8"/>
    <x v="193"/>
    <x v="482"/>
  </r>
  <r>
    <n v="1099622"/>
    <x v="254"/>
    <x v="8"/>
    <x v="183"/>
    <x v="472"/>
  </r>
  <r>
    <n v="1099622"/>
    <x v="254"/>
    <x v="8"/>
    <x v="177"/>
    <x v="485"/>
  </r>
  <r>
    <n v="1099622"/>
    <x v="254"/>
    <x v="8"/>
    <x v="173"/>
    <x v="148"/>
  </r>
  <r>
    <n v="1099622"/>
    <x v="254"/>
    <x v="8"/>
    <x v="192"/>
    <x v="65"/>
  </r>
  <r>
    <n v="1099622"/>
    <x v="254"/>
    <x v="8"/>
    <x v="182"/>
    <x v="69"/>
  </r>
  <r>
    <n v="1099622"/>
    <x v="254"/>
    <x v="8"/>
    <x v="194"/>
    <x v="474"/>
  </r>
  <r>
    <n v="1099622"/>
    <x v="254"/>
    <x v="8"/>
    <x v="168"/>
    <x v="65"/>
  </r>
  <r>
    <n v="1099622"/>
    <x v="254"/>
    <x v="8"/>
    <x v="170"/>
    <x v="480"/>
  </r>
  <r>
    <n v="1099622"/>
    <x v="254"/>
    <x v="8"/>
    <x v="184"/>
    <x v="135"/>
  </r>
  <r>
    <n v="1099622"/>
    <x v="254"/>
    <x v="8"/>
    <x v="178"/>
    <x v="387"/>
  </r>
  <r>
    <n v="1099622"/>
    <x v="254"/>
    <x v="8"/>
    <x v="174"/>
    <x v="477"/>
  </r>
  <r>
    <n v="1099622"/>
    <x v="254"/>
    <x v="8"/>
    <x v="171"/>
    <x v="331"/>
  </r>
  <r>
    <n v="1099622"/>
    <x v="254"/>
    <x v="8"/>
    <x v="169"/>
    <x v="368"/>
  </r>
  <r>
    <n v="1099622"/>
    <x v="254"/>
    <x v="8"/>
    <x v="188"/>
    <x v="481"/>
  </r>
  <r>
    <n v="1099622"/>
    <x v="254"/>
    <x v="8"/>
    <x v="189"/>
    <x v="484"/>
  </r>
  <r>
    <n v="1099622"/>
    <x v="254"/>
    <x v="8"/>
    <x v="195"/>
    <x v="475"/>
  </r>
  <r>
    <n v="1099622"/>
    <x v="254"/>
    <x v="8"/>
    <x v="180"/>
    <x v="19"/>
  </r>
  <r>
    <n v="1099622"/>
    <x v="254"/>
    <x v="8"/>
    <x v="176"/>
    <x v="483"/>
  </r>
  <r>
    <n v="1099622"/>
    <x v="254"/>
    <x v="8"/>
    <x v="185"/>
    <x v="34"/>
  </r>
  <r>
    <n v="1099622"/>
    <x v="254"/>
    <x v="8"/>
    <x v="187"/>
    <x v="478"/>
  </r>
  <r>
    <n v="1099622"/>
    <x v="254"/>
    <x v="8"/>
    <x v="190"/>
    <x v="71"/>
  </r>
  <r>
    <n v="1099622"/>
    <x v="254"/>
    <x v="8"/>
    <x v="179"/>
    <x v="226"/>
  </r>
  <r>
    <n v="1099622"/>
    <x v="254"/>
    <x v="8"/>
    <x v="175"/>
    <x v="258"/>
  </r>
  <r>
    <n v="1099622"/>
    <x v="254"/>
    <x v="8"/>
    <x v="172"/>
    <x v="473"/>
  </r>
  <r>
    <n v="1099622"/>
    <x v="254"/>
    <x v="8"/>
    <x v="186"/>
    <x v="476"/>
  </r>
  <r>
    <n v="1099622"/>
    <x v="254"/>
    <x v="8"/>
    <x v="191"/>
    <x v="479"/>
  </r>
  <r>
    <n v="1099622"/>
    <x v="254"/>
    <x v="8"/>
    <x v="181"/>
    <x v="294"/>
  </r>
  <r>
    <n v="1099622"/>
    <x v="1"/>
    <x v="1"/>
    <x v="2"/>
    <x v="2"/>
  </r>
  <r>
    <n v="1099624"/>
    <x v="255"/>
    <x v="2"/>
    <x v="167"/>
    <x v="2"/>
  </r>
  <r>
    <n v="1099624"/>
    <x v="1"/>
    <x v="1"/>
    <x v="2"/>
    <x v="2"/>
  </r>
  <r>
    <n v="1099626"/>
    <x v="256"/>
    <x v="2"/>
    <x v="83"/>
    <x v="185"/>
  </r>
  <r>
    <n v="1099626"/>
    <x v="256"/>
    <x v="2"/>
    <x v="69"/>
    <x v="525"/>
  </r>
  <r>
    <n v="1099626"/>
    <x v="256"/>
    <x v="2"/>
    <x v="64"/>
    <x v="524"/>
  </r>
  <r>
    <n v="1099626"/>
    <x v="256"/>
    <x v="2"/>
    <x v="55"/>
    <x v="146"/>
  </r>
  <r>
    <n v="1099626"/>
    <x v="256"/>
    <x v="2"/>
    <x v="73"/>
    <x v="347"/>
  </r>
  <r>
    <n v="1099626"/>
    <x v="256"/>
    <x v="2"/>
    <x v="80"/>
    <x v="523"/>
  </r>
  <r>
    <n v="1099626"/>
    <x v="256"/>
    <x v="2"/>
    <x v="57"/>
    <x v="522"/>
  </r>
  <r>
    <n v="1099626"/>
    <x v="256"/>
    <x v="2"/>
    <x v="67"/>
    <x v="35"/>
  </r>
  <r>
    <n v="1099626"/>
    <x v="256"/>
    <x v="2"/>
    <x v="81"/>
    <x v="477"/>
  </r>
  <r>
    <n v="1099626"/>
    <x v="256"/>
    <x v="2"/>
    <x v="59"/>
    <x v="521"/>
  </r>
  <r>
    <n v="1099626"/>
    <x v="1"/>
    <x v="1"/>
    <x v="2"/>
    <x v="2"/>
  </r>
  <r>
    <n v="1099627"/>
    <x v="257"/>
    <x v="7"/>
    <x v="324"/>
    <x v="677"/>
  </r>
  <r>
    <n v="1099627"/>
    <x v="257"/>
    <x v="7"/>
    <x v="325"/>
    <x v="678"/>
  </r>
  <r>
    <n v="1099627"/>
    <x v="1"/>
    <x v="1"/>
    <x v="2"/>
    <x v="2"/>
  </r>
  <r>
    <n v="1099628"/>
    <x v="258"/>
    <x v="5"/>
    <x v="94"/>
    <x v="679"/>
  </r>
  <r>
    <n v="1099628"/>
    <x v="258"/>
    <x v="5"/>
    <x v="96"/>
    <x v="680"/>
  </r>
  <r>
    <n v="1099628"/>
    <x v="258"/>
    <x v="5"/>
    <x v="95"/>
    <x v="681"/>
  </r>
  <r>
    <n v="1099628"/>
    <x v="258"/>
    <x v="5"/>
    <x v="91"/>
    <x v="682"/>
  </r>
  <r>
    <n v="1099628"/>
    <x v="1"/>
    <x v="1"/>
    <x v="2"/>
    <x v="2"/>
  </r>
  <r>
    <n v="1099629"/>
    <x v="259"/>
    <x v="5"/>
    <x v="412"/>
    <x v="182"/>
  </r>
  <r>
    <n v="1099629"/>
    <x v="259"/>
    <x v="5"/>
    <x v="86"/>
    <x v="683"/>
  </r>
  <r>
    <n v="1099629"/>
    <x v="259"/>
    <x v="5"/>
    <x v="85"/>
    <x v="684"/>
  </r>
  <r>
    <n v="1099629"/>
    <x v="259"/>
    <x v="5"/>
    <x v="397"/>
    <x v="321"/>
  </r>
  <r>
    <n v="1099629"/>
    <x v="259"/>
    <x v="5"/>
    <x v="407"/>
    <x v="96"/>
  </r>
  <r>
    <n v="1099629"/>
    <x v="259"/>
    <x v="5"/>
    <x v="402"/>
    <x v="685"/>
  </r>
  <r>
    <n v="1099629"/>
    <x v="1"/>
    <x v="1"/>
    <x v="2"/>
    <x v="2"/>
  </r>
  <r>
    <n v="1099632"/>
    <x v="260"/>
    <x v="7"/>
    <x v="109"/>
    <x v="131"/>
  </r>
  <r>
    <n v="1099632"/>
    <x v="260"/>
    <x v="7"/>
    <x v="108"/>
    <x v="130"/>
  </r>
  <r>
    <n v="1099632"/>
    <x v="1"/>
    <x v="1"/>
    <x v="2"/>
    <x v="2"/>
  </r>
  <r>
    <n v="1099635"/>
    <x v="261"/>
    <x v="9"/>
    <x v="272"/>
    <x v="2"/>
  </r>
  <r>
    <n v="1099635"/>
    <x v="1"/>
    <x v="1"/>
    <x v="2"/>
    <x v="2"/>
  </r>
  <r>
    <n v="1099636"/>
    <x v="262"/>
    <x v="2"/>
    <x v="167"/>
    <x v="2"/>
  </r>
  <r>
    <n v="1099636"/>
    <x v="1"/>
    <x v="1"/>
    <x v="2"/>
    <x v="2"/>
  </r>
  <r>
    <n v="1099638"/>
    <x v="263"/>
    <x v="10"/>
    <x v="330"/>
    <x v="2"/>
  </r>
  <r>
    <n v="1099638"/>
    <x v="1"/>
    <x v="1"/>
    <x v="2"/>
    <x v="2"/>
  </r>
  <r>
    <n v="1099639"/>
    <x v="264"/>
    <x v="3"/>
    <x v="6"/>
    <x v="233"/>
  </r>
  <r>
    <n v="1099639"/>
    <x v="264"/>
    <x v="3"/>
    <x v="14"/>
    <x v="402"/>
  </r>
  <r>
    <n v="1099639"/>
    <x v="264"/>
    <x v="3"/>
    <x v="346"/>
    <x v="233"/>
  </r>
  <r>
    <n v="1099639"/>
    <x v="264"/>
    <x v="3"/>
    <x v="352"/>
    <x v="219"/>
  </r>
  <r>
    <n v="1099639"/>
    <x v="264"/>
    <x v="3"/>
    <x v="344"/>
    <x v="404"/>
  </r>
  <r>
    <n v="1099639"/>
    <x v="264"/>
    <x v="3"/>
    <x v="349"/>
    <x v="407"/>
  </r>
  <r>
    <n v="1099639"/>
    <x v="264"/>
    <x v="3"/>
    <x v="337"/>
    <x v="413"/>
  </r>
  <r>
    <n v="1099639"/>
    <x v="264"/>
    <x v="3"/>
    <x v="342"/>
    <x v="227"/>
  </r>
  <r>
    <n v="1099639"/>
    <x v="264"/>
    <x v="3"/>
    <x v="8"/>
    <x v="180"/>
  </r>
  <r>
    <n v="1099639"/>
    <x v="264"/>
    <x v="3"/>
    <x v="332"/>
    <x v="410"/>
  </r>
  <r>
    <n v="1099639"/>
    <x v="264"/>
    <x v="3"/>
    <x v="339"/>
    <x v="414"/>
  </r>
  <r>
    <n v="1099639"/>
    <x v="264"/>
    <x v="3"/>
    <x v="11"/>
    <x v="228"/>
  </r>
  <r>
    <n v="1099639"/>
    <x v="264"/>
    <x v="3"/>
    <x v="348"/>
    <x v="123"/>
  </r>
  <r>
    <n v="1099639"/>
    <x v="264"/>
    <x v="3"/>
    <x v="336"/>
    <x v="412"/>
  </r>
  <r>
    <n v="1099639"/>
    <x v="264"/>
    <x v="3"/>
    <x v="9"/>
    <x v="380"/>
  </r>
  <r>
    <n v="1099639"/>
    <x v="264"/>
    <x v="3"/>
    <x v="10"/>
    <x v="405"/>
  </r>
  <r>
    <n v="1099639"/>
    <x v="264"/>
    <x v="3"/>
    <x v="331"/>
    <x v="48"/>
  </r>
  <r>
    <n v="1099639"/>
    <x v="264"/>
    <x v="3"/>
    <x v="338"/>
    <x v="404"/>
  </r>
  <r>
    <n v="1099639"/>
    <x v="264"/>
    <x v="3"/>
    <x v="345"/>
    <x v="408"/>
  </r>
  <r>
    <n v="1099639"/>
    <x v="264"/>
    <x v="3"/>
    <x v="351"/>
    <x v="406"/>
  </r>
  <r>
    <n v="1099639"/>
    <x v="264"/>
    <x v="3"/>
    <x v="12"/>
    <x v="3"/>
  </r>
  <r>
    <n v="1099639"/>
    <x v="264"/>
    <x v="3"/>
    <x v="347"/>
    <x v="409"/>
  </r>
  <r>
    <n v="1099639"/>
    <x v="264"/>
    <x v="3"/>
    <x v="335"/>
    <x v="415"/>
  </r>
  <r>
    <n v="1099639"/>
    <x v="264"/>
    <x v="3"/>
    <x v="5"/>
    <x v="346"/>
  </r>
  <r>
    <n v="1099639"/>
    <x v="264"/>
    <x v="3"/>
    <x v="7"/>
    <x v="406"/>
  </r>
  <r>
    <n v="1099639"/>
    <x v="264"/>
    <x v="3"/>
    <x v="13"/>
    <x v="407"/>
  </r>
  <r>
    <n v="1099639"/>
    <x v="264"/>
    <x v="3"/>
    <x v="333"/>
    <x v="409"/>
  </r>
  <r>
    <n v="1099639"/>
    <x v="264"/>
    <x v="3"/>
    <x v="350"/>
    <x v="53"/>
  </r>
  <r>
    <n v="1099639"/>
    <x v="264"/>
    <x v="3"/>
    <x v="340"/>
    <x v="400"/>
  </r>
  <r>
    <n v="1099639"/>
    <x v="264"/>
    <x v="3"/>
    <x v="343"/>
    <x v="401"/>
  </r>
  <r>
    <n v="1099639"/>
    <x v="264"/>
    <x v="3"/>
    <x v="15"/>
    <x v="403"/>
  </r>
  <r>
    <n v="1099639"/>
    <x v="264"/>
    <x v="3"/>
    <x v="334"/>
    <x v="411"/>
  </r>
  <r>
    <n v="1099639"/>
    <x v="1"/>
    <x v="1"/>
    <x v="2"/>
    <x v="2"/>
  </r>
  <r>
    <n v="1099641"/>
    <x v="265"/>
    <x v="13"/>
    <x v="422"/>
    <x v="512"/>
  </r>
  <r>
    <n v="1099641"/>
    <x v="265"/>
    <x v="13"/>
    <x v="421"/>
    <x v="511"/>
  </r>
  <r>
    <n v="1099641"/>
    <x v="1"/>
    <x v="1"/>
    <x v="2"/>
    <x v="2"/>
  </r>
  <r>
    <n v="1099644"/>
    <x v="266"/>
    <x v="2"/>
    <x v="353"/>
    <x v="2"/>
  </r>
  <r>
    <n v="1099644"/>
    <x v="1"/>
    <x v="1"/>
    <x v="2"/>
    <x v="2"/>
  </r>
  <r>
    <n v="1099648"/>
    <x v="267"/>
    <x v="12"/>
    <x v="382"/>
    <x v="399"/>
  </r>
  <r>
    <n v="1099648"/>
    <x v="267"/>
    <x v="12"/>
    <x v="380"/>
    <x v="397"/>
  </r>
  <r>
    <n v="1099648"/>
    <x v="267"/>
    <x v="12"/>
    <x v="379"/>
    <x v="396"/>
  </r>
  <r>
    <n v="1099648"/>
    <x v="267"/>
    <x v="12"/>
    <x v="378"/>
    <x v="395"/>
  </r>
  <r>
    <n v="1099648"/>
    <x v="267"/>
    <x v="12"/>
    <x v="381"/>
    <x v="398"/>
  </r>
  <r>
    <n v="1099648"/>
    <x v="1"/>
    <x v="1"/>
    <x v="2"/>
    <x v="2"/>
  </r>
  <r>
    <n v="1099649"/>
    <x v="268"/>
    <x v="3"/>
    <x v="5"/>
    <x v="516"/>
  </r>
  <r>
    <n v="1099649"/>
    <x v="268"/>
    <x v="3"/>
    <x v="235"/>
    <x v="173"/>
  </r>
  <r>
    <n v="1099649"/>
    <x v="268"/>
    <x v="3"/>
    <x v="239"/>
    <x v="119"/>
  </r>
  <r>
    <n v="1099649"/>
    <x v="268"/>
    <x v="3"/>
    <x v="218"/>
    <x v="84"/>
  </r>
  <r>
    <n v="1099649"/>
    <x v="268"/>
    <x v="3"/>
    <x v="14"/>
    <x v="175"/>
  </r>
  <r>
    <n v="1099649"/>
    <x v="268"/>
    <x v="3"/>
    <x v="343"/>
    <x v="80"/>
  </r>
  <r>
    <n v="1099649"/>
    <x v="268"/>
    <x v="3"/>
    <x v="226"/>
    <x v="517"/>
  </r>
  <r>
    <n v="1099649"/>
    <x v="268"/>
    <x v="3"/>
    <x v="245"/>
    <x v="212"/>
  </r>
  <r>
    <n v="1099649"/>
    <x v="268"/>
    <x v="3"/>
    <x v="141"/>
    <x v="153"/>
  </r>
  <r>
    <n v="1099649"/>
    <x v="268"/>
    <x v="3"/>
    <x v="157"/>
    <x v="514"/>
  </r>
  <r>
    <n v="1099649"/>
    <x v="268"/>
    <x v="3"/>
    <x v="143"/>
    <x v="221"/>
  </r>
  <r>
    <n v="1099649"/>
    <x v="268"/>
    <x v="3"/>
    <x v="155"/>
    <x v="518"/>
  </r>
  <r>
    <n v="1099649"/>
    <x v="268"/>
    <x v="3"/>
    <x v="217"/>
    <x v="201"/>
  </r>
  <r>
    <n v="1099649"/>
    <x v="268"/>
    <x v="3"/>
    <x v="11"/>
    <x v="145"/>
  </r>
  <r>
    <n v="1099649"/>
    <x v="268"/>
    <x v="3"/>
    <x v="229"/>
    <x v="513"/>
  </r>
  <r>
    <n v="1099649"/>
    <x v="268"/>
    <x v="3"/>
    <x v="318"/>
    <x v="232"/>
  </r>
  <r>
    <n v="1099649"/>
    <x v="268"/>
    <x v="3"/>
    <x v="10"/>
    <x v="364"/>
  </r>
  <r>
    <n v="1099649"/>
    <x v="268"/>
    <x v="3"/>
    <x v="8"/>
    <x v="62"/>
  </r>
  <r>
    <n v="1099649"/>
    <x v="268"/>
    <x v="3"/>
    <x v="237"/>
    <x v="519"/>
  </r>
  <r>
    <n v="1099649"/>
    <x v="268"/>
    <x v="3"/>
    <x v="251"/>
    <x v="98"/>
  </r>
  <r>
    <n v="1099649"/>
    <x v="268"/>
    <x v="3"/>
    <x v="342"/>
    <x v="145"/>
  </r>
  <r>
    <n v="1099649"/>
    <x v="268"/>
    <x v="3"/>
    <x v="15"/>
    <x v="441"/>
  </r>
  <r>
    <n v="1099649"/>
    <x v="268"/>
    <x v="3"/>
    <x v="152"/>
    <x v="347"/>
  </r>
  <r>
    <n v="1099649"/>
    <x v="268"/>
    <x v="3"/>
    <x v="228"/>
    <x v="515"/>
  </r>
  <r>
    <n v="1099649"/>
    <x v="268"/>
    <x v="3"/>
    <x v="313"/>
    <x v="520"/>
  </r>
  <r>
    <n v="1099649"/>
    <x v="268"/>
    <x v="3"/>
    <x v="315"/>
    <x v="368"/>
  </r>
  <r>
    <n v="1099649"/>
    <x v="268"/>
    <x v="3"/>
    <x v="9"/>
    <x v="147"/>
  </r>
  <r>
    <n v="1099649"/>
    <x v="268"/>
    <x v="3"/>
    <x v="150"/>
    <x v="150"/>
  </r>
  <r>
    <n v="1099649"/>
    <x v="268"/>
    <x v="3"/>
    <x v="240"/>
    <x v="82"/>
  </r>
  <r>
    <n v="1099649"/>
    <x v="268"/>
    <x v="3"/>
    <x v="344"/>
    <x v="84"/>
  </r>
  <r>
    <n v="1099649"/>
    <x v="268"/>
    <x v="3"/>
    <x v="246"/>
    <x v="392"/>
  </r>
  <r>
    <n v="1099649"/>
    <x v="1"/>
    <x v="1"/>
    <x v="2"/>
    <x v="2"/>
  </r>
  <r>
    <n v="1099650"/>
    <x v="269"/>
    <x v="2"/>
    <x v="276"/>
    <x v="2"/>
  </r>
  <r>
    <n v="1099650"/>
    <x v="1"/>
    <x v="1"/>
    <x v="2"/>
    <x v="2"/>
  </r>
  <r>
    <n v="1099651"/>
    <x v="270"/>
    <x v="2"/>
    <x v="276"/>
    <x v="2"/>
  </r>
  <r>
    <n v="1099651"/>
    <x v="1"/>
    <x v="1"/>
    <x v="2"/>
    <x v="2"/>
  </r>
  <r>
    <n v="1099653"/>
    <x v="271"/>
    <x v="5"/>
    <x v="276"/>
    <x v="2"/>
  </r>
  <r>
    <n v="1099653"/>
    <x v="1"/>
    <x v="1"/>
    <x v="2"/>
    <x v="2"/>
  </r>
  <r>
    <n v="1099654"/>
    <x v="272"/>
    <x v="2"/>
    <x v="276"/>
    <x v="2"/>
  </r>
  <r>
    <n v="1099654"/>
    <x v="1"/>
    <x v="1"/>
    <x v="2"/>
    <x v="2"/>
  </r>
  <r>
    <n v="1099655"/>
    <x v="273"/>
    <x v="2"/>
    <x v="78"/>
    <x v="235"/>
  </r>
  <r>
    <n v="1099655"/>
    <x v="273"/>
    <x v="2"/>
    <x v="84"/>
    <x v="232"/>
  </r>
  <r>
    <n v="1099655"/>
    <x v="273"/>
    <x v="2"/>
    <x v="76"/>
    <x v="231"/>
  </r>
  <r>
    <n v="1099655"/>
    <x v="273"/>
    <x v="2"/>
    <x v="68"/>
    <x v="230"/>
  </r>
  <r>
    <n v="1099655"/>
    <x v="273"/>
    <x v="2"/>
    <x v="56"/>
    <x v="228"/>
  </r>
  <r>
    <n v="1099655"/>
    <x v="273"/>
    <x v="2"/>
    <x v="60"/>
    <x v="229"/>
  </r>
  <r>
    <n v="1099655"/>
    <x v="273"/>
    <x v="2"/>
    <x v="61"/>
    <x v="234"/>
  </r>
  <r>
    <n v="1099655"/>
    <x v="273"/>
    <x v="2"/>
    <x v="77"/>
    <x v="236"/>
  </r>
  <r>
    <n v="1099655"/>
    <x v="273"/>
    <x v="2"/>
    <x v="70"/>
    <x v="197"/>
  </r>
  <r>
    <n v="1099655"/>
    <x v="273"/>
    <x v="2"/>
    <x v="75"/>
    <x v="173"/>
  </r>
  <r>
    <n v="1099655"/>
    <x v="273"/>
    <x v="2"/>
    <x v="65"/>
    <x v="98"/>
  </r>
  <r>
    <n v="1099655"/>
    <x v="273"/>
    <x v="2"/>
    <x v="58"/>
    <x v="233"/>
  </r>
  <r>
    <n v="1099655"/>
    <x v="273"/>
    <x v="2"/>
    <x v="82"/>
    <x v="162"/>
  </r>
  <r>
    <n v="1099655"/>
    <x v="273"/>
    <x v="2"/>
    <x v="62"/>
    <x v="153"/>
  </r>
  <r>
    <n v="1099655"/>
    <x v="273"/>
    <x v="2"/>
    <x v="66"/>
    <x v="231"/>
  </r>
  <r>
    <n v="1099655"/>
    <x v="273"/>
    <x v="2"/>
    <x v="79"/>
    <x v="227"/>
  </r>
  <r>
    <n v="1099655"/>
    <x v="273"/>
    <x v="2"/>
    <x v="71"/>
    <x v="111"/>
  </r>
  <r>
    <n v="1099655"/>
    <x v="273"/>
    <x v="2"/>
    <x v="74"/>
    <x v="51"/>
  </r>
  <r>
    <n v="1099655"/>
    <x v="273"/>
    <x v="2"/>
    <x v="63"/>
    <x v="97"/>
  </r>
  <r>
    <n v="1099655"/>
    <x v="1"/>
    <x v="1"/>
    <x v="2"/>
    <x v="2"/>
  </r>
  <r>
    <n v="1099658"/>
    <x v="274"/>
    <x v="2"/>
    <x v="77"/>
    <x v="184"/>
  </r>
  <r>
    <n v="1099658"/>
    <x v="274"/>
    <x v="2"/>
    <x v="78"/>
    <x v="183"/>
  </r>
  <r>
    <n v="1099658"/>
    <x v="274"/>
    <x v="2"/>
    <x v="82"/>
    <x v="185"/>
  </r>
  <r>
    <n v="1099658"/>
    <x v="1"/>
    <x v="1"/>
    <x v="2"/>
    <x v="2"/>
  </r>
  <r>
    <n v="1099660"/>
    <x v="275"/>
    <x v="5"/>
    <x v="167"/>
    <x v="2"/>
  </r>
  <r>
    <n v="1099660"/>
    <x v="1"/>
    <x v="1"/>
    <x v="2"/>
    <x v="2"/>
  </r>
  <r>
    <n v="1099661"/>
    <x v="276"/>
    <x v="5"/>
    <x v="50"/>
    <x v="291"/>
  </r>
  <r>
    <n v="1099661"/>
    <x v="276"/>
    <x v="5"/>
    <x v="53"/>
    <x v="290"/>
  </r>
  <r>
    <n v="1099661"/>
    <x v="276"/>
    <x v="5"/>
    <x v="48"/>
    <x v="287"/>
  </r>
  <r>
    <n v="1099661"/>
    <x v="276"/>
    <x v="5"/>
    <x v="47"/>
    <x v="288"/>
  </r>
  <r>
    <n v="1099661"/>
    <x v="276"/>
    <x v="5"/>
    <x v="49"/>
    <x v="289"/>
  </r>
  <r>
    <n v="1099661"/>
    <x v="1"/>
    <x v="1"/>
    <x v="2"/>
    <x v="2"/>
  </r>
  <r>
    <n v="1099666"/>
    <x v="277"/>
    <x v="6"/>
    <x v="432"/>
    <x v="448"/>
  </r>
  <r>
    <n v="1099666"/>
    <x v="277"/>
    <x v="6"/>
    <x v="435"/>
    <x v="441"/>
  </r>
  <r>
    <n v="1099666"/>
    <x v="277"/>
    <x v="6"/>
    <x v="437"/>
    <x v="584"/>
  </r>
  <r>
    <n v="1099666"/>
    <x v="277"/>
    <x v="6"/>
    <x v="434"/>
    <x v="586"/>
  </r>
  <r>
    <n v="1099666"/>
    <x v="277"/>
    <x v="6"/>
    <x v="428"/>
    <x v="589"/>
  </r>
  <r>
    <n v="1099666"/>
    <x v="277"/>
    <x v="6"/>
    <x v="431"/>
    <x v="588"/>
  </r>
  <r>
    <n v="1099666"/>
    <x v="277"/>
    <x v="6"/>
    <x v="436"/>
    <x v="587"/>
  </r>
  <r>
    <n v="1099666"/>
    <x v="277"/>
    <x v="6"/>
    <x v="429"/>
    <x v="585"/>
  </r>
  <r>
    <n v="1099666"/>
    <x v="277"/>
    <x v="6"/>
    <x v="433"/>
    <x v="368"/>
  </r>
  <r>
    <n v="1099666"/>
    <x v="277"/>
    <x v="6"/>
    <x v="430"/>
    <x v="590"/>
  </r>
  <r>
    <n v="1099666"/>
    <x v="1"/>
    <x v="1"/>
    <x v="2"/>
    <x v="2"/>
  </r>
  <r>
    <n v="1099670"/>
    <x v="278"/>
    <x v="0"/>
    <x v="449"/>
    <x v="2"/>
  </r>
  <r>
    <n v="1099670"/>
    <x v="1"/>
    <x v="1"/>
    <x v="2"/>
    <x v="2"/>
  </r>
  <r>
    <n v="1099672"/>
    <x v="279"/>
    <x v="5"/>
    <x v="307"/>
    <x v="285"/>
  </r>
  <r>
    <n v="1099672"/>
    <x v="279"/>
    <x v="5"/>
    <x v="306"/>
    <x v="284"/>
  </r>
  <r>
    <n v="1099672"/>
    <x v="279"/>
    <x v="5"/>
    <x v="308"/>
    <x v="286"/>
  </r>
  <r>
    <n v="1099672"/>
    <x v="1"/>
    <x v="1"/>
    <x v="2"/>
    <x v="2"/>
  </r>
  <r>
    <n v="1099675"/>
    <x v="280"/>
    <x v="7"/>
    <x v="321"/>
    <x v="432"/>
  </r>
  <r>
    <n v="1099675"/>
    <x v="280"/>
    <x v="7"/>
    <x v="326"/>
    <x v="431"/>
  </r>
  <r>
    <n v="1099675"/>
    <x v="1"/>
    <x v="1"/>
    <x v="2"/>
    <x v="2"/>
  </r>
  <r>
    <n v="1099677"/>
    <x v="281"/>
    <x v="6"/>
    <x v="167"/>
    <x v="2"/>
  </r>
  <r>
    <n v="1099677"/>
    <x v="1"/>
    <x v="1"/>
    <x v="2"/>
    <x v="2"/>
  </r>
  <r>
    <n v="1099678"/>
    <x v="282"/>
    <x v="6"/>
    <x v="422"/>
    <x v="198"/>
  </r>
  <r>
    <n v="1099678"/>
    <x v="282"/>
    <x v="6"/>
    <x v="158"/>
    <x v="204"/>
  </r>
  <r>
    <n v="1099678"/>
    <x v="282"/>
    <x v="6"/>
    <x v="14"/>
    <x v="198"/>
  </r>
  <r>
    <n v="1099678"/>
    <x v="282"/>
    <x v="6"/>
    <x v="10"/>
    <x v="348"/>
  </r>
  <r>
    <n v="1099678"/>
    <x v="282"/>
    <x v="6"/>
    <x v="253"/>
    <x v="348"/>
  </r>
  <r>
    <n v="1099678"/>
    <x v="282"/>
    <x v="6"/>
    <x v="348"/>
    <x v="351"/>
  </r>
  <r>
    <n v="1099678"/>
    <x v="282"/>
    <x v="6"/>
    <x v="334"/>
    <x v="178"/>
  </r>
  <r>
    <n v="1099678"/>
    <x v="282"/>
    <x v="6"/>
    <x v="336"/>
    <x v="535"/>
  </r>
  <r>
    <n v="1099678"/>
    <x v="282"/>
    <x v="6"/>
    <x v="160"/>
    <x v="535"/>
  </r>
  <r>
    <n v="1099678"/>
    <x v="282"/>
    <x v="6"/>
    <x v="124"/>
    <x v="535"/>
  </r>
  <r>
    <n v="1099678"/>
    <x v="282"/>
    <x v="6"/>
    <x v="129"/>
    <x v="516"/>
  </r>
  <r>
    <n v="1099678"/>
    <x v="282"/>
    <x v="6"/>
    <x v="135"/>
    <x v="516"/>
  </r>
  <r>
    <n v="1099678"/>
    <x v="282"/>
    <x v="6"/>
    <x v="142"/>
    <x v="348"/>
  </r>
  <r>
    <n v="1099678"/>
    <x v="282"/>
    <x v="6"/>
    <x v="147"/>
    <x v="516"/>
  </r>
  <r>
    <n v="1099678"/>
    <x v="282"/>
    <x v="6"/>
    <x v="152"/>
    <x v="516"/>
  </r>
  <r>
    <n v="1099678"/>
    <x v="282"/>
    <x v="6"/>
    <x v="258"/>
    <x v="516"/>
  </r>
  <r>
    <n v="1099678"/>
    <x v="282"/>
    <x v="6"/>
    <x v="262"/>
    <x v="535"/>
  </r>
  <r>
    <n v="1099678"/>
    <x v="282"/>
    <x v="6"/>
    <x v="204"/>
    <x v="516"/>
  </r>
  <r>
    <n v="1099678"/>
    <x v="282"/>
    <x v="6"/>
    <x v="250"/>
    <x v="516"/>
  </r>
  <r>
    <n v="1099678"/>
    <x v="282"/>
    <x v="6"/>
    <x v="213"/>
    <x v="348"/>
  </r>
  <r>
    <n v="1099678"/>
    <x v="282"/>
    <x v="6"/>
    <x v="139"/>
    <x v="351"/>
  </r>
  <r>
    <n v="1099678"/>
    <x v="282"/>
    <x v="6"/>
    <x v="224"/>
    <x v="154"/>
  </r>
  <r>
    <n v="1099678"/>
    <x v="282"/>
    <x v="6"/>
    <x v="227"/>
    <x v="170"/>
  </r>
  <r>
    <n v="1099678"/>
    <x v="282"/>
    <x v="6"/>
    <x v="232"/>
    <x v="346"/>
  </r>
  <r>
    <n v="1099678"/>
    <x v="282"/>
    <x v="6"/>
    <x v="237"/>
    <x v="214"/>
  </r>
  <r>
    <n v="1099678"/>
    <x v="282"/>
    <x v="6"/>
    <x v="240"/>
    <x v="516"/>
  </r>
  <r>
    <n v="1099678"/>
    <x v="282"/>
    <x v="6"/>
    <x v="244"/>
    <x v="198"/>
  </r>
  <r>
    <n v="1099678"/>
    <x v="282"/>
    <x v="6"/>
    <x v="248"/>
    <x v="516"/>
  </r>
  <r>
    <n v="1099678"/>
    <x v="282"/>
    <x v="6"/>
    <x v="314"/>
    <x v="516"/>
  </r>
  <r>
    <n v="1099678"/>
    <x v="282"/>
    <x v="6"/>
    <x v="178"/>
    <x v="516"/>
  </r>
  <r>
    <n v="1099678"/>
    <x v="282"/>
    <x v="6"/>
    <x v="179"/>
    <x v="516"/>
  </r>
  <r>
    <n v="1099678"/>
    <x v="282"/>
    <x v="6"/>
    <x v="180"/>
    <x v="346"/>
  </r>
  <r>
    <n v="1099678"/>
    <x v="282"/>
    <x v="6"/>
    <x v="181"/>
    <x v="346"/>
  </r>
  <r>
    <n v="1099678"/>
    <x v="282"/>
    <x v="6"/>
    <x v="182"/>
    <x v="3"/>
  </r>
  <r>
    <n v="1099678"/>
    <x v="282"/>
    <x v="6"/>
    <x v="183"/>
    <x v="516"/>
  </r>
  <r>
    <n v="1099678"/>
    <x v="282"/>
    <x v="6"/>
    <x v="33"/>
    <x v="168"/>
  </r>
  <r>
    <n v="1099678"/>
    <x v="282"/>
    <x v="6"/>
    <x v="24"/>
    <x v="346"/>
  </r>
  <r>
    <n v="1099678"/>
    <x v="282"/>
    <x v="6"/>
    <x v="32"/>
    <x v="42"/>
  </r>
  <r>
    <n v="1099678"/>
    <x v="282"/>
    <x v="6"/>
    <x v="39"/>
    <x v="64"/>
  </r>
  <r>
    <n v="1099678"/>
    <x v="282"/>
    <x v="6"/>
    <x v="37"/>
    <x v="24"/>
  </r>
  <r>
    <n v="1099678"/>
    <x v="282"/>
    <x v="6"/>
    <x v="16"/>
    <x v="542"/>
  </r>
  <r>
    <n v="1099678"/>
    <x v="282"/>
    <x v="6"/>
    <x v="108"/>
    <x v="105"/>
  </r>
  <r>
    <n v="1099678"/>
    <x v="282"/>
    <x v="6"/>
    <x v="78"/>
    <x v="614"/>
  </r>
  <r>
    <n v="1099678"/>
    <x v="282"/>
    <x v="6"/>
    <x v="202"/>
    <x v="61"/>
  </r>
  <r>
    <n v="1099678"/>
    <x v="282"/>
    <x v="6"/>
    <x v="75"/>
    <x v="83"/>
  </r>
  <r>
    <n v="1099678"/>
    <x v="282"/>
    <x v="6"/>
    <x v="63"/>
    <x v="535"/>
  </r>
  <r>
    <n v="1099678"/>
    <x v="282"/>
    <x v="6"/>
    <x v="199"/>
    <x v="543"/>
  </r>
  <r>
    <n v="1099678"/>
    <x v="282"/>
    <x v="6"/>
    <x v="55"/>
    <x v="351"/>
  </r>
  <r>
    <n v="1099678"/>
    <x v="282"/>
    <x v="6"/>
    <x v="387"/>
    <x v="220"/>
  </r>
  <r>
    <n v="1099678"/>
    <x v="282"/>
    <x v="6"/>
    <x v="53"/>
    <x v="97"/>
  </r>
  <r>
    <n v="1099678"/>
    <x v="282"/>
    <x v="6"/>
    <x v="275"/>
    <x v="69"/>
  </r>
  <r>
    <n v="1099678"/>
    <x v="282"/>
    <x v="6"/>
    <x v="21"/>
    <x v="516"/>
  </r>
  <r>
    <n v="1099678"/>
    <x v="282"/>
    <x v="6"/>
    <x v="397"/>
    <x v="178"/>
  </r>
  <r>
    <n v="1099678"/>
    <x v="282"/>
    <x v="6"/>
    <x v="49"/>
    <x v="348"/>
  </r>
  <r>
    <n v="1099678"/>
    <x v="282"/>
    <x v="6"/>
    <x v="86"/>
    <x v="37"/>
  </r>
  <r>
    <n v="1099678"/>
    <x v="282"/>
    <x v="6"/>
    <x v="198"/>
    <x v="4"/>
  </r>
  <r>
    <n v="1099678"/>
    <x v="282"/>
    <x v="6"/>
    <x v="355"/>
    <x v="198"/>
  </r>
  <r>
    <n v="1099678"/>
    <x v="282"/>
    <x v="6"/>
    <x v="415"/>
    <x v="198"/>
  </r>
  <r>
    <n v="1099678"/>
    <x v="282"/>
    <x v="6"/>
    <x v="311"/>
    <x v="83"/>
  </r>
  <r>
    <n v="1099678"/>
    <x v="282"/>
    <x v="6"/>
    <x v="278"/>
    <x v="179"/>
  </r>
  <r>
    <n v="1099678"/>
    <x v="282"/>
    <x v="6"/>
    <x v="416"/>
    <x v="161"/>
  </r>
  <r>
    <n v="1099678"/>
    <x v="282"/>
    <x v="6"/>
    <x v="359"/>
    <x v="348"/>
  </r>
  <r>
    <n v="1099678"/>
    <x v="282"/>
    <x v="6"/>
    <x v="90"/>
    <x v="348"/>
  </r>
  <r>
    <n v="1099678"/>
    <x v="282"/>
    <x v="6"/>
    <x v="268"/>
    <x v="348"/>
  </r>
  <r>
    <n v="1099678"/>
    <x v="282"/>
    <x v="6"/>
    <x v="442"/>
    <x v="178"/>
  </r>
  <r>
    <n v="1099678"/>
    <x v="282"/>
    <x v="6"/>
    <x v="367"/>
    <x v="535"/>
  </r>
  <r>
    <n v="1099678"/>
    <x v="282"/>
    <x v="6"/>
    <x v="370"/>
    <x v="351"/>
  </r>
  <r>
    <n v="1099678"/>
    <x v="282"/>
    <x v="6"/>
    <x v="92"/>
    <x v="185"/>
  </r>
  <r>
    <n v="1099678"/>
    <x v="282"/>
    <x v="6"/>
    <x v="116"/>
    <x v="88"/>
  </r>
  <r>
    <n v="1099678"/>
    <x v="282"/>
    <x v="6"/>
    <x v="114"/>
    <x v="516"/>
  </r>
  <r>
    <n v="1099678"/>
    <x v="282"/>
    <x v="6"/>
    <x v="410"/>
    <x v="178"/>
  </r>
  <r>
    <n v="1099678"/>
    <x v="282"/>
    <x v="6"/>
    <x v="329"/>
    <x v="164"/>
  </r>
  <r>
    <n v="1099678"/>
    <x v="282"/>
    <x v="6"/>
    <x v="118"/>
    <x v="98"/>
  </r>
  <r>
    <n v="1099678"/>
    <x v="282"/>
    <x v="6"/>
    <x v="85"/>
    <x v="182"/>
  </r>
  <r>
    <n v="1099678"/>
    <x v="282"/>
    <x v="6"/>
    <x v="376"/>
    <x v="348"/>
  </r>
  <r>
    <n v="1099678"/>
    <x v="282"/>
    <x v="6"/>
    <x v="407"/>
    <x v="178"/>
  </r>
  <r>
    <n v="1099678"/>
    <x v="282"/>
    <x v="6"/>
    <x v="382"/>
    <x v="376"/>
  </r>
  <r>
    <n v="1099678"/>
    <x v="282"/>
    <x v="6"/>
    <x v="295"/>
    <x v="24"/>
  </r>
  <r>
    <n v="1099678"/>
    <x v="282"/>
    <x v="6"/>
    <x v="429"/>
    <x v="170"/>
  </r>
  <r>
    <n v="1099678"/>
    <x v="282"/>
    <x v="6"/>
    <x v="297"/>
    <x v="198"/>
  </r>
  <r>
    <n v="1099678"/>
    <x v="282"/>
    <x v="6"/>
    <x v="293"/>
    <x v="200"/>
  </r>
  <r>
    <n v="1099678"/>
    <x v="282"/>
    <x v="6"/>
    <x v="101"/>
    <x v="88"/>
  </r>
  <r>
    <n v="1099678"/>
    <x v="282"/>
    <x v="6"/>
    <x v="384"/>
    <x v="395"/>
  </r>
  <r>
    <n v="1099678"/>
    <x v="282"/>
    <x v="6"/>
    <x v="330"/>
    <x v="401"/>
  </r>
  <r>
    <n v="1099678"/>
    <x v="282"/>
    <x v="6"/>
    <x v="342"/>
    <x v="351"/>
  </r>
  <r>
    <n v="1099678"/>
    <x v="282"/>
    <x v="6"/>
    <x v="11"/>
    <x v="351"/>
  </r>
  <r>
    <n v="1099678"/>
    <x v="282"/>
    <x v="6"/>
    <x v="6"/>
    <x v="516"/>
  </r>
  <r>
    <n v="1099678"/>
    <x v="282"/>
    <x v="6"/>
    <x v="346"/>
    <x v="516"/>
  </r>
  <r>
    <n v="1099678"/>
    <x v="282"/>
    <x v="6"/>
    <x v="332"/>
    <x v="178"/>
  </r>
  <r>
    <n v="1099678"/>
    <x v="282"/>
    <x v="6"/>
    <x v="352"/>
    <x v="516"/>
  </r>
  <r>
    <n v="1099678"/>
    <x v="282"/>
    <x v="6"/>
    <x v="339"/>
    <x v="351"/>
  </r>
  <r>
    <n v="1099678"/>
    <x v="282"/>
    <x v="6"/>
    <x v="154"/>
    <x v="535"/>
  </r>
  <r>
    <n v="1099678"/>
    <x v="282"/>
    <x v="6"/>
    <x v="127"/>
    <x v="516"/>
  </r>
  <r>
    <n v="1099678"/>
    <x v="282"/>
    <x v="6"/>
    <x v="133"/>
    <x v="351"/>
  </r>
  <r>
    <n v="1099678"/>
    <x v="282"/>
    <x v="6"/>
    <x v="138"/>
    <x v="535"/>
  </r>
  <r>
    <n v="1099678"/>
    <x v="282"/>
    <x v="6"/>
    <x v="145"/>
    <x v="535"/>
  </r>
  <r>
    <n v="1099678"/>
    <x v="282"/>
    <x v="6"/>
    <x v="150"/>
    <x v="170"/>
  </r>
  <r>
    <n v="1099678"/>
    <x v="282"/>
    <x v="6"/>
    <x v="256"/>
    <x v="88"/>
  </r>
  <r>
    <n v="1099678"/>
    <x v="282"/>
    <x v="6"/>
    <x v="261"/>
    <x v="351"/>
  </r>
  <r>
    <n v="1099678"/>
    <x v="282"/>
    <x v="6"/>
    <x v="316"/>
    <x v="82"/>
  </r>
  <r>
    <n v="1099678"/>
    <x v="282"/>
    <x v="6"/>
    <x v="207"/>
    <x v="346"/>
  </r>
  <r>
    <n v="1099678"/>
    <x v="282"/>
    <x v="6"/>
    <x v="211"/>
    <x v="535"/>
  </r>
  <r>
    <n v="1099678"/>
    <x v="282"/>
    <x v="6"/>
    <x v="216"/>
    <x v="178"/>
  </r>
  <r>
    <n v="1099678"/>
    <x v="282"/>
    <x v="6"/>
    <x v="222"/>
    <x v="170"/>
  </r>
  <r>
    <n v="1099678"/>
    <x v="282"/>
    <x v="6"/>
    <x v="383"/>
    <x v="34"/>
  </r>
  <r>
    <n v="1099678"/>
    <x v="282"/>
    <x v="6"/>
    <x v="230"/>
    <x v="170"/>
  </r>
  <r>
    <n v="1099678"/>
    <x v="282"/>
    <x v="6"/>
    <x v="235"/>
    <x v="348"/>
  </r>
  <r>
    <n v="1099678"/>
    <x v="282"/>
    <x v="6"/>
    <x v="156"/>
    <x v="254"/>
  </r>
  <r>
    <n v="1099678"/>
    <x v="282"/>
    <x v="6"/>
    <x v="242"/>
    <x v="178"/>
  </r>
  <r>
    <n v="1099678"/>
    <x v="282"/>
    <x v="6"/>
    <x v="246"/>
    <x v="178"/>
  </r>
  <r>
    <n v="1099678"/>
    <x v="282"/>
    <x v="6"/>
    <x v="219"/>
    <x v="170"/>
  </r>
  <r>
    <n v="1099678"/>
    <x v="282"/>
    <x v="6"/>
    <x v="220"/>
    <x v="351"/>
  </r>
  <r>
    <n v="1099678"/>
    <x v="282"/>
    <x v="6"/>
    <x v="185"/>
    <x v="3"/>
  </r>
  <r>
    <n v="1099678"/>
    <x v="282"/>
    <x v="6"/>
    <x v="169"/>
    <x v="535"/>
  </r>
  <r>
    <n v="1099678"/>
    <x v="282"/>
    <x v="6"/>
    <x v="170"/>
    <x v="535"/>
  </r>
  <r>
    <n v="1099678"/>
    <x v="282"/>
    <x v="6"/>
    <x v="171"/>
    <x v="535"/>
  </r>
  <r>
    <n v="1099678"/>
    <x v="282"/>
    <x v="6"/>
    <x v="172"/>
    <x v="198"/>
  </r>
  <r>
    <n v="1099678"/>
    <x v="282"/>
    <x v="6"/>
    <x v="165"/>
    <x v="475"/>
  </r>
  <r>
    <n v="1099678"/>
    <x v="282"/>
    <x v="6"/>
    <x v="1"/>
    <x v="613"/>
  </r>
  <r>
    <n v="1099678"/>
    <x v="282"/>
    <x v="6"/>
    <x v="43"/>
    <x v="535"/>
  </r>
  <r>
    <n v="1099678"/>
    <x v="282"/>
    <x v="6"/>
    <x v="27"/>
    <x v="82"/>
  </r>
  <r>
    <n v="1099678"/>
    <x v="282"/>
    <x v="6"/>
    <x v="30"/>
    <x v="238"/>
  </r>
  <r>
    <n v="1099678"/>
    <x v="282"/>
    <x v="6"/>
    <x v="391"/>
    <x v="383"/>
  </r>
  <r>
    <n v="1099678"/>
    <x v="282"/>
    <x v="6"/>
    <x v="319"/>
    <x v="85"/>
  </r>
  <r>
    <n v="1099678"/>
    <x v="282"/>
    <x v="6"/>
    <x v="327"/>
    <x v="179"/>
  </r>
  <r>
    <n v="1099678"/>
    <x v="282"/>
    <x v="6"/>
    <x v="321"/>
    <x v="162"/>
  </r>
  <r>
    <n v="1099678"/>
    <x v="282"/>
    <x v="6"/>
    <x v="390"/>
    <x v="156"/>
  </r>
  <r>
    <n v="1099678"/>
    <x v="282"/>
    <x v="6"/>
    <x v="82"/>
    <x v="178"/>
  </r>
  <r>
    <n v="1099678"/>
    <x v="282"/>
    <x v="6"/>
    <x v="200"/>
    <x v="98"/>
  </r>
  <r>
    <n v="1099678"/>
    <x v="282"/>
    <x v="6"/>
    <x v="68"/>
    <x v="88"/>
  </r>
  <r>
    <n v="1099678"/>
    <x v="282"/>
    <x v="6"/>
    <x v="62"/>
    <x v="351"/>
  </r>
  <r>
    <n v="1099678"/>
    <x v="282"/>
    <x v="6"/>
    <x v="56"/>
    <x v="151"/>
  </r>
  <r>
    <n v="1099678"/>
    <x v="282"/>
    <x v="6"/>
    <x v="57"/>
    <x v="199"/>
  </r>
  <r>
    <n v="1099678"/>
    <x v="282"/>
    <x v="6"/>
    <x v="420"/>
    <x v="85"/>
  </r>
  <r>
    <n v="1099678"/>
    <x v="282"/>
    <x v="6"/>
    <x v="425"/>
    <x v="348"/>
  </r>
  <r>
    <n v="1099678"/>
    <x v="282"/>
    <x v="6"/>
    <x v="303"/>
    <x v="220"/>
  </r>
  <r>
    <n v="1099678"/>
    <x v="282"/>
    <x v="6"/>
    <x v="400"/>
    <x v="535"/>
  </r>
  <r>
    <n v="1099678"/>
    <x v="282"/>
    <x v="6"/>
    <x v="20"/>
    <x v="351"/>
  </r>
  <r>
    <n v="1099678"/>
    <x v="282"/>
    <x v="6"/>
    <x v="18"/>
    <x v="535"/>
  </r>
  <r>
    <n v="1099678"/>
    <x v="282"/>
    <x v="6"/>
    <x v="197"/>
    <x v="211"/>
  </r>
  <r>
    <n v="1099678"/>
    <x v="282"/>
    <x v="6"/>
    <x v="22"/>
    <x v="348"/>
  </r>
  <r>
    <n v="1099678"/>
    <x v="282"/>
    <x v="6"/>
    <x v="50"/>
    <x v="348"/>
  </r>
  <r>
    <n v="1099678"/>
    <x v="282"/>
    <x v="6"/>
    <x v="98"/>
    <x v="346"/>
  </r>
  <r>
    <n v="1099678"/>
    <x v="282"/>
    <x v="6"/>
    <x v="398"/>
    <x v="516"/>
  </r>
  <r>
    <n v="1099678"/>
    <x v="282"/>
    <x v="6"/>
    <x v="406"/>
    <x v="535"/>
  </r>
  <r>
    <n v="1099678"/>
    <x v="282"/>
    <x v="6"/>
    <x v="97"/>
    <x v="69"/>
  </r>
  <r>
    <n v="1099678"/>
    <x v="282"/>
    <x v="6"/>
    <x v="362"/>
    <x v="170"/>
  </r>
  <r>
    <n v="1099678"/>
    <x v="282"/>
    <x v="6"/>
    <x v="443"/>
    <x v="161"/>
  </r>
  <r>
    <n v="1099678"/>
    <x v="282"/>
    <x v="6"/>
    <x v="365"/>
    <x v="516"/>
  </r>
  <r>
    <n v="1099678"/>
    <x v="282"/>
    <x v="6"/>
    <x v="444"/>
    <x v="516"/>
  </r>
  <r>
    <n v="1099678"/>
    <x v="282"/>
    <x v="6"/>
    <x v="372"/>
    <x v="198"/>
  </r>
  <r>
    <n v="1099678"/>
    <x v="282"/>
    <x v="6"/>
    <x v="44"/>
    <x v="351"/>
  </r>
  <r>
    <n v="1099678"/>
    <x v="282"/>
    <x v="6"/>
    <x v="112"/>
    <x v="348"/>
  </r>
  <r>
    <n v="1099678"/>
    <x v="282"/>
    <x v="6"/>
    <x v="312"/>
    <x v="154"/>
  </r>
  <r>
    <n v="1099678"/>
    <x v="282"/>
    <x v="6"/>
    <x v="273"/>
    <x v="170"/>
  </r>
  <r>
    <n v="1099678"/>
    <x v="282"/>
    <x v="6"/>
    <x v="411"/>
    <x v="346"/>
  </r>
  <r>
    <n v="1099678"/>
    <x v="282"/>
    <x v="6"/>
    <x v="286"/>
    <x v="24"/>
  </r>
  <r>
    <n v="1099678"/>
    <x v="282"/>
    <x v="6"/>
    <x v="304"/>
    <x v="88"/>
  </r>
  <r>
    <n v="1099678"/>
    <x v="282"/>
    <x v="6"/>
    <x v="269"/>
    <x v="105"/>
  </r>
  <r>
    <n v="1099678"/>
    <x v="282"/>
    <x v="6"/>
    <x v="121"/>
    <x v="178"/>
  </r>
  <r>
    <n v="1099678"/>
    <x v="282"/>
    <x v="6"/>
    <x v="380"/>
    <x v="198"/>
  </r>
  <r>
    <n v="1099678"/>
    <x v="282"/>
    <x v="6"/>
    <x v="437"/>
    <x v="154"/>
  </r>
  <r>
    <n v="1099678"/>
    <x v="282"/>
    <x v="6"/>
    <x v="434"/>
    <x v="83"/>
  </r>
  <r>
    <n v="1099678"/>
    <x v="282"/>
    <x v="6"/>
    <x v="431"/>
    <x v="161"/>
  </r>
  <r>
    <n v="1099678"/>
    <x v="282"/>
    <x v="6"/>
    <x v="432"/>
    <x v="4"/>
  </r>
  <r>
    <n v="1099678"/>
    <x v="282"/>
    <x v="6"/>
    <x v="433"/>
    <x v="351"/>
  </r>
  <r>
    <n v="1099678"/>
    <x v="282"/>
    <x v="6"/>
    <x v="104"/>
    <x v="170"/>
  </r>
  <r>
    <n v="1099678"/>
    <x v="282"/>
    <x v="6"/>
    <x v="238"/>
    <x v="214"/>
  </r>
  <r>
    <n v="1099678"/>
    <x v="282"/>
    <x v="6"/>
    <x v="272"/>
    <x v="226"/>
  </r>
  <r>
    <n v="1099678"/>
    <x v="282"/>
    <x v="6"/>
    <x v="245"/>
    <x v="346"/>
  </r>
  <r>
    <n v="1099678"/>
    <x v="282"/>
    <x v="6"/>
    <x v="217"/>
    <x v="348"/>
  </r>
  <r>
    <n v="1099678"/>
    <x v="282"/>
    <x v="6"/>
    <x v="318"/>
    <x v="346"/>
  </r>
  <r>
    <n v="1099678"/>
    <x v="282"/>
    <x v="6"/>
    <x v="195"/>
    <x v="516"/>
  </r>
  <r>
    <n v="1099678"/>
    <x v="282"/>
    <x v="6"/>
    <x v="193"/>
    <x v="348"/>
  </r>
  <r>
    <n v="1099678"/>
    <x v="282"/>
    <x v="6"/>
    <x v="192"/>
    <x v="516"/>
  </r>
  <r>
    <n v="1099678"/>
    <x v="282"/>
    <x v="6"/>
    <x v="191"/>
    <x v="535"/>
  </r>
  <r>
    <n v="1099678"/>
    <x v="282"/>
    <x v="6"/>
    <x v="190"/>
    <x v="178"/>
  </r>
  <r>
    <n v="1099678"/>
    <x v="282"/>
    <x v="6"/>
    <x v="189"/>
    <x v="535"/>
  </r>
  <r>
    <n v="1099678"/>
    <x v="282"/>
    <x v="6"/>
    <x v="28"/>
    <x v="145"/>
  </r>
  <r>
    <n v="1099678"/>
    <x v="282"/>
    <x v="6"/>
    <x v="40"/>
    <x v="346"/>
  </r>
  <r>
    <n v="1099678"/>
    <x v="282"/>
    <x v="6"/>
    <x v="29"/>
    <x v="97"/>
  </r>
  <r>
    <n v="1099678"/>
    <x v="282"/>
    <x v="6"/>
    <x v="25"/>
    <x v="347"/>
  </r>
  <r>
    <n v="1099678"/>
    <x v="282"/>
    <x v="6"/>
    <x v="31"/>
    <x v="144"/>
  </r>
  <r>
    <n v="1099678"/>
    <x v="282"/>
    <x v="6"/>
    <x v="17"/>
    <x v="544"/>
  </r>
  <r>
    <n v="1099678"/>
    <x v="282"/>
    <x v="6"/>
    <x v="323"/>
    <x v="153"/>
  </r>
  <r>
    <n v="1099678"/>
    <x v="282"/>
    <x v="6"/>
    <x v="325"/>
    <x v="344"/>
  </r>
  <r>
    <n v="1099678"/>
    <x v="282"/>
    <x v="6"/>
    <x v="81"/>
    <x v="148"/>
  </r>
  <r>
    <n v="1099678"/>
    <x v="282"/>
    <x v="6"/>
    <x v="83"/>
    <x v="351"/>
  </r>
  <r>
    <n v="1099678"/>
    <x v="282"/>
    <x v="6"/>
    <x v="65"/>
    <x v="535"/>
  </r>
  <r>
    <n v="1099678"/>
    <x v="282"/>
    <x v="6"/>
    <x v="71"/>
    <x v="4"/>
  </r>
  <r>
    <n v="1099678"/>
    <x v="282"/>
    <x v="6"/>
    <x v="58"/>
    <x v="83"/>
  </r>
  <r>
    <n v="1099678"/>
    <x v="282"/>
    <x v="6"/>
    <x v="69"/>
    <x v="612"/>
  </r>
  <r>
    <n v="1099678"/>
    <x v="282"/>
    <x v="6"/>
    <x v="3"/>
    <x v="161"/>
  </r>
  <r>
    <n v="1099678"/>
    <x v="282"/>
    <x v="6"/>
    <x v="61"/>
    <x v="51"/>
  </r>
  <r>
    <n v="1099678"/>
    <x v="282"/>
    <x v="6"/>
    <x v="87"/>
    <x v="69"/>
  </r>
  <r>
    <n v="1099678"/>
    <x v="282"/>
    <x v="6"/>
    <x v="274"/>
    <x v="84"/>
  </r>
  <r>
    <n v="1099678"/>
    <x v="282"/>
    <x v="6"/>
    <x v="404"/>
    <x v="178"/>
  </r>
  <r>
    <n v="1099678"/>
    <x v="282"/>
    <x v="6"/>
    <x v="405"/>
    <x v="535"/>
  </r>
  <r>
    <n v="1099678"/>
    <x v="282"/>
    <x v="6"/>
    <x v="46"/>
    <x v="24"/>
  </r>
  <r>
    <n v="1099678"/>
    <x v="282"/>
    <x v="6"/>
    <x v="48"/>
    <x v="62"/>
  </r>
  <r>
    <n v="1099678"/>
    <x v="282"/>
    <x v="6"/>
    <x v="267"/>
    <x v="3"/>
  </r>
  <r>
    <n v="1099678"/>
    <x v="282"/>
    <x v="6"/>
    <x v="266"/>
    <x v="347"/>
  </r>
  <r>
    <n v="1099678"/>
    <x v="282"/>
    <x v="6"/>
    <x v="282"/>
    <x v="97"/>
  </r>
  <r>
    <n v="1099678"/>
    <x v="282"/>
    <x v="6"/>
    <x v="19"/>
    <x v="516"/>
  </r>
  <r>
    <n v="1099678"/>
    <x v="282"/>
    <x v="6"/>
    <x v="356"/>
    <x v="351"/>
  </r>
  <r>
    <n v="1099678"/>
    <x v="282"/>
    <x v="6"/>
    <x v="52"/>
    <x v="535"/>
  </r>
  <r>
    <n v="1099678"/>
    <x v="282"/>
    <x v="6"/>
    <x v="360"/>
    <x v="348"/>
  </r>
  <r>
    <n v="1099678"/>
    <x v="282"/>
    <x v="6"/>
    <x v="364"/>
    <x v="535"/>
  </r>
  <r>
    <n v="1099678"/>
    <x v="282"/>
    <x v="6"/>
    <x v="271"/>
    <x v="170"/>
  </r>
  <r>
    <n v="1099678"/>
    <x v="282"/>
    <x v="6"/>
    <x v="368"/>
    <x v="535"/>
  </r>
  <r>
    <n v="1099678"/>
    <x v="282"/>
    <x v="6"/>
    <x v="371"/>
    <x v="516"/>
  </r>
  <r>
    <n v="1099678"/>
    <x v="282"/>
    <x v="6"/>
    <x v="99"/>
    <x v="197"/>
  </r>
  <r>
    <n v="1099678"/>
    <x v="282"/>
    <x v="6"/>
    <x v="110"/>
    <x v="83"/>
  </r>
  <r>
    <n v="1099678"/>
    <x v="282"/>
    <x v="6"/>
    <x v="307"/>
    <x v="202"/>
  </r>
  <r>
    <n v="1099678"/>
    <x v="282"/>
    <x v="6"/>
    <x v="403"/>
    <x v="4"/>
  </r>
  <r>
    <n v="1099678"/>
    <x v="282"/>
    <x v="6"/>
    <x v="445"/>
    <x v="351"/>
  </r>
  <r>
    <n v="1099678"/>
    <x v="282"/>
    <x v="6"/>
    <x v="194"/>
    <x v="516"/>
  </r>
  <r>
    <n v="1099678"/>
    <x v="282"/>
    <x v="6"/>
    <x v="285"/>
    <x v="535"/>
  </r>
  <r>
    <n v="1099678"/>
    <x v="282"/>
    <x v="6"/>
    <x v="100"/>
    <x v="83"/>
  </r>
  <r>
    <n v="1099678"/>
    <x v="282"/>
    <x v="6"/>
    <x v="120"/>
    <x v="92"/>
  </r>
  <r>
    <n v="1099678"/>
    <x v="282"/>
    <x v="6"/>
    <x v="279"/>
    <x v="153"/>
  </r>
  <r>
    <n v="1099678"/>
    <x v="282"/>
    <x v="6"/>
    <x v="381"/>
    <x v="21"/>
  </r>
  <r>
    <n v="1099678"/>
    <x v="282"/>
    <x v="6"/>
    <x v="298"/>
    <x v="77"/>
  </r>
  <r>
    <n v="1099678"/>
    <x v="282"/>
    <x v="6"/>
    <x v="296"/>
    <x v="24"/>
  </r>
  <r>
    <n v="1099678"/>
    <x v="282"/>
    <x v="6"/>
    <x v="430"/>
    <x v="351"/>
  </r>
  <r>
    <n v="1099678"/>
    <x v="282"/>
    <x v="6"/>
    <x v="288"/>
    <x v="80"/>
  </r>
  <r>
    <n v="1099678"/>
    <x v="282"/>
    <x v="6"/>
    <x v="106"/>
    <x v="82"/>
  </r>
  <r>
    <n v="1099678"/>
    <x v="282"/>
    <x v="6"/>
    <x v="435"/>
    <x v="535"/>
  </r>
  <r>
    <n v="1099678"/>
    <x v="282"/>
    <x v="6"/>
    <x v="386"/>
    <x v="221"/>
  </r>
  <r>
    <n v="1099678"/>
    <x v="282"/>
    <x v="6"/>
    <x v="421"/>
    <x v="136"/>
  </r>
  <r>
    <n v="1099678"/>
    <x v="282"/>
    <x v="6"/>
    <x v="5"/>
    <x v="3"/>
  </r>
  <r>
    <n v="1099678"/>
    <x v="282"/>
    <x v="6"/>
    <x v="15"/>
    <x v="198"/>
  </r>
  <r>
    <n v="1099678"/>
    <x v="282"/>
    <x v="6"/>
    <x v="426"/>
    <x v="348"/>
  </r>
  <r>
    <n v="1099678"/>
    <x v="282"/>
    <x v="6"/>
    <x v="254"/>
    <x v="535"/>
  </r>
  <r>
    <n v="1099678"/>
    <x v="282"/>
    <x v="6"/>
    <x v="349"/>
    <x v="516"/>
  </r>
  <r>
    <n v="1099678"/>
    <x v="282"/>
    <x v="6"/>
    <x v="350"/>
    <x v="516"/>
  </r>
  <r>
    <n v="1099678"/>
    <x v="282"/>
    <x v="6"/>
    <x v="337"/>
    <x v="351"/>
  </r>
  <r>
    <n v="1099678"/>
    <x v="282"/>
    <x v="6"/>
    <x v="161"/>
    <x v="535"/>
  </r>
  <r>
    <n v="1099678"/>
    <x v="282"/>
    <x v="6"/>
    <x v="125"/>
    <x v="516"/>
  </r>
  <r>
    <n v="1099678"/>
    <x v="282"/>
    <x v="6"/>
    <x v="131"/>
    <x v="516"/>
  </r>
  <r>
    <n v="1099678"/>
    <x v="282"/>
    <x v="6"/>
    <x v="136"/>
    <x v="516"/>
  </r>
  <r>
    <n v="1099678"/>
    <x v="282"/>
    <x v="6"/>
    <x v="143"/>
    <x v="535"/>
  </r>
  <r>
    <n v="1099678"/>
    <x v="282"/>
    <x v="6"/>
    <x v="148"/>
    <x v="516"/>
  </r>
  <r>
    <n v="1099678"/>
    <x v="282"/>
    <x v="6"/>
    <x v="153"/>
    <x v="351"/>
  </r>
  <r>
    <n v="1099678"/>
    <x v="282"/>
    <x v="6"/>
    <x v="259"/>
    <x v="535"/>
  </r>
  <r>
    <n v="1099678"/>
    <x v="282"/>
    <x v="6"/>
    <x v="263"/>
    <x v="348"/>
  </r>
  <r>
    <n v="1099678"/>
    <x v="282"/>
    <x v="6"/>
    <x v="205"/>
    <x v="516"/>
  </r>
  <r>
    <n v="1099678"/>
    <x v="282"/>
    <x v="6"/>
    <x v="209"/>
    <x v="3"/>
  </r>
  <r>
    <n v="1099678"/>
    <x v="282"/>
    <x v="6"/>
    <x v="214"/>
    <x v="516"/>
  </r>
  <r>
    <n v="1099678"/>
    <x v="282"/>
    <x v="6"/>
    <x v="140"/>
    <x v="198"/>
  </r>
  <r>
    <n v="1099678"/>
    <x v="282"/>
    <x v="6"/>
    <x v="225"/>
    <x v="170"/>
  </r>
  <r>
    <n v="1099678"/>
    <x v="282"/>
    <x v="6"/>
    <x v="228"/>
    <x v="53"/>
  </r>
  <r>
    <n v="1099678"/>
    <x v="282"/>
    <x v="6"/>
    <x v="233"/>
    <x v="198"/>
  </r>
  <r>
    <n v="1099678"/>
    <x v="282"/>
    <x v="6"/>
    <x v="357"/>
    <x v="83"/>
  </r>
  <r>
    <n v="1099678"/>
    <x v="282"/>
    <x v="6"/>
    <x v="358"/>
    <x v="346"/>
  </r>
  <r>
    <n v="1099678"/>
    <x v="282"/>
    <x v="6"/>
    <x v="89"/>
    <x v="220"/>
  </r>
  <r>
    <n v="1099678"/>
    <x v="282"/>
    <x v="6"/>
    <x v="363"/>
    <x v="178"/>
  </r>
  <r>
    <n v="1099678"/>
    <x v="282"/>
    <x v="6"/>
    <x v="95"/>
    <x v="64"/>
  </r>
  <r>
    <n v="1099678"/>
    <x v="282"/>
    <x v="6"/>
    <x v="111"/>
    <x v="83"/>
  </r>
  <r>
    <n v="1099678"/>
    <x v="282"/>
    <x v="6"/>
    <x v="366"/>
    <x v="535"/>
  </r>
  <r>
    <n v="1099678"/>
    <x v="282"/>
    <x v="6"/>
    <x v="369"/>
    <x v="535"/>
  </r>
  <r>
    <n v="1099678"/>
    <x v="282"/>
    <x v="6"/>
    <x v="373"/>
    <x v="198"/>
  </r>
  <r>
    <n v="1099678"/>
    <x v="282"/>
    <x v="6"/>
    <x v="45"/>
    <x v="4"/>
  </r>
  <r>
    <n v="1099678"/>
    <x v="282"/>
    <x v="6"/>
    <x v="306"/>
    <x v="178"/>
  </r>
  <r>
    <n v="1099678"/>
    <x v="282"/>
    <x v="6"/>
    <x v="309"/>
    <x v="154"/>
  </r>
  <r>
    <n v="1099678"/>
    <x v="282"/>
    <x v="6"/>
    <x v="328"/>
    <x v="351"/>
  </r>
  <r>
    <n v="1099678"/>
    <x v="282"/>
    <x v="6"/>
    <x v="122"/>
    <x v="170"/>
  </r>
  <r>
    <n v="1099678"/>
    <x v="282"/>
    <x v="6"/>
    <x v="375"/>
    <x v="516"/>
  </r>
  <r>
    <n v="1099678"/>
    <x v="282"/>
    <x v="6"/>
    <x v="377"/>
    <x v="69"/>
  </r>
  <r>
    <n v="1099678"/>
    <x v="282"/>
    <x v="6"/>
    <x v="117"/>
    <x v="88"/>
  </r>
  <r>
    <n v="1099678"/>
    <x v="282"/>
    <x v="6"/>
    <x v="379"/>
    <x v="441"/>
  </r>
  <r>
    <n v="1099678"/>
    <x v="282"/>
    <x v="6"/>
    <x v="287"/>
    <x v="178"/>
  </r>
  <r>
    <n v="1099678"/>
    <x v="282"/>
    <x v="6"/>
    <x v="428"/>
    <x v="364"/>
  </r>
  <r>
    <n v="1099678"/>
    <x v="282"/>
    <x v="6"/>
    <x v="292"/>
    <x v="198"/>
  </r>
  <r>
    <n v="1099678"/>
    <x v="282"/>
    <x v="6"/>
    <x v="294"/>
    <x v="163"/>
  </r>
  <r>
    <n v="1099678"/>
    <x v="282"/>
    <x v="6"/>
    <x v="107"/>
    <x v="154"/>
  </r>
  <r>
    <n v="1099678"/>
    <x v="282"/>
    <x v="6"/>
    <x v="290"/>
    <x v="72"/>
  </r>
  <r>
    <n v="1099678"/>
    <x v="282"/>
    <x v="6"/>
    <x v="394"/>
    <x v="78"/>
  </r>
  <r>
    <n v="1099678"/>
    <x v="282"/>
    <x v="6"/>
    <x v="157"/>
    <x v="204"/>
  </r>
  <r>
    <n v="1099678"/>
    <x v="282"/>
    <x v="6"/>
    <x v="343"/>
    <x v="351"/>
  </r>
  <r>
    <n v="1099678"/>
    <x v="282"/>
    <x v="6"/>
    <x v="344"/>
    <x v="178"/>
  </r>
  <r>
    <n v="1099678"/>
    <x v="282"/>
    <x v="6"/>
    <x v="13"/>
    <x v="516"/>
  </r>
  <r>
    <n v="1099678"/>
    <x v="282"/>
    <x v="6"/>
    <x v="347"/>
    <x v="351"/>
  </r>
  <r>
    <n v="1099678"/>
    <x v="282"/>
    <x v="6"/>
    <x v="333"/>
    <x v="351"/>
  </r>
  <r>
    <n v="1099678"/>
    <x v="282"/>
    <x v="6"/>
    <x v="335"/>
    <x v="351"/>
  </r>
  <r>
    <n v="1099678"/>
    <x v="282"/>
    <x v="6"/>
    <x v="159"/>
    <x v="516"/>
  </r>
  <r>
    <n v="1099678"/>
    <x v="282"/>
    <x v="6"/>
    <x v="163"/>
    <x v="3"/>
  </r>
  <r>
    <n v="1099678"/>
    <x v="282"/>
    <x v="6"/>
    <x v="128"/>
    <x v="351"/>
  </r>
  <r>
    <n v="1099678"/>
    <x v="282"/>
    <x v="6"/>
    <x v="134"/>
    <x v="535"/>
  </r>
  <r>
    <n v="1099678"/>
    <x v="282"/>
    <x v="6"/>
    <x v="141"/>
    <x v="535"/>
  </r>
  <r>
    <n v="1099678"/>
    <x v="282"/>
    <x v="6"/>
    <x v="146"/>
    <x v="516"/>
  </r>
  <r>
    <n v="1099678"/>
    <x v="282"/>
    <x v="6"/>
    <x v="151"/>
    <x v="170"/>
  </r>
  <r>
    <n v="1099678"/>
    <x v="282"/>
    <x v="6"/>
    <x v="257"/>
    <x v="178"/>
  </r>
  <r>
    <n v="1099678"/>
    <x v="282"/>
    <x v="6"/>
    <x v="249"/>
    <x v="351"/>
  </r>
  <r>
    <n v="1099678"/>
    <x v="282"/>
    <x v="6"/>
    <x v="265"/>
    <x v="516"/>
  </r>
  <r>
    <n v="1099678"/>
    <x v="282"/>
    <x v="6"/>
    <x v="208"/>
    <x v="535"/>
  </r>
  <r>
    <n v="1099678"/>
    <x v="282"/>
    <x v="6"/>
    <x v="241"/>
    <x v="535"/>
  </r>
  <r>
    <n v="1099678"/>
    <x v="282"/>
    <x v="6"/>
    <x v="130"/>
    <x v="351"/>
  </r>
  <r>
    <n v="1099678"/>
    <x v="282"/>
    <x v="6"/>
    <x v="223"/>
    <x v="3"/>
  </r>
  <r>
    <n v="1099678"/>
    <x v="282"/>
    <x v="6"/>
    <x v="226"/>
    <x v="83"/>
  </r>
  <r>
    <n v="1099678"/>
    <x v="282"/>
    <x v="6"/>
    <x v="231"/>
    <x v="346"/>
  </r>
  <r>
    <n v="1099678"/>
    <x v="282"/>
    <x v="6"/>
    <x v="236"/>
    <x v="348"/>
  </r>
  <r>
    <n v="1099678"/>
    <x v="282"/>
    <x v="6"/>
    <x v="239"/>
    <x v="178"/>
  </r>
  <r>
    <n v="1099678"/>
    <x v="282"/>
    <x v="6"/>
    <x v="243"/>
    <x v="535"/>
  </r>
  <r>
    <n v="1099678"/>
    <x v="282"/>
    <x v="6"/>
    <x v="247"/>
    <x v="178"/>
  </r>
  <r>
    <n v="1099678"/>
    <x v="282"/>
    <x v="6"/>
    <x v="315"/>
    <x v="154"/>
  </r>
  <r>
    <n v="1099678"/>
    <x v="282"/>
    <x v="6"/>
    <x v="221"/>
    <x v="178"/>
  </r>
  <r>
    <n v="1099678"/>
    <x v="282"/>
    <x v="6"/>
    <x v="168"/>
    <x v="516"/>
  </r>
  <r>
    <n v="1099678"/>
    <x v="282"/>
    <x v="6"/>
    <x v="174"/>
    <x v="346"/>
  </r>
  <r>
    <n v="1099678"/>
    <x v="282"/>
    <x v="6"/>
    <x v="175"/>
    <x v="516"/>
  </r>
  <r>
    <n v="1099678"/>
    <x v="282"/>
    <x v="6"/>
    <x v="176"/>
    <x v="348"/>
  </r>
  <r>
    <n v="1099678"/>
    <x v="282"/>
    <x v="6"/>
    <x v="177"/>
    <x v="178"/>
  </r>
  <r>
    <n v="1099678"/>
    <x v="282"/>
    <x v="6"/>
    <x v="166"/>
    <x v="438"/>
  </r>
  <r>
    <n v="1099678"/>
    <x v="282"/>
    <x v="6"/>
    <x v="38"/>
    <x v="178"/>
  </r>
  <r>
    <n v="1099678"/>
    <x v="282"/>
    <x v="6"/>
    <x v="35"/>
    <x v="535"/>
  </r>
  <r>
    <n v="1099678"/>
    <x v="282"/>
    <x v="6"/>
    <x v="34"/>
    <x v="64"/>
  </r>
  <r>
    <n v="1099678"/>
    <x v="282"/>
    <x v="6"/>
    <x v="41"/>
    <x v="615"/>
  </r>
  <r>
    <n v="1099678"/>
    <x v="282"/>
    <x v="6"/>
    <x v="393"/>
    <x v="156"/>
  </r>
  <r>
    <n v="1099678"/>
    <x v="282"/>
    <x v="6"/>
    <x v="322"/>
    <x v="85"/>
  </r>
  <r>
    <n v="1099678"/>
    <x v="282"/>
    <x v="6"/>
    <x v="109"/>
    <x v="217"/>
  </r>
  <r>
    <n v="1099678"/>
    <x v="282"/>
    <x v="6"/>
    <x v="388"/>
    <x v="153"/>
  </r>
  <r>
    <n v="1099678"/>
    <x v="282"/>
    <x v="6"/>
    <x v="77"/>
    <x v="611"/>
  </r>
  <r>
    <n v="1099678"/>
    <x v="282"/>
    <x v="6"/>
    <x v="203"/>
    <x v="54"/>
  </r>
  <r>
    <n v="1099678"/>
    <x v="282"/>
    <x v="6"/>
    <x v="60"/>
    <x v="83"/>
  </r>
  <r>
    <n v="1099678"/>
    <x v="282"/>
    <x v="6"/>
    <x v="70"/>
    <x v="178"/>
  </r>
  <r>
    <n v="1099678"/>
    <x v="282"/>
    <x v="6"/>
    <x v="201"/>
    <x v="346"/>
  </r>
  <r>
    <n v="1099678"/>
    <x v="282"/>
    <x v="6"/>
    <x v="73"/>
    <x v="535"/>
  </r>
  <r>
    <n v="1099678"/>
    <x v="282"/>
    <x v="6"/>
    <x v="389"/>
    <x v="185"/>
  </r>
  <r>
    <n v="1099678"/>
    <x v="282"/>
    <x v="6"/>
    <x v="4"/>
    <x v="3"/>
  </r>
  <r>
    <n v="1099678"/>
    <x v="282"/>
    <x v="6"/>
    <x v="305"/>
    <x v="537"/>
  </r>
  <r>
    <n v="1099678"/>
    <x v="282"/>
    <x v="6"/>
    <x v="270"/>
    <x v="161"/>
  </r>
  <r>
    <n v="1099678"/>
    <x v="282"/>
    <x v="6"/>
    <x v="401"/>
    <x v="535"/>
  </r>
  <r>
    <n v="1099678"/>
    <x v="282"/>
    <x v="6"/>
    <x v="402"/>
    <x v="178"/>
  </r>
  <r>
    <n v="1099678"/>
    <x v="282"/>
    <x v="6"/>
    <x v="196"/>
    <x v="474"/>
  </r>
  <r>
    <n v="1099678"/>
    <x v="282"/>
    <x v="6"/>
    <x v="23"/>
    <x v="348"/>
  </r>
  <r>
    <n v="1099678"/>
    <x v="282"/>
    <x v="6"/>
    <x v="354"/>
    <x v="198"/>
  </r>
  <r>
    <n v="1099678"/>
    <x v="282"/>
    <x v="6"/>
    <x v="440"/>
    <x v="78"/>
  </r>
  <r>
    <n v="1099678"/>
    <x v="282"/>
    <x v="6"/>
    <x v="409"/>
    <x v="351"/>
  </r>
  <r>
    <n v="1099678"/>
    <x v="282"/>
    <x v="6"/>
    <x v="385"/>
    <x v="375"/>
  </r>
  <r>
    <n v="1099678"/>
    <x v="282"/>
    <x v="6"/>
    <x v="395"/>
    <x v="574"/>
  </r>
  <r>
    <n v="1099678"/>
    <x v="282"/>
    <x v="6"/>
    <x v="9"/>
    <x v="351"/>
  </r>
  <r>
    <n v="1099678"/>
    <x v="282"/>
    <x v="6"/>
    <x v="12"/>
    <x v="3"/>
  </r>
  <r>
    <n v="1099678"/>
    <x v="282"/>
    <x v="6"/>
    <x v="7"/>
    <x v="535"/>
  </r>
  <r>
    <n v="1099678"/>
    <x v="282"/>
    <x v="6"/>
    <x v="345"/>
    <x v="178"/>
  </r>
  <r>
    <n v="1099678"/>
    <x v="282"/>
    <x v="6"/>
    <x v="331"/>
    <x v="535"/>
  </r>
  <r>
    <n v="1099678"/>
    <x v="282"/>
    <x v="6"/>
    <x v="351"/>
    <x v="535"/>
  </r>
  <r>
    <n v="1099678"/>
    <x v="282"/>
    <x v="6"/>
    <x v="338"/>
    <x v="178"/>
  </r>
  <r>
    <n v="1099678"/>
    <x v="282"/>
    <x v="6"/>
    <x v="162"/>
    <x v="516"/>
  </r>
  <r>
    <n v="1099678"/>
    <x v="282"/>
    <x v="6"/>
    <x v="126"/>
    <x v="516"/>
  </r>
  <r>
    <n v="1099678"/>
    <x v="282"/>
    <x v="6"/>
    <x v="132"/>
    <x v="535"/>
  </r>
  <r>
    <n v="1099678"/>
    <x v="282"/>
    <x v="6"/>
    <x v="137"/>
    <x v="516"/>
  </r>
  <r>
    <n v="1099678"/>
    <x v="282"/>
    <x v="6"/>
    <x v="144"/>
    <x v="351"/>
  </r>
  <r>
    <n v="1099678"/>
    <x v="282"/>
    <x v="6"/>
    <x v="149"/>
    <x v="516"/>
  </r>
  <r>
    <n v="1099678"/>
    <x v="282"/>
    <x v="6"/>
    <x v="255"/>
    <x v="198"/>
  </r>
  <r>
    <n v="1099678"/>
    <x v="282"/>
    <x v="6"/>
    <x v="260"/>
    <x v="346"/>
  </r>
  <r>
    <n v="1099678"/>
    <x v="282"/>
    <x v="6"/>
    <x v="264"/>
    <x v="535"/>
  </r>
  <r>
    <n v="1099678"/>
    <x v="282"/>
    <x v="6"/>
    <x v="206"/>
    <x v="516"/>
  </r>
  <r>
    <n v="1099678"/>
    <x v="282"/>
    <x v="6"/>
    <x v="210"/>
    <x v="351"/>
  </r>
  <r>
    <n v="1099678"/>
    <x v="282"/>
    <x v="6"/>
    <x v="215"/>
    <x v="516"/>
  </r>
  <r>
    <n v="1099678"/>
    <x v="282"/>
    <x v="6"/>
    <x v="340"/>
    <x v="77"/>
  </r>
  <r>
    <n v="1099678"/>
    <x v="282"/>
    <x v="6"/>
    <x v="8"/>
    <x v="535"/>
  </r>
  <r>
    <n v="1099678"/>
    <x v="282"/>
    <x v="6"/>
    <x v="251"/>
    <x v="516"/>
  </r>
  <r>
    <n v="1099678"/>
    <x v="282"/>
    <x v="6"/>
    <x v="229"/>
    <x v="217"/>
  </r>
  <r>
    <n v="1099678"/>
    <x v="282"/>
    <x v="6"/>
    <x v="234"/>
    <x v="170"/>
  </r>
  <r>
    <n v="1099678"/>
    <x v="282"/>
    <x v="6"/>
    <x v="155"/>
    <x v="205"/>
  </r>
  <r>
    <n v="1099678"/>
    <x v="282"/>
    <x v="6"/>
    <x v="313"/>
    <x v="88"/>
  </r>
  <r>
    <n v="1099678"/>
    <x v="282"/>
    <x v="6"/>
    <x v="341"/>
    <x v="351"/>
  </r>
  <r>
    <n v="1099678"/>
    <x v="282"/>
    <x v="6"/>
    <x v="218"/>
    <x v="351"/>
  </r>
  <r>
    <n v="1099678"/>
    <x v="282"/>
    <x v="6"/>
    <x v="317"/>
    <x v="178"/>
  </r>
  <r>
    <n v="1099678"/>
    <x v="282"/>
    <x v="6"/>
    <x v="173"/>
    <x v="3"/>
  </r>
  <r>
    <n v="1099678"/>
    <x v="282"/>
    <x v="6"/>
    <x v="186"/>
    <x v="516"/>
  </r>
  <r>
    <n v="1099678"/>
    <x v="282"/>
    <x v="6"/>
    <x v="187"/>
    <x v="88"/>
  </r>
  <r>
    <n v="1099678"/>
    <x v="282"/>
    <x v="6"/>
    <x v="188"/>
    <x v="346"/>
  </r>
  <r>
    <n v="1099678"/>
    <x v="282"/>
    <x v="6"/>
    <x v="184"/>
    <x v="516"/>
  </r>
  <r>
    <n v="1099678"/>
    <x v="282"/>
    <x v="6"/>
    <x v="164"/>
    <x v="347"/>
  </r>
  <r>
    <n v="1099678"/>
    <x v="282"/>
    <x v="6"/>
    <x v="0"/>
    <x v="475"/>
  </r>
  <r>
    <n v="1099678"/>
    <x v="282"/>
    <x v="6"/>
    <x v="26"/>
    <x v="535"/>
  </r>
  <r>
    <n v="1099678"/>
    <x v="282"/>
    <x v="6"/>
    <x v="36"/>
    <x v="77"/>
  </r>
  <r>
    <n v="1099678"/>
    <x v="282"/>
    <x v="6"/>
    <x v="42"/>
    <x v="64"/>
  </r>
  <r>
    <n v="1099678"/>
    <x v="282"/>
    <x v="6"/>
    <x v="392"/>
    <x v="64"/>
  </r>
  <r>
    <n v="1099678"/>
    <x v="282"/>
    <x v="6"/>
    <x v="324"/>
    <x v="198"/>
  </r>
  <r>
    <n v="1099678"/>
    <x v="282"/>
    <x v="6"/>
    <x v="320"/>
    <x v="83"/>
  </r>
  <r>
    <n v="1099678"/>
    <x v="282"/>
    <x v="6"/>
    <x v="326"/>
    <x v="351"/>
  </r>
  <r>
    <n v="1099678"/>
    <x v="282"/>
    <x v="6"/>
    <x v="64"/>
    <x v="344"/>
  </r>
  <r>
    <n v="1099678"/>
    <x v="282"/>
    <x v="6"/>
    <x v="418"/>
    <x v="148"/>
  </r>
  <r>
    <n v="1099678"/>
    <x v="282"/>
    <x v="6"/>
    <x v="59"/>
    <x v="42"/>
  </r>
  <r>
    <n v="1099678"/>
    <x v="282"/>
    <x v="6"/>
    <x v="66"/>
    <x v="88"/>
  </r>
  <r>
    <n v="1099678"/>
    <x v="282"/>
    <x v="6"/>
    <x v="74"/>
    <x v="198"/>
  </r>
  <r>
    <n v="1099678"/>
    <x v="282"/>
    <x v="6"/>
    <x v="79"/>
    <x v="151"/>
  </r>
  <r>
    <n v="1099678"/>
    <x v="282"/>
    <x v="6"/>
    <x v="80"/>
    <x v="111"/>
  </r>
  <r>
    <n v="1099678"/>
    <x v="282"/>
    <x v="6"/>
    <x v="419"/>
    <x v="62"/>
  </r>
  <r>
    <n v="1099678"/>
    <x v="282"/>
    <x v="6"/>
    <x v="424"/>
    <x v="348"/>
  </r>
  <r>
    <n v="1099678"/>
    <x v="282"/>
    <x v="6"/>
    <x v="93"/>
    <x v="197"/>
  </r>
  <r>
    <n v="1099678"/>
    <x v="282"/>
    <x v="6"/>
    <x v="408"/>
    <x v="516"/>
  </r>
  <r>
    <n v="1099678"/>
    <x v="282"/>
    <x v="6"/>
    <x v="413"/>
    <x v="535"/>
  </r>
  <r>
    <n v="1099678"/>
    <x v="282"/>
    <x v="6"/>
    <x v="414"/>
    <x v="516"/>
  </r>
  <r>
    <n v="1099678"/>
    <x v="282"/>
    <x v="6"/>
    <x v="51"/>
    <x v="182"/>
  </r>
  <r>
    <n v="1099678"/>
    <x v="282"/>
    <x v="6"/>
    <x v="47"/>
    <x v="352"/>
  </r>
  <r>
    <n v="1099678"/>
    <x v="282"/>
    <x v="6"/>
    <x v="281"/>
    <x v="149"/>
  </r>
  <r>
    <n v="1099678"/>
    <x v="282"/>
    <x v="6"/>
    <x v="283"/>
    <x v="77"/>
  </r>
  <r>
    <n v="1099678"/>
    <x v="282"/>
    <x v="6"/>
    <x v="96"/>
    <x v="351"/>
  </r>
  <r>
    <n v="1099678"/>
    <x v="282"/>
    <x v="6"/>
    <x v="94"/>
    <x v="516"/>
  </r>
  <r>
    <n v="1099678"/>
    <x v="282"/>
    <x v="6"/>
    <x v="88"/>
    <x v="178"/>
  </r>
  <r>
    <n v="1099678"/>
    <x v="282"/>
    <x v="6"/>
    <x v="361"/>
    <x v="178"/>
  </r>
  <r>
    <n v="1099678"/>
    <x v="282"/>
    <x v="6"/>
    <x v="115"/>
    <x v="351"/>
  </r>
  <r>
    <n v="1099678"/>
    <x v="282"/>
    <x v="6"/>
    <x v="284"/>
    <x v="79"/>
  </r>
  <r>
    <n v="1099678"/>
    <x v="282"/>
    <x v="6"/>
    <x v="91"/>
    <x v="351"/>
  </r>
  <r>
    <n v="1099678"/>
    <x v="282"/>
    <x v="6"/>
    <x v="308"/>
    <x v="198"/>
  </r>
  <r>
    <n v="1099678"/>
    <x v="282"/>
    <x v="6"/>
    <x v="374"/>
    <x v="348"/>
  </r>
  <r>
    <n v="1099678"/>
    <x v="282"/>
    <x v="6"/>
    <x v="113"/>
    <x v="535"/>
  </r>
  <r>
    <n v="1099678"/>
    <x v="282"/>
    <x v="6"/>
    <x v="310"/>
    <x v="77"/>
  </r>
  <r>
    <n v="1099678"/>
    <x v="282"/>
    <x v="6"/>
    <x v="399"/>
    <x v="176"/>
  </r>
  <r>
    <n v="1099678"/>
    <x v="282"/>
    <x v="6"/>
    <x v="417"/>
    <x v="346"/>
  </r>
  <r>
    <n v="1099678"/>
    <x v="282"/>
    <x v="6"/>
    <x v="280"/>
    <x v="351"/>
  </r>
  <r>
    <n v="1099678"/>
    <x v="282"/>
    <x v="6"/>
    <x v="54"/>
    <x v="351"/>
  </r>
  <r>
    <n v="1099678"/>
    <x v="282"/>
    <x v="6"/>
    <x v="119"/>
    <x v="84"/>
  </r>
  <r>
    <n v="1099678"/>
    <x v="282"/>
    <x v="6"/>
    <x v="441"/>
    <x v="64"/>
  </r>
  <r>
    <n v="1099678"/>
    <x v="282"/>
    <x v="6"/>
    <x v="378"/>
    <x v="170"/>
  </r>
  <r>
    <n v="1099678"/>
    <x v="282"/>
    <x v="6"/>
    <x v="436"/>
    <x v="154"/>
  </r>
  <r>
    <n v="1099678"/>
    <x v="282"/>
    <x v="6"/>
    <x v="289"/>
    <x v="79"/>
  </r>
  <r>
    <n v="1099678"/>
    <x v="282"/>
    <x v="6"/>
    <x v="291"/>
    <x v="170"/>
  </r>
  <r>
    <n v="1099678"/>
    <x v="282"/>
    <x v="6"/>
    <x v="102"/>
    <x v="238"/>
  </r>
  <r>
    <n v="1099678"/>
    <x v="282"/>
    <x v="6"/>
    <x v="105"/>
    <x v="82"/>
  </r>
  <r>
    <n v="1099678"/>
    <x v="282"/>
    <x v="6"/>
    <x v="103"/>
    <x v="170"/>
  </r>
  <r>
    <n v="1099678"/>
    <x v="282"/>
    <x v="6"/>
    <x v="212"/>
    <x v="170"/>
  </r>
  <r>
    <n v="1099678"/>
    <x v="1"/>
    <x v="1"/>
    <x v="2"/>
    <x v="2"/>
  </r>
  <r>
    <n v="1099679"/>
    <x v="283"/>
    <x v="10"/>
    <x v="330"/>
    <x v="2"/>
  </r>
  <r>
    <n v="1099679"/>
    <x v="1"/>
    <x v="1"/>
    <x v="2"/>
    <x v="2"/>
  </r>
  <r>
    <n v="1099680"/>
    <x v="284"/>
    <x v="5"/>
    <x v="111"/>
    <x v="133"/>
  </r>
  <r>
    <n v="1099680"/>
    <x v="284"/>
    <x v="5"/>
    <x v="115"/>
    <x v="136"/>
  </r>
  <r>
    <n v="1099680"/>
    <x v="284"/>
    <x v="5"/>
    <x v="119"/>
    <x v="140"/>
  </r>
  <r>
    <n v="1099680"/>
    <x v="284"/>
    <x v="5"/>
    <x v="113"/>
    <x v="135"/>
  </r>
  <r>
    <n v="1099680"/>
    <x v="284"/>
    <x v="5"/>
    <x v="112"/>
    <x v="134"/>
  </r>
  <r>
    <n v="1099680"/>
    <x v="284"/>
    <x v="5"/>
    <x v="114"/>
    <x v="119"/>
  </r>
  <r>
    <n v="1099680"/>
    <x v="284"/>
    <x v="5"/>
    <x v="117"/>
    <x v="138"/>
  </r>
  <r>
    <n v="1099680"/>
    <x v="284"/>
    <x v="5"/>
    <x v="118"/>
    <x v="139"/>
  </r>
  <r>
    <n v="1099680"/>
    <x v="284"/>
    <x v="5"/>
    <x v="110"/>
    <x v="132"/>
  </r>
  <r>
    <n v="1099680"/>
    <x v="284"/>
    <x v="5"/>
    <x v="116"/>
    <x v="137"/>
  </r>
  <r>
    <n v="1099680"/>
    <x v="284"/>
    <x v="5"/>
    <x v="121"/>
    <x v="142"/>
  </r>
  <r>
    <n v="1099680"/>
    <x v="284"/>
    <x v="5"/>
    <x v="122"/>
    <x v="143"/>
  </r>
  <r>
    <n v="1099680"/>
    <x v="284"/>
    <x v="5"/>
    <x v="120"/>
    <x v="141"/>
  </r>
  <r>
    <n v="1099680"/>
    <x v="1"/>
    <x v="1"/>
    <x v="2"/>
    <x v="2"/>
  </r>
  <r>
    <n v="1099682"/>
    <x v="285"/>
    <x v="3"/>
    <x v="161"/>
    <x v="163"/>
  </r>
  <r>
    <n v="1099682"/>
    <x v="285"/>
    <x v="3"/>
    <x v="139"/>
    <x v="37"/>
  </r>
  <r>
    <n v="1099682"/>
    <x v="285"/>
    <x v="3"/>
    <x v="153"/>
    <x v="147"/>
  </r>
  <r>
    <n v="1099682"/>
    <x v="285"/>
    <x v="3"/>
    <x v="126"/>
    <x v="82"/>
  </r>
  <r>
    <n v="1099682"/>
    <x v="285"/>
    <x v="3"/>
    <x v="144"/>
    <x v="84"/>
  </r>
  <r>
    <n v="1099682"/>
    <x v="285"/>
    <x v="3"/>
    <x v="163"/>
    <x v="83"/>
  </r>
  <r>
    <n v="1099682"/>
    <x v="285"/>
    <x v="3"/>
    <x v="141"/>
    <x v="151"/>
  </r>
  <r>
    <n v="1099682"/>
    <x v="285"/>
    <x v="3"/>
    <x v="140"/>
    <x v="150"/>
  </r>
  <r>
    <n v="1099682"/>
    <x v="285"/>
    <x v="3"/>
    <x v="158"/>
    <x v="160"/>
  </r>
  <r>
    <n v="1099682"/>
    <x v="285"/>
    <x v="3"/>
    <x v="133"/>
    <x v="147"/>
  </r>
  <r>
    <n v="1099682"/>
    <x v="285"/>
    <x v="3"/>
    <x v="150"/>
    <x v="155"/>
  </r>
  <r>
    <n v="1099682"/>
    <x v="285"/>
    <x v="3"/>
    <x v="128"/>
    <x v="92"/>
  </r>
  <r>
    <n v="1099682"/>
    <x v="285"/>
    <x v="3"/>
    <x v="146"/>
    <x v="78"/>
  </r>
  <r>
    <n v="1099682"/>
    <x v="285"/>
    <x v="3"/>
    <x v="162"/>
    <x v="164"/>
  </r>
  <r>
    <n v="1099682"/>
    <x v="285"/>
    <x v="3"/>
    <x v="125"/>
    <x v="144"/>
  </r>
  <r>
    <n v="1099682"/>
    <x v="285"/>
    <x v="3"/>
    <x v="137"/>
    <x v="79"/>
  </r>
  <r>
    <n v="1099682"/>
    <x v="285"/>
    <x v="3"/>
    <x v="143"/>
    <x v="91"/>
  </r>
  <r>
    <n v="1099682"/>
    <x v="285"/>
    <x v="3"/>
    <x v="130"/>
    <x v="145"/>
  </r>
  <r>
    <n v="1099682"/>
    <x v="285"/>
    <x v="3"/>
    <x v="156"/>
    <x v="158"/>
  </r>
  <r>
    <n v="1099682"/>
    <x v="285"/>
    <x v="3"/>
    <x v="159"/>
    <x v="161"/>
  </r>
  <r>
    <n v="1099682"/>
    <x v="285"/>
    <x v="3"/>
    <x v="160"/>
    <x v="162"/>
  </r>
  <r>
    <n v="1099682"/>
    <x v="285"/>
    <x v="3"/>
    <x v="134"/>
    <x v="148"/>
  </r>
  <r>
    <n v="1099682"/>
    <x v="285"/>
    <x v="3"/>
    <x v="135"/>
    <x v="64"/>
  </r>
  <r>
    <n v="1099682"/>
    <x v="285"/>
    <x v="3"/>
    <x v="151"/>
    <x v="35"/>
  </r>
  <r>
    <n v="1099682"/>
    <x v="285"/>
    <x v="3"/>
    <x v="152"/>
    <x v="156"/>
  </r>
  <r>
    <n v="1099682"/>
    <x v="285"/>
    <x v="3"/>
    <x v="131"/>
    <x v="34"/>
  </r>
  <r>
    <n v="1099682"/>
    <x v="285"/>
    <x v="3"/>
    <x v="148"/>
    <x v="144"/>
  </r>
  <r>
    <n v="1099682"/>
    <x v="285"/>
    <x v="3"/>
    <x v="127"/>
    <x v="97"/>
  </r>
  <r>
    <n v="1099682"/>
    <x v="285"/>
    <x v="3"/>
    <x v="145"/>
    <x v="153"/>
  </r>
  <r>
    <n v="1099682"/>
    <x v="285"/>
    <x v="3"/>
    <x v="124"/>
    <x v="62"/>
  </r>
  <r>
    <n v="1099682"/>
    <x v="285"/>
    <x v="3"/>
    <x v="142"/>
    <x v="152"/>
  </r>
  <r>
    <n v="1099682"/>
    <x v="285"/>
    <x v="3"/>
    <x v="155"/>
    <x v="157"/>
  </r>
  <r>
    <n v="1099682"/>
    <x v="285"/>
    <x v="3"/>
    <x v="129"/>
    <x v="42"/>
  </r>
  <r>
    <n v="1099682"/>
    <x v="285"/>
    <x v="3"/>
    <x v="147"/>
    <x v="24"/>
  </r>
  <r>
    <n v="1099682"/>
    <x v="285"/>
    <x v="3"/>
    <x v="157"/>
    <x v="159"/>
  </r>
  <r>
    <n v="1099682"/>
    <x v="285"/>
    <x v="3"/>
    <x v="154"/>
    <x v="149"/>
  </r>
  <r>
    <n v="1099682"/>
    <x v="285"/>
    <x v="3"/>
    <x v="132"/>
    <x v="146"/>
  </r>
  <r>
    <n v="1099682"/>
    <x v="285"/>
    <x v="3"/>
    <x v="138"/>
    <x v="149"/>
  </r>
  <r>
    <n v="1099682"/>
    <x v="285"/>
    <x v="3"/>
    <x v="149"/>
    <x v="154"/>
  </r>
  <r>
    <n v="1099682"/>
    <x v="285"/>
    <x v="3"/>
    <x v="136"/>
    <x v="82"/>
  </r>
  <r>
    <n v="1099682"/>
    <x v="1"/>
    <x v="1"/>
    <x v="2"/>
    <x v="2"/>
  </r>
  <r>
    <n v="1099683"/>
    <x v="286"/>
    <x v="3"/>
    <x v="5"/>
    <x v="346"/>
  </r>
  <r>
    <n v="1099683"/>
    <x v="286"/>
    <x v="3"/>
    <x v="13"/>
    <x v="407"/>
  </r>
  <r>
    <n v="1099683"/>
    <x v="286"/>
    <x v="3"/>
    <x v="345"/>
    <x v="408"/>
  </r>
  <r>
    <n v="1099683"/>
    <x v="286"/>
    <x v="3"/>
    <x v="346"/>
    <x v="233"/>
  </r>
  <r>
    <n v="1099683"/>
    <x v="286"/>
    <x v="3"/>
    <x v="347"/>
    <x v="409"/>
  </r>
  <r>
    <n v="1099683"/>
    <x v="286"/>
    <x v="3"/>
    <x v="348"/>
    <x v="123"/>
  </r>
  <r>
    <n v="1099683"/>
    <x v="286"/>
    <x v="3"/>
    <x v="349"/>
    <x v="407"/>
  </r>
  <r>
    <n v="1099683"/>
    <x v="286"/>
    <x v="3"/>
    <x v="331"/>
    <x v="48"/>
  </r>
  <r>
    <n v="1099683"/>
    <x v="286"/>
    <x v="3"/>
    <x v="332"/>
    <x v="410"/>
  </r>
  <r>
    <n v="1099683"/>
    <x v="286"/>
    <x v="3"/>
    <x v="333"/>
    <x v="409"/>
  </r>
  <r>
    <n v="1099683"/>
    <x v="286"/>
    <x v="3"/>
    <x v="334"/>
    <x v="411"/>
  </r>
  <r>
    <n v="1099683"/>
    <x v="286"/>
    <x v="3"/>
    <x v="350"/>
    <x v="53"/>
  </r>
  <r>
    <n v="1099683"/>
    <x v="286"/>
    <x v="3"/>
    <x v="351"/>
    <x v="406"/>
  </r>
  <r>
    <n v="1099683"/>
    <x v="286"/>
    <x v="3"/>
    <x v="352"/>
    <x v="219"/>
  </r>
  <r>
    <n v="1099683"/>
    <x v="286"/>
    <x v="3"/>
    <x v="335"/>
    <x v="415"/>
  </r>
  <r>
    <n v="1099683"/>
    <x v="286"/>
    <x v="3"/>
    <x v="336"/>
    <x v="412"/>
  </r>
  <r>
    <n v="1099683"/>
    <x v="286"/>
    <x v="3"/>
    <x v="337"/>
    <x v="413"/>
  </r>
  <r>
    <n v="1099683"/>
    <x v="286"/>
    <x v="3"/>
    <x v="338"/>
    <x v="404"/>
  </r>
  <r>
    <n v="1099683"/>
    <x v="286"/>
    <x v="3"/>
    <x v="340"/>
    <x v="400"/>
  </r>
  <r>
    <n v="1099683"/>
    <x v="286"/>
    <x v="3"/>
    <x v="339"/>
    <x v="414"/>
  </r>
  <r>
    <n v="1099683"/>
    <x v="286"/>
    <x v="3"/>
    <x v="343"/>
    <x v="401"/>
  </r>
  <r>
    <n v="1099683"/>
    <x v="286"/>
    <x v="3"/>
    <x v="14"/>
    <x v="402"/>
  </r>
  <r>
    <n v="1099683"/>
    <x v="286"/>
    <x v="3"/>
    <x v="15"/>
    <x v="403"/>
  </r>
  <r>
    <n v="1099683"/>
    <x v="286"/>
    <x v="3"/>
    <x v="12"/>
    <x v="3"/>
  </r>
  <r>
    <n v="1099683"/>
    <x v="286"/>
    <x v="3"/>
    <x v="11"/>
    <x v="228"/>
  </r>
  <r>
    <n v="1099683"/>
    <x v="286"/>
    <x v="3"/>
    <x v="344"/>
    <x v="404"/>
  </r>
  <r>
    <n v="1099683"/>
    <x v="286"/>
    <x v="3"/>
    <x v="10"/>
    <x v="405"/>
  </r>
  <r>
    <n v="1099683"/>
    <x v="286"/>
    <x v="3"/>
    <x v="9"/>
    <x v="380"/>
  </r>
  <r>
    <n v="1099683"/>
    <x v="286"/>
    <x v="3"/>
    <x v="8"/>
    <x v="180"/>
  </r>
  <r>
    <n v="1099683"/>
    <x v="286"/>
    <x v="3"/>
    <x v="7"/>
    <x v="406"/>
  </r>
  <r>
    <n v="1099683"/>
    <x v="286"/>
    <x v="3"/>
    <x v="6"/>
    <x v="233"/>
  </r>
  <r>
    <n v="1099683"/>
    <x v="286"/>
    <x v="3"/>
    <x v="342"/>
    <x v="227"/>
  </r>
  <r>
    <n v="1099683"/>
    <x v="1"/>
    <x v="1"/>
    <x v="2"/>
    <x v="2"/>
  </r>
  <r>
    <n v="1099685"/>
    <x v="287"/>
    <x v="5"/>
    <x v="85"/>
    <x v="686"/>
  </r>
  <r>
    <n v="1099685"/>
    <x v="287"/>
    <x v="5"/>
    <x v="405"/>
    <x v="229"/>
  </r>
  <r>
    <n v="1099685"/>
    <x v="287"/>
    <x v="5"/>
    <x v="401"/>
    <x v="200"/>
  </r>
  <r>
    <n v="1099685"/>
    <x v="287"/>
    <x v="5"/>
    <x v="415"/>
    <x v="687"/>
  </r>
  <r>
    <n v="1099685"/>
    <x v="287"/>
    <x v="5"/>
    <x v="22"/>
    <x v="688"/>
  </r>
  <r>
    <n v="1099685"/>
    <x v="287"/>
    <x v="5"/>
    <x v="23"/>
    <x v="688"/>
  </r>
  <r>
    <n v="1099685"/>
    <x v="287"/>
    <x v="5"/>
    <x v="414"/>
    <x v="168"/>
  </r>
  <r>
    <n v="1099685"/>
    <x v="287"/>
    <x v="5"/>
    <x v="412"/>
    <x v="78"/>
  </r>
  <r>
    <n v="1099685"/>
    <x v="287"/>
    <x v="5"/>
    <x v="18"/>
    <x v="211"/>
  </r>
  <r>
    <n v="1099685"/>
    <x v="287"/>
    <x v="5"/>
    <x v="407"/>
    <x v="689"/>
  </r>
  <r>
    <n v="1099685"/>
    <x v="287"/>
    <x v="5"/>
    <x v="404"/>
    <x v="325"/>
  </r>
  <r>
    <n v="1099685"/>
    <x v="287"/>
    <x v="5"/>
    <x v="406"/>
    <x v="200"/>
  </r>
  <r>
    <n v="1099685"/>
    <x v="287"/>
    <x v="5"/>
    <x v="408"/>
    <x v="147"/>
  </r>
  <r>
    <n v="1099685"/>
    <x v="287"/>
    <x v="5"/>
    <x v="86"/>
    <x v="690"/>
  </r>
  <r>
    <n v="1099685"/>
    <x v="287"/>
    <x v="5"/>
    <x v="409"/>
    <x v="517"/>
  </r>
  <r>
    <n v="1099685"/>
    <x v="287"/>
    <x v="5"/>
    <x v="403"/>
    <x v="691"/>
  </r>
  <r>
    <n v="1099685"/>
    <x v="287"/>
    <x v="5"/>
    <x v="417"/>
    <x v="692"/>
  </r>
  <r>
    <n v="1099685"/>
    <x v="287"/>
    <x v="5"/>
    <x v="400"/>
    <x v="455"/>
  </r>
  <r>
    <n v="1099685"/>
    <x v="287"/>
    <x v="5"/>
    <x v="397"/>
    <x v="693"/>
  </r>
  <r>
    <n v="1099685"/>
    <x v="287"/>
    <x v="5"/>
    <x v="19"/>
    <x v="457"/>
  </r>
  <r>
    <n v="1099685"/>
    <x v="287"/>
    <x v="5"/>
    <x v="411"/>
    <x v="546"/>
  </r>
  <r>
    <n v="1099685"/>
    <x v="287"/>
    <x v="5"/>
    <x v="413"/>
    <x v="537"/>
  </r>
  <r>
    <n v="1099685"/>
    <x v="287"/>
    <x v="5"/>
    <x v="416"/>
    <x v="485"/>
  </r>
  <r>
    <n v="1099685"/>
    <x v="287"/>
    <x v="5"/>
    <x v="20"/>
    <x v="476"/>
  </r>
  <r>
    <n v="1099685"/>
    <x v="287"/>
    <x v="5"/>
    <x v="410"/>
    <x v="694"/>
  </r>
  <r>
    <n v="1099685"/>
    <x v="287"/>
    <x v="5"/>
    <x v="21"/>
    <x v="51"/>
  </r>
  <r>
    <n v="1099685"/>
    <x v="287"/>
    <x v="5"/>
    <x v="398"/>
    <x v="84"/>
  </r>
  <r>
    <n v="1099685"/>
    <x v="287"/>
    <x v="5"/>
    <x v="399"/>
    <x v="695"/>
  </r>
  <r>
    <n v="1099685"/>
    <x v="1"/>
    <x v="1"/>
    <x v="2"/>
    <x v="2"/>
  </r>
  <r>
    <n v="1099687"/>
    <x v="288"/>
    <x v="6"/>
    <x v="277"/>
    <x v="2"/>
  </r>
  <r>
    <n v="1099687"/>
    <x v="1"/>
    <x v="1"/>
    <x v="2"/>
    <x v="2"/>
  </r>
  <r>
    <n v="1099688"/>
    <x v="289"/>
    <x v="2"/>
    <x v="73"/>
    <x v="347"/>
  </r>
  <r>
    <n v="1099688"/>
    <x v="289"/>
    <x v="2"/>
    <x v="67"/>
    <x v="35"/>
  </r>
  <r>
    <n v="1099688"/>
    <x v="289"/>
    <x v="2"/>
    <x v="80"/>
    <x v="523"/>
  </r>
  <r>
    <n v="1099688"/>
    <x v="289"/>
    <x v="2"/>
    <x v="57"/>
    <x v="522"/>
  </r>
  <r>
    <n v="1099688"/>
    <x v="289"/>
    <x v="2"/>
    <x v="59"/>
    <x v="521"/>
  </r>
  <r>
    <n v="1099688"/>
    <x v="289"/>
    <x v="2"/>
    <x v="81"/>
    <x v="477"/>
  </r>
  <r>
    <n v="1099688"/>
    <x v="289"/>
    <x v="2"/>
    <x v="64"/>
    <x v="524"/>
  </r>
  <r>
    <n v="1099688"/>
    <x v="289"/>
    <x v="2"/>
    <x v="83"/>
    <x v="185"/>
  </r>
  <r>
    <n v="1099688"/>
    <x v="289"/>
    <x v="2"/>
    <x v="55"/>
    <x v="146"/>
  </r>
  <r>
    <n v="1099688"/>
    <x v="289"/>
    <x v="2"/>
    <x v="69"/>
    <x v="525"/>
  </r>
  <r>
    <n v="1099688"/>
    <x v="1"/>
    <x v="1"/>
    <x v="2"/>
    <x v="2"/>
  </r>
  <r>
    <n v="1099689"/>
    <x v="290"/>
    <x v="14"/>
    <x v="391"/>
    <x v="2"/>
  </r>
  <r>
    <n v="1099689"/>
    <x v="1"/>
    <x v="1"/>
    <x v="2"/>
    <x v="2"/>
  </r>
  <r>
    <n v="1099692"/>
    <x v="291"/>
    <x v="13"/>
    <x v="385"/>
    <x v="508"/>
  </r>
  <r>
    <n v="1099692"/>
    <x v="291"/>
    <x v="13"/>
    <x v="383"/>
    <x v="500"/>
  </r>
  <r>
    <n v="1099692"/>
    <x v="1"/>
    <x v="1"/>
    <x v="2"/>
    <x v="2"/>
  </r>
  <r>
    <n v="1099694"/>
    <x v="292"/>
    <x v="5"/>
    <x v="276"/>
    <x v="2"/>
  </r>
  <r>
    <n v="1099694"/>
    <x v="1"/>
    <x v="1"/>
    <x v="2"/>
    <x v="2"/>
  </r>
  <r>
    <n v="1099696"/>
    <x v="293"/>
    <x v="6"/>
    <x v="450"/>
    <x v="2"/>
  </r>
  <r>
    <n v="1099696"/>
    <x v="1"/>
    <x v="1"/>
    <x v="2"/>
    <x v="2"/>
  </r>
  <r>
    <n v="1099698"/>
    <x v="294"/>
    <x v="2"/>
    <x v="69"/>
    <x v="696"/>
  </r>
  <r>
    <n v="1099698"/>
    <x v="294"/>
    <x v="2"/>
    <x v="73"/>
    <x v="163"/>
  </r>
  <r>
    <n v="1099698"/>
    <x v="294"/>
    <x v="2"/>
    <x v="55"/>
    <x v="92"/>
  </r>
  <r>
    <n v="1099698"/>
    <x v="294"/>
    <x v="2"/>
    <x v="57"/>
    <x v="697"/>
  </r>
  <r>
    <n v="1099698"/>
    <x v="294"/>
    <x v="2"/>
    <x v="80"/>
    <x v="698"/>
  </r>
  <r>
    <n v="1099698"/>
    <x v="1"/>
    <x v="1"/>
    <x v="2"/>
    <x v="2"/>
  </r>
  <r>
    <n v="1099700"/>
    <x v="295"/>
    <x v="2"/>
    <x v="276"/>
    <x v="2"/>
  </r>
  <r>
    <n v="1099700"/>
    <x v="1"/>
    <x v="1"/>
    <x v="2"/>
    <x v="2"/>
  </r>
  <r>
    <n v="1099702"/>
    <x v="296"/>
    <x v="5"/>
    <x v="312"/>
    <x v="669"/>
  </r>
  <r>
    <n v="1099702"/>
    <x v="296"/>
    <x v="5"/>
    <x v="309"/>
    <x v="667"/>
  </r>
  <r>
    <n v="1099702"/>
    <x v="296"/>
    <x v="5"/>
    <x v="310"/>
    <x v="666"/>
  </r>
  <r>
    <n v="1099702"/>
    <x v="296"/>
    <x v="5"/>
    <x v="311"/>
    <x v="668"/>
  </r>
  <r>
    <n v="1099702"/>
    <x v="1"/>
    <x v="1"/>
    <x v="2"/>
    <x v="2"/>
  </r>
  <r>
    <n v="1099704"/>
    <x v="297"/>
    <x v="2"/>
    <x v="276"/>
    <x v="2"/>
  </r>
  <r>
    <n v="1099704"/>
    <x v="1"/>
    <x v="1"/>
    <x v="2"/>
    <x v="2"/>
  </r>
  <r>
    <n v="1099706"/>
    <x v="298"/>
    <x v="2"/>
    <x v="200"/>
    <x v="193"/>
  </r>
  <r>
    <n v="1099706"/>
    <x v="298"/>
    <x v="2"/>
    <x v="201"/>
    <x v="194"/>
  </r>
  <r>
    <n v="1099706"/>
    <x v="298"/>
    <x v="2"/>
    <x v="203"/>
    <x v="195"/>
  </r>
  <r>
    <n v="1099706"/>
    <x v="298"/>
    <x v="2"/>
    <x v="202"/>
    <x v="141"/>
  </r>
  <r>
    <n v="1099706"/>
    <x v="298"/>
    <x v="2"/>
    <x v="199"/>
    <x v="192"/>
  </r>
  <r>
    <n v="1099706"/>
    <x v="1"/>
    <x v="1"/>
    <x v="2"/>
    <x v="2"/>
  </r>
  <r>
    <n v="1099707"/>
    <x v="299"/>
    <x v="5"/>
    <x v="276"/>
    <x v="2"/>
  </r>
  <r>
    <n v="1099707"/>
    <x v="1"/>
    <x v="1"/>
    <x v="2"/>
    <x v="2"/>
  </r>
  <r>
    <n v="1099708"/>
    <x v="300"/>
    <x v="2"/>
    <x v="276"/>
    <x v="2"/>
  </r>
  <r>
    <n v="1099708"/>
    <x v="1"/>
    <x v="1"/>
    <x v="2"/>
    <x v="2"/>
  </r>
  <r>
    <n v="1099709"/>
    <x v="301"/>
    <x v="2"/>
    <x v="276"/>
    <x v="2"/>
  </r>
  <r>
    <n v="1099709"/>
    <x v="1"/>
    <x v="1"/>
    <x v="2"/>
    <x v="2"/>
  </r>
  <r>
    <n v="1099710"/>
    <x v="302"/>
    <x v="6"/>
    <x v="450"/>
    <x v="2"/>
  </r>
  <r>
    <n v="1099710"/>
    <x v="1"/>
    <x v="1"/>
    <x v="2"/>
    <x v="2"/>
  </r>
  <r>
    <n v="1099711"/>
    <x v="303"/>
    <x v="3"/>
    <x v="245"/>
    <x v="547"/>
  </r>
  <r>
    <n v="1099711"/>
    <x v="303"/>
    <x v="3"/>
    <x v="217"/>
    <x v="233"/>
  </r>
  <r>
    <n v="1099711"/>
    <x v="303"/>
    <x v="3"/>
    <x v="221"/>
    <x v="51"/>
  </r>
  <r>
    <n v="1099711"/>
    <x v="303"/>
    <x v="3"/>
    <x v="258"/>
    <x v="4"/>
  </r>
  <r>
    <n v="1099711"/>
    <x v="303"/>
    <x v="3"/>
    <x v="262"/>
    <x v="64"/>
  </r>
  <r>
    <n v="1099711"/>
    <x v="303"/>
    <x v="3"/>
    <x v="205"/>
    <x v="4"/>
  </r>
  <r>
    <n v="1099711"/>
    <x v="303"/>
    <x v="3"/>
    <x v="209"/>
    <x v="346"/>
  </r>
  <r>
    <n v="1099711"/>
    <x v="303"/>
    <x v="3"/>
    <x v="214"/>
    <x v="77"/>
  </r>
  <r>
    <n v="1099711"/>
    <x v="303"/>
    <x v="3"/>
    <x v="224"/>
    <x v="699"/>
  </r>
  <r>
    <n v="1099711"/>
    <x v="303"/>
    <x v="3"/>
    <x v="229"/>
    <x v="700"/>
  </r>
  <r>
    <n v="1099711"/>
    <x v="303"/>
    <x v="3"/>
    <x v="234"/>
    <x v="181"/>
  </r>
  <r>
    <n v="1099711"/>
    <x v="303"/>
    <x v="3"/>
    <x v="239"/>
    <x v="392"/>
  </r>
  <r>
    <n v="1099711"/>
    <x v="303"/>
    <x v="3"/>
    <x v="243"/>
    <x v="153"/>
  </r>
  <r>
    <n v="1099711"/>
    <x v="303"/>
    <x v="3"/>
    <x v="247"/>
    <x v="392"/>
  </r>
  <r>
    <n v="1099711"/>
    <x v="303"/>
    <x v="3"/>
    <x v="314"/>
    <x v="154"/>
  </r>
  <r>
    <n v="1099711"/>
    <x v="303"/>
    <x v="3"/>
    <x v="257"/>
    <x v="204"/>
  </r>
  <r>
    <n v="1099711"/>
    <x v="303"/>
    <x v="3"/>
    <x v="249"/>
    <x v="61"/>
  </r>
  <r>
    <n v="1099711"/>
    <x v="303"/>
    <x v="3"/>
    <x v="204"/>
    <x v="97"/>
  </r>
  <r>
    <n v="1099711"/>
    <x v="303"/>
    <x v="3"/>
    <x v="250"/>
    <x v="34"/>
  </r>
  <r>
    <n v="1099711"/>
    <x v="303"/>
    <x v="3"/>
    <x v="213"/>
    <x v="201"/>
  </r>
  <r>
    <n v="1099711"/>
    <x v="303"/>
    <x v="3"/>
    <x v="223"/>
    <x v="3"/>
  </r>
  <r>
    <n v="1099711"/>
    <x v="303"/>
    <x v="3"/>
    <x v="228"/>
    <x v="701"/>
  </r>
  <r>
    <n v="1099711"/>
    <x v="303"/>
    <x v="3"/>
    <x v="233"/>
    <x v="441"/>
  </r>
  <r>
    <n v="1099711"/>
    <x v="303"/>
    <x v="3"/>
    <x v="238"/>
    <x v="702"/>
  </r>
  <r>
    <n v="1099711"/>
    <x v="303"/>
    <x v="3"/>
    <x v="242"/>
    <x v="89"/>
  </r>
  <r>
    <n v="1099711"/>
    <x v="303"/>
    <x v="3"/>
    <x v="246"/>
    <x v="39"/>
  </r>
  <r>
    <n v="1099711"/>
    <x v="303"/>
    <x v="3"/>
    <x v="219"/>
    <x v="574"/>
  </r>
  <r>
    <n v="1099711"/>
    <x v="303"/>
    <x v="3"/>
    <x v="253"/>
    <x v="119"/>
  </r>
  <r>
    <n v="1099711"/>
    <x v="303"/>
    <x v="3"/>
    <x v="254"/>
    <x v="62"/>
  </r>
  <r>
    <n v="1099711"/>
    <x v="303"/>
    <x v="3"/>
    <x v="251"/>
    <x v="176"/>
  </r>
  <r>
    <n v="1099711"/>
    <x v="303"/>
    <x v="3"/>
    <x v="256"/>
    <x v="459"/>
  </r>
  <r>
    <n v="1099711"/>
    <x v="303"/>
    <x v="3"/>
    <x v="261"/>
    <x v="37"/>
  </r>
  <r>
    <n v="1099711"/>
    <x v="303"/>
    <x v="3"/>
    <x v="265"/>
    <x v="82"/>
  </r>
  <r>
    <n v="1099711"/>
    <x v="303"/>
    <x v="3"/>
    <x v="208"/>
    <x v="197"/>
  </r>
  <r>
    <n v="1099711"/>
    <x v="303"/>
    <x v="3"/>
    <x v="212"/>
    <x v="171"/>
  </r>
  <r>
    <n v="1099711"/>
    <x v="303"/>
    <x v="3"/>
    <x v="222"/>
    <x v="567"/>
  </r>
  <r>
    <n v="1099711"/>
    <x v="303"/>
    <x v="3"/>
    <x v="227"/>
    <x v="57"/>
  </r>
  <r>
    <n v="1099711"/>
    <x v="303"/>
    <x v="3"/>
    <x v="232"/>
    <x v="474"/>
  </r>
  <r>
    <n v="1099711"/>
    <x v="303"/>
    <x v="3"/>
    <x v="237"/>
    <x v="703"/>
  </r>
  <r>
    <n v="1099711"/>
    <x v="303"/>
    <x v="3"/>
    <x v="313"/>
    <x v="704"/>
  </r>
  <r>
    <n v="1099711"/>
    <x v="303"/>
    <x v="3"/>
    <x v="341"/>
    <x v="80"/>
  </r>
  <r>
    <n v="1099711"/>
    <x v="303"/>
    <x v="3"/>
    <x v="218"/>
    <x v="69"/>
  </r>
  <r>
    <n v="1099711"/>
    <x v="303"/>
    <x v="3"/>
    <x v="252"/>
    <x v="42"/>
  </r>
  <r>
    <n v="1099711"/>
    <x v="303"/>
    <x v="3"/>
    <x v="260"/>
    <x v="364"/>
  </r>
  <r>
    <n v="1099711"/>
    <x v="303"/>
    <x v="3"/>
    <x v="263"/>
    <x v="173"/>
  </r>
  <r>
    <n v="1099711"/>
    <x v="303"/>
    <x v="3"/>
    <x v="206"/>
    <x v="144"/>
  </r>
  <r>
    <n v="1099711"/>
    <x v="303"/>
    <x v="3"/>
    <x v="210"/>
    <x v="92"/>
  </r>
  <r>
    <n v="1099711"/>
    <x v="303"/>
    <x v="3"/>
    <x v="215"/>
    <x v="4"/>
  </r>
  <r>
    <n v="1099711"/>
    <x v="303"/>
    <x v="3"/>
    <x v="225"/>
    <x v="111"/>
  </r>
  <r>
    <n v="1099711"/>
    <x v="303"/>
    <x v="3"/>
    <x v="230"/>
    <x v="705"/>
  </r>
  <r>
    <n v="1099711"/>
    <x v="303"/>
    <x v="3"/>
    <x v="235"/>
    <x v="706"/>
  </r>
  <r>
    <n v="1099711"/>
    <x v="303"/>
    <x v="3"/>
    <x v="240"/>
    <x v="82"/>
  </r>
  <r>
    <n v="1099711"/>
    <x v="303"/>
    <x v="3"/>
    <x v="244"/>
    <x v="350"/>
  </r>
  <r>
    <n v="1099711"/>
    <x v="303"/>
    <x v="3"/>
    <x v="248"/>
    <x v="161"/>
  </r>
  <r>
    <n v="1099711"/>
    <x v="303"/>
    <x v="3"/>
    <x v="220"/>
    <x v="217"/>
  </r>
  <r>
    <n v="1099711"/>
    <x v="303"/>
    <x v="3"/>
    <x v="255"/>
    <x v="707"/>
  </r>
  <r>
    <n v="1099711"/>
    <x v="303"/>
    <x v="3"/>
    <x v="259"/>
    <x v="197"/>
  </r>
  <r>
    <n v="1099711"/>
    <x v="303"/>
    <x v="3"/>
    <x v="264"/>
    <x v="153"/>
  </r>
  <r>
    <n v="1099711"/>
    <x v="303"/>
    <x v="3"/>
    <x v="207"/>
    <x v="549"/>
  </r>
  <r>
    <n v="1099711"/>
    <x v="303"/>
    <x v="3"/>
    <x v="211"/>
    <x v="156"/>
  </r>
  <r>
    <n v="1099711"/>
    <x v="303"/>
    <x v="3"/>
    <x v="216"/>
    <x v="392"/>
  </r>
  <r>
    <n v="1099711"/>
    <x v="303"/>
    <x v="3"/>
    <x v="226"/>
    <x v="708"/>
  </r>
  <r>
    <n v="1099711"/>
    <x v="303"/>
    <x v="3"/>
    <x v="231"/>
    <x v="258"/>
  </r>
  <r>
    <n v="1099711"/>
    <x v="303"/>
    <x v="3"/>
    <x v="236"/>
    <x v="200"/>
  </r>
  <r>
    <n v="1099711"/>
    <x v="303"/>
    <x v="3"/>
    <x v="241"/>
    <x v="91"/>
  </r>
  <r>
    <n v="1099711"/>
    <x v="1"/>
    <x v="1"/>
    <x v="2"/>
    <x v="2"/>
  </r>
  <r>
    <n v="1099713"/>
    <x v="304"/>
    <x v="3"/>
    <x v="157"/>
    <x v="159"/>
  </r>
  <r>
    <n v="1099713"/>
    <x v="304"/>
    <x v="3"/>
    <x v="156"/>
    <x v="158"/>
  </r>
  <r>
    <n v="1099713"/>
    <x v="304"/>
    <x v="3"/>
    <x v="126"/>
    <x v="82"/>
  </r>
  <r>
    <n v="1099713"/>
    <x v="304"/>
    <x v="3"/>
    <x v="132"/>
    <x v="146"/>
  </r>
  <r>
    <n v="1099713"/>
    <x v="304"/>
    <x v="3"/>
    <x v="137"/>
    <x v="79"/>
  </r>
  <r>
    <n v="1099713"/>
    <x v="304"/>
    <x v="3"/>
    <x v="144"/>
    <x v="84"/>
  </r>
  <r>
    <n v="1099713"/>
    <x v="304"/>
    <x v="3"/>
    <x v="149"/>
    <x v="154"/>
  </r>
  <r>
    <n v="1099713"/>
    <x v="304"/>
    <x v="3"/>
    <x v="130"/>
    <x v="145"/>
  </r>
  <r>
    <n v="1099713"/>
    <x v="304"/>
    <x v="3"/>
    <x v="159"/>
    <x v="161"/>
  </r>
  <r>
    <n v="1099713"/>
    <x v="304"/>
    <x v="3"/>
    <x v="163"/>
    <x v="83"/>
  </r>
  <r>
    <n v="1099713"/>
    <x v="304"/>
    <x v="3"/>
    <x v="128"/>
    <x v="92"/>
  </r>
  <r>
    <n v="1099713"/>
    <x v="304"/>
    <x v="3"/>
    <x v="134"/>
    <x v="148"/>
  </r>
  <r>
    <n v="1099713"/>
    <x v="304"/>
    <x v="3"/>
    <x v="141"/>
    <x v="151"/>
  </r>
  <r>
    <n v="1099713"/>
    <x v="304"/>
    <x v="3"/>
    <x v="146"/>
    <x v="78"/>
  </r>
  <r>
    <n v="1099713"/>
    <x v="304"/>
    <x v="3"/>
    <x v="151"/>
    <x v="35"/>
  </r>
  <r>
    <n v="1099713"/>
    <x v="304"/>
    <x v="3"/>
    <x v="140"/>
    <x v="150"/>
  </r>
  <r>
    <n v="1099713"/>
    <x v="304"/>
    <x v="3"/>
    <x v="158"/>
    <x v="160"/>
  </r>
  <r>
    <n v="1099713"/>
    <x v="304"/>
    <x v="3"/>
    <x v="154"/>
    <x v="149"/>
  </r>
  <r>
    <n v="1099713"/>
    <x v="304"/>
    <x v="3"/>
    <x v="127"/>
    <x v="97"/>
  </r>
  <r>
    <n v="1099713"/>
    <x v="304"/>
    <x v="3"/>
    <x v="133"/>
    <x v="147"/>
  </r>
  <r>
    <n v="1099713"/>
    <x v="304"/>
    <x v="3"/>
    <x v="138"/>
    <x v="149"/>
  </r>
  <r>
    <n v="1099713"/>
    <x v="304"/>
    <x v="3"/>
    <x v="145"/>
    <x v="153"/>
  </r>
  <r>
    <n v="1099713"/>
    <x v="304"/>
    <x v="3"/>
    <x v="150"/>
    <x v="155"/>
  </r>
  <r>
    <n v="1099713"/>
    <x v="304"/>
    <x v="3"/>
    <x v="139"/>
    <x v="37"/>
  </r>
  <r>
    <n v="1099713"/>
    <x v="304"/>
    <x v="3"/>
    <x v="160"/>
    <x v="162"/>
  </r>
  <r>
    <n v="1099713"/>
    <x v="304"/>
    <x v="3"/>
    <x v="124"/>
    <x v="62"/>
  </r>
  <r>
    <n v="1099713"/>
    <x v="304"/>
    <x v="3"/>
    <x v="129"/>
    <x v="42"/>
  </r>
  <r>
    <n v="1099713"/>
    <x v="304"/>
    <x v="3"/>
    <x v="135"/>
    <x v="64"/>
  </r>
  <r>
    <n v="1099713"/>
    <x v="304"/>
    <x v="3"/>
    <x v="142"/>
    <x v="152"/>
  </r>
  <r>
    <n v="1099713"/>
    <x v="304"/>
    <x v="3"/>
    <x v="147"/>
    <x v="24"/>
  </r>
  <r>
    <n v="1099713"/>
    <x v="304"/>
    <x v="3"/>
    <x v="152"/>
    <x v="156"/>
  </r>
  <r>
    <n v="1099713"/>
    <x v="304"/>
    <x v="3"/>
    <x v="155"/>
    <x v="157"/>
  </r>
  <r>
    <n v="1099713"/>
    <x v="304"/>
    <x v="3"/>
    <x v="161"/>
    <x v="163"/>
  </r>
  <r>
    <n v="1099713"/>
    <x v="304"/>
    <x v="3"/>
    <x v="125"/>
    <x v="144"/>
  </r>
  <r>
    <n v="1099713"/>
    <x v="304"/>
    <x v="3"/>
    <x v="131"/>
    <x v="34"/>
  </r>
  <r>
    <n v="1099713"/>
    <x v="304"/>
    <x v="3"/>
    <x v="136"/>
    <x v="82"/>
  </r>
  <r>
    <n v="1099713"/>
    <x v="304"/>
    <x v="3"/>
    <x v="143"/>
    <x v="91"/>
  </r>
  <r>
    <n v="1099713"/>
    <x v="304"/>
    <x v="3"/>
    <x v="148"/>
    <x v="144"/>
  </r>
  <r>
    <n v="1099713"/>
    <x v="304"/>
    <x v="3"/>
    <x v="153"/>
    <x v="147"/>
  </r>
  <r>
    <n v="1099713"/>
    <x v="304"/>
    <x v="3"/>
    <x v="162"/>
    <x v="164"/>
  </r>
  <r>
    <n v="1099713"/>
    <x v="1"/>
    <x v="1"/>
    <x v="2"/>
    <x v="2"/>
  </r>
  <r>
    <n v="1099714"/>
    <x v="305"/>
    <x v="2"/>
    <x v="353"/>
    <x v="2"/>
  </r>
  <r>
    <n v="1099714"/>
    <x v="1"/>
    <x v="1"/>
    <x v="2"/>
    <x v="2"/>
  </r>
  <r>
    <n v="1099715"/>
    <x v="306"/>
    <x v="6"/>
    <x v="173"/>
    <x v="516"/>
  </r>
  <r>
    <n v="1099715"/>
    <x v="306"/>
    <x v="6"/>
    <x v="187"/>
    <x v="98"/>
  </r>
  <r>
    <n v="1099715"/>
    <x v="306"/>
    <x v="6"/>
    <x v="184"/>
    <x v="516"/>
  </r>
  <r>
    <n v="1099715"/>
    <x v="306"/>
    <x v="6"/>
    <x v="0"/>
    <x v="529"/>
  </r>
  <r>
    <n v="1099715"/>
    <x v="306"/>
    <x v="6"/>
    <x v="36"/>
    <x v="34"/>
  </r>
  <r>
    <n v="1099715"/>
    <x v="306"/>
    <x v="6"/>
    <x v="77"/>
    <x v="536"/>
  </r>
  <r>
    <n v="1099715"/>
    <x v="306"/>
    <x v="6"/>
    <x v="60"/>
    <x v="82"/>
  </r>
  <r>
    <n v="1099715"/>
    <x v="306"/>
    <x v="6"/>
    <x v="201"/>
    <x v="88"/>
  </r>
  <r>
    <n v="1099715"/>
    <x v="306"/>
    <x v="6"/>
    <x v="389"/>
    <x v="537"/>
  </r>
  <r>
    <n v="1099715"/>
    <x v="306"/>
    <x v="6"/>
    <x v="383"/>
    <x v="220"/>
  </r>
  <r>
    <n v="1099715"/>
    <x v="306"/>
    <x v="6"/>
    <x v="158"/>
    <x v="472"/>
  </r>
  <r>
    <n v="1099715"/>
    <x v="306"/>
    <x v="6"/>
    <x v="344"/>
    <x v="346"/>
  </r>
  <r>
    <n v="1099715"/>
    <x v="306"/>
    <x v="6"/>
    <x v="347"/>
    <x v="348"/>
  </r>
  <r>
    <n v="1099715"/>
    <x v="306"/>
    <x v="6"/>
    <x v="335"/>
    <x v="348"/>
  </r>
  <r>
    <n v="1099715"/>
    <x v="306"/>
    <x v="6"/>
    <x v="163"/>
    <x v="516"/>
  </r>
  <r>
    <n v="1099715"/>
    <x v="306"/>
    <x v="6"/>
    <x v="134"/>
    <x v="178"/>
  </r>
  <r>
    <n v="1099715"/>
    <x v="306"/>
    <x v="6"/>
    <x v="146"/>
    <x v="535"/>
  </r>
  <r>
    <n v="1099715"/>
    <x v="306"/>
    <x v="6"/>
    <x v="257"/>
    <x v="198"/>
  </r>
  <r>
    <n v="1099715"/>
    <x v="306"/>
    <x v="6"/>
    <x v="265"/>
    <x v="535"/>
  </r>
  <r>
    <n v="1099715"/>
    <x v="306"/>
    <x v="6"/>
    <x v="212"/>
    <x v="4"/>
  </r>
  <r>
    <n v="1099715"/>
    <x v="306"/>
    <x v="6"/>
    <x v="223"/>
    <x v="3"/>
  </r>
  <r>
    <n v="1099715"/>
    <x v="306"/>
    <x v="6"/>
    <x v="231"/>
    <x v="88"/>
  </r>
  <r>
    <n v="1099715"/>
    <x v="306"/>
    <x v="6"/>
    <x v="239"/>
    <x v="198"/>
  </r>
  <r>
    <n v="1099715"/>
    <x v="306"/>
    <x v="6"/>
    <x v="247"/>
    <x v="198"/>
  </r>
  <r>
    <n v="1099715"/>
    <x v="306"/>
    <x v="6"/>
    <x v="221"/>
    <x v="198"/>
  </r>
  <r>
    <n v="1099715"/>
    <x v="306"/>
    <x v="6"/>
    <x v="174"/>
    <x v="88"/>
  </r>
  <r>
    <n v="1099715"/>
    <x v="306"/>
    <x v="6"/>
    <x v="176"/>
    <x v="83"/>
  </r>
  <r>
    <n v="1099715"/>
    <x v="306"/>
    <x v="6"/>
    <x v="166"/>
    <x v="534"/>
  </r>
  <r>
    <n v="1099715"/>
    <x v="306"/>
    <x v="6"/>
    <x v="35"/>
    <x v="178"/>
  </r>
  <r>
    <n v="1099715"/>
    <x v="306"/>
    <x v="6"/>
    <x v="41"/>
    <x v="203"/>
  </r>
  <r>
    <n v="1099715"/>
    <x v="306"/>
    <x v="6"/>
    <x v="65"/>
    <x v="351"/>
  </r>
  <r>
    <n v="1099715"/>
    <x v="306"/>
    <x v="6"/>
    <x v="58"/>
    <x v="82"/>
  </r>
  <r>
    <n v="1099715"/>
    <x v="306"/>
    <x v="6"/>
    <x v="3"/>
    <x v="24"/>
  </r>
  <r>
    <n v="1099715"/>
    <x v="306"/>
    <x v="6"/>
    <x v="4"/>
    <x v="3"/>
  </r>
  <r>
    <n v="1099715"/>
    <x v="306"/>
    <x v="6"/>
    <x v="64"/>
    <x v="549"/>
  </r>
  <r>
    <n v="1099715"/>
    <x v="306"/>
    <x v="6"/>
    <x v="59"/>
    <x v="62"/>
  </r>
  <r>
    <n v="1099715"/>
    <x v="306"/>
    <x v="6"/>
    <x v="74"/>
    <x v="154"/>
  </r>
  <r>
    <n v="1099715"/>
    <x v="306"/>
    <x v="6"/>
    <x v="80"/>
    <x v="550"/>
  </r>
  <r>
    <n v="1099715"/>
    <x v="306"/>
    <x v="6"/>
    <x v="421"/>
    <x v="58"/>
  </r>
  <r>
    <n v="1099715"/>
    <x v="306"/>
    <x v="6"/>
    <x v="15"/>
    <x v="154"/>
  </r>
  <r>
    <n v="1099715"/>
    <x v="306"/>
    <x v="6"/>
    <x v="253"/>
    <x v="170"/>
  </r>
  <r>
    <n v="1099715"/>
    <x v="306"/>
    <x v="6"/>
    <x v="334"/>
    <x v="198"/>
  </r>
  <r>
    <n v="1099715"/>
    <x v="306"/>
    <x v="6"/>
    <x v="160"/>
    <x v="351"/>
  </r>
  <r>
    <n v="1099715"/>
    <x v="306"/>
    <x v="6"/>
    <x v="129"/>
    <x v="535"/>
  </r>
  <r>
    <n v="1099715"/>
    <x v="306"/>
    <x v="6"/>
    <x v="142"/>
    <x v="83"/>
  </r>
  <r>
    <n v="1099715"/>
    <x v="306"/>
    <x v="6"/>
    <x v="152"/>
    <x v="535"/>
  </r>
  <r>
    <n v="1099715"/>
    <x v="306"/>
    <x v="6"/>
    <x v="262"/>
    <x v="351"/>
  </r>
  <r>
    <n v="1099715"/>
    <x v="306"/>
    <x v="6"/>
    <x v="250"/>
    <x v="535"/>
  </r>
  <r>
    <n v="1099715"/>
    <x v="306"/>
    <x v="6"/>
    <x v="139"/>
    <x v="178"/>
  </r>
  <r>
    <n v="1099715"/>
    <x v="306"/>
    <x v="6"/>
    <x v="227"/>
    <x v="4"/>
  </r>
  <r>
    <n v="1099715"/>
    <x v="306"/>
    <x v="6"/>
    <x v="237"/>
    <x v="548"/>
  </r>
  <r>
    <n v="1099715"/>
    <x v="306"/>
    <x v="6"/>
    <x v="384"/>
    <x v="551"/>
  </r>
  <r>
    <n v="1099715"/>
    <x v="306"/>
    <x v="6"/>
    <x v="342"/>
    <x v="348"/>
  </r>
  <r>
    <n v="1099715"/>
    <x v="306"/>
    <x v="6"/>
    <x v="141"/>
    <x v="351"/>
  </r>
  <r>
    <n v="1099715"/>
    <x v="306"/>
    <x v="6"/>
    <x v="151"/>
    <x v="77"/>
  </r>
  <r>
    <n v="1099715"/>
    <x v="306"/>
    <x v="6"/>
    <x v="249"/>
    <x v="348"/>
  </r>
  <r>
    <n v="1099715"/>
    <x v="306"/>
    <x v="6"/>
    <x v="208"/>
    <x v="178"/>
  </r>
  <r>
    <n v="1099715"/>
    <x v="306"/>
    <x v="6"/>
    <x v="130"/>
    <x v="348"/>
  </r>
  <r>
    <n v="1099715"/>
    <x v="306"/>
    <x v="6"/>
    <x v="226"/>
    <x v="82"/>
  </r>
  <r>
    <n v="1099715"/>
    <x v="306"/>
    <x v="6"/>
    <x v="236"/>
    <x v="83"/>
  </r>
  <r>
    <n v="1099715"/>
    <x v="306"/>
    <x v="6"/>
    <x v="243"/>
    <x v="351"/>
  </r>
  <r>
    <n v="1099715"/>
    <x v="306"/>
    <x v="6"/>
    <x v="315"/>
    <x v="144"/>
  </r>
  <r>
    <n v="1099715"/>
    <x v="306"/>
    <x v="6"/>
    <x v="168"/>
    <x v="535"/>
  </r>
  <r>
    <n v="1099715"/>
    <x v="306"/>
    <x v="6"/>
    <x v="175"/>
    <x v="516"/>
  </r>
  <r>
    <n v="1099715"/>
    <x v="306"/>
    <x v="6"/>
    <x v="177"/>
    <x v="198"/>
  </r>
  <r>
    <n v="1099715"/>
    <x v="306"/>
    <x v="6"/>
    <x v="38"/>
    <x v="198"/>
  </r>
  <r>
    <n v="1099715"/>
    <x v="306"/>
    <x v="6"/>
    <x v="34"/>
    <x v="105"/>
  </r>
  <r>
    <n v="1099715"/>
    <x v="306"/>
    <x v="6"/>
    <x v="81"/>
    <x v="229"/>
  </r>
  <r>
    <n v="1099715"/>
    <x v="306"/>
    <x v="6"/>
    <x v="83"/>
    <x v="348"/>
  </r>
  <r>
    <n v="1099715"/>
    <x v="306"/>
    <x v="6"/>
    <x v="71"/>
    <x v="97"/>
  </r>
  <r>
    <n v="1099715"/>
    <x v="306"/>
    <x v="6"/>
    <x v="69"/>
    <x v="538"/>
  </r>
  <r>
    <n v="1099715"/>
    <x v="306"/>
    <x v="6"/>
    <x v="61"/>
    <x v="172"/>
  </r>
  <r>
    <n v="1099715"/>
    <x v="306"/>
    <x v="6"/>
    <x v="386"/>
    <x v="85"/>
  </r>
  <r>
    <n v="1099715"/>
    <x v="306"/>
    <x v="6"/>
    <x v="5"/>
    <x v="3"/>
  </r>
  <r>
    <n v="1099715"/>
    <x v="306"/>
    <x v="6"/>
    <x v="10"/>
    <x v="83"/>
  </r>
  <r>
    <n v="1099715"/>
    <x v="306"/>
    <x v="6"/>
    <x v="348"/>
    <x v="178"/>
  </r>
  <r>
    <n v="1099715"/>
    <x v="306"/>
    <x v="6"/>
    <x v="336"/>
    <x v="178"/>
  </r>
  <r>
    <n v="1099715"/>
    <x v="306"/>
    <x v="6"/>
    <x v="124"/>
    <x v="351"/>
  </r>
  <r>
    <n v="1099715"/>
    <x v="306"/>
    <x v="6"/>
    <x v="135"/>
    <x v="535"/>
  </r>
  <r>
    <n v="1099715"/>
    <x v="306"/>
    <x v="6"/>
    <x v="147"/>
    <x v="535"/>
  </r>
  <r>
    <n v="1099715"/>
    <x v="306"/>
    <x v="6"/>
    <x v="258"/>
    <x v="516"/>
  </r>
  <r>
    <n v="1099715"/>
    <x v="306"/>
    <x v="6"/>
    <x v="204"/>
    <x v="535"/>
  </r>
  <r>
    <n v="1099715"/>
    <x v="306"/>
    <x v="6"/>
    <x v="213"/>
    <x v="83"/>
  </r>
  <r>
    <n v="1099715"/>
    <x v="306"/>
    <x v="6"/>
    <x v="224"/>
    <x v="144"/>
  </r>
  <r>
    <n v="1099715"/>
    <x v="306"/>
    <x v="6"/>
    <x v="232"/>
    <x v="161"/>
  </r>
  <r>
    <n v="1099715"/>
    <x v="306"/>
    <x v="6"/>
    <x v="240"/>
    <x v="535"/>
  </r>
  <r>
    <n v="1099715"/>
    <x v="306"/>
    <x v="6"/>
    <x v="248"/>
    <x v="516"/>
  </r>
  <r>
    <n v="1099715"/>
    <x v="306"/>
    <x v="6"/>
    <x v="178"/>
    <x v="516"/>
  </r>
  <r>
    <n v="1099715"/>
    <x v="306"/>
    <x v="6"/>
    <x v="180"/>
    <x v="88"/>
  </r>
  <r>
    <n v="1099715"/>
    <x v="306"/>
    <x v="6"/>
    <x v="182"/>
    <x v="516"/>
  </r>
  <r>
    <n v="1099715"/>
    <x v="306"/>
    <x v="6"/>
    <x v="33"/>
    <x v="90"/>
  </r>
  <r>
    <n v="1099715"/>
    <x v="306"/>
    <x v="6"/>
    <x v="32"/>
    <x v="62"/>
  </r>
  <r>
    <n v="1099715"/>
    <x v="306"/>
    <x v="6"/>
    <x v="37"/>
    <x v="149"/>
  </r>
  <r>
    <n v="1099715"/>
    <x v="306"/>
    <x v="6"/>
    <x v="418"/>
    <x v="552"/>
  </r>
  <r>
    <n v="1099715"/>
    <x v="306"/>
    <x v="6"/>
    <x v="66"/>
    <x v="98"/>
  </r>
  <r>
    <n v="1099715"/>
    <x v="306"/>
    <x v="6"/>
    <x v="79"/>
    <x v="69"/>
  </r>
  <r>
    <n v="1099715"/>
    <x v="306"/>
    <x v="6"/>
    <x v="419"/>
    <x v="84"/>
  </r>
  <r>
    <n v="1099715"/>
    <x v="306"/>
    <x v="6"/>
    <x v="194"/>
    <x v="516"/>
  </r>
  <r>
    <n v="1099715"/>
    <x v="306"/>
    <x v="6"/>
    <x v="394"/>
    <x v="54"/>
  </r>
  <r>
    <n v="1099715"/>
    <x v="306"/>
    <x v="6"/>
    <x v="343"/>
    <x v="348"/>
  </r>
  <r>
    <n v="1099715"/>
    <x v="306"/>
    <x v="6"/>
    <x v="6"/>
    <x v="516"/>
  </r>
  <r>
    <n v="1099715"/>
    <x v="306"/>
    <x v="6"/>
    <x v="332"/>
    <x v="346"/>
  </r>
  <r>
    <n v="1099715"/>
    <x v="306"/>
    <x v="6"/>
    <x v="339"/>
    <x v="348"/>
  </r>
  <r>
    <n v="1099715"/>
    <x v="306"/>
    <x v="6"/>
    <x v="127"/>
    <x v="535"/>
  </r>
  <r>
    <n v="1099715"/>
    <x v="306"/>
    <x v="6"/>
    <x v="7"/>
    <x v="351"/>
  </r>
  <r>
    <n v="1099715"/>
    <x v="306"/>
    <x v="6"/>
    <x v="331"/>
    <x v="178"/>
  </r>
  <r>
    <n v="1099715"/>
    <x v="306"/>
    <x v="6"/>
    <x v="338"/>
    <x v="346"/>
  </r>
  <r>
    <n v="1099715"/>
    <x v="306"/>
    <x v="6"/>
    <x v="126"/>
    <x v="516"/>
  </r>
  <r>
    <n v="1099715"/>
    <x v="306"/>
    <x v="6"/>
    <x v="137"/>
    <x v="535"/>
  </r>
  <r>
    <n v="1099715"/>
    <x v="306"/>
    <x v="6"/>
    <x v="149"/>
    <x v="516"/>
  </r>
  <r>
    <n v="1099715"/>
    <x v="306"/>
    <x v="6"/>
    <x v="260"/>
    <x v="83"/>
  </r>
  <r>
    <n v="1099715"/>
    <x v="306"/>
    <x v="6"/>
    <x v="206"/>
    <x v="535"/>
  </r>
  <r>
    <n v="1099715"/>
    <x v="306"/>
    <x v="6"/>
    <x v="215"/>
    <x v="516"/>
  </r>
  <r>
    <n v="1099715"/>
    <x v="306"/>
    <x v="6"/>
    <x v="251"/>
    <x v="535"/>
  </r>
  <r>
    <n v="1099715"/>
    <x v="306"/>
    <x v="6"/>
    <x v="234"/>
    <x v="4"/>
  </r>
  <r>
    <n v="1099715"/>
    <x v="306"/>
    <x v="6"/>
    <x v="313"/>
    <x v="98"/>
  </r>
  <r>
    <n v="1099715"/>
    <x v="306"/>
    <x v="6"/>
    <x v="218"/>
    <x v="346"/>
  </r>
  <r>
    <n v="1099715"/>
    <x v="306"/>
    <x v="6"/>
    <x v="27"/>
    <x v="64"/>
  </r>
  <r>
    <n v="1099715"/>
    <x v="306"/>
    <x v="6"/>
    <x v="78"/>
    <x v="541"/>
  </r>
  <r>
    <n v="1099715"/>
    <x v="306"/>
    <x v="6"/>
    <x v="75"/>
    <x v="176"/>
  </r>
  <r>
    <n v="1099715"/>
    <x v="306"/>
    <x v="6"/>
    <x v="199"/>
    <x v="542"/>
  </r>
  <r>
    <n v="1099715"/>
    <x v="306"/>
    <x v="6"/>
    <x v="387"/>
    <x v="233"/>
  </r>
  <r>
    <n v="1099715"/>
    <x v="306"/>
    <x v="6"/>
    <x v="157"/>
    <x v="544"/>
  </r>
  <r>
    <n v="1099715"/>
    <x v="306"/>
    <x v="6"/>
    <x v="11"/>
    <x v="348"/>
  </r>
  <r>
    <n v="1099715"/>
    <x v="306"/>
    <x v="6"/>
    <x v="346"/>
    <x v="516"/>
  </r>
  <r>
    <n v="1099715"/>
    <x v="306"/>
    <x v="6"/>
    <x v="352"/>
    <x v="516"/>
  </r>
  <r>
    <n v="1099715"/>
    <x v="306"/>
    <x v="6"/>
    <x v="154"/>
    <x v="351"/>
  </r>
  <r>
    <n v="1099715"/>
    <x v="306"/>
    <x v="6"/>
    <x v="133"/>
    <x v="348"/>
  </r>
  <r>
    <n v="1099715"/>
    <x v="306"/>
    <x v="6"/>
    <x v="145"/>
    <x v="351"/>
  </r>
  <r>
    <n v="1099715"/>
    <x v="306"/>
    <x v="6"/>
    <x v="256"/>
    <x v="79"/>
  </r>
  <r>
    <n v="1099715"/>
    <x v="306"/>
    <x v="6"/>
    <x v="316"/>
    <x v="347"/>
  </r>
  <r>
    <n v="1099715"/>
    <x v="306"/>
    <x v="6"/>
    <x v="211"/>
    <x v="351"/>
  </r>
  <r>
    <n v="1099715"/>
    <x v="306"/>
    <x v="6"/>
    <x v="222"/>
    <x v="77"/>
  </r>
  <r>
    <n v="1099715"/>
    <x v="306"/>
    <x v="6"/>
    <x v="230"/>
    <x v="77"/>
  </r>
  <r>
    <n v="1099715"/>
    <x v="306"/>
    <x v="6"/>
    <x v="156"/>
    <x v="545"/>
  </r>
  <r>
    <n v="1099715"/>
    <x v="306"/>
    <x v="6"/>
    <x v="246"/>
    <x v="198"/>
  </r>
  <r>
    <n v="1099715"/>
    <x v="306"/>
    <x v="6"/>
    <x v="220"/>
    <x v="178"/>
  </r>
  <r>
    <n v="1099715"/>
    <x v="306"/>
    <x v="6"/>
    <x v="169"/>
    <x v="351"/>
  </r>
  <r>
    <n v="1099715"/>
    <x v="306"/>
    <x v="6"/>
    <x v="171"/>
    <x v="351"/>
  </r>
  <r>
    <n v="1099715"/>
    <x v="306"/>
    <x v="6"/>
    <x v="165"/>
    <x v="546"/>
  </r>
  <r>
    <n v="1099715"/>
    <x v="306"/>
    <x v="6"/>
    <x v="43"/>
    <x v="351"/>
  </r>
  <r>
    <n v="1099715"/>
    <x v="306"/>
    <x v="6"/>
    <x v="30"/>
    <x v="203"/>
  </r>
  <r>
    <n v="1099715"/>
    <x v="306"/>
    <x v="6"/>
    <x v="202"/>
    <x v="238"/>
  </r>
  <r>
    <n v="1099715"/>
    <x v="306"/>
    <x v="6"/>
    <x v="63"/>
    <x v="178"/>
  </r>
  <r>
    <n v="1099715"/>
    <x v="306"/>
    <x v="6"/>
    <x v="55"/>
    <x v="178"/>
  </r>
  <r>
    <n v="1099715"/>
    <x v="306"/>
    <x v="6"/>
    <x v="425"/>
    <x v="170"/>
  </r>
  <r>
    <n v="1099715"/>
    <x v="306"/>
    <x v="6"/>
    <x v="330"/>
    <x v="553"/>
  </r>
  <r>
    <n v="1099715"/>
    <x v="306"/>
    <x v="6"/>
    <x v="12"/>
    <x v="3"/>
  </r>
  <r>
    <n v="1099715"/>
    <x v="306"/>
    <x v="6"/>
    <x v="345"/>
    <x v="346"/>
  </r>
  <r>
    <n v="1099715"/>
    <x v="306"/>
    <x v="6"/>
    <x v="351"/>
    <x v="351"/>
  </r>
  <r>
    <n v="1099715"/>
    <x v="306"/>
    <x v="6"/>
    <x v="162"/>
    <x v="535"/>
  </r>
  <r>
    <n v="1099715"/>
    <x v="306"/>
    <x v="6"/>
    <x v="132"/>
    <x v="178"/>
  </r>
  <r>
    <n v="1099715"/>
    <x v="306"/>
    <x v="6"/>
    <x v="144"/>
    <x v="348"/>
  </r>
  <r>
    <n v="1099715"/>
    <x v="306"/>
    <x v="6"/>
    <x v="255"/>
    <x v="154"/>
  </r>
  <r>
    <n v="1099715"/>
    <x v="306"/>
    <x v="6"/>
    <x v="264"/>
    <x v="351"/>
  </r>
  <r>
    <n v="1099715"/>
    <x v="306"/>
    <x v="6"/>
    <x v="210"/>
    <x v="348"/>
  </r>
  <r>
    <n v="1099715"/>
    <x v="306"/>
    <x v="6"/>
    <x v="340"/>
    <x v="78"/>
  </r>
  <r>
    <n v="1099715"/>
    <x v="306"/>
    <x v="6"/>
    <x v="229"/>
    <x v="219"/>
  </r>
  <r>
    <n v="1099715"/>
    <x v="306"/>
    <x v="6"/>
    <x v="155"/>
    <x v="331"/>
  </r>
  <r>
    <n v="1099715"/>
    <x v="306"/>
    <x v="6"/>
    <x v="341"/>
    <x v="346"/>
  </r>
  <r>
    <n v="1099715"/>
    <x v="306"/>
    <x v="6"/>
    <x v="317"/>
    <x v="346"/>
  </r>
  <r>
    <n v="1099715"/>
    <x v="306"/>
    <x v="6"/>
    <x v="186"/>
    <x v="535"/>
  </r>
  <r>
    <n v="1099715"/>
    <x v="306"/>
    <x v="6"/>
    <x v="188"/>
    <x v="88"/>
  </r>
  <r>
    <n v="1099715"/>
    <x v="306"/>
    <x v="6"/>
    <x v="164"/>
    <x v="105"/>
  </r>
  <r>
    <n v="1099715"/>
    <x v="306"/>
    <x v="6"/>
    <x v="26"/>
    <x v="351"/>
  </r>
  <r>
    <n v="1099715"/>
    <x v="306"/>
    <x v="6"/>
    <x v="42"/>
    <x v="182"/>
  </r>
  <r>
    <n v="1099715"/>
    <x v="306"/>
    <x v="6"/>
    <x v="388"/>
    <x v="37"/>
  </r>
  <r>
    <n v="1099715"/>
    <x v="306"/>
    <x v="6"/>
    <x v="203"/>
    <x v="543"/>
  </r>
  <r>
    <n v="1099715"/>
    <x v="306"/>
    <x v="6"/>
    <x v="244"/>
    <x v="154"/>
  </r>
  <r>
    <n v="1099715"/>
    <x v="306"/>
    <x v="6"/>
    <x v="314"/>
    <x v="516"/>
  </r>
  <r>
    <n v="1099715"/>
    <x v="306"/>
    <x v="6"/>
    <x v="179"/>
    <x v="516"/>
  </r>
  <r>
    <n v="1099715"/>
    <x v="306"/>
    <x v="6"/>
    <x v="181"/>
    <x v="161"/>
  </r>
  <r>
    <n v="1099715"/>
    <x v="306"/>
    <x v="6"/>
    <x v="183"/>
    <x v="535"/>
  </r>
  <r>
    <n v="1099715"/>
    <x v="306"/>
    <x v="6"/>
    <x v="24"/>
    <x v="88"/>
  </r>
  <r>
    <n v="1099715"/>
    <x v="306"/>
    <x v="6"/>
    <x v="39"/>
    <x v="105"/>
  </r>
  <r>
    <n v="1099715"/>
    <x v="306"/>
    <x v="6"/>
    <x v="422"/>
    <x v="154"/>
  </r>
  <r>
    <n v="1099715"/>
    <x v="306"/>
    <x v="6"/>
    <x v="14"/>
    <x v="4"/>
  </r>
  <r>
    <n v="1099715"/>
    <x v="306"/>
    <x v="6"/>
    <x v="13"/>
    <x v="535"/>
  </r>
  <r>
    <n v="1099715"/>
    <x v="306"/>
    <x v="6"/>
    <x v="333"/>
    <x v="348"/>
  </r>
  <r>
    <n v="1099715"/>
    <x v="306"/>
    <x v="6"/>
    <x v="159"/>
    <x v="516"/>
  </r>
  <r>
    <n v="1099715"/>
    <x v="306"/>
    <x v="6"/>
    <x v="128"/>
    <x v="178"/>
  </r>
  <r>
    <n v="1099715"/>
    <x v="306"/>
    <x v="6"/>
    <x v="70"/>
    <x v="198"/>
  </r>
  <r>
    <n v="1099715"/>
    <x v="306"/>
    <x v="6"/>
    <x v="73"/>
    <x v="351"/>
  </r>
  <r>
    <n v="1099715"/>
    <x v="306"/>
    <x v="6"/>
    <x v="424"/>
    <x v="170"/>
  </r>
  <r>
    <n v="1099715"/>
    <x v="306"/>
    <x v="6"/>
    <x v="205"/>
    <x v="516"/>
  </r>
  <r>
    <n v="1099715"/>
    <x v="306"/>
    <x v="6"/>
    <x v="214"/>
    <x v="516"/>
  </r>
  <r>
    <n v="1099715"/>
    <x v="306"/>
    <x v="6"/>
    <x v="225"/>
    <x v="4"/>
  </r>
  <r>
    <n v="1099715"/>
    <x v="306"/>
    <x v="6"/>
    <x v="233"/>
    <x v="154"/>
  </r>
  <r>
    <n v="1099715"/>
    <x v="306"/>
    <x v="6"/>
    <x v="241"/>
    <x v="178"/>
  </r>
  <r>
    <n v="1099715"/>
    <x v="306"/>
    <x v="6"/>
    <x v="217"/>
    <x v="170"/>
  </r>
  <r>
    <n v="1099715"/>
    <x v="306"/>
    <x v="6"/>
    <x v="195"/>
    <x v="535"/>
  </r>
  <r>
    <n v="1099715"/>
    <x v="306"/>
    <x v="6"/>
    <x v="192"/>
    <x v="535"/>
  </r>
  <r>
    <n v="1099715"/>
    <x v="306"/>
    <x v="6"/>
    <x v="190"/>
    <x v="346"/>
  </r>
  <r>
    <n v="1099715"/>
    <x v="306"/>
    <x v="6"/>
    <x v="28"/>
    <x v="226"/>
  </r>
  <r>
    <n v="1099715"/>
    <x v="306"/>
    <x v="6"/>
    <x v="29"/>
    <x v="197"/>
  </r>
  <r>
    <n v="1099715"/>
    <x v="306"/>
    <x v="6"/>
    <x v="31"/>
    <x v="162"/>
  </r>
  <r>
    <n v="1099715"/>
    <x v="306"/>
    <x v="6"/>
    <x v="82"/>
    <x v="346"/>
  </r>
  <r>
    <n v="1099715"/>
    <x v="306"/>
    <x v="6"/>
    <x v="68"/>
    <x v="98"/>
  </r>
  <r>
    <n v="1099715"/>
    <x v="306"/>
    <x v="6"/>
    <x v="56"/>
    <x v="69"/>
  </r>
  <r>
    <n v="1099715"/>
    <x v="306"/>
    <x v="6"/>
    <x v="420"/>
    <x v="547"/>
  </r>
  <r>
    <n v="1099715"/>
    <x v="306"/>
    <x v="6"/>
    <x v="349"/>
    <x v="535"/>
  </r>
  <r>
    <n v="1099715"/>
    <x v="306"/>
    <x v="6"/>
    <x v="337"/>
    <x v="348"/>
  </r>
  <r>
    <n v="1099715"/>
    <x v="306"/>
    <x v="6"/>
    <x v="125"/>
    <x v="535"/>
  </r>
  <r>
    <n v="1099715"/>
    <x v="306"/>
    <x v="6"/>
    <x v="136"/>
    <x v="516"/>
  </r>
  <r>
    <n v="1099715"/>
    <x v="306"/>
    <x v="6"/>
    <x v="148"/>
    <x v="535"/>
  </r>
  <r>
    <n v="1099715"/>
    <x v="306"/>
    <x v="6"/>
    <x v="259"/>
    <x v="178"/>
  </r>
  <r>
    <n v="1099715"/>
    <x v="306"/>
    <x v="6"/>
    <x v="385"/>
    <x v="5"/>
  </r>
  <r>
    <n v="1099715"/>
    <x v="306"/>
    <x v="6"/>
    <x v="9"/>
    <x v="348"/>
  </r>
  <r>
    <n v="1099715"/>
    <x v="306"/>
    <x v="6"/>
    <x v="8"/>
    <x v="351"/>
  </r>
  <r>
    <n v="1099715"/>
    <x v="306"/>
    <x v="6"/>
    <x v="395"/>
    <x v="539"/>
  </r>
  <r>
    <n v="1099715"/>
    <x v="306"/>
    <x v="6"/>
    <x v="254"/>
    <x v="178"/>
  </r>
  <r>
    <n v="1099715"/>
    <x v="306"/>
    <x v="6"/>
    <x v="350"/>
    <x v="535"/>
  </r>
  <r>
    <n v="1099715"/>
    <x v="306"/>
    <x v="6"/>
    <x v="161"/>
    <x v="351"/>
  </r>
  <r>
    <n v="1099715"/>
    <x v="306"/>
    <x v="6"/>
    <x v="131"/>
    <x v="535"/>
  </r>
  <r>
    <n v="1099715"/>
    <x v="306"/>
    <x v="6"/>
    <x v="143"/>
    <x v="178"/>
  </r>
  <r>
    <n v="1099715"/>
    <x v="306"/>
    <x v="6"/>
    <x v="153"/>
    <x v="348"/>
  </r>
  <r>
    <n v="1099715"/>
    <x v="306"/>
    <x v="6"/>
    <x v="263"/>
    <x v="83"/>
  </r>
  <r>
    <n v="1099715"/>
    <x v="306"/>
    <x v="6"/>
    <x v="209"/>
    <x v="516"/>
  </r>
  <r>
    <n v="1099715"/>
    <x v="306"/>
    <x v="6"/>
    <x v="140"/>
    <x v="4"/>
  </r>
  <r>
    <n v="1099715"/>
    <x v="306"/>
    <x v="6"/>
    <x v="228"/>
    <x v="30"/>
  </r>
  <r>
    <n v="1099715"/>
    <x v="306"/>
    <x v="6"/>
    <x v="238"/>
    <x v="375"/>
  </r>
  <r>
    <n v="1099715"/>
    <x v="306"/>
    <x v="6"/>
    <x v="245"/>
    <x v="161"/>
  </r>
  <r>
    <n v="1099715"/>
    <x v="306"/>
    <x v="6"/>
    <x v="318"/>
    <x v="88"/>
  </r>
  <r>
    <n v="1099715"/>
    <x v="306"/>
    <x v="6"/>
    <x v="193"/>
    <x v="170"/>
  </r>
  <r>
    <n v="1099715"/>
    <x v="306"/>
    <x v="6"/>
    <x v="191"/>
    <x v="178"/>
  </r>
  <r>
    <n v="1099715"/>
    <x v="306"/>
    <x v="6"/>
    <x v="189"/>
    <x v="178"/>
  </r>
  <r>
    <n v="1099715"/>
    <x v="306"/>
    <x v="6"/>
    <x v="40"/>
    <x v="161"/>
  </r>
  <r>
    <n v="1099715"/>
    <x v="306"/>
    <x v="6"/>
    <x v="25"/>
    <x v="105"/>
  </r>
  <r>
    <n v="1099715"/>
    <x v="306"/>
    <x v="6"/>
    <x v="390"/>
    <x v="220"/>
  </r>
  <r>
    <n v="1099715"/>
    <x v="306"/>
    <x v="6"/>
    <x v="200"/>
    <x v="179"/>
  </r>
  <r>
    <n v="1099715"/>
    <x v="306"/>
    <x v="6"/>
    <x v="62"/>
    <x v="348"/>
  </r>
  <r>
    <n v="1099715"/>
    <x v="306"/>
    <x v="6"/>
    <x v="57"/>
    <x v="36"/>
  </r>
  <r>
    <n v="1099715"/>
    <x v="306"/>
    <x v="6"/>
    <x v="138"/>
    <x v="351"/>
  </r>
  <r>
    <n v="1099715"/>
    <x v="306"/>
    <x v="6"/>
    <x v="150"/>
    <x v="77"/>
  </r>
  <r>
    <n v="1099715"/>
    <x v="306"/>
    <x v="6"/>
    <x v="261"/>
    <x v="348"/>
  </r>
  <r>
    <n v="1099715"/>
    <x v="306"/>
    <x v="6"/>
    <x v="207"/>
    <x v="88"/>
  </r>
  <r>
    <n v="1099715"/>
    <x v="306"/>
    <x v="6"/>
    <x v="216"/>
    <x v="198"/>
  </r>
  <r>
    <n v="1099715"/>
    <x v="306"/>
    <x v="6"/>
    <x v="426"/>
    <x v="170"/>
  </r>
  <r>
    <n v="1099715"/>
    <x v="306"/>
    <x v="6"/>
    <x v="235"/>
    <x v="83"/>
  </r>
  <r>
    <n v="1099715"/>
    <x v="306"/>
    <x v="6"/>
    <x v="242"/>
    <x v="346"/>
  </r>
  <r>
    <n v="1099715"/>
    <x v="306"/>
    <x v="6"/>
    <x v="219"/>
    <x v="77"/>
  </r>
  <r>
    <n v="1099715"/>
    <x v="306"/>
    <x v="6"/>
    <x v="185"/>
    <x v="3"/>
  </r>
  <r>
    <n v="1099715"/>
    <x v="306"/>
    <x v="6"/>
    <x v="170"/>
    <x v="178"/>
  </r>
  <r>
    <n v="1099715"/>
    <x v="306"/>
    <x v="6"/>
    <x v="172"/>
    <x v="154"/>
  </r>
  <r>
    <n v="1099715"/>
    <x v="306"/>
    <x v="6"/>
    <x v="1"/>
    <x v="540"/>
  </r>
  <r>
    <n v="1099715"/>
    <x v="1"/>
    <x v="1"/>
    <x v="2"/>
    <x v="2"/>
  </r>
  <r>
    <n v="1099717"/>
    <x v="307"/>
    <x v="6"/>
    <x v="427"/>
    <x v="2"/>
  </r>
  <r>
    <n v="1099717"/>
    <x v="1"/>
    <x v="1"/>
    <x v="2"/>
    <x v="2"/>
  </r>
  <r>
    <n v="1099720"/>
    <x v="308"/>
    <x v="14"/>
    <x v="391"/>
    <x v="664"/>
  </r>
  <r>
    <n v="1099720"/>
    <x v="308"/>
    <x v="14"/>
    <x v="392"/>
    <x v="665"/>
  </r>
  <r>
    <n v="1099720"/>
    <x v="308"/>
    <x v="14"/>
    <x v="393"/>
    <x v="663"/>
  </r>
  <r>
    <n v="1099720"/>
    <x v="1"/>
    <x v="1"/>
    <x v="2"/>
    <x v="2"/>
  </r>
  <r>
    <n v="1099724"/>
    <x v="309"/>
    <x v="10"/>
    <x v="330"/>
    <x v="2"/>
  </r>
  <r>
    <n v="1099724"/>
    <x v="1"/>
    <x v="1"/>
    <x v="2"/>
    <x v="2"/>
  </r>
  <r>
    <n v="1099725"/>
    <x v="310"/>
    <x v="5"/>
    <x v="121"/>
    <x v="151"/>
  </r>
  <r>
    <n v="1099725"/>
    <x v="310"/>
    <x v="5"/>
    <x v="117"/>
    <x v="201"/>
  </r>
  <r>
    <n v="1099725"/>
    <x v="310"/>
    <x v="5"/>
    <x v="303"/>
    <x v="601"/>
  </r>
  <r>
    <n v="1099725"/>
    <x v="310"/>
    <x v="5"/>
    <x v="305"/>
    <x v="234"/>
  </r>
  <r>
    <n v="1099725"/>
    <x v="310"/>
    <x v="5"/>
    <x v="49"/>
    <x v="182"/>
  </r>
  <r>
    <n v="1099725"/>
    <x v="310"/>
    <x v="5"/>
    <x v="46"/>
    <x v="442"/>
  </r>
  <r>
    <n v="1099725"/>
    <x v="310"/>
    <x v="5"/>
    <x v="51"/>
    <x v="602"/>
  </r>
  <r>
    <n v="1099725"/>
    <x v="310"/>
    <x v="5"/>
    <x v="48"/>
    <x v="33"/>
  </r>
  <r>
    <n v="1099725"/>
    <x v="310"/>
    <x v="5"/>
    <x v="47"/>
    <x v="603"/>
  </r>
  <r>
    <n v="1099725"/>
    <x v="310"/>
    <x v="5"/>
    <x v="50"/>
    <x v="182"/>
  </r>
  <r>
    <n v="1099725"/>
    <x v="310"/>
    <x v="5"/>
    <x v="354"/>
    <x v="84"/>
  </r>
  <r>
    <n v="1099725"/>
    <x v="310"/>
    <x v="5"/>
    <x v="355"/>
    <x v="89"/>
  </r>
  <r>
    <n v="1099725"/>
    <x v="310"/>
    <x v="5"/>
    <x v="98"/>
    <x v="92"/>
  </r>
  <r>
    <n v="1099725"/>
    <x v="310"/>
    <x v="5"/>
    <x v="311"/>
    <x v="90"/>
  </r>
  <r>
    <n v="1099725"/>
    <x v="310"/>
    <x v="5"/>
    <x v="96"/>
    <x v="42"/>
  </r>
  <r>
    <n v="1099725"/>
    <x v="310"/>
    <x v="5"/>
    <x v="356"/>
    <x v="64"/>
  </r>
  <r>
    <n v="1099725"/>
    <x v="310"/>
    <x v="5"/>
    <x v="94"/>
    <x v="161"/>
  </r>
  <r>
    <n v="1099725"/>
    <x v="310"/>
    <x v="5"/>
    <x v="357"/>
    <x v="219"/>
  </r>
  <r>
    <n v="1099725"/>
    <x v="310"/>
    <x v="5"/>
    <x v="52"/>
    <x v="154"/>
  </r>
  <r>
    <n v="1099725"/>
    <x v="310"/>
    <x v="5"/>
    <x v="358"/>
    <x v="37"/>
  </r>
  <r>
    <n v="1099725"/>
    <x v="310"/>
    <x v="5"/>
    <x v="359"/>
    <x v="105"/>
  </r>
  <r>
    <n v="1099725"/>
    <x v="310"/>
    <x v="5"/>
    <x v="360"/>
    <x v="182"/>
  </r>
  <r>
    <n v="1099725"/>
    <x v="310"/>
    <x v="5"/>
    <x v="88"/>
    <x v="62"/>
  </r>
  <r>
    <n v="1099725"/>
    <x v="310"/>
    <x v="5"/>
    <x v="97"/>
    <x v="604"/>
  </r>
  <r>
    <n v="1099725"/>
    <x v="310"/>
    <x v="5"/>
    <x v="89"/>
    <x v="605"/>
  </r>
  <r>
    <n v="1099725"/>
    <x v="310"/>
    <x v="5"/>
    <x v="361"/>
    <x v="197"/>
  </r>
  <r>
    <n v="1099725"/>
    <x v="310"/>
    <x v="5"/>
    <x v="362"/>
    <x v="204"/>
  </r>
  <r>
    <n v="1099725"/>
    <x v="310"/>
    <x v="5"/>
    <x v="363"/>
    <x v="197"/>
  </r>
  <r>
    <n v="1099725"/>
    <x v="310"/>
    <x v="5"/>
    <x v="92"/>
    <x v="597"/>
  </r>
  <r>
    <n v="1099725"/>
    <x v="310"/>
    <x v="5"/>
    <x v="99"/>
    <x v="596"/>
  </r>
  <r>
    <n v="1099725"/>
    <x v="310"/>
    <x v="5"/>
    <x v="440"/>
    <x v="377"/>
  </r>
  <r>
    <n v="1099725"/>
    <x v="310"/>
    <x v="5"/>
    <x v="441"/>
    <x v="550"/>
  </r>
  <r>
    <n v="1099725"/>
    <x v="310"/>
    <x v="5"/>
    <x v="90"/>
    <x v="182"/>
  </r>
  <r>
    <n v="1099725"/>
    <x v="310"/>
    <x v="5"/>
    <x v="364"/>
    <x v="98"/>
  </r>
  <r>
    <n v="1099725"/>
    <x v="310"/>
    <x v="5"/>
    <x v="115"/>
    <x v="156"/>
  </r>
  <r>
    <n v="1099725"/>
    <x v="310"/>
    <x v="5"/>
    <x v="443"/>
    <x v="214"/>
  </r>
  <r>
    <n v="1099725"/>
    <x v="310"/>
    <x v="5"/>
    <x v="95"/>
    <x v="397"/>
  </r>
  <r>
    <n v="1099725"/>
    <x v="310"/>
    <x v="5"/>
    <x v="111"/>
    <x v="219"/>
  </r>
  <r>
    <n v="1099725"/>
    <x v="310"/>
    <x v="5"/>
    <x v="442"/>
    <x v="151"/>
  </r>
  <r>
    <n v="1099725"/>
    <x v="310"/>
    <x v="5"/>
    <x v="365"/>
    <x v="170"/>
  </r>
  <r>
    <n v="1099725"/>
    <x v="310"/>
    <x v="5"/>
    <x v="366"/>
    <x v="77"/>
  </r>
  <r>
    <n v="1099725"/>
    <x v="310"/>
    <x v="5"/>
    <x v="367"/>
    <x v="24"/>
  </r>
  <r>
    <n v="1099725"/>
    <x v="310"/>
    <x v="5"/>
    <x v="368"/>
    <x v="24"/>
  </r>
  <r>
    <n v="1099725"/>
    <x v="310"/>
    <x v="5"/>
    <x v="91"/>
    <x v="42"/>
  </r>
  <r>
    <n v="1099725"/>
    <x v="310"/>
    <x v="5"/>
    <x v="444"/>
    <x v="170"/>
  </r>
  <r>
    <n v="1099725"/>
    <x v="310"/>
    <x v="5"/>
    <x v="369"/>
    <x v="176"/>
  </r>
  <r>
    <n v="1099725"/>
    <x v="310"/>
    <x v="5"/>
    <x v="370"/>
    <x v="34"/>
  </r>
  <r>
    <n v="1099725"/>
    <x v="310"/>
    <x v="5"/>
    <x v="371"/>
    <x v="161"/>
  </r>
  <r>
    <n v="1099725"/>
    <x v="310"/>
    <x v="5"/>
    <x v="373"/>
    <x v="145"/>
  </r>
  <r>
    <n v="1099725"/>
    <x v="310"/>
    <x v="5"/>
    <x v="372"/>
    <x v="145"/>
  </r>
  <r>
    <n v="1099725"/>
    <x v="310"/>
    <x v="5"/>
    <x v="374"/>
    <x v="217"/>
  </r>
  <r>
    <n v="1099725"/>
    <x v="310"/>
    <x v="5"/>
    <x v="44"/>
    <x v="97"/>
  </r>
  <r>
    <n v="1099725"/>
    <x v="310"/>
    <x v="5"/>
    <x v="45"/>
    <x v="407"/>
  </r>
  <r>
    <n v="1099725"/>
    <x v="310"/>
    <x v="5"/>
    <x v="116"/>
    <x v="552"/>
  </r>
  <r>
    <n v="1099725"/>
    <x v="310"/>
    <x v="5"/>
    <x v="110"/>
    <x v="119"/>
  </r>
  <r>
    <n v="1099725"/>
    <x v="310"/>
    <x v="5"/>
    <x v="113"/>
    <x v="82"/>
  </r>
  <r>
    <n v="1099725"/>
    <x v="310"/>
    <x v="5"/>
    <x v="112"/>
    <x v="105"/>
  </r>
  <r>
    <n v="1099725"/>
    <x v="310"/>
    <x v="5"/>
    <x v="114"/>
    <x v="154"/>
  </r>
  <r>
    <n v="1099725"/>
    <x v="310"/>
    <x v="5"/>
    <x v="310"/>
    <x v="472"/>
  </r>
  <r>
    <n v="1099725"/>
    <x v="310"/>
    <x v="5"/>
    <x v="312"/>
    <x v="135"/>
  </r>
  <r>
    <n v="1099725"/>
    <x v="310"/>
    <x v="5"/>
    <x v="309"/>
    <x v="135"/>
  </r>
  <r>
    <n v="1099725"/>
    <x v="310"/>
    <x v="5"/>
    <x v="328"/>
    <x v="97"/>
  </r>
  <r>
    <n v="1099725"/>
    <x v="310"/>
    <x v="5"/>
    <x v="329"/>
    <x v="142"/>
  </r>
  <r>
    <n v="1099725"/>
    <x v="310"/>
    <x v="5"/>
    <x v="445"/>
    <x v="34"/>
  </r>
  <r>
    <n v="1099725"/>
    <x v="310"/>
    <x v="5"/>
    <x v="122"/>
    <x v="363"/>
  </r>
  <r>
    <n v="1099725"/>
    <x v="310"/>
    <x v="5"/>
    <x v="118"/>
    <x v="210"/>
  </r>
  <r>
    <n v="1099725"/>
    <x v="310"/>
    <x v="5"/>
    <x v="100"/>
    <x v="119"/>
  </r>
  <r>
    <n v="1099725"/>
    <x v="310"/>
    <x v="5"/>
    <x v="54"/>
    <x v="347"/>
  </r>
  <r>
    <n v="1099725"/>
    <x v="310"/>
    <x v="5"/>
    <x v="304"/>
    <x v="229"/>
  </r>
  <r>
    <n v="1099725"/>
    <x v="310"/>
    <x v="5"/>
    <x v="375"/>
    <x v="348"/>
  </r>
  <r>
    <n v="1099725"/>
    <x v="310"/>
    <x v="5"/>
    <x v="376"/>
    <x v="54"/>
  </r>
  <r>
    <n v="1099725"/>
    <x v="310"/>
    <x v="5"/>
    <x v="120"/>
    <x v="598"/>
  </r>
  <r>
    <n v="1099725"/>
    <x v="310"/>
    <x v="5"/>
    <x v="119"/>
    <x v="599"/>
  </r>
  <r>
    <n v="1099725"/>
    <x v="310"/>
    <x v="5"/>
    <x v="377"/>
    <x v="600"/>
  </r>
  <r>
    <n v="1099725"/>
    <x v="310"/>
    <x v="5"/>
    <x v="53"/>
    <x v="223"/>
  </r>
  <r>
    <n v="1099725"/>
    <x v="310"/>
    <x v="5"/>
    <x v="87"/>
    <x v="132"/>
  </r>
  <r>
    <n v="1099725"/>
    <x v="310"/>
    <x v="5"/>
    <x v="93"/>
    <x v="414"/>
  </r>
  <r>
    <n v="1099725"/>
    <x v="1"/>
    <x v="1"/>
    <x v="2"/>
    <x v="2"/>
  </r>
  <r>
    <n v="1099726"/>
    <x v="311"/>
    <x v="5"/>
    <x v="442"/>
    <x v="196"/>
  </r>
  <r>
    <n v="1099726"/>
    <x v="311"/>
    <x v="5"/>
    <x v="444"/>
    <x v="347"/>
  </r>
  <r>
    <n v="1099726"/>
    <x v="311"/>
    <x v="5"/>
    <x v="445"/>
    <x v="21"/>
  </r>
  <r>
    <n v="1099726"/>
    <x v="311"/>
    <x v="5"/>
    <x v="99"/>
    <x v="709"/>
  </r>
  <r>
    <n v="1099726"/>
    <x v="311"/>
    <x v="5"/>
    <x v="87"/>
    <x v="710"/>
  </r>
  <r>
    <n v="1099726"/>
    <x v="311"/>
    <x v="5"/>
    <x v="97"/>
    <x v="711"/>
  </r>
  <r>
    <n v="1099726"/>
    <x v="311"/>
    <x v="5"/>
    <x v="92"/>
    <x v="712"/>
  </r>
  <r>
    <n v="1099726"/>
    <x v="311"/>
    <x v="5"/>
    <x v="91"/>
    <x v="89"/>
  </r>
  <r>
    <n v="1099726"/>
    <x v="311"/>
    <x v="5"/>
    <x v="100"/>
    <x v="659"/>
  </r>
  <r>
    <n v="1099726"/>
    <x v="311"/>
    <x v="5"/>
    <x v="88"/>
    <x v="547"/>
  </r>
  <r>
    <n v="1099726"/>
    <x v="311"/>
    <x v="5"/>
    <x v="93"/>
    <x v="713"/>
  </r>
  <r>
    <n v="1099726"/>
    <x v="311"/>
    <x v="5"/>
    <x v="98"/>
    <x v="305"/>
  </r>
  <r>
    <n v="1099726"/>
    <x v="311"/>
    <x v="5"/>
    <x v="96"/>
    <x v="353"/>
  </r>
  <r>
    <n v="1099726"/>
    <x v="311"/>
    <x v="5"/>
    <x v="94"/>
    <x v="149"/>
  </r>
  <r>
    <n v="1099726"/>
    <x v="311"/>
    <x v="5"/>
    <x v="89"/>
    <x v="714"/>
  </r>
  <r>
    <n v="1099726"/>
    <x v="311"/>
    <x v="5"/>
    <x v="90"/>
    <x v="59"/>
  </r>
  <r>
    <n v="1099726"/>
    <x v="311"/>
    <x v="5"/>
    <x v="95"/>
    <x v="715"/>
  </r>
  <r>
    <n v="1099726"/>
    <x v="311"/>
    <x v="5"/>
    <x v="440"/>
    <x v="716"/>
  </r>
  <r>
    <n v="1099726"/>
    <x v="311"/>
    <x v="5"/>
    <x v="443"/>
    <x v="717"/>
  </r>
  <r>
    <n v="1099726"/>
    <x v="311"/>
    <x v="5"/>
    <x v="441"/>
    <x v="187"/>
  </r>
  <r>
    <n v="1099726"/>
    <x v="1"/>
    <x v="1"/>
    <x v="2"/>
    <x v="2"/>
  </r>
  <r>
    <n v="1099727"/>
    <x v="312"/>
    <x v="5"/>
    <x v="161"/>
    <x v="163"/>
  </r>
  <r>
    <n v="1099727"/>
    <x v="312"/>
    <x v="5"/>
    <x v="140"/>
    <x v="150"/>
  </r>
  <r>
    <n v="1099727"/>
    <x v="312"/>
    <x v="5"/>
    <x v="131"/>
    <x v="34"/>
  </r>
  <r>
    <n v="1099727"/>
    <x v="312"/>
    <x v="5"/>
    <x v="136"/>
    <x v="82"/>
  </r>
  <r>
    <n v="1099727"/>
    <x v="312"/>
    <x v="5"/>
    <x v="143"/>
    <x v="91"/>
  </r>
  <r>
    <n v="1099727"/>
    <x v="312"/>
    <x v="5"/>
    <x v="148"/>
    <x v="144"/>
  </r>
  <r>
    <n v="1099727"/>
    <x v="312"/>
    <x v="5"/>
    <x v="153"/>
    <x v="147"/>
  </r>
  <r>
    <n v="1099727"/>
    <x v="312"/>
    <x v="5"/>
    <x v="156"/>
    <x v="158"/>
  </r>
  <r>
    <n v="1099727"/>
    <x v="312"/>
    <x v="5"/>
    <x v="160"/>
    <x v="162"/>
  </r>
  <r>
    <n v="1099727"/>
    <x v="312"/>
    <x v="5"/>
    <x v="124"/>
    <x v="62"/>
  </r>
  <r>
    <n v="1099727"/>
    <x v="312"/>
    <x v="5"/>
    <x v="129"/>
    <x v="42"/>
  </r>
  <r>
    <n v="1099727"/>
    <x v="312"/>
    <x v="5"/>
    <x v="135"/>
    <x v="64"/>
  </r>
  <r>
    <n v="1099727"/>
    <x v="312"/>
    <x v="5"/>
    <x v="142"/>
    <x v="152"/>
  </r>
  <r>
    <n v="1099727"/>
    <x v="312"/>
    <x v="5"/>
    <x v="147"/>
    <x v="24"/>
  </r>
  <r>
    <n v="1099727"/>
    <x v="312"/>
    <x v="5"/>
    <x v="152"/>
    <x v="156"/>
  </r>
  <r>
    <n v="1099727"/>
    <x v="312"/>
    <x v="5"/>
    <x v="155"/>
    <x v="157"/>
  </r>
  <r>
    <n v="1099727"/>
    <x v="312"/>
    <x v="5"/>
    <x v="158"/>
    <x v="160"/>
  </r>
  <r>
    <n v="1099727"/>
    <x v="312"/>
    <x v="5"/>
    <x v="154"/>
    <x v="149"/>
  </r>
  <r>
    <n v="1099727"/>
    <x v="312"/>
    <x v="5"/>
    <x v="127"/>
    <x v="97"/>
  </r>
  <r>
    <n v="1099727"/>
    <x v="312"/>
    <x v="5"/>
    <x v="133"/>
    <x v="147"/>
  </r>
  <r>
    <n v="1099727"/>
    <x v="312"/>
    <x v="5"/>
    <x v="138"/>
    <x v="149"/>
  </r>
  <r>
    <n v="1099727"/>
    <x v="312"/>
    <x v="5"/>
    <x v="145"/>
    <x v="153"/>
  </r>
  <r>
    <n v="1099727"/>
    <x v="312"/>
    <x v="5"/>
    <x v="150"/>
    <x v="155"/>
  </r>
  <r>
    <n v="1099727"/>
    <x v="312"/>
    <x v="5"/>
    <x v="139"/>
    <x v="37"/>
  </r>
  <r>
    <n v="1099727"/>
    <x v="312"/>
    <x v="5"/>
    <x v="157"/>
    <x v="159"/>
  </r>
  <r>
    <n v="1099727"/>
    <x v="312"/>
    <x v="5"/>
    <x v="162"/>
    <x v="164"/>
  </r>
  <r>
    <n v="1099727"/>
    <x v="312"/>
    <x v="5"/>
    <x v="126"/>
    <x v="82"/>
  </r>
  <r>
    <n v="1099727"/>
    <x v="312"/>
    <x v="5"/>
    <x v="132"/>
    <x v="146"/>
  </r>
  <r>
    <n v="1099727"/>
    <x v="312"/>
    <x v="5"/>
    <x v="137"/>
    <x v="79"/>
  </r>
  <r>
    <n v="1099727"/>
    <x v="312"/>
    <x v="5"/>
    <x v="144"/>
    <x v="84"/>
  </r>
  <r>
    <n v="1099727"/>
    <x v="312"/>
    <x v="5"/>
    <x v="149"/>
    <x v="154"/>
  </r>
  <r>
    <n v="1099727"/>
    <x v="312"/>
    <x v="5"/>
    <x v="130"/>
    <x v="145"/>
  </r>
  <r>
    <n v="1099727"/>
    <x v="312"/>
    <x v="5"/>
    <x v="159"/>
    <x v="161"/>
  </r>
  <r>
    <n v="1099727"/>
    <x v="312"/>
    <x v="5"/>
    <x v="163"/>
    <x v="83"/>
  </r>
  <r>
    <n v="1099727"/>
    <x v="312"/>
    <x v="5"/>
    <x v="128"/>
    <x v="92"/>
  </r>
  <r>
    <n v="1099727"/>
    <x v="312"/>
    <x v="5"/>
    <x v="134"/>
    <x v="148"/>
  </r>
  <r>
    <n v="1099727"/>
    <x v="312"/>
    <x v="5"/>
    <x v="141"/>
    <x v="151"/>
  </r>
  <r>
    <n v="1099727"/>
    <x v="312"/>
    <x v="5"/>
    <x v="146"/>
    <x v="78"/>
  </r>
  <r>
    <n v="1099727"/>
    <x v="312"/>
    <x v="5"/>
    <x v="151"/>
    <x v="35"/>
  </r>
  <r>
    <n v="1099727"/>
    <x v="312"/>
    <x v="5"/>
    <x v="125"/>
    <x v="144"/>
  </r>
  <r>
    <n v="1099727"/>
    <x v="1"/>
    <x v="1"/>
    <x v="2"/>
    <x v="2"/>
  </r>
  <r>
    <n v="1099728"/>
    <x v="313"/>
    <x v="2"/>
    <x v="84"/>
    <x v="232"/>
  </r>
  <r>
    <n v="1099728"/>
    <x v="313"/>
    <x v="2"/>
    <x v="61"/>
    <x v="234"/>
  </r>
  <r>
    <n v="1099728"/>
    <x v="313"/>
    <x v="2"/>
    <x v="66"/>
    <x v="231"/>
  </r>
  <r>
    <n v="1099728"/>
    <x v="313"/>
    <x v="2"/>
    <x v="75"/>
    <x v="173"/>
  </r>
  <r>
    <n v="1099728"/>
    <x v="313"/>
    <x v="2"/>
    <x v="74"/>
    <x v="51"/>
  </r>
  <r>
    <n v="1099728"/>
    <x v="313"/>
    <x v="2"/>
    <x v="63"/>
    <x v="97"/>
  </r>
  <r>
    <n v="1099728"/>
    <x v="313"/>
    <x v="2"/>
    <x v="79"/>
    <x v="227"/>
  </r>
  <r>
    <n v="1099728"/>
    <x v="313"/>
    <x v="2"/>
    <x v="77"/>
    <x v="236"/>
  </r>
  <r>
    <n v="1099728"/>
    <x v="313"/>
    <x v="2"/>
    <x v="71"/>
    <x v="111"/>
  </r>
  <r>
    <n v="1099728"/>
    <x v="313"/>
    <x v="2"/>
    <x v="62"/>
    <x v="153"/>
  </r>
  <r>
    <n v="1099728"/>
    <x v="313"/>
    <x v="2"/>
    <x v="58"/>
    <x v="233"/>
  </r>
  <r>
    <n v="1099728"/>
    <x v="313"/>
    <x v="2"/>
    <x v="56"/>
    <x v="228"/>
  </r>
  <r>
    <n v="1099728"/>
    <x v="313"/>
    <x v="2"/>
    <x v="60"/>
    <x v="229"/>
  </r>
  <r>
    <n v="1099728"/>
    <x v="313"/>
    <x v="2"/>
    <x v="70"/>
    <x v="197"/>
  </r>
  <r>
    <n v="1099728"/>
    <x v="313"/>
    <x v="2"/>
    <x v="82"/>
    <x v="162"/>
  </r>
  <r>
    <n v="1099728"/>
    <x v="313"/>
    <x v="2"/>
    <x v="65"/>
    <x v="98"/>
  </r>
  <r>
    <n v="1099728"/>
    <x v="313"/>
    <x v="2"/>
    <x v="68"/>
    <x v="230"/>
  </r>
  <r>
    <n v="1099728"/>
    <x v="313"/>
    <x v="2"/>
    <x v="78"/>
    <x v="235"/>
  </r>
  <r>
    <n v="1099728"/>
    <x v="313"/>
    <x v="2"/>
    <x v="76"/>
    <x v="231"/>
  </r>
  <r>
    <n v="1099728"/>
    <x v="1"/>
    <x v="1"/>
    <x v="2"/>
    <x v="2"/>
  </r>
  <r>
    <n v="1099729"/>
    <x v="314"/>
    <x v="3"/>
    <x v="150"/>
    <x v="53"/>
  </r>
  <r>
    <n v="1099729"/>
    <x v="314"/>
    <x v="3"/>
    <x v="151"/>
    <x v="57"/>
  </r>
  <r>
    <n v="1099729"/>
    <x v="314"/>
    <x v="3"/>
    <x v="152"/>
    <x v="78"/>
  </r>
  <r>
    <n v="1099729"/>
    <x v="314"/>
    <x v="3"/>
    <x v="153"/>
    <x v="217"/>
  </r>
  <r>
    <n v="1099729"/>
    <x v="314"/>
    <x v="3"/>
    <x v="316"/>
    <x v="718"/>
  </r>
  <r>
    <n v="1099729"/>
    <x v="314"/>
    <x v="3"/>
    <x v="130"/>
    <x v="105"/>
  </r>
  <r>
    <n v="1099729"/>
    <x v="314"/>
    <x v="3"/>
    <x v="139"/>
    <x v="146"/>
  </r>
  <r>
    <n v="1099729"/>
    <x v="314"/>
    <x v="3"/>
    <x v="140"/>
    <x v="707"/>
  </r>
  <r>
    <n v="1099729"/>
    <x v="314"/>
    <x v="3"/>
    <x v="344"/>
    <x v="80"/>
  </r>
  <r>
    <n v="1099729"/>
    <x v="314"/>
    <x v="3"/>
    <x v="10"/>
    <x v="456"/>
  </r>
  <r>
    <n v="1099729"/>
    <x v="314"/>
    <x v="3"/>
    <x v="9"/>
    <x v="148"/>
  </r>
  <r>
    <n v="1099729"/>
    <x v="314"/>
    <x v="3"/>
    <x v="8"/>
    <x v="149"/>
  </r>
  <r>
    <n v="1099729"/>
    <x v="314"/>
    <x v="3"/>
    <x v="7"/>
    <x v="163"/>
  </r>
  <r>
    <n v="1099729"/>
    <x v="314"/>
    <x v="3"/>
    <x v="6"/>
    <x v="4"/>
  </r>
  <r>
    <n v="1099729"/>
    <x v="314"/>
    <x v="3"/>
    <x v="13"/>
    <x v="176"/>
  </r>
  <r>
    <n v="1099729"/>
    <x v="314"/>
    <x v="3"/>
    <x v="345"/>
    <x v="69"/>
  </r>
  <r>
    <n v="1099729"/>
    <x v="314"/>
    <x v="3"/>
    <x v="346"/>
    <x v="4"/>
  </r>
  <r>
    <n v="1099729"/>
    <x v="314"/>
    <x v="3"/>
    <x v="347"/>
    <x v="91"/>
  </r>
  <r>
    <n v="1099729"/>
    <x v="314"/>
    <x v="3"/>
    <x v="348"/>
    <x v="146"/>
  </r>
  <r>
    <n v="1099729"/>
    <x v="314"/>
    <x v="3"/>
    <x v="349"/>
    <x v="176"/>
  </r>
  <r>
    <n v="1099729"/>
    <x v="314"/>
    <x v="3"/>
    <x v="331"/>
    <x v="62"/>
  </r>
  <r>
    <n v="1099729"/>
    <x v="314"/>
    <x v="3"/>
    <x v="11"/>
    <x v="220"/>
  </r>
  <r>
    <n v="1099729"/>
    <x v="314"/>
    <x v="3"/>
    <x v="318"/>
    <x v="173"/>
  </r>
  <r>
    <n v="1099729"/>
    <x v="314"/>
    <x v="3"/>
    <x v="317"/>
    <x v="362"/>
  </r>
  <r>
    <n v="1099729"/>
    <x v="314"/>
    <x v="3"/>
    <x v="157"/>
    <x v="719"/>
  </r>
  <r>
    <n v="1099729"/>
    <x v="314"/>
    <x v="3"/>
    <x v="158"/>
    <x v="720"/>
  </r>
  <r>
    <n v="1099729"/>
    <x v="314"/>
    <x v="3"/>
    <x v="342"/>
    <x v="220"/>
  </r>
  <r>
    <n v="1099729"/>
    <x v="314"/>
    <x v="3"/>
    <x v="15"/>
    <x v="218"/>
  </r>
  <r>
    <n v="1099729"/>
    <x v="314"/>
    <x v="3"/>
    <x v="12"/>
    <x v="3"/>
  </r>
  <r>
    <n v="1099729"/>
    <x v="314"/>
    <x v="3"/>
    <x v="5"/>
    <x v="516"/>
  </r>
  <r>
    <n v="1099729"/>
    <x v="314"/>
    <x v="3"/>
    <x v="343"/>
    <x v="37"/>
  </r>
  <r>
    <n v="1099729"/>
    <x v="314"/>
    <x v="3"/>
    <x v="14"/>
    <x v="472"/>
  </r>
  <r>
    <n v="1099729"/>
    <x v="314"/>
    <x v="3"/>
    <x v="332"/>
    <x v="344"/>
  </r>
  <r>
    <n v="1099729"/>
    <x v="314"/>
    <x v="3"/>
    <x v="333"/>
    <x v="91"/>
  </r>
  <r>
    <n v="1099729"/>
    <x v="314"/>
    <x v="3"/>
    <x v="334"/>
    <x v="363"/>
  </r>
  <r>
    <n v="1099729"/>
    <x v="314"/>
    <x v="3"/>
    <x v="350"/>
    <x v="144"/>
  </r>
  <r>
    <n v="1099729"/>
    <x v="314"/>
    <x v="3"/>
    <x v="351"/>
    <x v="163"/>
  </r>
  <r>
    <n v="1099729"/>
    <x v="314"/>
    <x v="3"/>
    <x v="352"/>
    <x v="161"/>
  </r>
  <r>
    <n v="1099729"/>
    <x v="314"/>
    <x v="3"/>
    <x v="335"/>
    <x v="105"/>
  </r>
  <r>
    <n v="1099729"/>
    <x v="314"/>
    <x v="3"/>
    <x v="336"/>
    <x v="117"/>
  </r>
  <r>
    <n v="1099729"/>
    <x v="314"/>
    <x v="3"/>
    <x v="337"/>
    <x v="217"/>
  </r>
  <r>
    <n v="1099729"/>
    <x v="314"/>
    <x v="3"/>
    <x v="338"/>
    <x v="80"/>
  </r>
  <r>
    <n v="1099729"/>
    <x v="314"/>
    <x v="3"/>
    <x v="339"/>
    <x v="168"/>
  </r>
  <r>
    <n v="1099729"/>
    <x v="314"/>
    <x v="3"/>
    <x v="159"/>
    <x v="170"/>
  </r>
  <r>
    <n v="1099729"/>
    <x v="314"/>
    <x v="3"/>
    <x v="160"/>
    <x v="64"/>
  </r>
  <r>
    <n v="1099729"/>
    <x v="314"/>
    <x v="3"/>
    <x v="161"/>
    <x v="347"/>
  </r>
  <r>
    <n v="1099729"/>
    <x v="314"/>
    <x v="3"/>
    <x v="162"/>
    <x v="42"/>
  </r>
  <r>
    <n v="1099729"/>
    <x v="314"/>
    <x v="3"/>
    <x v="154"/>
    <x v="347"/>
  </r>
  <r>
    <n v="1099729"/>
    <x v="314"/>
    <x v="3"/>
    <x v="315"/>
    <x v="721"/>
  </r>
  <r>
    <n v="1099729"/>
    <x v="314"/>
    <x v="3"/>
    <x v="163"/>
    <x v="198"/>
  </r>
  <r>
    <n v="1099729"/>
    <x v="314"/>
    <x v="3"/>
    <x v="124"/>
    <x v="164"/>
  </r>
  <r>
    <n v="1099729"/>
    <x v="314"/>
    <x v="3"/>
    <x v="125"/>
    <x v="176"/>
  </r>
  <r>
    <n v="1099729"/>
    <x v="314"/>
    <x v="3"/>
    <x v="126"/>
    <x v="154"/>
  </r>
  <r>
    <n v="1099729"/>
    <x v="314"/>
    <x v="3"/>
    <x v="127"/>
    <x v="98"/>
  </r>
  <r>
    <n v="1099729"/>
    <x v="314"/>
    <x v="3"/>
    <x v="128"/>
    <x v="146"/>
  </r>
  <r>
    <n v="1099729"/>
    <x v="314"/>
    <x v="3"/>
    <x v="129"/>
    <x v="98"/>
  </r>
  <r>
    <n v="1099729"/>
    <x v="314"/>
    <x v="3"/>
    <x v="131"/>
    <x v="24"/>
  </r>
  <r>
    <n v="1099729"/>
    <x v="314"/>
    <x v="3"/>
    <x v="132"/>
    <x v="149"/>
  </r>
  <r>
    <n v="1099729"/>
    <x v="314"/>
    <x v="3"/>
    <x v="340"/>
    <x v="722"/>
  </r>
  <r>
    <n v="1099729"/>
    <x v="314"/>
    <x v="3"/>
    <x v="133"/>
    <x v="217"/>
  </r>
  <r>
    <n v="1099729"/>
    <x v="314"/>
    <x v="3"/>
    <x v="134"/>
    <x v="117"/>
  </r>
  <r>
    <n v="1099729"/>
    <x v="314"/>
    <x v="3"/>
    <x v="135"/>
    <x v="42"/>
  </r>
  <r>
    <n v="1099729"/>
    <x v="314"/>
    <x v="3"/>
    <x v="136"/>
    <x v="154"/>
  </r>
  <r>
    <n v="1099729"/>
    <x v="314"/>
    <x v="3"/>
    <x v="137"/>
    <x v="82"/>
  </r>
  <r>
    <n v="1099729"/>
    <x v="314"/>
    <x v="3"/>
    <x v="138"/>
    <x v="347"/>
  </r>
  <r>
    <n v="1099729"/>
    <x v="314"/>
    <x v="3"/>
    <x v="141"/>
    <x v="164"/>
  </r>
  <r>
    <n v="1099729"/>
    <x v="314"/>
    <x v="3"/>
    <x v="142"/>
    <x v="229"/>
  </r>
  <r>
    <n v="1099729"/>
    <x v="314"/>
    <x v="3"/>
    <x v="155"/>
    <x v="256"/>
  </r>
  <r>
    <n v="1099729"/>
    <x v="314"/>
    <x v="3"/>
    <x v="156"/>
    <x v="723"/>
  </r>
  <r>
    <n v="1099729"/>
    <x v="314"/>
    <x v="3"/>
    <x v="143"/>
    <x v="149"/>
  </r>
  <r>
    <n v="1099729"/>
    <x v="314"/>
    <x v="3"/>
    <x v="144"/>
    <x v="148"/>
  </r>
  <r>
    <n v="1099729"/>
    <x v="314"/>
    <x v="3"/>
    <x v="145"/>
    <x v="34"/>
  </r>
  <r>
    <n v="1099729"/>
    <x v="314"/>
    <x v="3"/>
    <x v="146"/>
    <x v="79"/>
  </r>
  <r>
    <n v="1099729"/>
    <x v="314"/>
    <x v="3"/>
    <x v="147"/>
    <x v="82"/>
  </r>
  <r>
    <n v="1099729"/>
    <x v="314"/>
    <x v="3"/>
    <x v="148"/>
    <x v="176"/>
  </r>
  <r>
    <n v="1099729"/>
    <x v="314"/>
    <x v="3"/>
    <x v="149"/>
    <x v="88"/>
  </r>
  <r>
    <n v="1099729"/>
    <x v="1"/>
    <x v="1"/>
    <x v="2"/>
    <x v="2"/>
  </r>
  <r>
    <n v="1099735"/>
    <x v="315"/>
    <x v="6"/>
    <x v="353"/>
    <x v="2"/>
  </r>
  <r>
    <n v="1099735"/>
    <x v="1"/>
    <x v="1"/>
    <x v="2"/>
    <x v="2"/>
  </r>
  <r>
    <n v="1099736"/>
    <x v="316"/>
    <x v="8"/>
    <x v="194"/>
    <x v="474"/>
  </r>
  <r>
    <n v="1099736"/>
    <x v="316"/>
    <x v="8"/>
    <x v="190"/>
    <x v="71"/>
  </r>
  <r>
    <n v="1099736"/>
    <x v="316"/>
    <x v="8"/>
    <x v="195"/>
    <x v="475"/>
  </r>
  <r>
    <n v="1099736"/>
    <x v="316"/>
    <x v="8"/>
    <x v="173"/>
    <x v="148"/>
  </r>
  <r>
    <n v="1099736"/>
    <x v="316"/>
    <x v="8"/>
    <x v="185"/>
    <x v="34"/>
  </r>
  <r>
    <n v="1099736"/>
    <x v="316"/>
    <x v="8"/>
    <x v="168"/>
    <x v="65"/>
  </r>
  <r>
    <n v="1099736"/>
    <x v="316"/>
    <x v="8"/>
    <x v="177"/>
    <x v="485"/>
  </r>
  <r>
    <n v="1099736"/>
    <x v="316"/>
    <x v="8"/>
    <x v="179"/>
    <x v="226"/>
  </r>
  <r>
    <n v="1099736"/>
    <x v="316"/>
    <x v="8"/>
    <x v="193"/>
    <x v="482"/>
  </r>
  <r>
    <n v="1099736"/>
    <x v="316"/>
    <x v="8"/>
    <x v="186"/>
    <x v="476"/>
  </r>
  <r>
    <n v="1099736"/>
    <x v="316"/>
    <x v="8"/>
    <x v="169"/>
    <x v="368"/>
  </r>
  <r>
    <n v="1099736"/>
    <x v="316"/>
    <x v="8"/>
    <x v="174"/>
    <x v="477"/>
  </r>
  <r>
    <n v="1099736"/>
    <x v="316"/>
    <x v="8"/>
    <x v="183"/>
    <x v="472"/>
  </r>
  <r>
    <n v="1099736"/>
    <x v="316"/>
    <x v="8"/>
    <x v="180"/>
    <x v="19"/>
  </r>
  <r>
    <n v="1099736"/>
    <x v="316"/>
    <x v="8"/>
    <x v="192"/>
    <x v="65"/>
  </r>
  <r>
    <n v="1099736"/>
    <x v="316"/>
    <x v="8"/>
    <x v="187"/>
    <x v="478"/>
  </r>
  <r>
    <n v="1099736"/>
    <x v="316"/>
    <x v="8"/>
    <x v="170"/>
    <x v="480"/>
  </r>
  <r>
    <n v="1099736"/>
    <x v="316"/>
    <x v="8"/>
    <x v="175"/>
    <x v="258"/>
  </r>
  <r>
    <n v="1099736"/>
    <x v="316"/>
    <x v="8"/>
    <x v="181"/>
    <x v="294"/>
  </r>
  <r>
    <n v="1099736"/>
    <x v="316"/>
    <x v="8"/>
    <x v="191"/>
    <x v="479"/>
  </r>
  <r>
    <n v="1099736"/>
    <x v="316"/>
    <x v="8"/>
    <x v="184"/>
    <x v="135"/>
  </r>
  <r>
    <n v="1099736"/>
    <x v="316"/>
    <x v="8"/>
    <x v="172"/>
    <x v="473"/>
  </r>
  <r>
    <n v="1099736"/>
    <x v="316"/>
    <x v="8"/>
    <x v="189"/>
    <x v="484"/>
  </r>
  <r>
    <n v="1099736"/>
    <x v="316"/>
    <x v="8"/>
    <x v="188"/>
    <x v="481"/>
  </r>
  <r>
    <n v="1099736"/>
    <x v="316"/>
    <x v="8"/>
    <x v="171"/>
    <x v="331"/>
  </r>
  <r>
    <n v="1099736"/>
    <x v="316"/>
    <x v="8"/>
    <x v="176"/>
    <x v="483"/>
  </r>
  <r>
    <n v="1099736"/>
    <x v="316"/>
    <x v="8"/>
    <x v="182"/>
    <x v="69"/>
  </r>
  <r>
    <n v="1099736"/>
    <x v="316"/>
    <x v="8"/>
    <x v="178"/>
    <x v="387"/>
  </r>
  <r>
    <n v="1099736"/>
    <x v="1"/>
    <x v="1"/>
    <x v="2"/>
    <x v="2"/>
  </r>
  <r>
    <n v="1099737"/>
    <x v="317"/>
    <x v="12"/>
    <x v="451"/>
    <x v="2"/>
  </r>
  <r>
    <n v="1099737"/>
    <x v="1"/>
    <x v="1"/>
    <x v="2"/>
    <x v="2"/>
  </r>
  <r>
    <n v="1099738"/>
    <x v="318"/>
    <x v="6"/>
    <x v="167"/>
    <x v="2"/>
  </r>
  <r>
    <n v="1099738"/>
    <x v="1"/>
    <x v="1"/>
    <x v="2"/>
    <x v="2"/>
  </r>
  <r>
    <n v="1099739"/>
    <x v="319"/>
    <x v="13"/>
    <x v="395"/>
    <x v="430"/>
  </r>
  <r>
    <n v="1099739"/>
    <x v="319"/>
    <x v="13"/>
    <x v="394"/>
    <x v="429"/>
  </r>
  <r>
    <n v="1099739"/>
    <x v="1"/>
    <x v="1"/>
    <x v="2"/>
    <x v="2"/>
  </r>
  <r>
    <n v="1099740"/>
    <x v="320"/>
    <x v="13"/>
    <x v="386"/>
    <x v="419"/>
  </r>
  <r>
    <n v="1099740"/>
    <x v="320"/>
    <x v="13"/>
    <x v="385"/>
    <x v="418"/>
  </r>
  <r>
    <n v="1099740"/>
    <x v="320"/>
    <x v="13"/>
    <x v="383"/>
    <x v="416"/>
  </r>
  <r>
    <n v="1099740"/>
    <x v="320"/>
    <x v="13"/>
    <x v="384"/>
    <x v="417"/>
  </r>
  <r>
    <n v="1099740"/>
    <x v="1"/>
    <x v="1"/>
    <x v="2"/>
    <x v="2"/>
  </r>
  <r>
    <n v="1099741"/>
    <x v="321"/>
    <x v="7"/>
    <x v="272"/>
    <x v="311"/>
  </r>
  <r>
    <n v="1099741"/>
    <x v="321"/>
    <x v="7"/>
    <x v="17"/>
    <x v="310"/>
  </r>
  <r>
    <n v="1099741"/>
    <x v="321"/>
    <x v="7"/>
    <x v="324"/>
    <x v="225"/>
  </r>
  <r>
    <n v="1099741"/>
    <x v="321"/>
    <x v="7"/>
    <x v="319"/>
    <x v="312"/>
  </r>
  <r>
    <n v="1099741"/>
    <x v="321"/>
    <x v="7"/>
    <x v="109"/>
    <x v="313"/>
  </r>
  <r>
    <n v="1099741"/>
    <x v="321"/>
    <x v="7"/>
    <x v="320"/>
    <x v="315"/>
  </r>
  <r>
    <n v="1099741"/>
    <x v="321"/>
    <x v="7"/>
    <x v="321"/>
    <x v="316"/>
  </r>
  <r>
    <n v="1099741"/>
    <x v="321"/>
    <x v="7"/>
    <x v="16"/>
    <x v="314"/>
  </r>
  <r>
    <n v="1099741"/>
    <x v="321"/>
    <x v="7"/>
    <x v="322"/>
    <x v="317"/>
  </r>
  <r>
    <n v="1099741"/>
    <x v="321"/>
    <x v="7"/>
    <x v="323"/>
    <x v="318"/>
  </r>
  <r>
    <n v="1099741"/>
    <x v="321"/>
    <x v="7"/>
    <x v="108"/>
    <x v="319"/>
  </r>
  <r>
    <n v="1099741"/>
    <x v="321"/>
    <x v="7"/>
    <x v="325"/>
    <x v="320"/>
  </r>
  <r>
    <n v="1099741"/>
    <x v="321"/>
    <x v="7"/>
    <x v="326"/>
    <x v="168"/>
  </r>
  <r>
    <n v="1099741"/>
    <x v="321"/>
    <x v="7"/>
    <x v="327"/>
    <x v="321"/>
  </r>
  <r>
    <n v="1099741"/>
    <x v="1"/>
    <x v="1"/>
    <x v="2"/>
    <x v="2"/>
  </r>
  <r>
    <n v="1099743"/>
    <x v="322"/>
    <x v="9"/>
    <x v="319"/>
    <x v="393"/>
  </r>
  <r>
    <n v="1099743"/>
    <x v="322"/>
    <x v="9"/>
    <x v="322"/>
    <x v="394"/>
  </r>
  <r>
    <n v="1099743"/>
    <x v="1"/>
    <x v="1"/>
    <x v="2"/>
    <x v="2"/>
  </r>
  <r>
    <n v="1099747"/>
    <x v="323"/>
    <x v="2"/>
    <x v="77"/>
    <x v="184"/>
  </r>
  <r>
    <n v="1099747"/>
    <x v="323"/>
    <x v="2"/>
    <x v="82"/>
    <x v="185"/>
  </r>
  <r>
    <n v="1099747"/>
    <x v="323"/>
    <x v="2"/>
    <x v="78"/>
    <x v="183"/>
  </r>
  <r>
    <n v="1099747"/>
    <x v="1"/>
    <x v="1"/>
    <x v="2"/>
    <x v="2"/>
  </r>
  <r>
    <n v="1099748"/>
    <x v="324"/>
    <x v="13"/>
    <x v="395"/>
    <x v="430"/>
  </r>
  <r>
    <n v="1099748"/>
    <x v="324"/>
    <x v="13"/>
    <x v="394"/>
    <x v="429"/>
  </r>
  <r>
    <n v="1099748"/>
    <x v="1"/>
    <x v="1"/>
    <x v="2"/>
    <x v="2"/>
  </r>
  <r>
    <n v="1099754"/>
    <x v="325"/>
    <x v="0"/>
    <x v="42"/>
    <x v="642"/>
  </r>
  <r>
    <n v="1099754"/>
    <x v="325"/>
    <x v="0"/>
    <x v="29"/>
    <x v="641"/>
  </r>
  <r>
    <n v="1099754"/>
    <x v="325"/>
    <x v="0"/>
    <x v="25"/>
    <x v="643"/>
  </r>
  <r>
    <n v="1099754"/>
    <x v="325"/>
    <x v="0"/>
    <x v="32"/>
    <x v="644"/>
  </r>
  <r>
    <n v="1099754"/>
    <x v="1"/>
    <x v="1"/>
    <x v="2"/>
    <x v="2"/>
  </r>
  <r>
    <n v="1099755"/>
    <x v="326"/>
    <x v="5"/>
    <x v="417"/>
    <x v="724"/>
  </r>
  <r>
    <n v="1099755"/>
    <x v="326"/>
    <x v="5"/>
    <x v="406"/>
    <x v="725"/>
  </r>
  <r>
    <n v="1099755"/>
    <x v="326"/>
    <x v="5"/>
    <x v="408"/>
    <x v="726"/>
  </r>
  <r>
    <n v="1099755"/>
    <x v="326"/>
    <x v="5"/>
    <x v="411"/>
    <x v="727"/>
  </r>
  <r>
    <n v="1099755"/>
    <x v="326"/>
    <x v="5"/>
    <x v="413"/>
    <x v="728"/>
  </r>
  <r>
    <n v="1099755"/>
    <x v="326"/>
    <x v="5"/>
    <x v="405"/>
    <x v="729"/>
  </r>
  <r>
    <n v="1099755"/>
    <x v="1"/>
    <x v="1"/>
    <x v="2"/>
    <x v="2"/>
  </r>
  <r>
    <n v="1099756"/>
    <x v="327"/>
    <x v="13"/>
    <x v="384"/>
    <x v="417"/>
  </r>
  <r>
    <n v="1099756"/>
    <x v="327"/>
    <x v="13"/>
    <x v="386"/>
    <x v="419"/>
  </r>
  <r>
    <n v="1099756"/>
    <x v="327"/>
    <x v="13"/>
    <x v="385"/>
    <x v="418"/>
  </r>
  <r>
    <n v="1099756"/>
    <x v="327"/>
    <x v="13"/>
    <x v="383"/>
    <x v="416"/>
  </r>
  <r>
    <n v="1099756"/>
    <x v="1"/>
    <x v="1"/>
    <x v="2"/>
    <x v="2"/>
  </r>
  <r>
    <n v="1099758"/>
    <x v="328"/>
    <x v="5"/>
    <x v="276"/>
    <x v="2"/>
  </r>
  <r>
    <n v="1099758"/>
    <x v="1"/>
    <x v="1"/>
    <x v="2"/>
    <x v="2"/>
  </r>
  <r>
    <n v="1099759"/>
    <x v="329"/>
    <x v="9"/>
    <x v="319"/>
    <x v="730"/>
  </r>
  <r>
    <n v="1099759"/>
    <x v="329"/>
    <x v="9"/>
    <x v="320"/>
    <x v="731"/>
  </r>
  <r>
    <n v="1099759"/>
    <x v="329"/>
    <x v="9"/>
    <x v="272"/>
    <x v="732"/>
  </r>
  <r>
    <n v="1099759"/>
    <x v="329"/>
    <x v="9"/>
    <x v="322"/>
    <x v="733"/>
  </r>
  <r>
    <n v="1099759"/>
    <x v="329"/>
    <x v="9"/>
    <x v="323"/>
    <x v="734"/>
  </r>
  <r>
    <n v="1099759"/>
    <x v="329"/>
    <x v="9"/>
    <x v="327"/>
    <x v="735"/>
  </r>
  <r>
    <n v="1099759"/>
    <x v="1"/>
    <x v="1"/>
    <x v="2"/>
    <x v="2"/>
  </r>
  <r>
    <n v="1099760"/>
    <x v="330"/>
    <x v="2"/>
    <x v="276"/>
    <x v="2"/>
  </r>
  <r>
    <n v="1099760"/>
    <x v="1"/>
    <x v="1"/>
    <x v="2"/>
    <x v="2"/>
  </r>
  <r>
    <n v="1099762"/>
    <x v="331"/>
    <x v="0"/>
    <x v="34"/>
    <x v="736"/>
  </r>
  <r>
    <n v="1099762"/>
    <x v="331"/>
    <x v="0"/>
    <x v="24"/>
    <x v="737"/>
  </r>
  <r>
    <n v="1099762"/>
    <x v="331"/>
    <x v="0"/>
    <x v="39"/>
    <x v="738"/>
  </r>
  <r>
    <n v="1099762"/>
    <x v="331"/>
    <x v="0"/>
    <x v="40"/>
    <x v="739"/>
  </r>
  <r>
    <n v="1099762"/>
    <x v="1"/>
    <x v="1"/>
    <x v="2"/>
    <x v="2"/>
  </r>
  <r>
    <n v="1099763"/>
    <x v="332"/>
    <x v="2"/>
    <x v="387"/>
    <x v="423"/>
  </r>
  <r>
    <n v="1099763"/>
    <x v="332"/>
    <x v="2"/>
    <x v="389"/>
    <x v="425"/>
  </r>
  <r>
    <n v="1099763"/>
    <x v="332"/>
    <x v="2"/>
    <x v="390"/>
    <x v="426"/>
  </r>
  <r>
    <n v="1099763"/>
    <x v="332"/>
    <x v="2"/>
    <x v="388"/>
    <x v="424"/>
  </r>
  <r>
    <n v="1099763"/>
    <x v="1"/>
    <x v="1"/>
    <x v="2"/>
    <x v="2"/>
  </r>
  <r>
    <n v="1099764"/>
    <x v="333"/>
    <x v="12"/>
    <x v="382"/>
    <x v="399"/>
  </r>
  <r>
    <n v="1099764"/>
    <x v="333"/>
    <x v="12"/>
    <x v="381"/>
    <x v="398"/>
  </r>
  <r>
    <n v="1099764"/>
    <x v="333"/>
    <x v="12"/>
    <x v="380"/>
    <x v="397"/>
  </r>
  <r>
    <n v="1099764"/>
    <x v="333"/>
    <x v="12"/>
    <x v="378"/>
    <x v="395"/>
  </r>
  <r>
    <n v="1099764"/>
    <x v="333"/>
    <x v="12"/>
    <x v="379"/>
    <x v="396"/>
  </r>
  <r>
    <n v="1099764"/>
    <x v="1"/>
    <x v="1"/>
    <x v="2"/>
    <x v="2"/>
  </r>
  <r>
    <n v="1099767"/>
    <x v="334"/>
    <x v="6"/>
    <x v="106"/>
    <x v="62"/>
  </r>
  <r>
    <n v="1099767"/>
    <x v="334"/>
    <x v="6"/>
    <x v="319"/>
    <x v="305"/>
  </r>
  <r>
    <n v="1099767"/>
    <x v="334"/>
    <x v="6"/>
    <x v="321"/>
    <x v="615"/>
  </r>
  <r>
    <n v="1099767"/>
    <x v="334"/>
    <x v="6"/>
    <x v="274"/>
    <x v="206"/>
  </r>
  <r>
    <n v="1099767"/>
    <x v="334"/>
    <x v="6"/>
    <x v="405"/>
    <x v="178"/>
  </r>
  <r>
    <n v="1099767"/>
    <x v="334"/>
    <x v="6"/>
    <x v="48"/>
    <x v="706"/>
  </r>
  <r>
    <n v="1099767"/>
    <x v="334"/>
    <x v="6"/>
    <x v="440"/>
    <x v="80"/>
  </r>
  <r>
    <n v="1099767"/>
    <x v="334"/>
    <x v="6"/>
    <x v="358"/>
    <x v="82"/>
  </r>
  <r>
    <n v="1099767"/>
    <x v="334"/>
    <x v="6"/>
    <x v="363"/>
    <x v="161"/>
  </r>
  <r>
    <n v="1099767"/>
    <x v="334"/>
    <x v="6"/>
    <x v="111"/>
    <x v="42"/>
  </r>
  <r>
    <n v="1099767"/>
    <x v="334"/>
    <x v="6"/>
    <x v="369"/>
    <x v="348"/>
  </r>
  <r>
    <n v="1099767"/>
    <x v="334"/>
    <x v="6"/>
    <x v="45"/>
    <x v="149"/>
  </r>
  <r>
    <n v="1099767"/>
    <x v="334"/>
    <x v="6"/>
    <x v="309"/>
    <x v="179"/>
  </r>
  <r>
    <n v="1099767"/>
    <x v="334"/>
    <x v="6"/>
    <x v="122"/>
    <x v="24"/>
  </r>
  <r>
    <n v="1099767"/>
    <x v="334"/>
    <x v="6"/>
    <x v="375"/>
    <x v="535"/>
  </r>
  <r>
    <n v="1099767"/>
    <x v="334"/>
    <x v="6"/>
    <x v="117"/>
    <x v="347"/>
  </r>
  <r>
    <n v="1099767"/>
    <x v="334"/>
    <x v="6"/>
    <x v="287"/>
    <x v="88"/>
  </r>
  <r>
    <n v="1099767"/>
    <x v="334"/>
    <x v="6"/>
    <x v="292"/>
    <x v="98"/>
  </r>
  <r>
    <n v="1099767"/>
    <x v="334"/>
    <x v="6"/>
    <x v="107"/>
    <x v="156"/>
  </r>
  <r>
    <n v="1099767"/>
    <x v="334"/>
    <x v="6"/>
    <x v="393"/>
    <x v="21"/>
  </r>
  <r>
    <n v="1099767"/>
    <x v="334"/>
    <x v="6"/>
    <x v="324"/>
    <x v="176"/>
  </r>
  <r>
    <n v="1099767"/>
    <x v="334"/>
    <x v="6"/>
    <x v="23"/>
    <x v="154"/>
  </r>
  <r>
    <n v="1099767"/>
    <x v="334"/>
    <x v="6"/>
    <x v="322"/>
    <x v="305"/>
  </r>
  <r>
    <n v="1099767"/>
    <x v="334"/>
    <x v="6"/>
    <x v="53"/>
    <x v="457"/>
  </r>
  <r>
    <n v="1099767"/>
    <x v="334"/>
    <x v="6"/>
    <x v="408"/>
    <x v="351"/>
  </r>
  <r>
    <n v="1099767"/>
    <x v="334"/>
    <x v="6"/>
    <x v="414"/>
    <x v="535"/>
  </r>
  <r>
    <n v="1099767"/>
    <x v="334"/>
    <x v="6"/>
    <x v="47"/>
    <x v="619"/>
  </r>
  <r>
    <n v="1099767"/>
    <x v="334"/>
    <x v="6"/>
    <x v="415"/>
    <x v="98"/>
  </r>
  <r>
    <n v="1099767"/>
    <x v="334"/>
    <x v="6"/>
    <x v="278"/>
    <x v="224"/>
  </r>
  <r>
    <n v="1099767"/>
    <x v="334"/>
    <x v="6"/>
    <x v="359"/>
    <x v="4"/>
  </r>
  <r>
    <n v="1099767"/>
    <x v="334"/>
    <x v="6"/>
    <x v="90"/>
    <x v="4"/>
  </r>
  <r>
    <n v="1099767"/>
    <x v="334"/>
    <x v="6"/>
    <x v="272"/>
    <x v="659"/>
  </r>
  <r>
    <n v="1099767"/>
    <x v="334"/>
    <x v="6"/>
    <x v="400"/>
    <x v="178"/>
  </r>
  <r>
    <n v="1099767"/>
    <x v="334"/>
    <x v="6"/>
    <x v="18"/>
    <x v="348"/>
  </r>
  <r>
    <n v="1099767"/>
    <x v="334"/>
    <x v="6"/>
    <x v="267"/>
    <x v="3"/>
  </r>
  <r>
    <n v="1099767"/>
    <x v="334"/>
    <x v="6"/>
    <x v="282"/>
    <x v="147"/>
  </r>
  <r>
    <n v="1099767"/>
    <x v="334"/>
    <x v="6"/>
    <x v="356"/>
    <x v="170"/>
  </r>
  <r>
    <n v="1099767"/>
    <x v="334"/>
    <x v="6"/>
    <x v="360"/>
    <x v="4"/>
  </r>
  <r>
    <n v="1099767"/>
    <x v="334"/>
    <x v="6"/>
    <x v="364"/>
    <x v="348"/>
  </r>
  <r>
    <n v="1099767"/>
    <x v="334"/>
    <x v="6"/>
    <x v="371"/>
    <x v="351"/>
  </r>
  <r>
    <n v="1099767"/>
    <x v="334"/>
    <x v="6"/>
    <x v="110"/>
    <x v="97"/>
  </r>
  <r>
    <n v="1099767"/>
    <x v="334"/>
    <x v="6"/>
    <x v="403"/>
    <x v="163"/>
  </r>
  <r>
    <n v="1099767"/>
    <x v="334"/>
    <x v="6"/>
    <x v="285"/>
    <x v="346"/>
  </r>
  <r>
    <n v="1099767"/>
    <x v="334"/>
    <x v="6"/>
    <x v="120"/>
    <x v="181"/>
  </r>
  <r>
    <n v="1099767"/>
    <x v="334"/>
    <x v="6"/>
    <x v="381"/>
    <x v="740"/>
  </r>
  <r>
    <n v="1099767"/>
    <x v="334"/>
    <x v="6"/>
    <x v="296"/>
    <x v="61"/>
  </r>
  <r>
    <n v="1099767"/>
    <x v="334"/>
    <x v="6"/>
    <x v="288"/>
    <x v="315"/>
  </r>
  <r>
    <n v="1099767"/>
    <x v="334"/>
    <x v="6"/>
    <x v="435"/>
    <x v="348"/>
  </r>
  <r>
    <n v="1099767"/>
    <x v="334"/>
    <x v="6"/>
    <x v="442"/>
    <x v="88"/>
  </r>
  <r>
    <n v="1099767"/>
    <x v="334"/>
    <x v="6"/>
    <x v="370"/>
    <x v="198"/>
  </r>
  <r>
    <n v="1099767"/>
    <x v="334"/>
    <x v="6"/>
    <x v="116"/>
    <x v="34"/>
  </r>
  <r>
    <n v="1099767"/>
    <x v="334"/>
    <x v="6"/>
    <x v="410"/>
    <x v="88"/>
  </r>
  <r>
    <n v="1099767"/>
    <x v="334"/>
    <x v="6"/>
    <x v="441"/>
    <x v="353"/>
  </r>
  <r>
    <n v="1099767"/>
    <x v="334"/>
    <x v="6"/>
    <x v="436"/>
    <x v="156"/>
  </r>
  <r>
    <n v="1099767"/>
    <x v="334"/>
    <x v="6"/>
    <x v="291"/>
    <x v="79"/>
  </r>
  <r>
    <n v="1099767"/>
    <x v="334"/>
    <x v="6"/>
    <x v="105"/>
    <x v="221"/>
  </r>
  <r>
    <n v="1099767"/>
    <x v="334"/>
    <x v="6"/>
    <x v="323"/>
    <x v="392"/>
  </r>
  <r>
    <n v="1099767"/>
    <x v="334"/>
    <x v="6"/>
    <x v="270"/>
    <x v="179"/>
  </r>
  <r>
    <n v="1099767"/>
    <x v="334"/>
    <x v="6"/>
    <x v="402"/>
    <x v="83"/>
  </r>
  <r>
    <n v="1099767"/>
    <x v="334"/>
    <x v="6"/>
    <x v="283"/>
    <x v="62"/>
  </r>
  <r>
    <n v="1099767"/>
    <x v="334"/>
    <x v="6"/>
    <x v="94"/>
    <x v="351"/>
  </r>
  <r>
    <n v="1099767"/>
    <x v="334"/>
    <x v="6"/>
    <x v="88"/>
    <x v="88"/>
  </r>
  <r>
    <n v="1099767"/>
    <x v="334"/>
    <x v="6"/>
    <x v="115"/>
    <x v="170"/>
  </r>
  <r>
    <n v="1099767"/>
    <x v="334"/>
    <x v="6"/>
    <x v="308"/>
    <x v="176"/>
  </r>
  <r>
    <n v="1099767"/>
    <x v="334"/>
    <x v="6"/>
    <x v="113"/>
    <x v="178"/>
  </r>
  <r>
    <n v="1099767"/>
    <x v="334"/>
    <x v="6"/>
    <x v="399"/>
    <x v="54"/>
  </r>
  <r>
    <n v="1099767"/>
    <x v="334"/>
    <x v="6"/>
    <x v="280"/>
    <x v="346"/>
  </r>
  <r>
    <n v="1099767"/>
    <x v="334"/>
    <x v="6"/>
    <x v="119"/>
    <x v="206"/>
  </r>
  <r>
    <n v="1099767"/>
    <x v="334"/>
    <x v="6"/>
    <x v="378"/>
    <x v="24"/>
  </r>
  <r>
    <n v="1099767"/>
    <x v="334"/>
    <x v="6"/>
    <x v="289"/>
    <x v="105"/>
  </r>
  <r>
    <n v="1099767"/>
    <x v="334"/>
    <x v="6"/>
    <x v="102"/>
    <x v="741"/>
  </r>
  <r>
    <n v="1099767"/>
    <x v="334"/>
    <x v="6"/>
    <x v="103"/>
    <x v="144"/>
  </r>
  <r>
    <n v="1099767"/>
    <x v="334"/>
    <x v="6"/>
    <x v="17"/>
    <x v="742"/>
  </r>
  <r>
    <n v="1099767"/>
    <x v="334"/>
    <x v="6"/>
    <x v="118"/>
    <x v="217"/>
  </r>
  <r>
    <n v="1099767"/>
    <x v="334"/>
    <x v="6"/>
    <x v="376"/>
    <x v="161"/>
  </r>
  <r>
    <n v="1099767"/>
    <x v="334"/>
    <x v="6"/>
    <x v="407"/>
    <x v="83"/>
  </r>
  <r>
    <n v="1099767"/>
    <x v="334"/>
    <x v="6"/>
    <x v="295"/>
    <x v="61"/>
  </r>
  <r>
    <n v="1099767"/>
    <x v="334"/>
    <x v="6"/>
    <x v="297"/>
    <x v="176"/>
  </r>
  <r>
    <n v="1099767"/>
    <x v="334"/>
    <x v="6"/>
    <x v="101"/>
    <x v="34"/>
  </r>
  <r>
    <n v="1099767"/>
    <x v="334"/>
    <x v="6"/>
    <x v="392"/>
    <x v="51"/>
  </r>
  <r>
    <n v="1099767"/>
    <x v="334"/>
    <x v="6"/>
    <x v="320"/>
    <x v="78"/>
  </r>
  <r>
    <n v="1099767"/>
    <x v="334"/>
    <x v="6"/>
    <x v="87"/>
    <x v="210"/>
  </r>
  <r>
    <n v="1099767"/>
    <x v="334"/>
    <x v="6"/>
    <x v="21"/>
    <x v="351"/>
  </r>
  <r>
    <n v="1099767"/>
    <x v="334"/>
    <x v="6"/>
    <x v="49"/>
    <x v="4"/>
  </r>
  <r>
    <n v="1099767"/>
    <x v="334"/>
    <x v="6"/>
    <x v="50"/>
    <x v="4"/>
  </r>
  <r>
    <n v="1099767"/>
    <x v="334"/>
    <x v="6"/>
    <x v="98"/>
    <x v="82"/>
  </r>
  <r>
    <n v="1099767"/>
    <x v="334"/>
    <x v="6"/>
    <x v="406"/>
    <x v="178"/>
  </r>
  <r>
    <n v="1099767"/>
    <x v="334"/>
    <x v="6"/>
    <x v="97"/>
    <x v="210"/>
  </r>
  <r>
    <n v="1099767"/>
    <x v="334"/>
    <x v="6"/>
    <x v="443"/>
    <x v="64"/>
  </r>
  <r>
    <n v="1099767"/>
    <x v="334"/>
    <x v="6"/>
    <x v="365"/>
    <x v="535"/>
  </r>
  <r>
    <n v="1099767"/>
    <x v="334"/>
    <x v="6"/>
    <x v="372"/>
    <x v="176"/>
  </r>
  <r>
    <n v="1099767"/>
    <x v="334"/>
    <x v="6"/>
    <x v="112"/>
    <x v="4"/>
  </r>
  <r>
    <n v="1099767"/>
    <x v="334"/>
    <x v="6"/>
    <x v="273"/>
    <x v="144"/>
  </r>
  <r>
    <n v="1099767"/>
    <x v="334"/>
    <x v="6"/>
    <x v="286"/>
    <x v="185"/>
  </r>
  <r>
    <n v="1099767"/>
    <x v="334"/>
    <x v="6"/>
    <x v="269"/>
    <x v="211"/>
  </r>
  <r>
    <n v="1099767"/>
    <x v="334"/>
    <x v="6"/>
    <x v="380"/>
    <x v="98"/>
  </r>
  <r>
    <n v="1099767"/>
    <x v="334"/>
    <x v="6"/>
    <x v="434"/>
    <x v="78"/>
  </r>
  <r>
    <n v="1099767"/>
    <x v="334"/>
    <x v="6"/>
    <x v="432"/>
    <x v="149"/>
  </r>
  <r>
    <n v="1099767"/>
    <x v="334"/>
    <x v="6"/>
    <x v="104"/>
    <x v="144"/>
  </r>
  <r>
    <n v="1099767"/>
    <x v="334"/>
    <x v="6"/>
    <x v="16"/>
    <x v="134"/>
  </r>
  <r>
    <n v="1099767"/>
    <x v="334"/>
    <x v="6"/>
    <x v="108"/>
    <x v="474"/>
  </r>
  <r>
    <n v="1099767"/>
    <x v="334"/>
    <x v="6"/>
    <x v="303"/>
    <x v="376"/>
  </r>
  <r>
    <n v="1099767"/>
    <x v="334"/>
    <x v="6"/>
    <x v="20"/>
    <x v="170"/>
  </r>
  <r>
    <n v="1099767"/>
    <x v="334"/>
    <x v="6"/>
    <x v="197"/>
    <x v="743"/>
  </r>
  <r>
    <n v="1099767"/>
    <x v="334"/>
    <x v="6"/>
    <x v="266"/>
    <x v="85"/>
  </r>
  <r>
    <n v="1099767"/>
    <x v="334"/>
    <x v="6"/>
    <x v="19"/>
    <x v="351"/>
  </r>
  <r>
    <n v="1099767"/>
    <x v="334"/>
    <x v="6"/>
    <x v="52"/>
    <x v="178"/>
  </r>
  <r>
    <n v="1099767"/>
    <x v="334"/>
    <x v="6"/>
    <x v="271"/>
    <x v="24"/>
  </r>
  <r>
    <n v="1099767"/>
    <x v="334"/>
    <x v="6"/>
    <x v="368"/>
    <x v="346"/>
  </r>
  <r>
    <n v="1099767"/>
    <x v="334"/>
    <x v="6"/>
    <x v="99"/>
    <x v="455"/>
  </r>
  <r>
    <n v="1099767"/>
    <x v="334"/>
    <x v="6"/>
    <x v="307"/>
    <x v="560"/>
  </r>
  <r>
    <n v="1099767"/>
    <x v="334"/>
    <x v="6"/>
    <x v="445"/>
    <x v="198"/>
  </r>
  <r>
    <n v="1099767"/>
    <x v="334"/>
    <x v="6"/>
    <x v="100"/>
    <x v="97"/>
  </r>
  <r>
    <n v="1099767"/>
    <x v="334"/>
    <x v="6"/>
    <x v="279"/>
    <x v="392"/>
  </r>
  <r>
    <n v="1099767"/>
    <x v="334"/>
    <x v="6"/>
    <x v="298"/>
    <x v="162"/>
  </r>
  <r>
    <n v="1099767"/>
    <x v="334"/>
    <x v="6"/>
    <x v="430"/>
    <x v="346"/>
  </r>
  <r>
    <n v="1099767"/>
    <x v="334"/>
    <x v="6"/>
    <x v="391"/>
    <x v="744"/>
  </r>
  <r>
    <n v="1099767"/>
    <x v="334"/>
    <x v="6"/>
    <x v="327"/>
    <x v="224"/>
  </r>
  <r>
    <n v="1099767"/>
    <x v="334"/>
    <x v="6"/>
    <x v="93"/>
    <x v="455"/>
  </r>
  <r>
    <n v="1099767"/>
    <x v="334"/>
    <x v="6"/>
    <x v="404"/>
    <x v="83"/>
  </r>
  <r>
    <n v="1099767"/>
    <x v="334"/>
    <x v="6"/>
    <x v="46"/>
    <x v="61"/>
  </r>
  <r>
    <n v="1099767"/>
    <x v="334"/>
    <x v="6"/>
    <x v="354"/>
    <x v="79"/>
  </r>
  <r>
    <n v="1099767"/>
    <x v="334"/>
    <x v="6"/>
    <x v="409"/>
    <x v="198"/>
  </r>
  <r>
    <n v="1099767"/>
    <x v="334"/>
    <x v="6"/>
    <x v="357"/>
    <x v="42"/>
  </r>
  <r>
    <n v="1099767"/>
    <x v="334"/>
    <x v="6"/>
    <x v="89"/>
    <x v="376"/>
  </r>
  <r>
    <n v="1099767"/>
    <x v="334"/>
    <x v="6"/>
    <x v="95"/>
    <x v="363"/>
  </r>
  <r>
    <n v="1099767"/>
    <x v="334"/>
    <x v="6"/>
    <x v="366"/>
    <x v="178"/>
  </r>
  <r>
    <n v="1099767"/>
    <x v="334"/>
    <x v="6"/>
    <x v="373"/>
    <x v="176"/>
  </r>
  <r>
    <n v="1099767"/>
    <x v="334"/>
    <x v="6"/>
    <x v="306"/>
    <x v="88"/>
  </r>
  <r>
    <n v="1099767"/>
    <x v="334"/>
    <x v="6"/>
    <x v="328"/>
    <x v="198"/>
  </r>
  <r>
    <n v="1099767"/>
    <x v="334"/>
    <x v="6"/>
    <x v="377"/>
    <x v="745"/>
  </r>
  <r>
    <n v="1099767"/>
    <x v="334"/>
    <x v="6"/>
    <x v="379"/>
    <x v="23"/>
  </r>
  <r>
    <n v="1099767"/>
    <x v="334"/>
    <x v="6"/>
    <x v="294"/>
    <x v="387"/>
  </r>
  <r>
    <n v="1099767"/>
    <x v="334"/>
    <x v="6"/>
    <x v="290"/>
    <x v="746"/>
  </r>
  <r>
    <n v="1099767"/>
    <x v="334"/>
    <x v="6"/>
    <x v="428"/>
    <x v="30"/>
  </r>
  <r>
    <n v="1099767"/>
    <x v="334"/>
    <x v="6"/>
    <x v="22"/>
    <x v="154"/>
  </r>
  <r>
    <n v="1099767"/>
    <x v="334"/>
    <x v="6"/>
    <x v="198"/>
    <x v="149"/>
  </r>
  <r>
    <n v="1099767"/>
    <x v="334"/>
    <x v="6"/>
    <x v="109"/>
    <x v="152"/>
  </r>
  <r>
    <n v="1099767"/>
    <x v="334"/>
    <x v="6"/>
    <x v="326"/>
    <x v="170"/>
  </r>
  <r>
    <n v="1099767"/>
    <x v="334"/>
    <x v="6"/>
    <x v="275"/>
    <x v="745"/>
  </r>
  <r>
    <n v="1099767"/>
    <x v="334"/>
    <x v="6"/>
    <x v="413"/>
    <x v="178"/>
  </r>
  <r>
    <n v="1099767"/>
    <x v="334"/>
    <x v="6"/>
    <x v="397"/>
    <x v="161"/>
  </r>
  <r>
    <n v="1099767"/>
    <x v="334"/>
    <x v="6"/>
    <x v="51"/>
    <x v="407"/>
  </r>
  <r>
    <n v="1099767"/>
    <x v="334"/>
    <x v="6"/>
    <x v="86"/>
    <x v="213"/>
  </r>
  <r>
    <n v="1099767"/>
    <x v="334"/>
    <x v="6"/>
    <x v="355"/>
    <x v="79"/>
  </r>
  <r>
    <n v="1099767"/>
    <x v="334"/>
    <x v="6"/>
    <x v="311"/>
    <x v="78"/>
  </r>
  <r>
    <n v="1099767"/>
    <x v="334"/>
    <x v="6"/>
    <x v="398"/>
    <x v="351"/>
  </r>
  <r>
    <n v="1099767"/>
    <x v="334"/>
    <x v="6"/>
    <x v="416"/>
    <x v="64"/>
  </r>
  <r>
    <n v="1099767"/>
    <x v="334"/>
    <x v="6"/>
    <x v="362"/>
    <x v="144"/>
  </r>
  <r>
    <n v="1099767"/>
    <x v="334"/>
    <x v="6"/>
    <x v="268"/>
    <x v="154"/>
  </r>
  <r>
    <n v="1099767"/>
    <x v="334"/>
    <x v="6"/>
    <x v="367"/>
    <x v="346"/>
  </r>
  <r>
    <n v="1099767"/>
    <x v="334"/>
    <x v="6"/>
    <x v="444"/>
    <x v="535"/>
  </r>
  <r>
    <n v="1099767"/>
    <x v="334"/>
    <x v="6"/>
    <x v="92"/>
    <x v="617"/>
  </r>
  <r>
    <n v="1099767"/>
    <x v="334"/>
    <x v="6"/>
    <x v="44"/>
    <x v="346"/>
  </r>
  <r>
    <n v="1099767"/>
    <x v="334"/>
    <x v="6"/>
    <x v="114"/>
    <x v="351"/>
  </r>
  <r>
    <n v="1099767"/>
    <x v="334"/>
    <x v="6"/>
    <x v="312"/>
    <x v="179"/>
  </r>
  <r>
    <n v="1099767"/>
    <x v="334"/>
    <x v="6"/>
    <x v="329"/>
    <x v="51"/>
  </r>
  <r>
    <n v="1099767"/>
    <x v="334"/>
    <x v="6"/>
    <x v="411"/>
    <x v="82"/>
  </r>
  <r>
    <n v="1099767"/>
    <x v="334"/>
    <x v="6"/>
    <x v="85"/>
    <x v="407"/>
  </r>
  <r>
    <n v="1099767"/>
    <x v="334"/>
    <x v="6"/>
    <x v="304"/>
    <x v="34"/>
  </r>
  <r>
    <n v="1099767"/>
    <x v="334"/>
    <x v="6"/>
    <x v="121"/>
    <x v="88"/>
  </r>
  <r>
    <n v="1099767"/>
    <x v="334"/>
    <x v="6"/>
    <x v="382"/>
    <x v="38"/>
  </r>
  <r>
    <n v="1099767"/>
    <x v="334"/>
    <x v="6"/>
    <x v="437"/>
    <x v="153"/>
  </r>
  <r>
    <n v="1099767"/>
    <x v="334"/>
    <x v="6"/>
    <x v="429"/>
    <x v="42"/>
  </r>
  <r>
    <n v="1099767"/>
    <x v="334"/>
    <x v="6"/>
    <x v="431"/>
    <x v="164"/>
  </r>
  <r>
    <n v="1099767"/>
    <x v="334"/>
    <x v="6"/>
    <x v="293"/>
    <x v="747"/>
  </r>
  <r>
    <n v="1099767"/>
    <x v="334"/>
    <x v="6"/>
    <x v="433"/>
    <x v="170"/>
  </r>
  <r>
    <n v="1099767"/>
    <x v="334"/>
    <x v="6"/>
    <x v="325"/>
    <x v="205"/>
  </r>
  <r>
    <n v="1099767"/>
    <x v="334"/>
    <x v="6"/>
    <x v="305"/>
    <x v="136"/>
  </r>
  <r>
    <n v="1099767"/>
    <x v="334"/>
    <x v="6"/>
    <x v="401"/>
    <x v="178"/>
  </r>
  <r>
    <n v="1099767"/>
    <x v="334"/>
    <x v="6"/>
    <x v="196"/>
    <x v="748"/>
  </r>
  <r>
    <n v="1099767"/>
    <x v="334"/>
    <x v="6"/>
    <x v="281"/>
    <x v="238"/>
  </r>
  <r>
    <n v="1099767"/>
    <x v="334"/>
    <x v="6"/>
    <x v="96"/>
    <x v="346"/>
  </r>
  <r>
    <n v="1099767"/>
    <x v="334"/>
    <x v="6"/>
    <x v="361"/>
    <x v="161"/>
  </r>
  <r>
    <n v="1099767"/>
    <x v="334"/>
    <x v="6"/>
    <x v="284"/>
    <x v="105"/>
  </r>
  <r>
    <n v="1099767"/>
    <x v="334"/>
    <x v="6"/>
    <x v="91"/>
    <x v="346"/>
  </r>
  <r>
    <n v="1099767"/>
    <x v="334"/>
    <x v="6"/>
    <x v="374"/>
    <x v="154"/>
  </r>
  <r>
    <n v="1099767"/>
    <x v="334"/>
    <x v="6"/>
    <x v="310"/>
    <x v="151"/>
  </r>
  <r>
    <n v="1099767"/>
    <x v="334"/>
    <x v="6"/>
    <x v="417"/>
    <x v="82"/>
  </r>
  <r>
    <n v="1099767"/>
    <x v="334"/>
    <x v="6"/>
    <x v="54"/>
    <x v="198"/>
  </r>
  <r>
    <n v="1099767"/>
    <x v="1"/>
    <x v="1"/>
    <x v="2"/>
    <x v="2"/>
  </r>
  <r>
    <n v="1099768"/>
    <x v="335"/>
    <x v="0"/>
    <x v="39"/>
    <x v="738"/>
  </r>
  <r>
    <n v="1099768"/>
    <x v="335"/>
    <x v="0"/>
    <x v="40"/>
    <x v="739"/>
  </r>
  <r>
    <n v="1099768"/>
    <x v="335"/>
    <x v="0"/>
    <x v="24"/>
    <x v="737"/>
  </r>
  <r>
    <n v="1099768"/>
    <x v="335"/>
    <x v="0"/>
    <x v="34"/>
    <x v="736"/>
  </r>
  <r>
    <n v="1099768"/>
    <x v="1"/>
    <x v="1"/>
    <x v="2"/>
    <x v="2"/>
  </r>
  <r>
    <n v="1099769"/>
    <x v="336"/>
    <x v="6"/>
    <x v="432"/>
    <x v="448"/>
  </r>
  <r>
    <n v="1099769"/>
    <x v="336"/>
    <x v="6"/>
    <x v="435"/>
    <x v="441"/>
  </r>
  <r>
    <n v="1099769"/>
    <x v="336"/>
    <x v="6"/>
    <x v="436"/>
    <x v="587"/>
  </r>
  <r>
    <n v="1099769"/>
    <x v="336"/>
    <x v="6"/>
    <x v="434"/>
    <x v="586"/>
  </r>
  <r>
    <n v="1099769"/>
    <x v="336"/>
    <x v="6"/>
    <x v="431"/>
    <x v="588"/>
  </r>
  <r>
    <n v="1099769"/>
    <x v="336"/>
    <x v="6"/>
    <x v="433"/>
    <x v="368"/>
  </r>
  <r>
    <n v="1099769"/>
    <x v="336"/>
    <x v="6"/>
    <x v="437"/>
    <x v="584"/>
  </r>
  <r>
    <n v="1099769"/>
    <x v="336"/>
    <x v="6"/>
    <x v="428"/>
    <x v="589"/>
  </r>
  <r>
    <n v="1099769"/>
    <x v="336"/>
    <x v="6"/>
    <x v="430"/>
    <x v="590"/>
  </r>
  <r>
    <n v="1099769"/>
    <x v="336"/>
    <x v="6"/>
    <x v="429"/>
    <x v="585"/>
  </r>
  <r>
    <n v="1099769"/>
    <x v="1"/>
    <x v="1"/>
    <x v="2"/>
    <x v="2"/>
  </r>
  <r>
    <n v="1099770"/>
    <x v="337"/>
    <x v="5"/>
    <x v="275"/>
    <x v="246"/>
  </r>
  <r>
    <n v="1099770"/>
    <x v="337"/>
    <x v="5"/>
    <x v="273"/>
    <x v="244"/>
  </r>
  <r>
    <n v="1099770"/>
    <x v="337"/>
    <x v="5"/>
    <x v="274"/>
    <x v="245"/>
  </r>
  <r>
    <n v="1099770"/>
    <x v="1"/>
    <x v="1"/>
    <x v="2"/>
    <x v="2"/>
  </r>
  <r>
    <n v="1099771"/>
    <x v="338"/>
    <x v="13"/>
    <x v="276"/>
    <x v="2"/>
  </r>
  <r>
    <n v="1099771"/>
    <x v="1"/>
    <x v="1"/>
    <x v="2"/>
    <x v="2"/>
  </r>
  <r>
    <n v="1099772"/>
    <x v="339"/>
    <x v="13"/>
    <x v="276"/>
    <x v="2"/>
  </r>
  <r>
    <n v="1099772"/>
    <x v="1"/>
    <x v="1"/>
    <x v="2"/>
    <x v="2"/>
  </r>
  <r>
    <n v="1099773"/>
    <x v="340"/>
    <x v="13"/>
    <x v="383"/>
    <x v="500"/>
  </r>
  <r>
    <n v="1099773"/>
    <x v="340"/>
    <x v="13"/>
    <x v="385"/>
    <x v="508"/>
  </r>
  <r>
    <n v="1099773"/>
    <x v="1"/>
    <x v="1"/>
    <x v="2"/>
    <x v="2"/>
  </r>
  <r>
    <n v="1099774"/>
    <x v="341"/>
    <x v="6"/>
    <x v="370"/>
    <x v="198"/>
  </r>
  <r>
    <n v="1099774"/>
    <x v="341"/>
    <x v="6"/>
    <x v="45"/>
    <x v="149"/>
  </r>
  <r>
    <n v="1099774"/>
    <x v="341"/>
    <x v="6"/>
    <x v="312"/>
    <x v="179"/>
  </r>
  <r>
    <n v="1099774"/>
    <x v="341"/>
    <x v="6"/>
    <x v="417"/>
    <x v="82"/>
  </r>
  <r>
    <n v="1099774"/>
    <x v="341"/>
    <x v="6"/>
    <x v="100"/>
    <x v="97"/>
  </r>
  <r>
    <n v="1099774"/>
    <x v="341"/>
    <x v="6"/>
    <x v="379"/>
    <x v="23"/>
  </r>
  <r>
    <n v="1099774"/>
    <x v="341"/>
    <x v="6"/>
    <x v="434"/>
    <x v="78"/>
  </r>
  <r>
    <n v="1099774"/>
    <x v="341"/>
    <x v="6"/>
    <x v="102"/>
    <x v="741"/>
  </r>
  <r>
    <n v="1099774"/>
    <x v="341"/>
    <x v="6"/>
    <x v="435"/>
    <x v="348"/>
  </r>
  <r>
    <n v="1099774"/>
    <x v="341"/>
    <x v="6"/>
    <x v="323"/>
    <x v="392"/>
  </r>
  <r>
    <n v="1099774"/>
    <x v="341"/>
    <x v="6"/>
    <x v="270"/>
    <x v="179"/>
  </r>
  <r>
    <n v="1099774"/>
    <x v="341"/>
    <x v="6"/>
    <x v="402"/>
    <x v="83"/>
  </r>
  <r>
    <n v="1099774"/>
    <x v="341"/>
    <x v="6"/>
    <x v="283"/>
    <x v="62"/>
  </r>
  <r>
    <n v="1099774"/>
    <x v="341"/>
    <x v="6"/>
    <x v="94"/>
    <x v="351"/>
  </r>
  <r>
    <n v="1099774"/>
    <x v="341"/>
    <x v="6"/>
    <x v="22"/>
    <x v="154"/>
  </r>
  <r>
    <n v="1099774"/>
    <x v="341"/>
    <x v="6"/>
    <x v="272"/>
    <x v="659"/>
  </r>
  <r>
    <n v="1099774"/>
    <x v="341"/>
    <x v="6"/>
    <x v="400"/>
    <x v="178"/>
  </r>
  <r>
    <n v="1099774"/>
    <x v="341"/>
    <x v="6"/>
    <x v="18"/>
    <x v="348"/>
  </r>
  <r>
    <n v="1099774"/>
    <x v="341"/>
    <x v="6"/>
    <x v="267"/>
    <x v="3"/>
  </r>
  <r>
    <n v="1099774"/>
    <x v="341"/>
    <x v="6"/>
    <x v="282"/>
    <x v="147"/>
  </r>
  <r>
    <n v="1099774"/>
    <x v="341"/>
    <x v="6"/>
    <x v="356"/>
    <x v="170"/>
  </r>
  <r>
    <n v="1099774"/>
    <x v="341"/>
    <x v="6"/>
    <x v="360"/>
    <x v="4"/>
  </r>
  <r>
    <n v="1099774"/>
    <x v="341"/>
    <x v="6"/>
    <x v="90"/>
    <x v="4"/>
  </r>
  <r>
    <n v="1099774"/>
    <x v="341"/>
    <x v="6"/>
    <x v="111"/>
    <x v="42"/>
  </r>
  <r>
    <n v="1099774"/>
    <x v="341"/>
    <x v="6"/>
    <x v="444"/>
    <x v="535"/>
  </r>
  <r>
    <n v="1099774"/>
    <x v="341"/>
    <x v="6"/>
    <x v="374"/>
    <x v="154"/>
  </r>
  <r>
    <n v="1099774"/>
    <x v="341"/>
    <x v="6"/>
    <x v="307"/>
    <x v="560"/>
  </r>
  <r>
    <n v="1099774"/>
    <x v="341"/>
    <x v="6"/>
    <x v="329"/>
    <x v="51"/>
  </r>
  <r>
    <n v="1099774"/>
    <x v="341"/>
    <x v="6"/>
    <x v="269"/>
    <x v="211"/>
  </r>
  <r>
    <n v="1099774"/>
    <x v="341"/>
    <x v="6"/>
    <x v="378"/>
    <x v="24"/>
  </r>
  <r>
    <n v="1099774"/>
    <x v="341"/>
    <x v="6"/>
    <x v="296"/>
    <x v="61"/>
  </r>
  <r>
    <n v="1099774"/>
    <x v="341"/>
    <x v="6"/>
    <x v="297"/>
    <x v="176"/>
  </r>
  <r>
    <n v="1099774"/>
    <x v="341"/>
    <x v="6"/>
    <x v="107"/>
    <x v="156"/>
  </r>
  <r>
    <n v="1099774"/>
    <x v="341"/>
    <x v="6"/>
    <x v="442"/>
    <x v="88"/>
  </r>
  <r>
    <n v="1099774"/>
    <x v="341"/>
    <x v="6"/>
    <x v="369"/>
    <x v="348"/>
  </r>
  <r>
    <n v="1099774"/>
    <x v="341"/>
    <x v="6"/>
    <x v="44"/>
    <x v="346"/>
  </r>
  <r>
    <n v="1099774"/>
    <x v="341"/>
    <x v="6"/>
    <x v="310"/>
    <x v="151"/>
  </r>
  <r>
    <n v="1099774"/>
    <x v="341"/>
    <x v="6"/>
    <x v="445"/>
    <x v="198"/>
  </r>
  <r>
    <n v="1099774"/>
    <x v="341"/>
    <x v="6"/>
    <x v="85"/>
    <x v="407"/>
  </r>
  <r>
    <n v="1099774"/>
    <x v="341"/>
    <x v="6"/>
    <x v="377"/>
    <x v="745"/>
  </r>
  <r>
    <n v="1099774"/>
    <x v="341"/>
    <x v="6"/>
    <x v="380"/>
    <x v="98"/>
  </r>
  <r>
    <n v="1099774"/>
    <x v="341"/>
    <x v="6"/>
    <x v="289"/>
    <x v="105"/>
  </r>
  <r>
    <n v="1099774"/>
    <x v="341"/>
    <x v="6"/>
    <x v="288"/>
    <x v="315"/>
  </r>
  <r>
    <n v="1099774"/>
    <x v="341"/>
    <x v="6"/>
    <x v="101"/>
    <x v="34"/>
  </r>
  <r>
    <n v="1099774"/>
    <x v="341"/>
    <x v="6"/>
    <x v="392"/>
    <x v="51"/>
  </r>
  <r>
    <n v="1099774"/>
    <x v="341"/>
    <x v="6"/>
    <x v="319"/>
    <x v="305"/>
  </r>
  <r>
    <n v="1099774"/>
    <x v="341"/>
    <x v="6"/>
    <x v="320"/>
    <x v="78"/>
  </r>
  <r>
    <n v="1099774"/>
    <x v="341"/>
    <x v="6"/>
    <x v="321"/>
    <x v="615"/>
  </r>
  <r>
    <n v="1099774"/>
    <x v="341"/>
    <x v="6"/>
    <x v="87"/>
    <x v="210"/>
  </r>
  <r>
    <n v="1099774"/>
    <x v="341"/>
    <x v="6"/>
    <x v="274"/>
    <x v="206"/>
  </r>
  <r>
    <n v="1099774"/>
    <x v="341"/>
    <x v="6"/>
    <x v="21"/>
    <x v="351"/>
  </r>
  <r>
    <n v="1099774"/>
    <x v="341"/>
    <x v="6"/>
    <x v="405"/>
    <x v="178"/>
  </r>
  <r>
    <n v="1099774"/>
    <x v="341"/>
    <x v="6"/>
    <x v="368"/>
    <x v="346"/>
  </r>
  <r>
    <n v="1099774"/>
    <x v="341"/>
    <x v="6"/>
    <x v="92"/>
    <x v="617"/>
  </r>
  <r>
    <n v="1099774"/>
    <x v="341"/>
    <x v="6"/>
    <x v="306"/>
    <x v="88"/>
  </r>
  <r>
    <n v="1099774"/>
    <x v="341"/>
    <x v="6"/>
    <x v="273"/>
    <x v="144"/>
  </r>
  <r>
    <n v="1099774"/>
    <x v="341"/>
    <x v="6"/>
    <x v="280"/>
    <x v="346"/>
  </r>
  <r>
    <n v="1099774"/>
    <x v="341"/>
    <x v="6"/>
    <x v="120"/>
    <x v="181"/>
  </r>
  <r>
    <n v="1099774"/>
    <x v="341"/>
    <x v="6"/>
    <x v="407"/>
    <x v="83"/>
  </r>
  <r>
    <n v="1099774"/>
    <x v="341"/>
    <x v="6"/>
    <x v="287"/>
    <x v="88"/>
  </r>
  <r>
    <n v="1099774"/>
    <x v="341"/>
    <x v="6"/>
    <x v="431"/>
    <x v="164"/>
  </r>
  <r>
    <n v="1099774"/>
    <x v="341"/>
    <x v="6"/>
    <x v="105"/>
    <x v="221"/>
  </r>
  <r>
    <n v="1099774"/>
    <x v="341"/>
    <x v="6"/>
    <x v="198"/>
    <x v="149"/>
  </r>
  <r>
    <n v="1099774"/>
    <x v="341"/>
    <x v="6"/>
    <x v="324"/>
    <x v="176"/>
  </r>
  <r>
    <n v="1099774"/>
    <x v="341"/>
    <x v="6"/>
    <x v="326"/>
    <x v="170"/>
  </r>
  <r>
    <n v="1099774"/>
    <x v="341"/>
    <x v="6"/>
    <x v="275"/>
    <x v="745"/>
  </r>
  <r>
    <n v="1099774"/>
    <x v="341"/>
    <x v="6"/>
    <x v="397"/>
    <x v="161"/>
  </r>
  <r>
    <n v="1099774"/>
    <x v="341"/>
    <x v="6"/>
    <x v="86"/>
    <x v="213"/>
  </r>
  <r>
    <n v="1099774"/>
    <x v="341"/>
    <x v="6"/>
    <x v="398"/>
    <x v="351"/>
  </r>
  <r>
    <n v="1099774"/>
    <x v="341"/>
    <x v="6"/>
    <x v="361"/>
    <x v="161"/>
  </r>
  <r>
    <n v="1099774"/>
    <x v="341"/>
    <x v="6"/>
    <x v="271"/>
    <x v="24"/>
  </r>
  <r>
    <n v="1099774"/>
    <x v="341"/>
    <x v="6"/>
    <x v="367"/>
    <x v="346"/>
  </r>
  <r>
    <n v="1099774"/>
    <x v="341"/>
    <x v="6"/>
    <x v="373"/>
    <x v="176"/>
  </r>
  <r>
    <n v="1099774"/>
    <x v="341"/>
    <x v="6"/>
    <x v="112"/>
    <x v="4"/>
  </r>
  <r>
    <n v="1099774"/>
    <x v="341"/>
    <x v="6"/>
    <x v="399"/>
    <x v="54"/>
  </r>
  <r>
    <n v="1099774"/>
    <x v="341"/>
    <x v="6"/>
    <x v="285"/>
    <x v="346"/>
  </r>
  <r>
    <n v="1099774"/>
    <x v="341"/>
    <x v="6"/>
    <x v="376"/>
    <x v="161"/>
  </r>
  <r>
    <n v="1099774"/>
    <x v="341"/>
    <x v="6"/>
    <x v="117"/>
    <x v="347"/>
  </r>
  <r>
    <n v="1099774"/>
    <x v="341"/>
    <x v="6"/>
    <x v="437"/>
    <x v="153"/>
  </r>
  <r>
    <n v="1099774"/>
    <x v="341"/>
    <x v="6"/>
    <x v="291"/>
    <x v="79"/>
  </r>
  <r>
    <n v="1099774"/>
    <x v="341"/>
    <x v="6"/>
    <x v="106"/>
    <x v="62"/>
  </r>
  <r>
    <n v="1099774"/>
    <x v="341"/>
    <x v="6"/>
    <x v="393"/>
    <x v="21"/>
  </r>
  <r>
    <n v="1099774"/>
    <x v="341"/>
    <x v="6"/>
    <x v="109"/>
    <x v="152"/>
  </r>
  <r>
    <n v="1099774"/>
    <x v="341"/>
    <x v="6"/>
    <x v="413"/>
    <x v="178"/>
  </r>
  <r>
    <n v="1099774"/>
    <x v="341"/>
    <x v="6"/>
    <x v="51"/>
    <x v="407"/>
  </r>
  <r>
    <n v="1099774"/>
    <x v="341"/>
    <x v="6"/>
    <x v="355"/>
    <x v="79"/>
  </r>
  <r>
    <n v="1099774"/>
    <x v="341"/>
    <x v="6"/>
    <x v="311"/>
    <x v="78"/>
  </r>
  <r>
    <n v="1099774"/>
    <x v="341"/>
    <x v="6"/>
    <x v="416"/>
    <x v="64"/>
  </r>
  <r>
    <n v="1099774"/>
    <x v="341"/>
    <x v="6"/>
    <x v="89"/>
    <x v="376"/>
  </r>
  <r>
    <n v="1099774"/>
    <x v="341"/>
    <x v="6"/>
    <x v="443"/>
    <x v="64"/>
  </r>
  <r>
    <n v="1099774"/>
    <x v="341"/>
    <x v="6"/>
    <x v="371"/>
    <x v="351"/>
  </r>
  <r>
    <n v="1099774"/>
    <x v="341"/>
    <x v="6"/>
    <x v="116"/>
    <x v="34"/>
  </r>
  <r>
    <n v="1099774"/>
    <x v="341"/>
    <x v="6"/>
    <x v="309"/>
    <x v="179"/>
  </r>
  <r>
    <n v="1099774"/>
    <x v="341"/>
    <x v="6"/>
    <x v="411"/>
    <x v="82"/>
  </r>
  <r>
    <n v="1099774"/>
    <x v="341"/>
    <x v="6"/>
    <x v="54"/>
    <x v="198"/>
  </r>
  <r>
    <n v="1099774"/>
    <x v="341"/>
    <x v="6"/>
    <x v="279"/>
    <x v="392"/>
  </r>
  <r>
    <n v="1099774"/>
    <x v="341"/>
    <x v="6"/>
    <x v="382"/>
    <x v="38"/>
  </r>
  <r>
    <n v="1099774"/>
    <x v="341"/>
    <x v="6"/>
    <x v="428"/>
    <x v="30"/>
  </r>
  <r>
    <n v="1099774"/>
    <x v="341"/>
    <x v="6"/>
    <x v="432"/>
    <x v="149"/>
  </r>
  <r>
    <n v="1099774"/>
    <x v="341"/>
    <x v="6"/>
    <x v="103"/>
    <x v="144"/>
  </r>
  <r>
    <n v="1099774"/>
    <x v="341"/>
    <x v="6"/>
    <x v="17"/>
    <x v="742"/>
  </r>
  <r>
    <n v="1099774"/>
    <x v="341"/>
    <x v="6"/>
    <x v="325"/>
    <x v="205"/>
  </r>
  <r>
    <n v="1099774"/>
    <x v="341"/>
    <x v="6"/>
    <x v="305"/>
    <x v="136"/>
  </r>
  <r>
    <n v="1099774"/>
    <x v="341"/>
    <x v="6"/>
    <x v="401"/>
    <x v="178"/>
  </r>
  <r>
    <n v="1099774"/>
    <x v="341"/>
    <x v="6"/>
    <x v="196"/>
    <x v="748"/>
  </r>
  <r>
    <n v="1099774"/>
    <x v="341"/>
    <x v="6"/>
    <x v="23"/>
    <x v="154"/>
  </r>
  <r>
    <n v="1099774"/>
    <x v="341"/>
    <x v="6"/>
    <x v="391"/>
    <x v="744"/>
  </r>
  <r>
    <n v="1099774"/>
    <x v="341"/>
    <x v="6"/>
    <x v="327"/>
    <x v="224"/>
  </r>
  <r>
    <n v="1099774"/>
    <x v="341"/>
    <x v="6"/>
    <x v="93"/>
    <x v="455"/>
  </r>
  <r>
    <n v="1099774"/>
    <x v="341"/>
    <x v="6"/>
    <x v="404"/>
    <x v="83"/>
  </r>
  <r>
    <n v="1099774"/>
    <x v="341"/>
    <x v="6"/>
    <x v="46"/>
    <x v="61"/>
  </r>
  <r>
    <n v="1099774"/>
    <x v="341"/>
    <x v="6"/>
    <x v="354"/>
    <x v="79"/>
  </r>
  <r>
    <n v="1099774"/>
    <x v="341"/>
    <x v="6"/>
    <x v="409"/>
    <x v="198"/>
  </r>
  <r>
    <n v="1099774"/>
    <x v="341"/>
    <x v="6"/>
    <x v="357"/>
    <x v="42"/>
  </r>
  <r>
    <n v="1099774"/>
    <x v="341"/>
    <x v="6"/>
    <x v="97"/>
    <x v="210"/>
  </r>
  <r>
    <n v="1099774"/>
    <x v="341"/>
    <x v="6"/>
    <x v="115"/>
    <x v="170"/>
  </r>
  <r>
    <n v="1099774"/>
    <x v="341"/>
    <x v="6"/>
    <x v="281"/>
    <x v="238"/>
  </r>
  <r>
    <n v="1099774"/>
    <x v="341"/>
    <x v="6"/>
    <x v="96"/>
    <x v="346"/>
  </r>
  <r>
    <n v="1099774"/>
    <x v="341"/>
    <x v="6"/>
    <x v="268"/>
    <x v="154"/>
  </r>
  <r>
    <n v="1099774"/>
    <x v="341"/>
    <x v="6"/>
    <x v="366"/>
    <x v="178"/>
  </r>
  <r>
    <n v="1099774"/>
    <x v="341"/>
    <x v="6"/>
    <x v="372"/>
    <x v="176"/>
  </r>
  <r>
    <n v="1099774"/>
    <x v="341"/>
    <x v="6"/>
    <x v="113"/>
    <x v="178"/>
  </r>
  <r>
    <n v="1099774"/>
    <x v="341"/>
    <x v="6"/>
    <x v="403"/>
    <x v="163"/>
  </r>
  <r>
    <n v="1099774"/>
    <x v="341"/>
    <x v="6"/>
    <x v="118"/>
    <x v="217"/>
  </r>
  <r>
    <n v="1099774"/>
    <x v="341"/>
    <x v="6"/>
    <x v="375"/>
    <x v="535"/>
  </r>
  <r>
    <n v="1099774"/>
    <x v="341"/>
    <x v="6"/>
    <x v="121"/>
    <x v="88"/>
  </r>
  <r>
    <n v="1099774"/>
    <x v="341"/>
    <x v="6"/>
    <x v="436"/>
    <x v="156"/>
  </r>
  <r>
    <n v="1099774"/>
    <x v="341"/>
    <x v="6"/>
    <x v="430"/>
    <x v="346"/>
  </r>
  <r>
    <n v="1099774"/>
    <x v="341"/>
    <x v="6"/>
    <x v="293"/>
    <x v="747"/>
  </r>
  <r>
    <n v="1099774"/>
    <x v="341"/>
    <x v="6"/>
    <x v="290"/>
    <x v="746"/>
  </r>
  <r>
    <n v="1099774"/>
    <x v="341"/>
    <x v="6"/>
    <x v="359"/>
    <x v="4"/>
  </r>
  <r>
    <n v="1099774"/>
    <x v="341"/>
    <x v="6"/>
    <x v="363"/>
    <x v="161"/>
  </r>
  <r>
    <n v="1099774"/>
    <x v="341"/>
    <x v="6"/>
    <x v="91"/>
    <x v="346"/>
  </r>
  <r>
    <n v="1099774"/>
    <x v="341"/>
    <x v="6"/>
    <x v="99"/>
    <x v="455"/>
  </r>
  <r>
    <n v="1099774"/>
    <x v="341"/>
    <x v="6"/>
    <x v="114"/>
    <x v="351"/>
  </r>
  <r>
    <n v="1099774"/>
    <x v="341"/>
    <x v="6"/>
    <x v="328"/>
    <x v="198"/>
  </r>
  <r>
    <n v="1099774"/>
    <x v="341"/>
    <x v="6"/>
    <x v="286"/>
    <x v="185"/>
  </r>
  <r>
    <n v="1099774"/>
    <x v="341"/>
    <x v="6"/>
    <x v="119"/>
    <x v="206"/>
  </r>
  <r>
    <n v="1099774"/>
    <x v="341"/>
    <x v="6"/>
    <x v="381"/>
    <x v="740"/>
  </r>
  <r>
    <n v="1099774"/>
    <x v="341"/>
    <x v="6"/>
    <x v="292"/>
    <x v="98"/>
  </r>
  <r>
    <n v="1099774"/>
    <x v="341"/>
    <x v="6"/>
    <x v="433"/>
    <x v="170"/>
  </r>
  <r>
    <n v="1099774"/>
    <x v="341"/>
    <x v="6"/>
    <x v="295"/>
    <x v="61"/>
  </r>
  <r>
    <n v="1099774"/>
    <x v="341"/>
    <x v="6"/>
    <x v="16"/>
    <x v="134"/>
  </r>
  <r>
    <n v="1099774"/>
    <x v="341"/>
    <x v="6"/>
    <x v="322"/>
    <x v="305"/>
  </r>
  <r>
    <n v="1099774"/>
    <x v="341"/>
    <x v="6"/>
    <x v="108"/>
    <x v="474"/>
  </r>
  <r>
    <n v="1099774"/>
    <x v="341"/>
    <x v="6"/>
    <x v="53"/>
    <x v="457"/>
  </r>
  <r>
    <n v="1099774"/>
    <x v="341"/>
    <x v="6"/>
    <x v="303"/>
    <x v="376"/>
  </r>
  <r>
    <n v="1099774"/>
    <x v="341"/>
    <x v="6"/>
    <x v="408"/>
    <x v="351"/>
  </r>
  <r>
    <n v="1099774"/>
    <x v="341"/>
    <x v="6"/>
    <x v="20"/>
    <x v="170"/>
  </r>
  <r>
    <n v="1099774"/>
    <x v="341"/>
    <x v="6"/>
    <x v="414"/>
    <x v="535"/>
  </r>
  <r>
    <n v="1099774"/>
    <x v="341"/>
    <x v="6"/>
    <x v="197"/>
    <x v="743"/>
  </r>
  <r>
    <n v="1099774"/>
    <x v="341"/>
    <x v="6"/>
    <x v="47"/>
    <x v="619"/>
  </r>
  <r>
    <n v="1099774"/>
    <x v="341"/>
    <x v="6"/>
    <x v="266"/>
    <x v="85"/>
  </r>
  <r>
    <n v="1099774"/>
    <x v="341"/>
    <x v="6"/>
    <x v="415"/>
    <x v="98"/>
  </r>
  <r>
    <n v="1099774"/>
    <x v="341"/>
    <x v="6"/>
    <x v="19"/>
    <x v="351"/>
  </r>
  <r>
    <n v="1099774"/>
    <x v="341"/>
    <x v="6"/>
    <x v="278"/>
    <x v="224"/>
  </r>
  <r>
    <n v="1099774"/>
    <x v="341"/>
    <x v="6"/>
    <x v="52"/>
    <x v="178"/>
  </r>
  <r>
    <n v="1099774"/>
    <x v="341"/>
    <x v="6"/>
    <x v="95"/>
    <x v="363"/>
  </r>
  <r>
    <n v="1099774"/>
    <x v="341"/>
    <x v="6"/>
    <x v="365"/>
    <x v="535"/>
  </r>
  <r>
    <n v="1099774"/>
    <x v="341"/>
    <x v="6"/>
    <x v="308"/>
    <x v="176"/>
  </r>
  <r>
    <n v="1099774"/>
    <x v="341"/>
    <x v="6"/>
    <x v="110"/>
    <x v="97"/>
  </r>
  <r>
    <n v="1099774"/>
    <x v="341"/>
    <x v="6"/>
    <x v="410"/>
    <x v="88"/>
  </r>
  <r>
    <n v="1099774"/>
    <x v="341"/>
    <x v="6"/>
    <x v="122"/>
    <x v="24"/>
  </r>
  <r>
    <n v="1099774"/>
    <x v="341"/>
    <x v="6"/>
    <x v="304"/>
    <x v="34"/>
  </r>
  <r>
    <n v="1099774"/>
    <x v="341"/>
    <x v="6"/>
    <x v="441"/>
    <x v="353"/>
  </r>
  <r>
    <n v="1099774"/>
    <x v="341"/>
    <x v="6"/>
    <x v="298"/>
    <x v="162"/>
  </r>
  <r>
    <n v="1099774"/>
    <x v="341"/>
    <x v="6"/>
    <x v="429"/>
    <x v="42"/>
  </r>
  <r>
    <n v="1099774"/>
    <x v="341"/>
    <x v="6"/>
    <x v="294"/>
    <x v="387"/>
  </r>
  <r>
    <n v="1099774"/>
    <x v="341"/>
    <x v="6"/>
    <x v="104"/>
    <x v="144"/>
  </r>
  <r>
    <n v="1099774"/>
    <x v="341"/>
    <x v="6"/>
    <x v="49"/>
    <x v="4"/>
  </r>
  <r>
    <n v="1099774"/>
    <x v="341"/>
    <x v="6"/>
    <x v="48"/>
    <x v="706"/>
  </r>
  <r>
    <n v="1099774"/>
    <x v="341"/>
    <x v="6"/>
    <x v="50"/>
    <x v="4"/>
  </r>
  <r>
    <n v="1099774"/>
    <x v="341"/>
    <x v="6"/>
    <x v="440"/>
    <x v="80"/>
  </r>
  <r>
    <n v="1099774"/>
    <x v="341"/>
    <x v="6"/>
    <x v="98"/>
    <x v="82"/>
  </r>
  <r>
    <n v="1099774"/>
    <x v="341"/>
    <x v="6"/>
    <x v="406"/>
    <x v="178"/>
  </r>
  <r>
    <n v="1099774"/>
    <x v="341"/>
    <x v="6"/>
    <x v="358"/>
    <x v="82"/>
  </r>
  <r>
    <n v="1099774"/>
    <x v="341"/>
    <x v="6"/>
    <x v="88"/>
    <x v="88"/>
  </r>
  <r>
    <n v="1099774"/>
    <x v="341"/>
    <x v="6"/>
    <x v="362"/>
    <x v="144"/>
  </r>
  <r>
    <n v="1099774"/>
    <x v="341"/>
    <x v="6"/>
    <x v="364"/>
    <x v="348"/>
  </r>
  <r>
    <n v="1099774"/>
    <x v="341"/>
    <x v="6"/>
    <x v="284"/>
    <x v="105"/>
  </r>
  <r>
    <n v="1099774"/>
    <x v="1"/>
    <x v="1"/>
    <x v="2"/>
    <x v="2"/>
  </r>
  <r>
    <n v="1099779"/>
    <x v="342"/>
    <x v="6"/>
    <x v="450"/>
    <x v="2"/>
  </r>
  <r>
    <n v="1099779"/>
    <x v="1"/>
    <x v="1"/>
    <x v="2"/>
    <x v="2"/>
  </r>
  <r>
    <n v="1099780"/>
    <x v="343"/>
    <x v="6"/>
    <x v="450"/>
    <x v="2"/>
  </r>
  <r>
    <n v="1099780"/>
    <x v="1"/>
    <x v="1"/>
    <x v="2"/>
    <x v="2"/>
  </r>
  <r>
    <n v="1099781"/>
    <x v="344"/>
    <x v="2"/>
    <x v="300"/>
    <x v="2"/>
  </r>
  <r>
    <n v="1099781"/>
    <x v="1"/>
    <x v="1"/>
    <x v="2"/>
    <x v="2"/>
  </r>
  <r>
    <n v="1099783"/>
    <x v="345"/>
    <x v="6"/>
    <x v="161"/>
    <x v="351"/>
  </r>
  <r>
    <n v="1099783"/>
    <x v="345"/>
    <x v="6"/>
    <x v="131"/>
    <x v="535"/>
  </r>
  <r>
    <n v="1099783"/>
    <x v="345"/>
    <x v="6"/>
    <x v="143"/>
    <x v="178"/>
  </r>
  <r>
    <n v="1099783"/>
    <x v="345"/>
    <x v="6"/>
    <x v="153"/>
    <x v="348"/>
  </r>
  <r>
    <n v="1099783"/>
    <x v="345"/>
    <x v="6"/>
    <x v="263"/>
    <x v="83"/>
  </r>
  <r>
    <n v="1099783"/>
    <x v="345"/>
    <x v="6"/>
    <x v="209"/>
    <x v="516"/>
  </r>
  <r>
    <n v="1099783"/>
    <x v="345"/>
    <x v="6"/>
    <x v="140"/>
    <x v="4"/>
  </r>
  <r>
    <n v="1099783"/>
    <x v="345"/>
    <x v="6"/>
    <x v="228"/>
    <x v="30"/>
  </r>
  <r>
    <n v="1099783"/>
    <x v="345"/>
    <x v="6"/>
    <x v="238"/>
    <x v="375"/>
  </r>
  <r>
    <n v="1099783"/>
    <x v="345"/>
    <x v="6"/>
    <x v="245"/>
    <x v="161"/>
  </r>
  <r>
    <n v="1099783"/>
    <x v="345"/>
    <x v="6"/>
    <x v="318"/>
    <x v="88"/>
  </r>
  <r>
    <n v="1099783"/>
    <x v="345"/>
    <x v="6"/>
    <x v="193"/>
    <x v="170"/>
  </r>
  <r>
    <n v="1099783"/>
    <x v="345"/>
    <x v="6"/>
    <x v="191"/>
    <x v="178"/>
  </r>
  <r>
    <n v="1099783"/>
    <x v="345"/>
    <x v="6"/>
    <x v="189"/>
    <x v="178"/>
  </r>
  <r>
    <n v="1099783"/>
    <x v="345"/>
    <x v="6"/>
    <x v="40"/>
    <x v="161"/>
  </r>
  <r>
    <n v="1099783"/>
    <x v="345"/>
    <x v="6"/>
    <x v="25"/>
    <x v="105"/>
  </r>
  <r>
    <n v="1099783"/>
    <x v="345"/>
    <x v="6"/>
    <x v="390"/>
    <x v="220"/>
  </r>
  <r>
    <n v="1099783"/>
    <x v="345"/>
    <x v="6"/>
    <x v="200"/>
    <x v="179"/>
  </r>
  <r>
    <n v="1099783"/>
    <x v="345"/>
    <x v="6"/>
    <x v="62"/>
    <x v="348"/>
  </r>
  <r>
    <n v="1099783"/>
    <x v="345"/>
    <x v="6"/>
    <x v="422"/>
    <x v="154"/>
  </r>
  <r>
    <n v="1099783"/>
    <x v="345"/>
    <x v="6"/>
    <x v="14"/>
    <x v="4"/>
  </r>
  <r>
    <n v="1099783"/>
    <x v="345"/>
    <x v="6"/>
    <x v="13"/>
    <x v="535"/>
  </r>
  <r>
    <n v="1099783"/>
    <x v="345"/>
    <x v="6"/>
    <x v="333"/>
    <x v="348"/>
  </r>
  <r>
    <n v="1099783"/>
    <x v="345"/>
    <x v="6"/>
    <x v="159"/>
    <x v="516"/>
  </r>
  <r>
    <n v="1099783"/>
    <x v="345"/>
    <x v="6"/>
    <x v="128"/>
    <x v="178"/>
  </r>
  <r>
    <n v="1099783"/>
    <x v="345"/>
    <x v="6"/>
    <x v="141"/>
    <x v="351"/>
  </r>
  <r>
    <n v="1099783"/>
    <x v="345"/>
    <x v="6"/>
    <x v="151"/>
    <x v="77"/>
  </r>
  <r>
    <n v="1099783"/>
    <x v="345"/>
    <x v="6"/>
    <x v="249"/>
    <x v="348"/>
  </r>
  <r>
    <n v="1099783"/>
    <x v="345"/>
    <x v="6"/>
    <x v="208"/>
    <x v="178"/>
  </r>
  <r>
    <n v="1099783"/>
    <x v="345"/>
    <x v="6"/>
    <x v="130"/>
    <x v="348"/>
  </r>
  <r>
    <n v="1099783"/>
    <x v="345"/>
    <x v="6"/>
    <x v="226"/>
    <x v="82"/>
  </r>
  <r>
    <n v="1099783"/>
    <x v="345"/>
    <x v="6"/>
    <x v="236"/>
    <x v="83"/>
  </r>
  <r>
    <n v="1099783"/>
    <x v="345"/>
    <x v="6"/>
    <x v="243"/>
    <x v="351"/>
  </r>
  <r>
    <n v="1099783"/>
    <x v="345"/>
    <x v="6"/>
    <x v="315"/>
    <x v="144"/>
  </r>
  <r>
    <n v="1099783"/>
    <x v="345"/>
    <x v="6"/>
    <x v="168"/>
    <x v="535"/>
  </r>
  <r>
    <n v="1099783"/>
    <x v="345"/>
    <x v="6"/>
    <x v="175"/>
    <x v="516"/>
  </r>
  <r>
    <n v="1099783"/>
    <x v="345"/>
    <x v="6"/>
    <x v="177"/>
    <x v="198"/>
  </r>
  <r>
    <n v="1099783"/>
    <x v="345"/>
    <x v="6"/>
    <x v="38"/>
    <x v="198"/>
  </r>
  <r>
    <n v="1099783"/>
    <x v="345"/>
    <x v="6"/>
    <x v="34"/>
    <x v="105"/>
  </r>
  <r>
    <n v="1099783"/>
    <x v="345"/>
    <x v="6"/>
    <x v="81"/>
    <x v="229"/>
  </r>
  <r>
    <n v="1099783"/>
    <x v="345"/>
    <x v="6"/>
    <x v="83"/>
    <x v="348"/>
  </r>
  <r>
    <n v="1099783"/>
    <x v="345"/>
    <x v="6"/>
    <x v="71"/>
    <x v="97"/>
  </r>
  <r>
    <n v="1099783"/>
    <x v="345"/>
    <x v="6"/>
    <x v="69"/>
    <x v="538"/>
  </r>
  <r>
    <n v="1099783"/>
    <x v="345"/>
    <x v="6"/>
    <x v="61"/>
    <x v="172"/>
  </r>
  <r>
    <n v="1099783"/>
    <x v="345"/>
    <x v="6"/>
    <x v="385"/>
    <x v="5"/>
  </r>
  <r>
    <n v="1099783"/>
    <x v="345"/>
    <x v="6"/>
    <x v="9"/>
    <x v="348"/>
  </r>
  <r>
    <n v="1099783"/>
    <x v="345"/>
    <x v="6"/>
    <x v="8"/>
    <x v="351"/>
  </r>
  <r>
    <n v="1099783"/>
    <x v="345"/>
    <x v="6"/>
    <x v="349"/>
    <x v="535"/>
  </r>
  <r>
    <n v="1099783"/>
    <x v="345"/>
    <x v="6"/>
    <x v="337"/>
    <x v="348"/>
  </r>
  <r>
    <n v="1099783"/>
    <x v="345"/>
    <x v="6"/>
    <x v="125"/>
    <x v="535"/>
  </r>
  <r>
    <n v="1099783"/>
    <x v="345"/>
    <x v="6"/>
    <x v="136"/>
    <x v="516"/>
  </r>
  <r>
    <n v="1099783"/>
    <x v="345"/>
    <x v="6"/>
    <x v="148"/>
    <x v="535"/>
  </r>
  <r>
    <n v="1099783"/>
    <x v="345"/>
    <x v="6"/>
    <x v="259"/>
    <x v="178"/>
  </r>
  <r>
    <n v="1099783"/>
    <x v="345"/>
    <x v="6"/>
    <x v="64"/>
    <x v="549"/>
  </r>
  <r>
    <n v="1099783"/>
    <x v="345"/>
    <x v="6"/>
    <x v="59"/>
    <x v="62"/>
  </r>
  <r>
    <n v="1099783"/>
    <x v="345"/>
    <x v="6"/>
    <x v="74"/>
    <x v="154"/>
  </r>
  <r>
    <n v="1099783"/>
    <x v="345"/>
    <x v="6"/>
    <x v="80"/>
    <x v="550"/>
  </r>
  <r>
    <n v="1099783"/>
    <x v="345"/>
    <x v="6"/>
    <x v="32"/>
    <x v="62"/>
  </r>
  <r>
    <n v="1099783"/>
    <x v="345"/>
    <x v="6"/>
    <x v="37"/>
    <x v="149"/>
  </r>
  <r>
    <n v="1099783"/>
    <x v="345"/>
    <x v="6"/>
    <x v="418"/>
    <x v="552"/>
  </r>
  <r>
    <n v="1099783"/>
    <x v="345"/>
    <x v="6"/>
    <x v="66"/>
    <x v="98"/>
  </r>
  <r>
    <n v="1099783"/>
    <x v="345"/>
    <x v="6"/>
    <x v="79"/>
    <x v="69"/>
  </r>
  <r>
    <n v="1099783"/>
    <x v="345"/>
    <x v="6"/>
    <x v="419"/>
    <x v="84"/>
  </r>
  <r>
    <n v="1099783"/>
    <x v="345"/>
    <x v="6"/>
    <x v="383"/>
    <x v="220"/>
  </r>
  <r>
    <n v="1099783"/>
    <x v="345"/>
    <x v="6"/>
    <x v="158"/>
    <x v="472"/>
  </r>
  <r>
    <n v="1099783"/>
    <x v="345"/>
    <x v="6"/>
    <x v="344"/>
    <x v="346"/>
  </r>
  <r>
    <n v="1099783"/>
    <x v="345"/>
    <x v="6"/>
    <x v="347"/>
    <x v="348"/>
  </r>
  <r>
    <n v="1099783"/>
    <x v="345"/>
    <x v="6"/>
    <x v="335"/>
    <x v="348"/>
  </r>
  <r>
    <n v="1099783"/>
    <x v="345"/>
    <x v="6"/>
    <x v="163"/>
    <x v="516"/>
  </r>
  <r>
    <n v="1099783"/>
    <x v="345"/>
    <x v="6"/>
    <x v="134"/>
    <x v="178"/>
  </r>
  <r>
    <n v="1099783"/>
    <x v="345"/>
    <x v="6"/>
    <x v="146"/>
    <x v="535"/>
  </r>
  <r>
    <n v="1099783"/>
    <x v="345"/>
    <x v="6"/>
    <x v="257"/>
    <x v="198"/>
  </r>
  <r>
    <n v="1099783"/>
    <x v="345"/>
    <x v="6"/>
    <x v="205"/>
    <x v="516"/>
  </r>
  <r>
    <n v="1099783"/>
    <x v="345"/>
    <x v="6"/>
    <x v="214"/>
    <x v="516"/>
  </r>
  <r>
    <n v="1099783"/>
    <x v="345"/>
    <x v="6"/>
    <x v="225"/>
    <x v="4"/>
  </r>
  <r>
    <n v="1099783"/>
    <x v="345"/>
    <x v="6"/>
    <x v="233"/>
    <x v="154"/>
  </r>
  <r>
    <n v="1099783"/>
    <x v="345"/>
    <x v="6"/>
    <x v="241"/>
    <x v="178"/>
  </r>
  <r>
    <n v="1099783"/>
    <x v="345"/>
    <x v="6"/>
    <x v="217"/>
    <x v="170"/>
  </r>
  <r>
    <n v="1099783"/>
    <x v="345"/>
    <x v="6"/>
    <x v="195"/>
    <x v="535"/>
  </r>
  <r>
    <n v="1099783"/>
    <x v="345"/>
    <x v="6"/>
    <x v="192"/>
    <x v="535"/>
  </r>
  <r>
    <n v="1099783"/>
    <x v="345"/>
    <x v="6"/>
    <x v="190"/>
    <x v="346"/>
  </r>
  <r>
    <n v="1099783"/>
    <x v="345"/>
    <x v="6"/>
    <x v="28"/>
    <x v="226"/>
  </r>
  <r>
    <n v="1099783"/>
    <x v="345"/>
    <x v="6"/>
    <x v="29"/>
    <x v="197"/>
  </r>
  <r>
    <n v="1099783"/>
    <x v="345"/>
    <x v="6"/>
    <x v="31"/>
    <x v="162"/>
  </r>
  <r>
    <n v="1099783"/>
    <x v="345"/>
    <x v="6"/>
    <x v="82"/>
    <x v="346"/>
  </r>
  <r>
    <n v="1099783"/>
    <x v="345"/>
    <x v="6"/>
    <x v="68"/>
    <x v="98"/>
  </r>
  <r>
    <n v="1099783"/>
    <x v="345"/>
    <x v="6"/>
    <x v="56"/>
    <x v="69"/>
  </r>
  <r>
    <n v="1099783"/>
    <x v="345"/>
    <x v="6"/>
    <x v="420"/>
    <x v="547"/>
  </r>
  <r>
    <n v="1099783"/>
    <x v="345"/>
    <x v="6"/>
    <x v="194"/>
    <x v="516"/>
  </r>
  <r>
    <n v="1099783"/>
    <x v="345"/>
    <x v="6"/>
    <x v="330"/>
    <x v="553"/>
  </r>
  <r>
    <n v="1099783"/>
    <x v="345"/>
    <x v="6"/>
    <x v="12"/>
    <x v="3"/>
  </r>
  <r>
    <n v="1099783"/>
    <x v="345"/>
    <x v="6"/>
    <x v="345"/>
    <x v="346"/>
  </r>
  <r>
    <n v="1099783"/>
    <x v="345"/>
    <x v="6"/>
    <x v="351"/>
    <x v="351"/>
  </r>
  <r>
    <n v="1099783"/>
    <x v="345"/>
    <x v="6"/>
    <x v="162"/>
    <x v="535"/>
  </r>
  <r>
    <n v="1099783"/>
    <x v="345"/>
    <x v="6"/>
    <x v="132"/>
    <x v="178"/>
  </r>
  <r>
    <n v="1099783"/>
    <x v="345"/>
    <x v="6"/>
    <x v="144"/>
    <x v="348"/>
  </r>
  <r>
    <n v="1099783"/>
    <x v="345"/>
    <x v="6"/>
    <x v="255"/>
    <x v="154"/>
  </r>
  <r>
    <n v="1099783"/>
    <x v="345"/>
    <x v="6"/>
    <x v="264"/>
    <x v="351"/>
  </r>
  <r>
    <n v="1099783"/>
    <x v="345"/>
    <x v="6"/>
    <x v="210"/>
    <x v="348"/>
  </r>
  <r>
    <n v="1099783"/>
    <x v="345"/>
    <x v="6"/>
    <x v="340"/>
    <x v="78"/>
  </r>
  <r>
    <n v="1099783"/>
    <x v="345"/>
    <x v="6"/>
    <x v="229"/>
    <x v="219"/>
  </r>
  <r>
    <n v="1099783"/>
    <x v="345"/>
    <x v="6"/>
    <x v="155"/>
    <x v="331"/>
  </r>
  <r>
    <n v="1099783"/>
    <x v="345"/>
    <x v="6"/>
    <x v="341"/>
    <x v="346"/>
  </r>
  <r>
    <n v="1099783"/>
    <x v="345"/>
    <x v="6"/>
    <x v="317"/>
    <x v="346"/>
  </r>
  <r>
    <n v="1099783"/>
    <x v="345"/>
    <x v="6"/>
    <x v="186"/>
    <x v="535"/>
  </r>
  <r>
    <n v="1099783"/>
    <x v="345"/>
    <x v="6"/>
    <x v="188"/>
    <x v="88"/>
  </r>
  <r>
    <n v="1099783"/>
    <x v="345"/>
    <x v="6"/>
    <x v="164"/>
    <x v="105"/>
  </r>
  <r>
    <n v="1099783"/>
    <x v="345"/>
    <x v="6"/>
    <x v="26"/>
    <x v="351"/>
  </r>
  <r>
    <n v="1099783"/>
    <x v="345"/>
    <x v="6"/>
    <x v="42"/>
    <x v="182"/>
  </r>
  <r>
    <n v="1099783"/>
    <x v="345"/>
    <x v="6"/>
    <x v="388"/>
    <x v="37"/>
  </r>
  <r>
    <n v="1099783"/>
    <x v="345"/>
    <x v="6"/>
    <x v="203"/>
    <x v="543"/>
  </r>
  <r>
    <n v="1099783"/>
    <x v="345"/>
    <x v="6"/>
    <x v="70"/>
    <x v="198"/>
  </r>
  <r>
    <n v="1099783"/>
    <x v="345"/>
    <x v="6"/>
    <x v="73"/>
    <x v="351"/>
  </r>
  <r>
    <n v="1099783"/>
    <x v="345"/>
    <x v="6"/>
    <x v="424"/>
    <x v="170"/>
  </r>
  <r>
    <n v="1099783"/>
    <x v="345"/>
    <x v="6"/>
    <x v="395"/>
    <x v="539"/>
  </r>
  <r>
    <n v="1099783"/>
    <x v="345"/>
    <x v="6"/>
    <x v="254"/>
    <x v="178"/>
  </r>
  <r>
    <n v="1099783"/>
    <x v="345"/>
    <x v="6"/>
    <x v="350"/>
    <x v="535"/>
  </r>
  <r>
    <n v="1099783"/>
    <x v="345"/>
    <x v="6"/>
    <x v="207"/>
    <x v="88"/>
  </r>
  <r>
    <n v="1099783"/>
    <x v="345"/>
    <x v="6"/>
    <x v="216"/>
    <x v="198"/>
  </r>
  <r>
    <n v="1099783"/>
    <x v="345"/>
    <x v="6"/>
    <x v="426"/>
    <x v="170"/>
  </r>
  <r>
    <n v="1099783"/>
    <x v="345"/>
    <x v="6"/>
    <x v="235"/>
    <x v="83"/>
  </r>
  <r>
    <n v="1099783"/>
    <x v="345"/>
    <x v="6"/>
    <x v="242"/>
    <x v="346"/>
  </r>
  <r>
    <n v="1099783"/>
    <x v="345"/>
    <x v="6"/>
    <x v="219"/>
    <x v="77"/>
  </r>
  <r>
    <n v="1099783"/>
    <x v="345"/>
    <x v="6"/>
    <x v="185"/>
    <x v="3"/>
  </r>
  <r>
    <n v="1099783"/>
    <x v="345"/>
    <x v="6"/>
    <x v="170"/>
    <x v="178"/>
  </r>
  <r>
    <n v="1099783"/>
    <x v="345"/>
    <x v="6"/>
    <x v="172"/>
    <x v="154"/>
  </r>
  <r>
    <n v="1099783"/>
    <x v="345"/>
    <x v="6"/>
    <x v="1"/>
    <x v="540"/>
  </r>
  <r>
    <n v="1099783"/>
    <x v="345"/>
    <x v="6"/>
    <x v="27"/>
    <x v="64"/>
  </r>
  <r>
    <n v="1099783"/>
    <x v="345"/>
    <x v="6"/>
    <x v="78"/>
    <x v="541"/>
  </r>
  <r>
    <n v="1099783"/>
    <x v="345"/>
    <x v="6"/>
    <x v="75"/>
    <x v="176"/>
  </r>
  <r>
    <n v="1099783"/>
    <x v="345"/>
    <x v="6"/>
    <x v="199"/>
    <x v="542"/>
  </r>
  <r>
    <n v="1099783"/>
    <x v="345"/>
    <x v="6"/>
    <x v="387"/>
    <x v="233"/>
  </r>
  <r>
    <n v="1099783"/>
    <x v="345"/>
    <x v="6"/>
    <x v="11"/>
    <x v="348"/>
  </r>
  <r>
    <n v="1099783"/>
    <x v="345"/>
    <x v="6"/>
    <x v="346"/>
    <x v="516"/>
  </r>
  <r>
    <n v="1099783"/>
    <x v="345"/>
    <x v="6"/>
    <x v="352"/>
    <x v="516"/>
  </r>
  <r>
    <n v="1099783"/>
    <x v="345"/>
    <x v="6"/>
    <x v="154"/>
    <x v="351"/>
  </r>
  <r>
    <n v="1099783"/>
    <x v="345"/>
    <x v="6"/>
    <x v="57"/>
    <x v="36"/>
  </r>
  <r>
    <n v="1099783"/>
    <x v="345"/>
    <x v="6"/>
    <x v="384"/>
    <x v="551"/>
  </r>
  <r>
    <n v="1099783"/>
    <x v="345"/>
    <x v="6"/>
    <x v="342"/>
    <x v="348"/>
  </r>
  <r>
    <n v="1099783"/>
    <x v="345"/>
    <x v="6"/>
    <x v="7"/>
    <x v="351"/>
  </r>
  <r>
    <n v="1099783"/>
    <x v="345"/>
    <x v="6"/>
    <x v="331"/>
    <x v="178"/>
  </r>
  <r>
    <n v="1099783"/>
    <x v="345"/>
    <x v="6"/>
    <x v="338"/>
    <x v="346"/>
  </r>
  <r>
    <n v="1099783"/>
    <x v="345"/>
    <x v="6"/>
    <x v="126"/>
    <x v="516"/>
  </r>
  <r>
    <n v="1099783"/>
    <x v="345"/>
    <x v="6"/>
    <x v="137"/>
    <x v="535"/>
  </r>
  <r>
    <n v="1099783"/>
    <x v="345"/>
    <x v="6"/>
    <x v="149"/>
    <x v="516"/>
  </r>
  <r>
    <n v="1099783"/>
    <x v="345"/>
    <x v="6"/>
    <x v="260"/>
    <x v="83"/>
  </r>
  <r>
    <n v="1099783"/>
    <x v="345"/>
    <x v="6"/>
    <x v="206"/>
    <x v="535"/>
  </r>
  <r>
    <n v="1099783"/>
    <x v="345"/>
    <x v="6"/>
    <x v="215"/>
    <x v="516"/>
  </r>
  <r>
    <n v="1099783"/>
    <x v="345"/>
    <x v="6"/>
    <x v="251"/>
    <x v="535"/>
  </r>
  <r>
    <n v="1099783"/>
    <x v="345"/>
    <x v="6"/>
    <x v="234"/>
    <x v="4"/>
  </r>
  <r>
    <n v="1099783"/>
    <x v="345"/>
    <x v="6"/>
    <x v="313"/>
    <x v="98"/>
  </r>
  <r>
    <n v="1099783"/>
    <x v="345"/>
    <x v="6"/>
    <x v="218"/>
    <x v="346"/>
  </r>
  <r>
    <n v="1099783"/>
    <x v="345"/>
    <x v="6"/>
    <x v="173"/>
    <x v="516"/>
  </r>
  <r>
    <n v="1099783"/>
    <x v="345"/>
    <x v="6"/>
    <x v="187"/>
    <x v="98"/>
  </r>
  <r>
    <n v="1099783"/>
    <x v="345"/>
    <x v="6"/>
    <x v="184"/>
    <x v="516"/>
  </r>
  <r>
    <n v="1099783"/>
    <x v="345"/>
    <x v="6"/>
    <x v="0"/>
    <x v="529"/>
  </r>
  <r>
    <n v="1099783"/>
    <x v="345"/>
    <x v="6"/>
    <x v="36"/>
    <x v="34"/>
  </r>
  <r>
    <n v="1099783"/>
    <x v="345"/>
    <x v="6"/>
    <x v="77"/>
    <x v="536"/>
  </r>
  <r>
    <n v="1099783"/>
    <x v="345"/>
    <x v="6"/>
    <x v="60"/>
    <x v="82"/>
  </r>
  <r>
    <n v="1099783"/>
    <x v="345"/>
    <x v="6"/>
    <x v="201"/>
    <x v="88"/>
  </r>
  <r>
    <n v="1099783"/>
    <x v="345"/>
    <x v="6"/>
    <x v="389"/>
    <x v="537"/>
  </r>
  <r>
    <n v="1099783"/>
    <x v="345"/>
    <x v="6"/>
    <x v="421"/>
    <x v="58"/>
  </r>
  <r>
    <n v="1099783"/>
    <x v="345"/>
    <x v="6"/>
    <x v="15"/>
    <x v="154"/>
  </r>
  <r>
    <n v="1099783"/>
    <x v="345"/>
    <x v="6"/>
    <x v="253"/>
    <x v="170"/>
  </r>
  <r>
    <n v="1099783"/>
    <x v="345"/>
    <x v="6"/>
    <x v="334"/>
    <x v="198"/>
  </r>
  <r>
    <n v="1099783"/>
    <x v="345"/>
    <x v="6"/>
    <x v="160"/>
    <x v="351"/>
  </r>
  <r>
    <n v="1099783"/>
    <x v="345"/>
    <x v="6"/>
    <x v="129"/>
    <x v="535"/>
  </r>
  <r>
    <n v="1099783"/>
    <x v="345"/>
    <x v="6"/>
    <x v="142"/>
    <x v="83"/>
  </r>
  <r>
    <n v="1099783"/>
    <x v="345"/>
    <x v="6"/>
    <x v="152"/>
    <x v="535"/>
  </r>
  <r>
    <n v="1099783"/>
    <x v="345"/>
    <x v="6"/>
    <x v="262"/>
    <x v="351"/>
  </r>
  <r>
    <n v="1099783"/>
    <x v="345"/>
    <x v="6"/>
    <x v="250"/>
    <x v="535"/>
  </r>
  <r>
    <n v="1099783"/>
    <x v="345"/>
    <x v="6"/>
    <x v="139"/>
    <x v="178"/>
  </r>
  <r>
    <n v="1099783"/>
    <x v="345"/>
    <x v="6"/>
    <x v="227"/>
    <x v="4"/>
  </r>
  <r>
    <n v="1099783"/>
    <x v="345"/>
    <x v="6"/>
    <x v="237"/>
    <x v="548"/>
  </r>
  <r>
    <n v="1099783"/>
    <x v="345"/>
    <x v="6"/>
    <x v="244"/>
    <x v="154"/>
  </r>
  <r>
    <n v="1099783"/>
    <x v="345"/>
    <x v="6"/>
    <x v="314"/>
    <x v="516"/>
  </r>
  <r>
    <n v="1099783"/>
    <x v="345"/>
    <x v="6"/>
    <x v="179"/>
    <x v="516"/>
  </r>
  <r>
    <n v="1099783"/>
    <x v="345"/>
    <x v="6"/>
    <x v="181"/>
    <x v="161"/>
  </r>
  <r>
    <n v="1099783"/>
    <x v="345"/>
    <x v="6"/>
    <x v="183"/>
    <x v="535"/>
  </r>
  <r>
    <n v="1099783"/>
    <x v="345"/>
    <x v="6"/>
    <x v="24"/>
    <x v="88"/>
  </r>
  <r>
    <n v="1099783"/>
    <x v="345"/>
    <x v="6"/>
    <x v="39"/>
    <x v="105"/>
  </r>
  <r>
    <n v="1099783"/>
    <x v="345"/>
    <x v="6"/>
    <x v="133"/>
    <x v="348"/>
  </r>
  <r>
    <n v="1099783"/>
    <x v="345"/>
    <x v="6"/>
    <x v="145"/>
    <x v="351"/>
  </r>
  <r>
    <n v="1099783"/>
    <x v="345"/>
    <x v="6"/>
    <x v="256"/>
    <x v="79"/>
  </r>
  <r>
    <n v="1099783"/>
    <x v="345"/>
    <x v="6"/>
    <x v="316"/>
    <x v="347"/>
  </r>
  <r>
    <n v="1099783"/>
    <x v="345"/>
    <x v="6"/>
    <x v="211"/>
    <x v="351"/>
  </r>
  <r>
    <n v="1099783"/>
    <x v="345"/>
    <x v="6"/>
    <x v="222"/>
    <x v="77"/>
  </r>
  <r>
    <n v="1099783"/>
    <x v="345"/>
    <x v="6"/>
    <x v="230"/>
    <x v="77"/>
  </r>
  <r>
    <n v="1099783"/>
    <x v="345"/>
    <x v="6"/>
    <x v="156"/>
    <x v="545"/>
  </r>
  <r>
    <n v="1099783"/>
    <x v="345"/>
    <x v="6"/>
    <x v="246"/>
    <x v="198"/>
  </r>
  <r>
    <n v="1099783"/>
    <x v="345"/>
    <x v="6"/>
    <x v="220"/>
    <x v="178"/>
  </r>
  <r>
    <n v="1099783"/>
    <x v="345"/>
    <x v="6"/>
    <x v="169"/>
    <x v="351"/>
  </r>
  <r>
    <n v="1099783"/>
    <x v="345"/>
    <x v="6"/>
    <x v="171"/>
    <x v="351"/>
  </r>
  <r>
    <n v="1099783"/>
    <x v="345"/>
    <x v="6"/>
    <x v="165"/>
    <x v="546"/>
  </r>
  <r>
    <n v="1099783"/>
    <x v="345"/>
    <x v="6"/>
    <x v="43"/>
    <x v="351"/>
  </r>
  <r>
    <n v="1099783"/>
    <x v="345"/>
    <x v="6"/>
    <x v="30"/>
    <x v="203"/>
  </r>
  <r>
    <n v="1099783"/>
    <x v="345"/>
    <x v="6"/>
    <x v="202"/>
    <x v="238"/>
  </r>
  <r>
    <n v="1099783"/>
    <x v="345"/>
    <x v="6"/>
    <x v="63"/>
    <x v="178"/>
  </r>
  <r>
    <n v="1099783"/>
    <x v="345"/>
    <x v="6"/>
    <x v="55"/>
    <x v="178"/>
  </r>
  <r>
    <n v="1099783"/>
    <x v="345"/>
    <x v="6"/>
    <x v="425"/>
    <x v="170"/>
  </r>
  <r>
    <n v="1099783"/>
    <x v="345"/>
    <x v="6"/>
    <x v="265"/>
    <x v="535"/>
  </r>
  <r>
    <n v="1099783"/>
    <x v="345"/>
    <x v="6"/>
    <x v="212"/>
    <x v="4"/>
  </r>
  <r>
    <n v="1099783"/>
    <x v="345"/>
    <x v="6"/>
    <x v="223"/>
    <x v="3"/>
  </r>
  <r>
    <n v="1099783"/>
    <x v="345"/>
    <x v="6"/>
    <x v="231"/>
    <x v="88"/>
  </r>
  <r>
    <n v="1099783"/>
    <x v="345"/>
    <x v="6"/>
    <x v="239"/>
    <x v="198"/>
  </r>
  <r>
    <n v="1099783"/>
    <x v="345"/>
    <x v="6"/>
    <x v="247"/>
    <x v="198"/>
  </r>
  <r>
    <n v="1099783"/>
    <x v="345"/>
    <x v="6"/>
    <x v="221"/>
    <x v="198"/>
  </r>
  <r>
    <n v="1099783"/>
    <x v="345"/>
    <x v="6"/>
    <x v="174"/>
    <x v="88"/>
  </r>
  <r>
    <n v="1099783"/>
    <x v="345"/>
    <x v="6"/>
    <x v="176"/>
    <x v="83"/>
  </r>
  <r>
    <n v="1099783"/>
    <x v="345"/>
    <x v="6"/>
    <x v="166"/>
    <x v="534"/>
  </r>
  <r>
    <n v="1099783"/>
    <x v="345"/>
    <x v="6"/>
    <x v="35"/>
    <x v="178"/>
  </r>
  <r>
    <n v="1099783"/>
    <x v="345"/>
    <x v="6"/>
    <x v="41"/>
    <x v="203"/>
  </r>
  <r>
    <n v="1099783"/>
    <x v="345"/>
    <x v="6"/>
    <x v="65"/>
    <x v="351"/>
  </r>
  <r>
    <n v="1099783"/>
    <x v="345"/>
    <x v="6"/>
    <x v="58"/>
    <x v="82"/>
  </r>
  <r>
    <n v="1099783"/>
    <x v="345"/>
    <x v="6"/>
    <x v="3"/>
    <x v="24"/>
  </r>
  <r>
    <n v="1099783"/>
    <x v="345"/>
    <x v="6"/>
    <x v="4"/>
    <x v="3"/>
  </r>
  <r>
    <n v="1099783"/>
    <x v="345"/>
    <x v="6"/>
    <x v="386"/>
    <x v="85"/>
  </r>
  <r>
    <n v="1099783"/>
    <x v="345"/>
    <x v="6"/>
    <x v="5"/>
    <x v="3"/>
  </r>
  <r>
    <n v="1099783"/>
    <x v="345"/>
    <x v="6"/>
    <x v="10"/>
    <x v="83"/>
  </r>
  <r>
    <n v="1099783"/>
    <x v="345"/>
    <x v="6"/>
    <x v="348"/>
    <x v="178"/>
  </r>
  <r>
    <n v="1099783"/>
    <x v="345"/>
    <x v="6"/>
    <x v="336"/>
    <x v="178"/>
  </r>
  <r>
    <n v="1099783"/>
    <x v="345"/>
    <x v="6"/>
    <x v="124"/>
    <x v="351"/>
  </r>
  <r>
    <n v="1099783"/>
    <x v="345"/>
    <x v="6"/>
    <x v="135"/>
    <x v="535"/>
  </r>
  <r>
    <n v="1099783"/>
    <x v="345"/>
    <x v="6"/>
    <x v="147"/>
    <x v="535"/>
  </r>
  <r>
    <n v="1099783"/>
    <x v="345"/>
    <x v="6"/>
    <x v="258"/>
    <x v="516"/>
  </r>
  <r>
    <n v="1099783"/>
    <x v="345"/>
    <x v="6"/>
    <x v="204"/>
    <x v="535"/>
  </r>
  <r>
    <n v="1099783"/>
    <x v="345"/>
    <x v="6"/>
    <x v="213"/>
    <x v="83"/>
  </r>
  <r>
    <n v="1099783"/>
    <x v="345"/>
    <x v="6"/>
    <x v="224"/>
    <x v="144"/>
  </r>
  <r>
    <n v="1099783"/>
    <x v="345"/>
    <x v="6"/>
    <x v="232"/>
    <x v="161"/>
  </r>
  <r>
    <n v="1099783"/>
    <x v="345"/>
    <x v="6"/>
    <x v="240"/>
    <x v="535"/>
  </r>
  <r>
    <n v="1099783"/>
    <x v="345"/>
    <x v="6"/>
    <x v="248"/>
    <x v="516"/>
  </r>
  <r>
    <n v="1099783"/>
    <x v="345"/>
    <x v="6"/>
    <x v="178"/>
    <x v="516"/>
  </r>
  <r>
    <n v="1099783"/>
    <x v="345"/>
    <x v="6"/>
    <x v="180"/>
    <x v="88"/>
  </r>
  <r>
    <n v="1099783"/>
    <x v="345"/>
    <x v="6"/>
    <x v="182"/>
    <x v="516"/>
  </r>
  <r>
    <n v="1099783"/>
    <x v="345"/>
    <x v="6"/>
    <x v="33"/>
    <x v="90"/>
  </r>
  <r>
    <n v="1099783"/>
    <x v="345"/>
    <x v="6"/>
    <x v="394"/>
    <x v="54"/>
  </r>
  <r>
    <n v="1099783"/>
    <x v="345"/>
    <x v="6"/>
    <x v="343"/>
    <x v="348"/>
  </r>
  <r>
    <n v="1099783"/>
    <x v="345"/>
    <x v="6"/>
    <x v="6"/>
    <x v="516"/>
  </r>
  <r>
    <n v="1099783"/>
    <x v="345"/>
    <x v="6"/>
    <x v="332"/>
    <x v="346"/>
  </r>
  <r>
    <n v="1099783"/>
    <x v="345"/>
    <x v="6"/>
    <x v="339"/>
    <x v="348"/>
  </r>
  <r>
    <n v="1099783"/>
    <x v="345"/>
    <x v="6"/>
    <x v="127"/>
    <x v="535"/>
  </r>
  <r>
    <n v="1099783"/>
    <x v="345"/>
    <x v="6"/>
    <x v="138"/>
    <x v="351"/>
  </r>
  <r>
    <n v="1099783"/>
    <x v="345"/>
    <x v="6"/>
    <x v="150"/>
    <x v="77"/>
  </r>
  <r>
    <n v="1099783"/>
    <x v="345"/>
    <x v="6"/>
    <x v="157"/>
    <x v="544"/>
  </r>
  <r>
    <n v="1099783"/>
    <x v="345"/>
    <x v="6"/>
    <x v="261"/>
    <x v="348"/>
  </r>
  <r>
    <n v="1099783"/>
    <x v="1"/>
    <x v="1"/>
    <x v="2"/>
    <x v="2"/>
  </r>
  <r>
    <n v="1099786"/>
    <x v="346"/>
    <x v="13"/>
    <x v="446"/>
    <x v="2"/>
  </r>
  <r>
    <n v="1099786"/>
    <x v="1"/>
    <x v="1"/>
    <x v="2"/>
    <x v="2"/>
  </r>
  <r>
    <n v="1099788"/>
    <x v="347"/>
    <x v="5"/>
    <x v="299"/>
    <x v="2"/>
  </r>
  <r>
    <n v="1099788"/>
    <x v="1"/>
    <x v="1"/>
    <x v="2"/>
    <x v="2"/>
  </r>
  <r>
    <n v="1099790"/>
    <x v="348"/>
    <x v="6"/>
    <x v="92"/>
    <x v="617"/>
  </r>
  <r>
    <n v="1099790"/>
    <x v="348"/>
    <x v="6"/>
    <x v="114"/>
    <x v="351"/>
  </r>
  <r>
    <n v="1099790"/>
    <x v="348"/>
    <x v="6"/>
    <x v="329"/>
    <x v="51"/>
  </r>
  <r>
    <n v="1099790"/>
    <x v="348"/>
    <x v="6"/>
    <x v="85"/>
    <x v="407"/>
  </r>
  <r>
    <n v="1099790"/>
    <x v="348"/>
    <x v="6"/>
    <x v="382"/>
    <x v="38"/>
  </r>
  <r>
    <n v="1099790"/>
    <x v="348"/>
    <x v="6"/>
    <x v="429"/>
    <x v="42"/>
  </r>
  <r>
    <n v="1099790"/>
    <x v="348"/>
    <x v="6"/>
    <x v="293"/>
    <x v="747"/>
  </r>
  <r>
    <n v="1099790"/>
    <x v="348"/>
    <x v="6"/>
    <x v="392"/>
    <x v="51"/>
  </r>
  <r>
    <n v="1099790"/>
    <x v="348"/>
    <x v="6"/>
    <x v="320"/>
    <x v="78"/>
  </r>
  <r>
    <n v="1099790"/>
    <x v="348"/>
    <x v="6"/>
    <x v="87"/>
    <x v="210"/>
  </r>
  <r>
    <n v="1099790"/>
    <x v="348"/>
    <x v="6"/>
    <x v="21"/>
    <x v="351"/>
  </r>
  <r>
    <n v="1099790"/>
    <x v="348"/>
    <x v="6"/>
    <x v="49"/>
    <x v="4"/>
  </r>
  <r>
    <n v="1099790"/>
    <x v="348"/>
    <x v="6"/>
    <x v="50"/>
    <x v="4"/>
  </r>
  <r>
    <n v="1099790"/>
    <x v="348"/>
    <x v="6"/>
    <x v="98"/>
    <x v="82"/>
  </r>
  <r>
    <n v="1099790"/>
    <x v="348"/>
    <x v="6"/>
    <x v="406"/>
    <x v="178"/>
  </r>
  <r>
    <n v="1099790"/>
    <x v="348"/>
    <x v="6"/>
    <x v="97"/>
    <x v="210"/>
  </r>
  <r>
    <n v="1099790"/>
    <x v="348"/>
    <x v="6"/>
    <x v="443"/>
    <x v="64"/>
  </r>
  <r>
    <n v="1099790"/>
    <x v="348"/>
    <x v="6"/>
    <x v="365"/>
    <x v="535"/>
  </r>
  <r>
    <n v="1099790"/>
    <x v="348"/>
    <x v="6"/>
    <x v="372"/>
    <x v="176"/>
  </r>
  <r>
    <n v="1099790"/>
    <x v="348"/>
    <x v="6"/>
    <x v="112"/>
    <x v="4"/>
  </r>
  <r>
    <n v="1099790"/>
    <x v="348"/>
    <x v="6"/>
    <x v="273"/>
    <x v="144"/>
  </r>
  <r>
    <n v="1099790"/>
    <x v="348"/>
    <x v="6"/>
    <x v="286"/>
    <x v="185"/>
  </r>
  <r>
    <n v="1099790"/>
    <x v="348"/>
    <x v="6"/>
    <x v="269"/>
    <x v="211"/>
  </r>
  <r>
    <n v="1099790"/>
    <x v="348"/>
    <x v="6"/>
    <x v="380"/>
    <x v="98"/>
  </r>
  <r>
    <n v="1099790"/>
    <x v="348"/>
    <x v="6"/>
    <x v="434"/>
    <x v="78"/>
  </r>
  <r>
    <n v="1099790"/>
    <x v="348"/>
    <x v="6"/>
    <x v="432"/>
    <x v="149"/>
  </r>
  <r>
    <n v="1099790"/>
    <x v="348"/>
    <x v="6"/>
    <x v="104"/>
    <x v="144"/>
  </r>
  <r>
    <n v="1099790"/>
    <x v="348"/>
    <x v="6"/>
    <x v="324"/>
    <x v="176"/>
  </r>
  <r>
    <n v="1099790"/>
    <x v="348"/>
    <x v="6"/>
    <x v="326"/>
    <x v="170"/>
  </r>
  <r>
    <n v="1099790"/>
    <x v="348"/>
    <x v="6"/>
    <x v="275"/>
    <x v="745"/>
  </r>
  <r>
    <n v="1099790"/>
    <x v="348"/>
    <x v="6"/>
    <x v="397"/>
    <x v="161"/>
  </r>
  <r>
    <n v="1099790"/>
    <x v="348"/>
    <x v="6"/>
    <x v="86"/>
    <x v="213"/>
  </r>
  <r>
    <n v="1099790"/>
    <x v="348"/>
    <x v="6"/>
    <x v="398"/>
    <x v="351"/>
  </r>
  <r>
    <n v="1099790"/>
    <x v="348"/>
    <x v="6"/>
    <x v="362"/>
    <x v="144"/>
  </r>
  <r>
    <n v="1099790"/>
    <x v="348"/>
    <x v="6"/>
    <x v="444"/>
    <x v="535"/>
  </r>
  <r>
    <n v="1099790"/>
    <x v="348"/>
    <x v="6"/>
    <x v="44"/>
    <x v="346"/>
  </r>
  <r>
    <n v="1099790"/>
    <x v="348"/>
    <x v="6"/>
    <x v="312"/>
    <x v="179"/>
  </r>
  <r>
    <n v="1099790"/>
    <x v="348"/>
    <x v="6"/>
    <x v="411"/>
    <x v="82"/>
  </r>
  <r>
    <n v="1099790"/>
    <x v="348"/>
    <x v="6"/>
    <x v="304"/>
    <x v="34"/>
  </r>
  <r>
    <n v="1099790"/>
    <x v="348"/>
    <x v="6"/>
    <x v="121"/>
    <x v="88"/>
  </r>
  <r>
    <n v="1099790"/>
    <x v="348"/>
    <x v="6"/>
    <x v="437"/>
    <x v="153"/>
  </r>
  <r>
    <n v="1099790"/>
    <x v="348"/>
    <x v="6"/>
    <x v="431"/>
    <x v="164"/>
  </r>
  <r>
    <n v="1099790"/>
    <x v="348"/>
    <x v="6"/>
    <x v="433"/>
    <x v="170"/>
  </r>
  <r>
    <n v="1099790"/>
    <x v="348"/>
    <x v="6"/>
    <x v="323"/>
    <x v="392"/>
  </r>
  <r>
    <n v="1099790"/>
    <x v="348"/>
    <x v="6"/>
    <x v="391"/>
    <x v="744"/>
  </r>
  <r>
    <n v="1099790"/>
    <x v="348"/>
    <x v="6"/>
    <x v="327"/>
    <x v="224"/>
  </r>
  <r>
    <n v="1099790"/>
    <x v="348"/>
    <x v="6"/>
    <x v="93"/>
    <x v="455"/>
  </r>
  <r>
    <n v="1099790"/>
    <x v="348"/>
    <x v="6"/>
    <x v="404"/>
    <x v="83"/>
  </r>
  <r>
    <n v="1099790"/>
    <x v="348"/>
    <x v="6"/>
    <x v="46"/>
    <x v="61"/>
  </r>
  <r>
    <n v="1099790"/>
    <x v="348"/>
    <x v="6"/>
    <x v="354"/>
    <x v="79"/>
  </r>
  <r>
    <n v="1099790"/>
    <x v="348"/>
    <x v="6"/>
    <x v="290"/>
    <x v="746"/>
  </r>
  <r>
    <n v="1099790"/>
    <x v="348"/>
    <x v="6"/>
    <x v="409"/>
    <x v="198"/>
  </r>
  <r>
    <n v="1099790"/>
    <x v="348"/>
    <x v="6"/>
    <x v="274"/>
    <x v="206"/>
  </r>
  <r>
    <n v="1099790"/>
    <x v="348"/>
    <x v="6"/>
    <x v="401"/>
    <x v="178"/>
  </r>
  <r>
    <n v="1099790"/>
    <x v="348"/>
    <x v="6"/>
    <x v="405"/>
    <x v="178"/>
  </r>
  <r>
    <n v="1099790"/>
    <x v="348"/>
    <x v="6"/>
    <x v="196"/>
    <x v="748"/>
  </r>
  <r>
    <n v="1099790"/>
    <x v="348"/>
    <x v="6"/>
    <x v="48"/>
    <x v="706"/>
  </r>
  <r>
    <n v="1099790"/>
    <x v="348"/>
    <x v="6"/>
    <x v="281"/>
    <x v="238"/>
  </r>
  <r>
    <n v="1099790"/>
    <x v="348"/>
    <x v="6"/>
    <x v="440"/>
    <x v="80"/>
  </r>
  <r>
    <n v="1099790"/>
    <x v="348"/>
    <x v="6"/>
    <x v="96"/>
    <x v="346"/>
  </r>
  <r>
    <n v="1099790"/>
    <x v="348"/>
    <x v="6"/>
    <x v="358"/>
    <x v="82"/>
  </r>
  <r>
    <n v="1099790"/>
    <x v="348"/>
    <x v="6"/>
    <x v="361"/>
    <x v="161"/>
  </r>
  <r>
    <n v="1099790"/>
    <x v="348"/>
    <x v="6"/>
    <x v="363"/>
    <x v="161"/>
  </r>
  <r>
    <n v="1099790"/>
    <x v="348"/>
    <x v="6"/>
    <x v="284"/>
    <x v="105"/>
  </r>
  <r>
    <n v="1099790"/>
    <x v="348"/>
    <x v="6"/>
    <x v="111"/>
    <x v="42"/>
  </r>
  <r>
    <n v="1099790"/>
    <x v="348"/>
    <x v="6"/>
    <x v="91"/>
    <x v="346"/>
  </r>
  <r>
    <n v="1099790"/>
    <x v="348"/>
    <x v="6"/>
    <x v="369"/>
    <x v="348"/>
  </r>
  <r>
    <n v="1099790"/>
    <x v="348"/>
    <x v="6"/>
    <x v="374"/>
    <x v="154"/>
  </r>
  <r>
    <n v="1099790"/>
    <x v="348"/>
    <x v="6"/>
    <x v="45"/>
    <x v="149"/>
  </r>
  <r>
    <n v="1099790"/>
    <x v="348"/>
    <x v="6"/>
    <x v="310"/>
    <x v="151"/>
  </r>
  <r>
    <n v="1099790"/>
    <x v="348"/>
    <x v="6"/>
    <x v="309"/>
    <x v="179"/>
  </r>
  <r>
    <n v="1099790"/>
    <x v="348"/>
    <x v="6"/>
    <x v="417"/>
    <x v="82"/>
  </r>
  <r>
    <n v="1099790"/>
    <x v="348"/>
    <x v="6"/>
    <x v="122"/>
    <x v="24"/>
  </r>
  <r>
    <n v="1099790"/>
    <x v="348"/>
    <x v="6"/>
    <x v="54"/>
    <x v="198"/>
  </r>
  <r>
    <n v="1099790"/>
    <x v="348"/>
    <x v="6"/>
    <x v="375"/>
    <x v="535"/>
  </r>
  <r>
    <n v="1099790"/>
    <x v="348"/>
    <x v="6"/>
    <x v="441"/>
    <x v="353"/>
  </r>
  <r>
    <n v="1099790"/>
    <x v="348"/>
    <x v="6"/>
    <x v="117"/>
    <x v="347"/>
  </r>
  <r>
    <n v="1099790"/>
    <x v="348"/>
    <x v="6"/>
    <x v="436"/>
    <x v="156"/>
  </r>
  <r>
    <n v="1099790"/>
    <x v="348"/>
    <x v="6"/>
    <x v="287"/>
    <x v="88"/>
  </r>
  <r>
    <n v="1099790"/>
    <x v="348"/>
    <x v="6"/>
    <x v="291"/>
    <x v="79"/>
  </r>
  <r>
    <n v="1099790"/>
    <x v="348"/>
    <x v="6"/>
    <x v="105"/>
    <x v="221"/>
  </r>
  <r>
    <n v="1099790"/>
    <x v="348"/>
    <x v="6"/>
    <x v="107"/>
    <x v="156"/>
  </r>
  <r>
    <n v="1099790"/>
    <x v="348"/>
    <x v="6"/>
    <x v="292"/>
    <x v="98"/>
  </r>
  <r>
    <n v="1099790"/>
    <x v="348"/>
    <x v="6"/>
    <x v="298"/>
    <x v="162"/>
  </r>
  <r>
    <n v="1099790"/>
    <x v="348"/>
    <x v="6"/>
    <x v="430"/>
    <x v="346"/>
  </r>
  <r>
    <n v="1099790"/>
    <x v="348"/>
    <x v="6"/>
    <x v="106"/>
    <x v="62"/>
  </r>
  <r>
    <n v="1099790"/>
    <x v="348"/>
    <x v="6"/>
    <x v="272"/>
    <x v="659"/>
  </r>
  <r>
    <n v="1099790"/>
    <x v="348"/>
    <x v="6"/>
    <x v="400"/>
    <x v="178"/>
  </r>
  <r>
    <n v="1099790"/>
    <x v="348"/>
    <x v="6"/>
    <x v="18"/>
    <x v="348"/>
  </r>
  <r>
    <n v="1099790"/>
    <x v="348"/>
    <x v="6"/>
    <x v="267"/>
    <x v="3"/>
  </r>
  <r>
    <n v="1099790"/>
    <x v="348"/>
    <x v="6"/>
    <x v="282"/>
    <x v="147"/>
  </r>
  <r>
    <n v="1099790"/>
    <x v="348"/>
    <x v="6"/>
    <x v="356"/>
    <x v="170"/>
  </r>
  <r>
    <n v="1099790"/>
    <x v="348"/>
    <x v="6"/>
    <x v="360"/>
    <x v="4"/>
  </r>
  <r>
    <n v="1099790"/>
    <x v="348"/>
    <x v="6"/>
    <x v="364"/>
    <x v="348"/>
  </r>
  <r>
    <n v="1099790"/>
    <x v="348"/>
    <x v="6"/>
    <x v="371"/>
    <x v="351"/>
  </r>
  <r>
    <n v="1099790"/>
    <x v="348"/>
    <x v="6"/>
    <x v="110"/>
    <x v="97"/>
  </r>
  <r>
    <n v="1099790"/>
    <x v="348"/>
    <x v="6"/>
    <x v="393"/>
    <x v="21"/>
  </r>
  <r>
    <n v="1099790"/>
    <x v="348"/>
    <x v="6"/>
    <x v="109"/>
    <x v="152"/>
  </r>
  <r>
    <n v="1099790"/>
    <x v="348"/>
    <x v="6"/>
    <x v="413"/>
    <x v="178"/>
  </r>
  <r>
    <n v="1099790"/>
    <x v="348"/>
    <x v="6"/>
    <x v="51"/>
    <x v="407"/>
  </r>
  <r>
    <n v="1099790"/>
    <x v="348"/>
    <x v="6"/>
    <x v="355"/>
    <x v="79"/>
  </r>
  <r>
    <n v="1099790"/>
    <x v="348"/>
    <x v="6"/>
    <x v="311"/>
    <x v="78"/>
  </r>
  <r>
    <n v="1099790"/>
    <x v="348"/>
    <x v="6"/>
    <x v="416"/>
    <x v="64"/>
  </r>
  <r>
    <n v="1099790"/>
    <x v="348"/>
    <x v="6"/>
    <x v="268"/>
    <x v="154"/>
  </r>
  <r>
    <n v="1099790"/>
    <x v="348"/>
    <x v="6"/>
    <x v="357"/>
    <x v="42"/>
  </r>
  <r>
    <n v="1099790"/>
    <x v="348"/>
    <x v="6"/>
    <x v="89"/>
    <x v="376"/>
  </r>
  <r>
    <n v="1099790"/>
    <x v="348"/>
    <x v="6"/>
    <x v="95"/>
    <x v="363"/>
  </r>
  <r>
    <n v="1099790"/>
    <x v="348"/>
    <x v="6"/>
    <x v="366"/>
    <x v="178"/>
  </r>
  <r>
    <n v="1099790"/>
    <x v="348"/>
    <x v="6"/>
    <x v="373"/>
    <x v="176"/>
  </r>
  <r>
    <n v="1099790"/>
    <x v="348"/>
    <x v="6"/>
    <x v="306"/>
    <x v="88"/>
  </r>
  <r>
    <n v="1099790"/>
    <x v="348"/>
    <x v="6"/>
    <x v="328"/>
    <x v="198"/>
  </r>
  <r>
    <n v="1099790"/>
    <x v="348"/>
    <x v="6"/>
    <x v="377"/>
    <x v="745"/>
  </r>
  <r>
    <n v="1099790"/>
    <x v="348"/>
    <x v="6"/>
    <x v="379"/>
    <x v="23"/>
  </r>
  <r>
    <n v="1099790"/>
    <x v="348"/>
    <x v="6"/>
    <x v="428"/>
    <x v="30"/>
  </r>
  <r>
    <n v="1099790"/>
    <x v="348"/>
    <x v="6"/>
    <x v="294"/>
    <x v="387"/>
  </r>
  <r>
    <n v="1099790"/>
    <x v="348"/>
    <x v="6"/>
    <x v="367"/>
    <x v="346"/>
  </r>
  <r>
    <n v="1099790"/>
    <x v="348"/>
    <x v="6"/>
    <x v="403"/>
    <x v="163"/>
  </r>
  <r>
    <n v="1099790"/>
    <x v="348"/>
    <x v="6"/>
    <x v="285"/>
    <x v="346"/>
  </r>
  <r>
    <n v="1099790"/>
    <x v="348"/>
    <x v="6"/>
    <x v="120"/>
    <x v="181"/>
  </r>
  <r>
    <n v="1099790"/>
    <x v="348"/>
    <x v="6"/>
    <x v="381"/>
    <x v="740"/>
  </r>
  <r>
    <n v="1099790"/>
    <x v="348"/>
    <x v="6"/>
    <x v="296"/>
    <x v="61"/>
  </r>
  <r>
    <n v="1099790"/>
    <x v="348"/>
    <x v="6"/>
    <x v="288"/>
    <x v="315"/>
  </r>
  <r>
    <n v="1099790"/>
    <x v="348"/>
    <x v="6"/>
    <x v="435"/>
    <x v="348"/>
  </r>
  <r>
    <n v="1099790"/>
    <x v="348"/>
    <x v="6"/>
    <x v="23"/>
    <x v="154"/>
  </r>
  <r>
    <n v="1099790"/>
    <x v="348"/>
    <x v="6"/>
    <x v="16"/>
    <x v="134"/>
  </r>
  <r>
    <n v="1099790"/>
    <x v="348"/>
    <x v="6"/>
    <x v="108"/>
    <x v="474"/>
  </r>
  <r>
    <n v="1099790"/>
    <x v="348"/>
    <x v="6"/>
    <x v="303"/>
    <x v="376"/>
  </r>
  <r>
    <n v="1099790"/>
    <x v="348"/>
    <x v="6"/>
    <x v="20"/>
    <x v="170"/>
  </r>
  <r>
    <n v="1099790"/>
    <x v="348"/>
    <x v="6"/>
    <x v="197"/>
    <x v="743"/>
  </r>
  <r>
    <n v="1099790"/>
    <x v="348"/>
    <x v="6"/>
    <x v="266"/>
    <x v="85"/>
  </r>
  <r>
    <n v="1099790"/>
    <x v="348"/>
    <x v="6"/>
    <x v="19"/>
    <x v="351"/>
  </r>
  <r>
    <n v="1099790"/>
    <x v="348"/>
    <x v="6"/>
    <x v="52"/>
    <x v="178"/>
  </r>
  <r>
    <n v="1099790"/>
    <x v="348"/>
    <x v="6"/>
    <x v="271"/>
    <x v="24"/>
  </r>
  <r>
    <n v="1099790"/>
    <x v="348"/>
    <x v="6"/>
    <x v="368"/>
    <x v="346"/>
  </r>
  <r>
    <n v="1099790"/>
    <x v="348"/>
    <x v="6"/>
    <x v="99"/>
    <x v="455"/>
  </r>
  <r>
    <n v="1099790"/>
    <x v="348"/>
    <x v="6"/>
    <x v="307"/>
    <x v="560"/>
  </r>
  <r>
    <n v="1099790"/>
    <x v="348"/>
    <x v="6"/>
    <x v="445"/>
    <x v="198"/>
  </r>
  <r>
    <n v="1099790"/>
    <x v="348"/>
    <x v="6"/>
    <x v="100"/>
    <x v="97"/>
  </r>
  <r>
    <n v="1099790"/>
    <x v="348"/>
    <x v="6"/>
    <x v="279"/>
    <x v="392"/>
  </r>
  <r>
    <n v="1099790"/>
    <x v="348"/>
    <x v="6"/>
    <x v="198"/>
    <x v="149"/>
  </r>
  <r>
    <n v="1099790"/>
    <x v="348"/>
    <x v="6"/>
    <x v="22"/>
    <x v="154"/>
  </r>
  <r>
    <n v="1099790"/>
    <x v="348"/>
    <x v="6"/>
    <x v="322"/>
    <x v="305"/>
  </r>
  <r>
    <n v="1099790"/>
    <x v="348"/>
    <x v="6"/>
    <x v="53"/>
    <x v="457"/>
  </r>
  <r>
    <n v="1099790"/>
    <x v="348"/>
    <x v="6"/>
    <x v="408"/>
    <x v="351"/>
  </r>
  <r>
    <n v="1099790"/>
    <x v="348"/>
    <x v="6"/>
    <x v="414"/>
    <x v="535"/>
  </r>
  <r>
    <n v="1099790"/>
    <x v="348"/>
    <x v="6"/>
    <x v="47"/>
    <x v="619"/>
  </r>
  <r>
    <n v="1099790"/>
    <x v="348"/>
    <x v="6"/>
    <x v="415"/>
    <x v="98"/>
  </r>
  <r>
    <n v="1099790"/>
    <x v="348"/>
    <x v="6"/>
    <x v="278"/>
    <x v="224"/>
  </r>
  <r>
    <n v="1099790"/>
    <x v="348"/>
    <x v="6"/>
    <x v="359"/>
    <x v="4"/>
  </r>
  <r>
    <n v="1099790"/>
    <x v="348"/>
    <x v="6"/>
    <x v="90"/>
    <x v="4"/>
  </r>
  <r>
    <n v="1099790"/>
    <x v="348"/>
    <x v="6"/>
    <x v="442"/>
    <x v="88"/>
  </r>
  <r>
    <n v="1099790"/>
    <x v="348"/>
    <x v="6"/>
    <x v="370"/>
    <x v="198"/>
  </r>
  <r>
    <n v="1099790"/>
    <x v="348"/>
    <x v="6"/>
    <x v="116"/>
    <x v="34"/>
  </r>
  <r>
    <n v="1099790"/>
    <x v="348"/>
    <x v="6"/>
    <x v="410"/>
    <x v="88"/>
  </r>
  <r>
    <n v="1099790"/>
    <x v="348"/>
    <x v="6"/>
    <x v="118"/>
    <x v="217"/>
  </r>
  <r>
    <n v="1099790"/>
    <x v="348"/>
    <x v="6"/>
    <x v="376"/>
    <x v="161"/>
  </r>
  <r>
    <n v="1099790"/>
    <x v="348"/>
    <x v="6"/>
    <x v="407"/>
    <x v="83"/>
  </r>
  <r>
    <n v="1099790"/>
    <x v="348"/>
    <x v="6"/>
    <x v="295"/>
    <x v="61"/>
  </r>
  <r>
    <n v="1099790"/>
    <x v="348"/>
    <x v="6"/>
    <x v="297"/>
    <x v="176"/>
  </r>
  <r>
    <n v="1099790"/>
    <x v="348"/>
    <x v="6"/>
    <x v="101"/>
    <x v="34"/>
  </r>
  <r>
    <n v="1099790"/>
    <x v="348"/>
    <x v="6"/>
    <x v="270"/>
    <x v="179"/>
  </r>
  <r>
    <n v="1099790"/>
    <x v="348"/>
    <x v="6"/>
    <x v="402"/>
    <x v="83"/>
  </r>
  <r>
    <n v="1099790"/>
    <x v="348"/>
    <x v="6"/>
    <x v="283"/>
    <x v="62"/>
  </r>
  <r>
    <n v="1099790"/>
    <x v="348"/>
    <x v="6"/>
    <x v="94"/>
    <x v="351"/>
  </r>
  <r>
    <n v="1099790"/>
    <x v="348"/>
    <x v="6"/>
    <x v="88"/>
    <x v="88"/>
  </r>
  <r>
    <n v="1099790"/>
    <x v="348"/>
    <x v="6"/>
    <x v="115"/>
    <x v="170"/>
  </r>
  <r>
    <n v="1099790"/>
    <x v="348"/>
    <x v="6"/>
    <x v="308"/>
    <x v="176"/>
  </r>
  <r>
    <n v="1099790"/>
    <x v="348"/>
    <x v="6"/>
    <x v="113"/>
    <x v="178"/>
  </r>
  <r>
    <n v="1099790"/>
    <x v="348"/>
    <x v="6"/>
    <x v="399"/>
    <x v="54"/>
  </r>
  <r>
    <n v="1099790"/>
    <x v="348"/>
    <x v="6"/>
    <x v="280"/>
    <x v="346"/>
  </r>
  <r>
    <n v="1099790"/>
    <x v="348"/>
    <x v="6"/>
    <x v="119"/>
    <x v="206"/>
  </r>
  <r>
    <n v="1099790"/>
    <x v="348"/>
    <x v="6"/>
    <x v="378"/>
    <x v="24"/>
  </r>
  <r>
    <n v="1099790"/>
    <x v="348"/>
    <x v="6"/>
    <x v="289"/>
    <x v="105"/>
  </r>
  <r>
    <n v="1099790"/>
    <x v="348"/>
    <x v="6"/>
    <x v="102"/>
    <x v="741"/>
  </r>
  <r>
    <n v="1099790"/>
    <x v="348"/>
    <x v="6"/>
    <x v="103"/>
    <x v="144"/>
  </r>
  <r>
    <n v="1099790"/>
    <x v="348"/>
    <x v="6"/>
    <x v="17"/>
    <x v="742"/>
  </r>
  <r>
    <n v="1099790"/>
    <x v="348"/>
    <x v="6"/>
    <x v="319"/>
    <x v="305"/>
  </r>
  <r>
    <n v="1099790"/>
    <x v="348"/>
    <x v="6"/>
    <x v="325"/>
    <x v="205"/>
  </r>
  <r>
    <n v="1099790"/>
    <x v="348"/>
    <x v="6"/>
    <x v="321"/>
    <x v="615"/>
  </r>
  <r>
    <n v="1099790"/>
    <x v="348"/>
    <x v="6"/>
    <x v="305"/>
    <x v="136"/>
  </r>
  <r>
    <n v="1099790"/>
    <x v="1"/>
    <x v="1"/>
    <x v="2"/>
    <x v="2"/>
  </r>
  <r>
    <n v="1099791"/>
    <x v="349"/>
    <x v="2"/>
    <x v="76"/>
    <x v="231"/>
  </r>
  <r>
    <n v="1099791"/>
    <x v="349"/>
    <x v="2"/>
    <x v="84"/>
    <x v="232"/>
  </r>
  <r>
    <n v="1099791"/>
    <x v="349"/>
    <x v="2"/>
    <x v="82"/>
    <x v="162"/>
  </r>
  <r>
    <n v="1099791"/>
    <x v="349"/>
    <x v="2"/>
    <x v="78"/>
    <x v="235"/>
  </r>
  <r>
    <n v="1099791"/>
    <x v="349"/>
    <x v="2"/>
    <x v="68"/>
    <x v="230"/>
  </r>
  <r>
    <n v="1099791"/>
    <x v="349"/>
    <x v="2"/>
    <x v="75"/>
    <x v="173"/>
  </r>
  <r>
    <n v="1099791"/>
    <x v="349"/>
    <x v="2"/>
    <x v="62"/>
    <x v="153"/>
  </r>
  <r>
    <n v="1099791"/>
    <x v="349"/>
    <x v="2"/>
    <x v="63"/>
    <x v="97"/>
  </r>
  <r>
    <n v="1099791"/>
    <x v="349"/>
    <x v="2"/>
    <x v="56"/>
    <x v="228"/>
  </r>
  <r>
    <n v="1099791"/>
    <x v="349"/>
    <x v="2"/>
    <x v="77"/>
    <x v="236"/>
  </r>
  <r>
    <n v="1099791"/>
    <x v="349"/>
    <x v="2"/>
    <x v="65"/>
    <x v="98"/>
  </r>
  <r>
    <n v="1099791"/>
    <x v="349"/>
    <x v="2"/>
    <x v="60"/>
    <x v="229"/>
  </r>
  <r>
    <n v="1099791"/>
    <x v="349"/>
    <x v="2"/>
    <x v="71"/>
    <x v="111"/>
  </r>
  <r>
    <n v="1099791"/>
    <x v="349"/>
    <x v="2"/>
    <x v="70"/>
    <x v="197"/>
  </r>
  <r>
    <n v="1099791"/>
    <x v="349"/>
    <x v="2"/>
    <x v="58"/>
    <x v="233"/>
  </r>
  <r>
    <n v="1099791"/>
    <x v="349"/>
    <x v="2"/>
    <x v="66"/>
    <x v="231"/>
  </r>
  <r>
    <n v="1099791"/>
    <x v="349"/>
    <x v="2"/>
    <x v="74"/>
    <x v="51"/>
  </r>
  <r>
    <n v="1099791"/>
    <x v="349"/>
    <x v="2"/>
    <x v="79"/>
    <x v="227"/>
  </r>
  <r>
    <n v="1099791"/>
    <x v="349"/>
    <x v="2"/>
    <x v="61"/>
    <x v="234"/>
  </r>
  <r>
    <n v="1099791"/>
    <x v="1"/>
    <x v="1"/>
    <x v="2"/>
    <x v="2"/>
  </r>
  <r>
    <n v="1099795"/>
    <x v="350"/>
    <x v="2"/>
    <x v="4"/>
    <x v="3"/>
  </r>
  <r>
    <n v="1099795"/>
    <x v="350"/>
    <x v="2"/>
    <x v="420"/>
    <x v="635"/>
  </r>
  <r>
    <n v="1099795"/>
    <x v="350"/>
    <x v="2"/>
    <x v="418"/>
    <x v="636"/>
  </r>
  <r>
    <n v="1099795"/>
    <x v="350"/>
    <x v="2"/>
    <x v="203"/>
    <x v="448"/>
  </r>
  <r>
    <n v="1099795"/>
    <x v="350"/>
    <x v="2"/>
    <x v="199"/>
    <x v="632"/>
  </r>
  <r>
    <n v="1099795"/>
    <x v="350"/>
    <x v="2"/>
    <x v="419"/>
    <x v="403"/>
  </r>
  <r>
    <n v="1099795"/>
    <x v="350"/>
    <x v="2"/>
    <x v="387"/>
    <x v="634"/>
  </r>
  <r>
    <n v="1099795"/>
    <x v="350"/>
    <x v="2"/>
    <x v="425"/>
    <x v="231"/>
  </r>
  <r>
    <n v="1099795"/>
    <x v="350"/>
    <x v="2"/>
    <x v="200"/>
    <x v="630"/>
  </r>
  <r>
    <n v="1099795"/>
    <x v="350"/>
    <x v="2"/>
    <x v="201"/>
    <x v="181"/>
  </r>
  <r>
    <n v="1099795"/>
    <x v="350"/>
    <x v="2"/>
    <x v="3"/>
    <x v="637"/>
  </r>
  <r>
    <n v="1099795"/>
    <x v="350"/>
    <x v="2"/>
    <x v="389"/>
    <x v="633"/>
  </r>
  <r>
    <n v="1099795"/>
    <x v="350"/>
    <x v="2"/>
    <x v="424"/>
    <x v="231"/>
  </r>
  <r>
    <n v="1099795"/>
    <x v="350"/>
    <x v="2"/>
    <x v="388"/>
    <x v="313"/>
  </r>
  <r>
    <n v="1099795"/>
    <x v="350"/>
    <x v="2"/>
    <x v="202"/>
    <x v="631"/>
  </r>
  <r>
    <n v="1099795"/>
    <x v="350"/>
    <x v="2"/>
    <x v="390"/>
    <x v="629"/>
  </r>
  <r>
    <n v="1099795"/>
    <x v="1"/>
    <x v="1"/>
    <x v="2"/>
    <x v="2"/>
  </r>
  <r>
    <n v="1099802"/>
    <x v="351"/>
    <x v="2"/>
    <x v="300"/>
    <x v="2"/>
  </r>
  <r>
    <n v="1099802"/>
    <x v="1"/>
    <x v="1"/>
    <x v="2"/>
    <x v="2"/>
  </r>
  <r>
    <n v="1099803"/>
    <x v="352"/>
    <x v="6"/>
    <x v="81"/>
    <x v="229"/>
  </r>
  <r>
    <n v="1099803"/>
    <x v="352"/>
    <x v="6"/>
    <x v="83"/>
    <x v="348"/>
  </r>
  <r>
    <n v="1099803"/>
    <x v="352"/>
    <x v="6"/>
    <x v="71"/>
    <x v="97"/>
  </r>
  <r>
    <n v="1099803"/>
    <x v="352"/>
    <x v="6"/>
    <x v="69"/>
    <x v="538"/>
  </r>
  <r>
    <n v="1099803"/>
    <x v="352"/>
    <x v="6"/>
    <x v="61"/>
    <x v="172"/>
  </r>
  <r>
    <n v="1099803"/>
    <x v="352"/>
    <x v="6"/>
    <x v="194"/>
    <x v="516"/>
  </r>
  <r>
    <n v="1099803"/>
    <x v="352"/>
    <x v="6"/>
    <x v="30"/>
    <x v="203"/>
  </r>
  <r>
    <n v="1099803"/>
    <x v="352"/>
    <x v="6"/>
    <x v="202"/>
    <x v="238"/>
  </r>
  <r>
    <n v="1099803"/>
    <x v="352"/>
    <x v="6"/>
    <x v="63"/>
    <x v="178"/>
  </r>
  <r>
    <n v="1099803"/>
    <x v="352"/>
    <x v="6"/>
    <x v="55"/>
    <x v="178"/>
  </r>
  <r>
    <n v="1099803"/>
    <x v="352"/>
    <x v="6"/>
    <x v="425"/>
    <x v="170"/>
  </r>
  <r>
    <n v="1099803"/>
    <x v="352"/>
    <x v="6"/>
    <x v="395"/>
    <x v="539"/>
  </r>
  <r>
    <n v="1099803"/>
    <x v="352"/>
    <x v="6"/>
    <x v="157"/>
    <x v="544"/>
  </r>
  <r>
    <n v="1099803"/>
    <x v="352"/>
    <x v="6"/>
    <x v="11"/>
    <x v="348"/>
  </r>
  <r>
    <n v="1099803"/>
    <x v="352"/>
    <x v="6"/>
    <x v="254"/>
    <x v="178"/>
  </r>
  <r>
    <n v="1099803"/>
    <x v="352"/>
    <x v="6"/>
    <x v="346"/>
    <x v="516"/>
  </r>
  <r>
    <n v="1099803"/>
    <x v="352"/>
    <x v="6"/>
    <x v="350"/>
    <x v="535"/>
  </r>
  <r>
    <n v="1099803"/>
    <x v="352"/>
    <x v="6"/>
    <x v="352"/>
    <x v="516"/>
  </r>
  <r>
    <n v="1099803"/>
    <x v="352"/>
    <x v="6"/>
    <x v="161"/>
    <x v="351"/>
  </r>
  <r>
    <n v="1099803"/>
    <x v="352"/>
    <x v="6"/>
    <x v="154"/>
    <x v="351"/>
  </r>
  <r>
    <n v="1099803"/>
    <x v="352"/>
    <x v="6"/>
    <x v="131"/>
    <x v="535"/>
  </r>
  <r>
    <n v="1099803"/>
    <x v="352"/>
    <x v="6"/>
    <x v="133"/>
    <x v="348"/>
  </r>
  <r>
    <n v="1099803"/>
    <x v="352"/>
    <x v="6"/>
    <x v="143"/>
    <x v="178"/>
  </r>
  <r>
    <n v="1099803"/>
    <x v="352"/>
    <x v="6"/>
    <x v="145"/>
    <x v="351"/>
  </r>
  <r>
    <n v="1099803"/>
    <x v="352"/>
    <x v="6"/>
    <x v="153"/>
    <x v="348"/>
  </r>
  <r>
    <n v="1099803"/>
    <x v="352"/>
    <x v="6"/>
    <x v="256"/>
    <x v="79"/>
  </r>
  <r>
    <n v="1099803"/>
    <x v="352"/>
    <x v="6"/>
    <x v="263"/>
    <x v="83"/>
  </r>
  <r>
    <n v="1099803"/>
    <x v="352"/>
    <x v="6"/>
    <x v="316"/>
    <x v="347"/>
  </r>
  <r>
    <n v="1099803"/>
    <x v="352"/>
    <x v="6"/>
    <x v="209"/>
    <x v="516"/>
  </r>
  <r>
    <n v="1099803"/>
    <x v="352"/>
    <x v="6"/>
    <x v="211"/>
    <x v="351"/>
  </r>
  <r>
    <n v="1099803"/>
    <x v="352"/>
    <x v="6"/>
    <x v="140"/>
    <x v="4"/>
  </r>
  <r>
    <n v="1099803"/>
    <x v="352"/>
    <x v="6"/>
    <x v="222"/>
    <x v="77"/>
  </r>
  <r>
    <n v="1099803"/>
    <x v="352"/>
    <x v="6"/>
    <x v="228"/>
    <x v="30"/>
  </r>
  <r>
    <n v="1099803"/>
    <x v="352"/>
    <x v="6"/>
    <x v="230"/>
    <x v="77"/>
  </r>
  <r>
    <n v="1099803"/>
    <x v="352"/>
    <x v="6"/>
    <x v="238"/>
    <x v="375"/>
  </r>
  <r>
    <n v="1099803"/>
    <x v="352"/>
    <x v="6"/>
    <x v="156"/>
    <x v="545"/>
  </r>
  <r>
    <n v="1099803"/>
    <x v="352"/>
    <x v="6"/>
    <x v="245"/>
    <x v="161"/>
  </r>
  <r>
    <n v="1099803"/>
    <x v="352"/>
    <x v="6"/>
    <x v="246"/>
    <x v="198"/>
  </r>
  <r>
    <n v="1099803"/>
    <x v="352"/>
    <x v="6"/>
    <x v="318"/>
    <x v="88"/>
  </r>
  <r>
    <n v="1099803"/>
    <x v="352"/>
    <x v="6"/>
    <x v="220"/>
    <x v="178"/>
  </r>
  <r>
    <n v="1099803"/>
    <x v="352"/>
    <x v="6"/>
    <x v="193"/>
    <x v="170"/>
  </r>
  <r>
    <n v="1099803"/>
    <x v="352"/>
    <x v="6"/>
    <x v="169"/>
    <x v="351"/>
  </r>
  <r>
    <n v="1099803"/>
    <x v="352"/>
    <x v="6"/>
    <x v="191"/>
    <x v="178"/>
  </r>
  <r>
    <n v="1099803"/>
    <x v="352"/>
    <x v="6"/>
    <x v="171"/>
    <x v="351"/>
  </r>
  <r>
    <n v="1099803"/>
    <x v="352"/>
    <x v="6"/>
    <x v="189"/>
    <x v="178"/>
  </r>
  <r>
    <n v="1099803"/>
    <x v="352"/>
    <x v="6"/>
    <x v="165"/>
    <x v="546"/>
  </r>
  <r>
    <n v="1099803"/>
    <x v="352"/>
    <x v="6"/>
    <x v="40"/>
    <x v="161"/>
  </r>
  <r>
    <n v="1099803"/>
    <x v="352"/>
    <x v="6"/>
    <x v="43"/>
    <x v="351"/>
  </r>
  <r>
    <n v="1099803"/>
    <x v="352"/>
    <x v="6"/>
    <x v="25"/>
    <x v="105"/>
  </r>
  <r>
    <n v="1099803"/>
    <x v="352"/>
    <x v="6"/>
    <x v="390"/>
    <x v="220"/>
  </r>
  <r>
    <n v="1099803"/>
    <x v="352"/>
    <x v="6"/>
    <x v="200"/>
    <x v="179"/>
  </r>
  <r>
    <n v="1099803"/>
    <x v="352"/>
    <x v="6"/>
    <x v="62"/>
    <x v="348"/>
  </r>
  <r>
    <n v="1099803"/>
    <x v="352"/>
    <x v="6"/>
    <x v="57"/>
    <x v="36"/>
  </r>
  <r>
    <n v="1099803"/>
    <x v="352"/>
    <x v="6"/>
    <x v="124"/>
    <x v="351"/>
  </r>
  <r>
    <n v="1099803"/>
    <x v="352"/>
    <x v="6"/>
    <x v="135"/>
    <x v="535"/>
  </r>
  <r>
    <n v="1099803"/>
    <x v="352"/>
    <x v="6"/>
    <x v="147"/>
    <x v="535"/>
  </r>
  <r>
    <n v="1099803"/>
    <x v="352"/>
    <x v="6"/>
    <x v="258"/>
    <x v="516"/>
  </r>
  <r>
    <n v="1099803"/>
    <x v="352"/>
    <x v="6"/>
    <x v="204"/>
    <x v="535"/>
  </r>
  <r>
    <n v="1099803"/>
    <x v="352"/>
    <x v="6"/>
    <x v="213"/>
    <x v="83"/>
  </r>
  <r>
    <n v="1099803"/>
    <x v="352"/>
    <x v="6"/>
    <x v="224"/>
    <x v="144"/>
  </r>
  <r>
    <n v="1099803"/>
    <x v="352"/>
    <x v="6"/>
    <x v="232"/>
    <x v="161"/>
  </r>
  <r>
    <n v="1099803"/>
    <x v="352"/>
    <x v="6"/>
    <x v="240"/>
    <x v="535"/>
  </r>
  <r>
    <n v="1099803"/>
    <x v="352"/>
    <x v="6"/>
    <x v="248"/>
    <x v="516"/>
  </r>
  <r>
    <n v="1099803"/>
    <x v="352"/>
    <x v="6"/>
    <x v="178"/>
    <x v="516"/>
  </r>
  <r>
    <n v="1099803"/>
    <x v="352"/>
    <x v="6"/>
    <x v="180"/>
    <x v="88"/>
  </r>
  <r>
    <n v="1099803"/>
    <x v="352"/>
    <x v="6"/>
    <x v="182"/>
    <x v="516"/>
  </r>
  <r>
    <n v="1099803"/>
    <x v="352"/>
    <x v="6"/>
    <x v="33"/>
    <x v="90"/>
  </r>
  <r>
    <n v="1099803"/>
    <x v="352"/>
    <x v="6"/>
    <x v="32"/>
    <x v="62"/>
  </r>
  <r>
    <n v="1099803"/>
    <x v="352"/>
    <x v="6"/>
    <x v="37"/>
    <x v="149"/>
  </r>
  <r>
    <n v="1099803"/>
    <x v="352"/>
    <x v="6"/>
    <x v="418"/>
    <x v="552"/>
  </r>
  <r>
    <n v="1099803"/>
    <x v="352"/>
    <x v="6"/>
    <x v="66"/>
    <x v="98"/>
  </r>
  <r>
    <n v="1099803"/>
    <x v="352"/>
    <x v="6"/>
    <x v="79"/>
    <x v="69"/>
  </r>
  <r>
    <n v="1099803"/>
    <x v="352"/>
    <x v="6"/>
    <x v="419"/>
    <x v="84"/>
  </r>
  <r>
    <n v="1099803"/>
    <x v="352"/>
    <x v="6"/>
    <x v="421"/>
    <x v="58"/>
  </r>
  <r>
    <n v="1099803"/>
    <x v="352"/>
    <x v="6"/>
    <x v="15"/>
    <x v="154"/>
  </r>
  <r>
    <n v="1099803"/>
    <x v="352"/>
    <x v="6"/>
    <x v="253"/>
    <x v="170"/>
  </r>
  <r>
    <n v="1099803"/>
    <x v="352"/>
    <x v="6"/>
    <x v="334"/>
    <x v="198"/>
  </r>
  <r>
    <n v="1099803"/>
    <x v="352"/>
    <x v="6"/>
    <x v="160"/>
    <x v="351"/>
  </r>
  <r>
    <n v="1099803"/>
    <x v="352"/>
    <x v="6"/>
    <x v="129"/>
    <x v="535"/>
  </r>
  <r>
    <n v="1099803"/>
    <x v="352"/>
    <x v="6"/>
    <x v="142"/>
    <x v="83"/>
  </r>
  <r>
    <n v="1099803"/>
    <x v="352"/>
    <x v="6"/>
    <x v="152"/>
    <x v="535"/>
  </r>
  <r>
    <n v="1099803"/>
    <x v="352"/>
    <x v="6"/>
    <x v="262"/>
    <x v="351"/>
  </r>
  <r>
    <n v="1099803"/>
    <x v="352"/>
    <x v="6"/>
    <x v="250"/>
    <x v="535"/>
  </r>
  <r>
    <n v="1099803"/>
    <x v="352"/>
    <x v="6"/>
    <x v="139"/>
    <x v="178"/>
  </r>
  <r>
    <n v="1099803"/>
    <x v="352"/>
    <x v="6"/>
    <x v="227"/>
    <x v="4"/>
  </r>
  <r>
    <n v="1099803"/>
    <x v="352"/>
    <x v="6"/>
    <x v="237"/>
    <x v="548"/>
  </r>
  <r>
    <n v="1099803"/>
    <x v="352"/>
    <x v="6"/>
    <x v="244"/>
    <x v="154"/>
  </r>
  <r>
    <n v="1099803"/>
    <x v="352"/>
    <x v="6"/>
    <x v="314"/>
    <x v="516"/>
  </r>
  <r>
    <n v="1099803"/>
    <x v="352"/>
    <x v="6"/>
    <x v="179"/>
    <x v="516"/>
  </r>
  <r>
    <n v="1099803"/>
    <x v="352"/>
    <x v="6"/>
    <x v="181"/>
    <x v="161"/>
  </r>
  <r>
    <n v="1099803"/>
    <x v="352"/>
    <x v="6"/>
    <x v="183"/>
    <x v="535"/>
  </r>
  <r>
    <n v="1099803"/>
    <x v="352"/>
    <x v="6"/>
    <x v="24"/>
    <x v="88"/>
  </r>
  <r>
    <n v="1099803"/>
    <x v="352"/>
    <x v="6"/>
    <x v="39"/>
    <x v="105"/>
  </r>
  <r>
    <n v="1099803"/>
    <x v="352"/>
    <x v="6"/>
    <x v="64"/>
    <x v="549"/>
  </r>
  <r>
    <n v="1099803"/>
    <x v="352"/>
    <x v="6"/>
    <x v="59"/>
    <x v="62"/>
  </r>
  <r>
    <n v="1099803"/>
    <x v="352"/>
    <x v="6"/>
    <x v="74"/>
    <x v="154"/>
  </r>
  <r>
    <n v="1099803"/>
    <x v="352"/>
    <x v="6"/>
    <x v="80"/>
    <x v="550"/>
  </r>
  <r>
    <n v="1099803"/>
    <x v="352"/>
    <x v="6"/>
    <x v="422"/>
    <x v="154"/>
  </r>
  <r>
    <n v="1099803"/>
    <x v="352"/>
    <x v="6"/>
    <x v="14"/>
    <x v="4"/>
  </r>
  <r>
    <n v="1099803"/>
    <x v="352"/>
    <x v="6"/>
    <x v="13"/>
    <x v="535"/>
  </r>
  <r>
    <n v="1099803"/>
    <x v="352"/>
    <x v="6"/>
    <x v="333"/>
    <x v="348"/>
  </r>
  <r>
    <n v="1099803"/>
    <x v="352"/>
    <x v="6"/>
    <x v="159"/>
    <x v="516"/>
  </r>
  <r>
    <n v="1099803"/>
    <x v="352"/>
    <x v="6"/>
    <x v="128"/>
    <x v="178"/>
  </r>
  <r>
    <n v="1099803"/>
    <x v="352"/>
    <x v="6"/>
    <x v="141"/>
    <x v="351"/>
  </r>
  <r>
    <n v="1099803"/>
    <x v="352"/>
    <x v="6"/>
    <x v="151"/>
    <x v="77"/>
  </r>
  <r>
    <n v="1099803"/>
    <x v="352"/>
    <x v="6"/>
    <x v="249"/>
    <x v="348"/>
  </r>
  <r>
    <n v="1099803"/>
    <x v="352"/>
    <x v="6"/>
    <x v="208"/>
    <x v="178"/>
  </r>
  <r>
    <n v="1099803"/>
    <x v="352"/>
    <x v="6"/>
    <x v="130"/>
    <x v="348"/>
  </r>
  <r>
    <n v="1099803"/>
    <x v="352"/>
    <x v="6"/>
    <x v="226"/>
    <x v="82"/>
  </r>
  <r>
    <n v="1099803"/>
    <x v="352"/>
    <x v="6"/>
    <x v="236"/>
    <x v="83"/>
  </r>
  <r>
    <n v="1099803"/>
    <x v="352"/>
    <x v="6"/>
    <x v="243"/>
    <x v="351"/>
  </r>
  <r>
    <n v="1099803"/>
    <x v="352"/>
    <x v="6"/>
    <x v="315"/>
    <x v="144"/>
  </r>
  <r>
    <n v="1099803"/>
    <x v="352"/>
    <x v="6"/>
    <x v="168"/>
    <x v="535"/>
  </r>
  <r>
    <n v="1099803"/>
    <x v="352"/>
    <x v="6"/>
    <x v="175"/>
    <x v="516"/>
  </r>
  <r>
    <n v="1099803"/>
    <x v="352"/>
    <x v="6"/>
    <x v="177"/>
    <x v="198"/>
  </r>
  <r>
    <n v="1099803"/>
    <x v="352"/>
    <x v="6"/>
    <x v="38"/>
    <x v="198"/>
  </r>
  <r>
    <n v="1099803"/>
    <x v="352"/>
    <x v="6"/>
    <x v="34"/>
    <x v="105"/>
  </r>
  <r>
    <n v="1099803"/>
    <x v="352"/>
    <x v="6"/>
    <x v="219"/>
    <x v="77"/>
  </r>
  <r>
    <n v="1099803"/>
    <x v="352"/>
    <x v="6"/>
    <x v="185"/>
    <x v="3"/>
  </r>
  <r>
    <n v="1099803"/>
    <x v="352"/>
    <x v="6"/>
    <x v="170"/>
    <x v="178"/>
  </r>
  <r>
    <n v="1099803"/>
    <x v="352"/>
    <x v="6"/>
    <x v="172"/>
    <x v="154"/>
  </r>
  <r>
    <n v="1099803"/>
    <x v="352"/>
    <x v="6"/>
    <x v="1"/>
    <x v="540"/>
  </r>
  <r>
    <n v="1099803"/>
    <x v="352"/>
    <x v="6"/>
    <x v="27"/>
    <x v="64"/>
  </r>
  <r>
    <n v="1099803"/>
    <x v="352"/>
    <x v="6"/>
    <x v="78"/>
    <x v="541"/>
  </r>
  <r>
    <n v="1099803"/>
    <x v="352"/>
    <x v="6"/>
    <x v="75"/>
    <x v="176"/>
  </r>
  <r>
    <n v="1099803"/>
    <x v="352"/>
    <x v="6"/>
    <x v="199"/>
    <x v="542"/>
  </r>
  <r>
    <n v="1099803"/>
    <x v="352"/>
    <x v="6"/>
    <x v="387"/>
    <x v="233"/>
  </r>
  <r>
    <n v="1099803"/>
    <x v="352"/>
    <x v="6"/>
    <x v="385"/>
    <x v="5"/>
  </r>
  <r>
    <n v="1099803"/>
    <x v="352"/>
    <x v="6"/>
    <x v="384"/>
    <x v="551"/>
  </r>
  <r>
    <n v="1099803"/>
    <x v="352"/>
    <x v="6"/>
    <x v="9"/>
    <x v="348"/>
  </r>
  <r>
    <n v="1099803"/>
    <x v="352"/>
    <x v="6"/>
    <x v="342"/>
    <x v="348"/>
  </r>
  <r>
    <n v="1099803"/>
    <x v="352"/>
    <x v="6"/>
    <x v="8"/>
    <x v="351"/>
  </r>
  <r>
    <n v="1099803"/>
    <x v="352"/>
    <x v="6"/>
    <x v="7"/>
    <x v="351"/>
  </r>
  <r>
    <n v="1099803"/>
    <x v="352"/>
    <x v="6"/>
    <x v="349"/>
    <x v="535"/>
  </r>
  <r>
    <n v="1099803"/>
    <x v="352"/>
    <x v="6"/>
    <x v="331"/>
    <x v="178"/>
  </r>
  <r>
    <n v="1099803"/>
    <x v="352"/>
    <x v="6"/>
    <x v="337"/>
    <x v="348"/>
  </r>
  <r>
    <n v="1099803"/>
    <x v="352"/>
    <x v="6"/>
    <x v="338"/>
    <x v="346"/>
  </r>
  <r>
    <n v="1099803"/>
    <x v="352"/>
    <x v="6"/>
    <x v="125"/>
    <x v="535"/>
  </r>
  <r>
    <n v="1099803"/>
    <x v="352"/>
    <x v="6"/>
    <x v="126"/>
    <x v="516"/>
  </r>
  <r>
    <n v="1099803"/>
    <x v="352"/>
    <x v="6"/>
    <x v="136"/>
    <x v="516"/>
  </r>
  <r>
    <n v="1099803"/>
    <x v="352"/>
    <x v="6"/>
    <x v="137"/>
    <x v="535"/>
  </r>
  <r>
    <n v="1099803"/>
    <x v="352"/>
    <x v="6"/>
    <x v="148"/>
    <x v="535"/>
  </r>
  <r>
    <n v="1099803"/>
    <x v="352"/>
    <x v="6"/>
    <x v="149"/>
    <x v="516"/>
  </r>
  <r>
    <n v="1099803"/>
    <x v="352"/>
    <x v="6"/>
    <x v="259"/>
    <x v="178"/>
  </r>
  <r>
    <n v="1099803"/>
    <x v="352"/>
    <x v="6"/>
    <x v="260"/>
    <x v="83"/>
  </r>
  <r>
    <n v="1099803"/>
    <x v="352"/>
    <x v="6"/>
    <x v="205"/>
    <x v="516"/>
  </r>
  <r>
    <n v="1099803"/>
    <x v="352"/>
    <x v="6"/>
    <x v="206"/>
    <x v="535"/>
  </r>
  <r>
    <n v="1099803"/>
    <x v="352"/>
    <x v="6"/>
    <x v="214"/>
    <x v="516"/>
  </r>
  <r>
    <n v="1099803"/>
    <x v="352"/>
    <x v="6"/>
    <x v="215"/>
    <x v="516"/>
  </r>
  <r>
    <n v="1099803"/>
    <x v="352"/>
    <x v="6"/>
    <x v="225"/>
    <x v="4"/>
  </r>
  <r>
    <n v="1099803"/>
    <x v="352"/>
    <x v="6"/>
    <x v="251"/>
    <x v="535"/>
  </r>
  <r>
    <n v="1099803"/>
    <x v="352"/>
    <x v="6"/>
    <x v="233"/>
    <x v="154"/>
  </r>
  <r>
    <n v="1099803"/>
    <x v="352"/>
    <x v="6"/>
    <x v="234"/>
    <x v="4"/>
  </r>
  <r>
    <n v="1099803"/>
    <x v="352"/>
    <x v="6"/>
    <x v="241"/>
    <x v="178"/>
  </r>
  <r>
    <n v="1099803"/>
    <x v="352"/>
    <x v="6"/>
    <x v="313"/>
    <x v="98"/>
  </r>
  <r>
    <n v="1099803"/>
    <x v="352"/>
    <x v="6"/>
    <x v="217"/>
    <x v="170"/>
  </r>
  <r>
    <n v="1099803"/>
    <x v="352"/>
    <x v="6"/>
    <x v="218"/>
    <x v="346"/>
  </r>
  <r>
    <n v="1099803"/>
    <x v="352"/>
    <x v="6"/>
    <x v="195"/>
    <x v="535"/>
  </r>
  <r>
    <n v="1099803"/>
    <x v="352"/>
    <x v="6"/>
    <x v="173"/>
    <x v="516"/>
  </r>
  <r>
    <n v="1099803"/>
    <x v="352"/>
    <x v="6"/>
    <x v="192"/>
    <x v="535"/>
  </r>
  <r>
    <n v="1099803"/>
    <x v="352"/>
    <x v="6"/>
    <x v="187"/>
    <x v="98"/>
  </r>
  <r>
    <n v="1099803"/>
    <x v="352"/>
    <x v="6"/>
    <x v="190"/>
    <x v="346"/>
  </r>
  <r>
    <n v="1099803"/>
    <x v="352"/>
    <x v="6"/>
    <x v="184"/>
    <x v="516"/>
  </r>
  <r>
    <n v="1099803"/>
    <x v="352"/>
    <x v="6"/>
    <x v="28"/>
    <x v="226"/>
  </r>
  <r>
    <n v="1099803"/>
    <x v="352"/>
    <x v="6"/>
    <x v="0"/>
    <x v="529"/>
  </r>
  <r>
    <n v="1099803"/>
    <x v="352"/>
    <x v="6"/>
    <x v="29"/>
    <x v="197"/>
  </r>
  <r>
    <n v="1099803"/>
    <x v="352"/>
    <x v="6"/>
    <x v="36"/>
    <x v="34"/>
  </r>
  <r>
    <n v="1099803"/>
    <x v="352"/>
    <x v="6"/>
    <x v="31"/>
    <x v="162"/>
  </r>
  <r>
    <n v="1099803"/>
    <x v="352"/>
    <x v="6"/>
    <x v="82"/>
    <x v="346"/>
  </r>
  <r>
    <n v="1099803"/>
    <x v="352"/>
    <x v="6"/>
    <x v="77"/>
    <x v="536"/>
  </r>
  <r>
    <n v="1099803"/>
    <x v="352"/>
    <x v="6"/>
    <x v="68"/>
    <x v="98"/>
  </r>
  <r>
    <n v="1099803"/>
    <x v="352"/>
    <x v="6"/>
    <x v="60"/>
    <x v="82"/>
  </r>
  <r>
    <n v="1099803"/>
    <x v="352"/>
    <x v="6"/>
    <x v="56"/>
    <x v="69"/>
  </r>
  <r>
    <n v="1099803"/>
    <x v="352"/>
    <x v="6"/>
    <x v="201"/>
    <x v="88"/>
  </r>
  <r>
    <n v="1099803"/>
    <x v="352"/>
    <x v="6"/>
    <x v="420"/>
    <x v="547"/>
  </r>
  <r>
    <n v="1099803"/>
    <x v="352"/>
    <x v="6"/>
    <x v="389"/>
    <x v="537"/>
  </r>
  <r>
    <n v="1099803"/>
    <x v="352"/>
    <x v="6"/>
    <x v="386"/>
    <x v="85"/>
  </r>
  <r>
    <n v="1099803"/>
    <x v="352"/>
    <x v="6"/>
    <x v="5"/>
    <x v="3"/>
  </r>
  <r>
    <n v="1099803"/>
    <x v="352"/>
    <x v="6"/>
    <x v="10"/>
    <x v="83"/>
  </r>
  <r>
    <n v="1099803"/>
    <x v="352"/>
    <x v="6"/>
    <x v="348"/>
    <x v="178"/>
  </r>
  <r>
    <n v="1099803"/>
    <x v="352"/>
    <x v="6"/>
    <x v="336"/>
    <x v="178"/>
  </r>
  <r>
    <n v="1099803"/>
    <x v="352"/>
    <x v="6"/>
    <x v="330"/>
    <x v="553"/>
  </r>
  <r>
    <n v="1099803"/>
    <x v="352"/>
    <x v="6"/>
    <x v="12"/>
    <x v="3"/>
  </r>
  <r>
    <n v="1099803"/>
    <x v="352"/>
    <x v="6"/>
    <x v="345"/>
    <x v="346"/>
  </r>
  <r>
    <n v="1099803"/>
    <x v="352"/>
    <x v="6"/>
    <x v="351"/>
    <x v="351"/>
  </r>
  <r>
    <n v="1099803"/>
    <x v="352"/>
    <x v="6"/>
    <x v="162"/>
    <x v="535"/>
  </r>
  <r>
    <n v="1099803"/>
    <x v="352"/>
    <x v="6"/>
    <x v="132"/>
    <x v="178"/>
  </r>
  <r>
    <n v="1099803"/>
    <x v="352"/>
    <x v="6"/>
    <x v="144"/>
    <x v="348"/>
  </r>
  <r>
    <n v="1099803"/>
    <x v="352"/>
    <x v="6"/>
    <x v="255"/>
    <x v="154"/>
  </r>
  <r>
    <n v="1099803"/>
    <x v="352"/>
    <x v="6"/>
    <x v="264"/>
    <x v="351"/>
  </r>
  <r>
    <n v="1099803"/>
    <x v="352"/>
    <x v="6"/>
    <x v="210"/>
    <x v="348"/>
  </r>
  <r>
    <n v="1099803"/>
    <x v="352"/>
    <x v="6"/>
    <x v="340"/>
    <x v="78"/>
  </r>
  <r>
    <n v="1099803"/>
    <x v="352"/>
    <x v="6"/>
    <x v="229"/>
    <x v="219"/>
  </r>
  <r>
    <n v="1099803"/>
    <x v="352"/>
    <x v="6"/>
    <x v="155"/>
    <x v="331"/>
  </r>
  <r>
    <n v="1099803"/>
    <x v="352"/>
    <x v="6"/>
    <x v="341"/>
    <x v="346"/>
  </r>
  <r>
    <n v="1099803"/>
    <x v="352"/>
    <x v="6"/>
    <x v="317"/>
    <x v="346"/>
  </r>
  <r>
    <n v="1099803"/>
    <x v="352"/>
    <x v="6"/>
    <x v="186"/>
    <x v="535"/>
  </r>
  <r>
    <n v="1099803"/>
    <x v="352"/>
    <x v="6"/>
    <x v="188"/>
    <x v="88"/>
  </r>
  <r>
    <n v="1099803"/>
    <x v="352"/>
    <x v="6"/>
    <x v="164"/>
    <x v="105"/>
  </r>
  <r>
    <n v="1099803"/>
    <x v="352"/>
    <x v="6"/>
    <x v="26"/>
    <x v="351"/>
  </r>
  <r>
    <n v="1099803"/>
    <x v="352"/>
    <x v="6"/>
    <x v="42"/>
    <x v="182"/>
  </r>
  <r>
    <n v="1099803"/>
    <x v="352"/>
    <x v="6"/>
    <x v="388"/>
    <x v="37"/>
  </r>
  <r>
    <n v="1099803"/>
    <x v="352"/>
    <x v="6"/>
    <x v="203"/>
    <x v="543"/>
  </r>
  <r>
    <n v="1099803"/>
    <x v="352"/>
    <x v="6"/>
    <x v="70"/>
    <x v="198"/>
  </r>
  <r>
    <n v="1099803"/>
    <x v="352"/>
    <x v="6"/>
    <x v="73"/>
    <x v="351"/>
  </r>
  <r>
    <n v="1099803"/>
    <x v="352"/>
    <x v="6"/>
    <x v="424"/>
    <x v="170"/>
  </r>
  <r>
    <n v="1099803"/>
    <x v="352"/>
    <x v="6"/>
    <x v="383"/>
    <x v="220"/>
  </r>
  <r>
    <n v="1099803"/>
    <x v="352"/>
    <x v="6"/>
    <x v="158"/>
    <x v="472"/>
  </r>
  <r>
    <n v="1099803"/>
    <x v="352"/>
    <x v="6"/>
    <x v="344"/>
    <x v="346"/>
  </r>
  <r>
    <n v="1099803"/>
    <x v="352"/>
    <x v="6"/>
    <x v="347"/>
    <x v="348"/>
  </r>
  <r>
    <n v="1099803"/>
    <x v="352"/>
    <x v="6"/>
    <x v="335"/>
    <x v="348"/>
  </r>
  <r>
    <n v="1099803"/>
    <x v="352"/>
    <x v="6"/>
    <x v="163"/>
    <x v="516"/>
  </r>
  <r>
    <n v="1099803"/>
    <x v="352"/>
    <x v="6"/>
    <x v="134"/>
    <x v="178"/>
  </r>
  <r>
    <n v="1099803"/>
    <x v="352"/>
    <x v="6"/>
    <x v="146"/>
    <x v="535"/>
  </r>
  <r>
    <n v="1099803"/>
    <x v="352"/>
    <x v="6"/>
    <x v="257"/>
    <x v="198"/>
  </r>
  <r>
    <n v="1099803"/>
    <x v="352"/>
    <x v="6"/>
    <x v="265"/>
    <x v="535"/>
  </r>
  <r>
    <n v="1099803"/>
    <x v="352"/>
    <x v="6"/>
    <x v="212"/>
    <x v="4"/>
  </r>
  <r>
    <n v="1099803"/>
    <x v="352"/>
    <x v="6"/>
    <x v="223"/>
    <x v="3"/>
  </r>
  <r>
    <n v="1099803"/>
    <x v="352"/>
    <x v="6"/>
    <x v="231"/>
    <x v="88"/>
  </r>
  <r>
    <n v="1099803"/>
    <x v="352"/>
    <x v="6"/>
    <x v="239"/>
    <x v="198"/>
  </r>
  <r>
    <n v="1099803"/>
    <x v="352"/>
    <x v="6"/>
    <x v="247"/>
    <x v="198"/>
  </r>
  <r>
    <n v="1099803"/>
    <x v="352"/>
    <x v="6"/>
    <x v="221"/>
    <x v="198"/>
  </r>
  <r>
    <n v="1099803"/>
    <x v="352"/>
    <x v="6"/>
    <x v="174"/>
    <x v="88"/>
  </r>
  <r>
    <n v="1099803"/>
    <x v="352"/>
    <x v="6"/>
    <x v="176"/>
    <x v="83"/>
  </r>
  <r>
    <n v="1099803"/>
    <x v="352"/>
    <x v="6"/>
    <x v="166"/>
    <x v="534"/>
  </r>
  <r>
    <n v="1099803"/>
    <x v="352"/>
    <x v="6"/>
    <x v="35"/>
    <x v="178"/>
  </r>
  <r>
    <n v="1099803"/>
    <x v="352"/>
    <x v="6"/>
    <x v="41"/>
    <x v="203"/>
  </r>
  <r>
    <n v="1099803"/>
    <x v="352"/>
    <x v="6"/>
    <x v="65"/>
    <x v="351"/>
  </r>
  <r>
    <n v="1099803"/>
    <x v="352"/>
    <x v="6"/>
    <x v="58"/>
    <x v="82"/>
  </r>
  <r>
    <n v="1099803"/>
    <x v="352"/>
    <x v="6"/>
    <x v="3"/>
    <x v="24"/>
  </r>
  <r>
    <n v="1099803"/>
    <x v="352"/>
    <x v="6"/>
    <x v="4"/>
    <x v="3"/>
  </r>
  <r>
    <n v="1099803"/>
    <x v="352"/>
    <x v="6"/>
    <x v="394"/>
    <x v="54"/>
  </r>
  <r>
    <n v="1099803"/>
    <x v="352"/>
    <x v="6"/>
    <x v="343"/>
    <x v="348"/>
  </r>
  <r>
    <n v="1099803"/>
    <x v="352"/>
    <x v="6"/>
    <x v="6"/>
    <x v="516"/>
  </r>
  <r>
    <n v="1099803"/>
    <x v="352"/>
    <x v="6"/>
    <x v="332"/>
    <x v="346"/>
  </r>
  <r>
    <n v="1099803"/>
    <x v="352"/>
    <x v="6"/>
    <x v="339"/>
    <x v="348"/>
  </r>
  <r>
    <n v="1099803"/>
    <x v="352"/>
    <x v="6"/>
    <x v="127"/>
    <x v="535"/>
  </r>
  <r>
    <n v="1099803"/>
    <x v="352"/>
    <x v="6"/>
    <x v="138"/>
    <x v="351"/>
  </r>
  <r>
    <n v="1099803"/>
    <x v="352"/>
    <x v="6"/>
    <x v="150"/>
    <x v="77"/>
  </r>
  <r>
    <n v="1099803"/>
    <x v="352"/>
    <x v="6"/>
    <x v="261"/>
    <x v="348"/>
  </r>
  <r>
    <n v="1099803"/>
    <x v="352"/>
    <x v="6"/>
    <x v="207"/>
    <x v="88"/>
  </r>
  <r>
    <n v="1099803"/>
    <x v="352"/>
    <x v="6"/>
    <x v="216"/>
    <x v="198"/>
  </r>
  <r>
    <n v="1099803"/>
    <x v="352"/>
    <x v="6"/>
    <x v="426"/>
    <x v="170"/>
  </r>
  <r>
    <n v="1099803"/>
    <x v="352"/>
    <x v="6"/>
    <x v="235"/>
    <x v="83"/>
  </r>
  <r>
    <n v="1099803"/>
    <x v="352"/>
    <x v="6"/>
    <x v="242"/>
    <x v="346"/>
  </r>
  <r>
    <n v="1099803"/>
    <x v="1"/>
    <x v="1"/>
    <x v="2"/>
    <x v="2"/>
  </r>
  <r>
    <n v="1099811"/>
    <x v="353"/>
    <x v="5"/>
    <x v="123"/>
    <x v="2"/>
  </r>
  <r>
    <n v="1099811"/>
    <x v="1"/>
    <x v="1"/>
    <x v="2"/>
    <x v="2"/>
  </r>
  <r>
    <n v="1099813"/>
    <x v="354"/>
    <x v="5"/>
    <x v="281"/>
    <x v="371"/>
  </r>
  <r>
    <n v="1099813"/>
    <x v="354"/>
    <x v="5"/>
    <x v="269"/>
    <x v="749"/>
  </r>
  <r>
    <n v="1099813"/>
    <x v="354"/>
    <x v="5"/>
    <x v="279"/>
    <x v="58"/>
  </r>
  <r>
    <n v="1099813"/>
    <x v="354"/>
    <x v="5"/>
    <x v="280"/>
    <x v="164"/>
  </r>
  <r>
    <n v="1099813"/>
    <x v="354"/>
    <x v="5"/>
    <x v="267"/>
    <x v="3"/>
  </r>
  <r>
    <n v="1099813"/>
    <x v="354"/>
    <x v="5"/>
    <x v="275"/>
    <x v="750"/>
  </r>
  <r>
    <n v="1099813"/>
    <x v="354"/>
    <x v="5"/>
    <x v="397"/>
    <x v="185"/>
  </r>
  <r>
    <n v="1099813"/>
    <x v="354"/>
    <x v="5"/>
    <x v="197"/>
    <x v="751"/>
  </r>
  <r>
    <n v="1099813"/>
    <x v="354"/>
    <x v="5"/>
    <x v="409"/>
    <x v="163"/>
  </r>
  <r>
    <n v="1099813"/>
    <x v="354"/>
    <x v="5"/>
    <x v="268"/>
    <x v="37"/>
  </r>
  <r>
    <n v="1099813"/>
    <x v="354"/>
    <x v="5"/>
    <x v="284"/>
    <x v="121"/>
  </r>
  <r>
    <n v="1099813"/>
    <x v="354"/>
    <x v="5"/>
    <x v="403"/>
    <x v="53"/>
  </r>
  <r>
    <n v="1099813"/>
    <x v="354"/>
    <x v="5"/>
    <x v="417"/>
    <x v="353"/>
  </r>
  <r>
    <n v="1099813"/>
    <x v="354"/>
    <x v="5"/>
    <x v="285"/>
    <x v="34"/>
  </r>
  <r>
    <n v="1099813"/>
    <x v="354"/>
    <x v="5"/>
    <x v="286"/>
    <x v="752"/>
  </r>
  <r>
    <n v="1099813"/>
    <x v="354"/>
    <x v="5"/>
    <x v="266"/>
    <x v="753"/>
  </r>
  <r>
    <n v="1099813"/>
    <x v="354"/>
    <x v="5"/>
    <x v="407"/>
    <x v="197"/>
  </r>
  <r>
    <n v="1099813"/>
    <x v="354"/>
    <x v="5"/>
    <x v="198"/>
    <x v="203"/>
  </r>
  <r>
    <n v="1099813"/>
    <x v="354"/>
    <x v="5"/>
    <x v="23"/>
    <x v="37"/>
  </r>
  <r>
    <n v="1099813"/>
    <x v="354"/>
    <x v="5"/>
    <x v="22"/>
    <x v="37"/>
  </r>
  <r>
    <n v="1099813"/>
    <x v="354"/>
    <x v="5"/>
    <x v="274"/>
    <x v="754"/>
  </r>
  <r>
    <n v="1099813"/>
    <x v="354"/>
    <x v="5"/>
    <x v="19"/>
    <x v="161"/>
  </r>
  <r>
    <n v="1099813"/>
    <x v="354"/>
    <x v="5"/>
    <x v="398"/>
    <x v="154"/>
  </r>
  <r>
    <n v="1099813"/>
    <x v="354"/>
    <x v="5"/>
    <x v="406"/>
    <x v="79"/>
  </r>
  <r>
    <n v="1099813"/>
    <x v="354"/>
    <x v="5"/>
    <x v="416"/>
    <x v="212"/>
  </r>
  <r>
    <n v="1099813"/>
    <x v="354"/>
    <x v="5"/>
    <x v="415"/>
    <x v="39"/>
  </r>
  <r>
    <n v="1099813"/>
    <x v="354"/>
    <x v="5"/>
    <x v="412"/>
    <x v="348"/>
  </r>
  <r>
    <n v="1099813"/>
    <x v="354"/>
    <x v="5"/>
    <x v="408"/>
    <x v="154"/>
  </r>
  <r>
    <n v="1099813"/>
    <x v="354"/>
    <x v="5"/>
    <x v="400"/>
    <x v="24"/>
  </r>
  <r>
    <n v="1099813"/>
    <x v="354"/>
    <x v="5"/>
    <x v="21"/>
    <x v="77"/>
  </r>
  <r>
    <n v="1099813"/>
    <x v="354"/>
    <x v="5"/>
    <x v="404"/>
    <x v="54"/>
  </r>
  <r>
    <n v="1099813"/>
    <x v="354"/>
    <x v="5"/>
    <x v="86"/>
    <x v="755"/>
  </r>
  <r>
    <n v="1099813"/>
    <x v="354"/>
    <x v="5"/>
    <x v="413"/>
    <x v="176"/>
  </r>
  <r>
    <n v="1099813"/>
    <x v="354"/>
    <x v="5"/>
    <x v="20"/>
    <x v="62"/>
  </r>
  <r>
    <n v="1099813"/>
    <x v="354"/>
    <x v="5"/>
    <x v="401"/>
    <x v="79"/>
  </r>
  <r>
    <n v="1099813"/>
    <x v="354"/>
    <x v="5"/>
    <x v="405"/>
    <x v="98"/>
  </r>
  <r>
    <n v="1099813"/>
    <x v="354"/>
    <x v="5"/>
    <x v="414"/>
    <x v="88"/>
  </r>
  <r>
    <n v="1099813"/>
    <x v="354"/>
    <x v="5"/>
    <x v="18"/>
    <x v="97"/>
  </r>
  <r>
    <n v="1099813"/>
    <x v="354"/>
    <x v="5"/>
    <x v="402"/>
    <x v="146"/>
  </r>
  <r>
    <n v="1099813"/>
    <x v="354"/>
    <x v="5"/>
    <x v="308"/>
    <x v="224"/>
  </r>
  <r>
    <n v="1099813"/>
    <x v="354"/>
    <x v="5"/>
    <x v="92"/>
    <x v="263"/>
  </r>
  <r>
    <n v="1099813"/>
    <x v="354"/>
    <x v="5"/>
    <x v="99"/>
    <x v="756"/>
  </r>
  <r>
    <n v="1099813"/>
    <x v="354"/>
    <x v="5"/>
    <x v="306"/>
    <x v="91"/>
  </r>
  <r>
    <n v="1099813"/>
    <x v="354"/>
    <x v="5"/>
    <x v="307"/>
    <x v="757"/>
  </r>
  <r>
    <n v="1099813"/>
    <x v="354"/>
    <x v="5"/>
    <x v="410"/>
    <x v="105"/>
  </r>
  <r>
    <n v="1099813"/>
    <x v="354"/>
    <x v="5"/>
    <x v="399"/>
    <x v="520"/>
  </r>
  <r>
    <n v="1099813"/>
    <x v="354"/>
    <x v="5"/>
    <x v="273"/>
    <x v="706"/>
  </r>
  <r>
    <n v="1099813"/>
    <x v="354"/>
    <x v="5"/>
    <x v="411"/>
    <x v="363"/>
  </r>
  <r>
    <n v="1099813"/>
    <x v="354"/>
    <x v="5"/>
    <x v="85"/>
    <x v="758"/>
  </r>
  <r>
    <n v="1099813"/>
    <x v="354"/>
    <x v="5"/>
    <x v="282"/>
    <x v="759"/>
  </r>
  <r>
    <n v="1099813"/>
    <x v="354"/>
    <x v="5"/>
    <x v="283"/>
    <x v="548"/>
  </r>
  <r>
    <n v="1099813"/>
    <x v="354"/>
    <x v="5"/>
    <x v="278"/>
    <x v="570"/>
  </r>
  <r>
    <n v="1099813"/>
    <x v="354"/>
    <x v="5"/>
    <x v="270"/>
    <x v="222"/>
  </r>
  <r>
    <n v="1099813"/>
    <x v="354"/>
    <x v="5"/>
    <x v="196"/>
    <x v="451"/>
  </r>
  <r>
    <n v="1099813"/>
    <x v="354"/>
    <x v="5"/>
    <x v="271"/>
    <x v="615"/>
  </r>
  <r>
    <n v="1099813"/>
    <x v="1"/>
    <x v="1"/>
    <x v="2"/>
    <x v="2"/>
  </r>
  <r>
    <n v="1099820"/>
    <x v="355"/>
    <x v="6"/>
    <x v="167"/>
    <x v="2"/>
  </r>
  <r>
    <n v="1099820"/>
    <x v="1"/>
    <x v="1"/>
    <x v="2"/>
    <x v="2"/>
  </r>
  <r>
    <n v="1099823"/>
    <x v="356"/>
    <x v="6"/>
    <x v="167"/>
    <x v="2"/>
  </r>
  <r>
    <n v="1099823"/>
    <x v="1"/>
    <x v="1"/>
    <x v="2"/>
    <x v="2"/>
  </r>
  <r>
    <n v="1099824"/>
    <x v="357"/>
    <x v="6"/>
    <x v="450"/>
    <x v="2"/>
  </r>
  <r>
    <n v="1099824"/>
    <x v="1"/>
    <x v="1"/>
    <x v="2"/>
    <x v="2"/>
  </r>
  <r>
    <n v="1099827"/>
    <x v="358"/>
    <x v="6"/>
    <x v="452"/>
    <x v="2"/>
  </r>
  <r>
    <n v="1099827"/>
    <x v="1"/>
    <x v="1"/>
    <x v="2"/>
    <x v="2"/>
  </r>
  <r>
    <n v="1099835"/>
    <x v="359"/>
    <x v="5"/>
    <x v="304"/>
    <x v="387"/>
  </r>
  <r>
    <n v="1099835"/>
    <x v="359"/>
    <x v="5"/>
    <x v="376"/>
    <x v="197"/>
  </r>
  <r>
    <n v="1099835"/>
    <x v="359"/>
    <x v="5"/>
    <x v="119"/>
    <x v="760"/>
  </r>
  <r>
    <n v="1099835"/>
    <x v="359"/>
    <x v="5"/>
    <x v="453"/>
    <x v="3"/>
  </r>
  <r>
    <n v="1099835"/>
    <x v="359"/>
    <x v="5"/>
    <x v="21"/>
    <x v="88"/>
  </r>
  <r>
    <n v="1099835"/>
    <x v="359"/>
    <x v="5"/>
    <x v="404"/>
    <x v="156"/>
  </r>
  <r>
    <n v="1099835"/>
    <x v="359"/>
    <x v="5"/>
    <x v="86"/>
    <x v="81"/>
  </r>
  <r>
    <n v="1099835"/>
    <x v="359"/>
    <x v="5"/>
    <x v="413"/>
    <x v="154"/>
  </r>
  <r>
    <n v="1099835"/>
    <x v="359"/>
    <x v="5"/>
    <x v="20"/>
    <x v="64"/>
  </r>
  <r>
    <n v="1099835"/>
    <x v="359"/>
    <x v="5"/>
    <x v="401"/>
    <x v="77"/>
  </r>
  <r>
    <n v="1099835"/>
    <x v="359"/>
    <x v="5"/>
    <x v="405"/>
    <x v="4"/>
  </r>
  <r>
    <n v="1099835"/>
    <x v="359"/>
    <x v="5"/>
    <x v="414"/>
    <x v="198"/>
  </r>
  <r>
    <n v="1099835"/>
    <x v="359"/>
    <x v="5"/>
    <x v="18"/>
    <x v="176"/>
  </r>
  <r>
    <n v="1099835"/>
    <x v="359"/>
    <x v="5"/>
    <x v="402"/>
    <x v="153"/>
  </r>
  <r>
    <n v="1099835"/>
    <x v="359"/>
    <x v="5"/>
    <x v="49"/>
    <x v="217"/>
  </r>
  <r>
    <n v="1099835"/>
    <x v="359"/>
    <x v="5"/>
    <x v="196"/>
    <x v="761"/>
  </r>
  <r>
    <n v="1099835"/>
    <x v="359"/>
    <x v="5"/>
    <x v="47"/>
    <x v="762"/>
  </r>
  <r>
    <n v="1099835"/>
    <x v="359"/>
    <x v="5"/>
    <x v="51"/>
    <x v="687"/>
  </r>
  <r>
    <n v="1099835"/>
    <x v="359"/>
    <x v="5"/>
    <x v="53"/>
    <x v="763"/>
  </r>
  <r>
    <n v="1099835"/>
    <x v="359"/>
    <x v="5"/>
    <x v="355"/>
    <x v="69"/>
  </r>
  <r>
    <n v="1099835"/>
    <x v="359"/>
    <x v="5"/>
    <x v="269"/>
    <x v="764"/>
  </r>
  <r>
    <n v="1099835"/>
    <x v="359"/>
    <x v="5"/>
    <x v="360"/>
    <x v="91"/>
  </r>
  <r>
    <n v="1099835"/>
    <x v="359"/>
    <x v="5"/>
    <x v="281"/>
    <x v="746"/>
  </r>
  <r>
    <n v="1099835"/>
    <x v="359"/>
    <x v="5"/>
    <x v="440"/>
    <x v="223"/>
  </r>
  <r>
    <n v="1099835"/>
    <x v="359"/>
    <x v="5"/>
    <x v="89"/>
    <x v="756"/>
  </r>
  <r>
    <n v="1099835"/>
    <x v="359"/>
    <x v="5"/>
    <x v="361"/>
    <x v="62"/>
  </r>
  <r>
    <n v="1099835"/>
    <x v="359"/>
    <x v="5"/>
    <x v="443"/>
    <x v="233"/>
  </r>
  <r>
    <n v="1099835"/>
    <x v="359"/>
    <x v="5"/>
    <x v="362"/>
    <x v="353"/>
  </r>
  <r>
    <n v="1099835"/>
    <x v="359"/>
    <x v="5"/>
    <x v="363"/>
    <x v="62"/>
  </r>
  <r>
    <n v="1099835"/>
    <x v="359"/>
    <x v="5"/>
    <x v="90"/>
    <x v="91"/>
  </r>
  <r>
    <n v="1099835"/>
    <x v="359"/>
    <x v="5"/>
    <x v="364"/>
    <x v="176"/>
  </r>
  <r>
    <n v="1099835"/>
    <x v="359"/>
    <x v="5"/>
    <x v="115"/>
    <x v="164"/>
  </r>
  <r>
    <n v="1099835"/>
    <x v="359"/>
    <x v="5"/>
    <x v="271"/>
    <x v="84"/>
  </r>
  <r>
    <n v="1099835"/>
    <x v="359"/>
    <x v="5"/>
    <x v="111"/>
    <x v="349"/>
  </r>
  <r>
    <n v="1099835"/>
    <x v="359"/>
    <x v="5"/>
    <x v="442"/>
    <x v="149"/>
  </r>
  <r>
    <n v="1099835"/>
    <x v="359"/>
    <x v="5"/>
    <x v="365"/>
    <x v="198"/>
  </r>
  <r>
    <n v="1099835"/>
    <x v="359"/>
    <x v="5"/>
    <x v="366"/>
    <x v="4"/>
  </r>
  <r>
    <n v="1099835"/>
    <x v="359"/>
    <x v="5"/>
    <x v="367"/>
    <x v="79"/>
  </r>
  <r>
    <n v="1099835"/>
    <x v="359"/>
    <x v="5"/>
    <x v="368"/>
    <x v="79"/>
  </r>
  <r>
    <n v="1099835"/>
    <x v="359"/>
    <x v="5"/>
    <x v="91"/>
    <x v="144"/>
  </r>
  <r>
    <n v="1099835"/>
    <x v="359"/>
    <x v="5"/>
    <x v="444"/>
    <x v="170"/>
  </r>
  <r>
    <n v="1099835"/>
    <x v="359"/>
    <x v="5"/>
    <x v="370"/>
    <x v="78"/>
  </r>
  <r>
    <n v="1099835"/>
    <x v="359"/>
    <x v="5"/>
    <x v="371"/>
    <x v="161"/>
  </r>
  <r>
    <n v="1099835"/>
    <x v="359"/>
    <x v="5"/>
    <x v="308"/>
    <x v="92"/>
  </r>
  <r>
    <n v="1099835"/>
    <x v="359"/>
    <x v="5"/>
    <x v="50"/>
    <x v="91"/>
  </r>
  <r>
    <n v="1099835"/>
    <x v="359"/>
    <x v="5"/>
    <x v="23"/>
    <x v="117"/>
  </r>
  <r>
    <n v="1099835"/>
    <x v="359"/>
    <x v="5"/>
    <x v="373"/>
    <x v="92"/>
  </r>
  <r>
    <n v="1099835"/>
    <x v="359"/>
    <x v="5"/>
    <x v="92"/>
    <x v="765"/>
  </r>
  <r>
    <n v="1099835"/>
    <x v="359"/>
    <x v="5"/>
    <x v="99"/>
    <x v="766"/>
  </r>
  <r>
    <n v="1099835"/>
    <x v="359"/>
    <x v="5"/>
    <x v="374"/>
    <x v="54"/>
  </r>
  <r>
    <n v="1099835"/>
    <x v="359"/>
    <x v="5"/>
    <x v="45"/>
    <x v="258"/>
  </r>
  <r>
    <n v="1099835"/>
    <x v="359"/>
    <x v="5"/>
    <x v="116"/>
    <x v="387"/>
  </r>
  <r>
    <n v="1099835"/>
    <x v="359"/>
    <x v="5"/>
    <x v="110"/>
    <x v="39"/>
  </r>
  <r>
    <n v="1099835"/>
    <x v="359"/>
    <x v="5"/>
    <x v="267"/>
    <x v="3"/>
  </r>
  <r>
    <n v="1099835"/>
    <x v="359"/>
    <x v="5"/>
    <x v="93"/>
    <x v="767"/>
  </r>
  <r>
    <n v="1099835"/>
    <x v="359"/>
    <x v="5"/>
    <x v="305"/>
    <x v="768"/>
  </r>
  <r>
    <n v="1099835"/>
    <x v="359"/>
    <x v="5"/>
    <x v="274"/>
    <x v="263"/>
  </r>
  <r>
    <n v="1099835"/>
    <x v="359"/>
    <x v="5"/>
    <x v="98"/>
    <x v="148"/>
  </r>
  <r>
    <n v="1099835"/>
    <x v="359"/>
    <x v="5"/>
    <x v="409"/>
    <x v="78"/>
  </r>
  <r>
    <n v="1099835"/>
    <x v="359"/>
    <x v="5"/>
    <x v="311"/>
    <x v="114"/>
  </r>
  <r>
    <n v="1099835"/>
    <x v="359"/>
    <x v="5"/>
    <x v="19"/>
    <x v="170"/>
  </r>
  <r>
    <n v="1099835"/>
    <x v="359"/>
    <x v="5"/>
    <x v="96"/>
    <x v="144"/>
  </r>
  <r>
    <n v="1099835"/>
    <x v="359"/>
    <x v="5"/>
    <x v="398"/>
    <x v="83"/>
  </r>
  <r>
    <n v="1099835"/>
    <x v="359"/>
    <x v="5"/>
    <x v="356"/>
    <x v="34"/>
  </r>
  <r>
    <n v="1099835"/>
    <x v="359"/>
    <x v="5"/>
    <x v="94"/>
    <x v="88"/>
  </r>
  <r>
    <n v="1099835"/>
    <x v="359"/>
    <x v="5"/>
    <x v="406"/>
    <x v="77"/>
  </r>
  <r>
    <n v="1099835"/>
    <x v="359"/>
    <x v="5"/>
    <x v="377"/>
    <x v="769"/>
  </r>
  <r>
    <n v="1099835"/>
    <x v="359"/>
    <x v="5"/>
    <x v="357"/>
    <x v="349"/>
  </r>
  <r>
    <n v="1099835"/>
    <x v="359"/>
    <x v="5"/>
    <x v="416"/>
    <x v="552"/>
  </r>
  <r>
    <n v="1099835"/>
    <x v="359"/>
    <x v="5"/>
    <x v="52"/>
    <x v="154"/>
  </r>
  <r>
    <n v="1099835"/>
    <x v="359"/>
    <x v="5"/>
    <x v="358"/>
    <x v="61"/>
  </r>
  <r>
    <n v="1099835"/>
    <x v="359"/>
    <x v="5"/>
    <x v="415"/>
    <x v="145"/>
  </r>
  <r>
    <n v="1099835"/>
    <x v="359"/>
    <x v="5"/>
    <x v="117"/>
    <x v="615"/>
  </r>
  <r>
    <n v="1099835"/>
    <x v="359"/>
    <x v="5"/>
    <x v="408"/>
    <x v="83"/>
  </r>
  <r>
    <n v="1099835"/>
    <x v="359"/>
    <x v="5"/>
    <x v="400"/>
    <x v="77"/>
  </r>
  <r>
    <n v="1099835"/>
    <x v="359"/>
    <x v="5"/>
    <x v="270"/>
    <x v="214"/>
  </r>
  <r>
    <n v="1099835"/>
    <x v="359"/>
    <x v="5"/>
    <x v="113"/>
    <x v="77"/>
  </r>
  <r>
    <n v="1099835"/>
    <x v="359"/>
    <x v="5"/>
    <x v="112"/>
    <x v="146"/>
  </r>
  <r>
    <n v="1099835"/>
    <x v="359"/>
    <x v="5"/>
    <x v="306"/>
    <x v="163"/>
  </r>
  <r>
    <n v="1099835"/>
    <x v="359"/>
    <x v="5"/>
    <x v="114"/>
    <x v="161"/>
  </r>
  <r>
    <n v="1099835"/>
    <x v="359"/>
    <x v="5"/>
    <x v="307"/>
    <x v="367"/>
  </r>
  <r>
    <n v="1099835"/>
    <x v="359"/>
    <x v="5"/>
    <x v="309"/>
    <x v="455"/>
  </r>
  <r>
    <n v="1099835"/>
    <x v="359"/>
    <x v="5"/>
    <x v="399"/>
    <x v="171"/>
  </r>
  <r>
    <n v="1099835"/>
    <x v="359"/>
    <x v="5"/>
    <x v="273"/>
    <x v="51"/>
  </r>
  <r>
    <n v="1099835"/>
    <x v="359"/>
    <x v="5"/>
    <x v="329"/>
    <x v="694"/>
  </r>
  <r>
    <n v="1099835"/>
    <x v="359"/>
    <x v="5"/>
    <x v="445"/>
    <x v="97"/>
  </r>
  <r>
    <n v="1099835"/>
    <x v="359"/>
    <x v="5"/>
    <x v="411"/>
    <x v="148"/>
  </r>
  <r>
    <n v="1099835"/>
    <x v="359"/>
    <x v="5"/>
    <x v="118"/>
    <x v="207"/>
  </r>
  <r>
    <n v="1099835"/>
    <x v="359"/>
    <x v="5"/>
    <x v="280"/>
    <x v="144"/>
  </r>
  <r>
    <n v="1099835"/>
    <x v="359"/>
    <x v="5"/>
    <x v="100"/>
    <x v="39"/>
  </r>
  <r>
    <n v="1099835"/>
    <x v="359"/>
    <x v="5"/>
    <x v="54"/>
    <x v="78"/>
  </r>
  <r>
    <n v="1099835"/>
    <x v="1"/>
    <x v="1"/>
    <x v="2"/>
    <x v="2"/>
  </r>
  <r>
    <n v="1099844"/>
    <x v="360"/>
    <x v="6"/>
    <x v="277"/>
    <x v="2"/>
  </r>
  <r>
    <n v="1099844"/>
    <x v="1"/>
    <x v="1"/>
    <x v="2"/>
    <x v="2"/>
  </r>
  <r>
    <n v="1099849"/>
    <x v="361"/>
    <x v="6"/>
    <x v="454"/>
    <x v="2"/>
  </r>
  <r>
    <n v="1099849"/>
    <x v="1"/>
    <x v="1"/>
    <x v="2"/>
    <x v="2"/>
  </r>
  <r>
    <n v="1099851"/>
    <x v="362"/>
    <x v="6"/>
    <x v="427"/>
    <x v="2"/>
  </r>
  <r>
    <n v="1099851"/>
    <x v="1"/>
    <x v="1"/>
    <x v="2"/>
    <x v="2"/>
  </r>
  <r>
    <n v="1099854"/>
    <x v="363"/>
    <x v="6"/>
    <x v="455"/>
    <x v="2"/>
  </r>
  <r>
    <n v="1099854"/>
    <x v="1"/>
    <x v="1"/>
    <x v="2"/>
    <x v="2"/>
  </r>
  <r>
    <n v="1099859"/>
    <x v="364"/>
    <x v="2"/>
    <x v="84"/>
    <x v="232"/>
  </r>
  <r>
    <n v="1099859"/>
    <x v="364"/>
    <x v="2"/>
    <x v="76"/>
    <x v="231"/>
  </r>
  <r>
    <n v="1099859"/>
    <x v="364"/>
    <x v="2"/>
    <x v="82"/>
    <x v="162"/>
  </r>
  <r>
    <n v="1099859"/>
    <x v="364"/>
    <x v="2"/>
    <x v="77"/>
    <x v="236"/>
  </r>
  <r>
    <n v="1099859"/>
    <x v="364"/>
    <x v="2"/>
    <x v="78"/>
    <x v="235"/>
  </r>
  <r>
    <n v="1099859"/>
    <x v="364"/>
    <x v="2"/>
    <x v="65"/>
    <x v="98"/>
  </r>
  <r>
    <n v="1099859"/>
    <x v="364"/>
    <x v="2"/>
    <x v="66"/>
    <x v="231"/>
  </r>
  <r>
    <n v="1099859"/>
    <x v="364"/>
    <x v="2"/>
    <x v="68"/>
    <x v="230"/>
  </r>
  <r>
    <n v="1099859"/>
    <x v="364"/>
    <x v="2"/>
    <x v="60"/>
    <x v="229"/>
  </r>
  <r>
    <n v="1099859"/>
    <x v="364"/>
    <x v="2"/>
    <x v="75"/>
    <x v="173"/>
  </r>
  <r>
    <n v="1099859"/>
    <x v="364"/>
    <x v="2"/>
    <x v="71"/>
    <x v="111"/>
  </r>
  <r>
    <n v="1099859"/>
    <x v="364"/>
    <x v="2"/>
    <x v="74"/>
    <x v="51"/>
  </r>
  <r>
    <n v="1099859"/>
    <x v="364"/>
    <x v="2"/>
    <x v="62"/>
    <x v="153"/>
  </r>
  <r>
    <n v="1099859"/>
    <x v="364"/>
    <x v="2"/>
    <x v="70"/>
    <x v="197"/>
  </r>
  <r>
    <n v="1099859"/>
    <x v="364"/>
    <x v="2"/>
    <x v="63"/>
    <x v="97"/>
  </r>
  <r>
    <n v="1099859"/>
    <x v="364"/>
    <x v="2"/>
    <x v="58"/>
    <x v="233"/>
  </r>
  <r>
    <n v="1099859"/>
    <x v="364"/>
    <x v="2"/>
    <x v="79"/>
    <x v="227"/>
  </r>
  <r>
    <n v="1099859"/>
    <x v="364"/>
    <x v="2"/>
    <x v="56"/>
    <x v="228"/>
  </r>
  <r>
    <n v="1099859"/>
    <x v="364"/>
    <x v="2"/>
    <x v="61"/>
    <x v="234"/>
  </r>
  <r>
    <n v="1099859"/>
    <x v="1"/>
    <x v="1"/>
    <x v="2"/>
    <x v="2"/>
  </r>
  <r>
    <n v="1099875"/>
    <x v="365"/>
    <x v="6"/>
    <x v="427"/>
    <x v="2"/>
  </r>
  <r>
    <n v="1099875"/>
    <x v="1"/>
    <x v="1"/>
    <x v="2"/>
    <x v="2"/>
  </r>
  <r>
    <n v="1099888"/>
    <x v="366"/>
    <x v="12"/>
    <x v="297"/>
    <x v="51"/>
  </r>
  <r>
    <n v="1099888"/>
    <x v="366"/>
    <x v="12"/>
    <x v="428"/>
    <x v="40"/>
  </r>
  <r>
    <n v="1099888"/>
    <x v="366"/>
    <x v="12"/>
    <x v="106"/>
    <x v="150"/>
  </r>
  <r>
    <n v="1099888"/>
    <x v="366"/>
    <x v="12"/>
    <x v="287"/>
    <x v="217"/>
  </r>
  <r>
    <n v="1099888"/>
    <x v="366"/>
    <x v="12"/>
    <x v="107"/>
    <x v="222"/>
  </r>
  <r>
    <n v="1099888"/>
    <x v="366"/>
    <x v="12"/>
    <x v="429"/>
    <x v="456"/>
  </r>
  <r>
    <n v="1099888"/>
    <x v="366"/>
    <x v="12"/>
    <x v="435"/>
    <x v="144"/>
  </r>
  <r>
    <n v="1099888"/>
    <x v="366"/>
    <x v="12"/>
    <x v="293"/>
    <x v="559"/>
  </r>
  <r>
    <n v="1099888"/>
    <x v="366"/>
    <x v="12"/>
    <x v="379"/>
    <x v="562"/>
  </r>
  <r>
    <n v="1099888"/>
    <x v="366"/>
    <x v="12"/>
    <x v="432"/>
    <x v="57"/>
  </r>
  <r>
    <n v="1099888"/>
    <x v="366"/>
    <x v="12"/>
    <x v="378"/>
    <x v="90"/>
  </r>
  <r>
    <n v="1099888"/>
    <x v="366"/>
    <x v="12"/>
    <x v="105"/>
    <x v="560"/>
  </r>
  <r>
    <n v="1099888"/>
    <x v="366"/>
    <x v="12"/>
    <x v="381"/>
    <x v="566"/>
  </r>
  <r>
    <n v="1099888"/>
    <x v="366"/>
    <x v="12"/>
    <x v="294"/>
    <x v="58"/>
  </r>
  <r>
    <n v="1099888"/>
    <x v="366"/>
    <x v="12"/>
    <x v="291"/>
    <x v="114"/>
  </r>
  <r>
    <n v="1099888"/>
    <x v="366"/>
    <x v="12"/>
    <x v="382"/>
    <x v="565"/>
  </r>
  <r>
    <n v="1099888"/>
    <x v="366"/>
    <x v="12"/>
    <x v="437"/>
    <x v="213"/>
  </r>
  <r>
    <n v="1099888"/>
    <x v="366"/>
    <x v="12"/>
    <x v="292"/>
    <x v="21"/>
  </r>
  <r>
    <n v="1099888"/>
    <x v="366"/>
    <x v="12"/>
    <x v="102"/>
    <x v="558"/>
  </r>
  <r>
    <n v="1099888"/>
    <x v="366"/>
    <x v="12"/>
    <x v="103"/>
    <x v="552"/>
  </r>
  <r>
    <n v="1099888"/>
    <x v="366"/>
    <x v="12"/>
    <x v="298"/>
    <x v="567"/>
  </r>
  <r>
    <n v="1099888"/>
    <x v="366"/>
    <x v="12"/>
    <x v="433"/>
    <x v="149"/>
  </r>
  <r>
    <n v="1099888"/>
    <x v="366"/>
    <x v="12"/>
    <x v="430"/>
    <x v="64"/>
  </r>
  <r>
    <n v="1099888"/>
    <x v="366"/>
    <x v="12"/>
    <x v="104"/>
    <x v="552"/>
  </r>
  <r>
    <n v="1099888"/>
    <x v="366"/>
    <x v="12"/>
    <x v="431"/>
    <x v="172"/>
  </r>
  <r>
    <n v="1099888"/>
    <x v="366"/>
    <x v="12"/>
    <x v="290"/>
    <x v="564"/>
  </r>
  <r>
    <n v="1099888"/>
    <x v="366"/>
    <x v="12"/>
    <x v="288"/>
    <x v="557"/>
  </r>
  <r>
    <n v="1099888"/>
    <x v="366"/>
    <x v="12"/>
    <x v="295"/>
    <x v="563"/>
  </r>
  <r>
    <n v="1099888"/>
    <x v="366"/>
    <x v="12"/>
    <x v="436"/>
    <x v="376"/>
  </r>
  <r>
    <n v="1099888"/>
    <x v="366"/>
    <x v="12"/>
    <x v="289"/>
    <x v="568"/>
  </r>
  <r>
    <n v="1099888"/>
    <x v="366"/>
    <x v="12"/>
    <x v="434"/>
    <x v="225"/>
  </r>
  <r>
    <n v="1099888"/>
    <x v="366"/>
    <x v="12"/>
    <x v="296"/>
    <x v="561"/>
  </r>
  <r>
    <n v="1099888"/>
    <x v="366"/>
    <x v="12"/>
    <x v="380"/>
    <x v="21"/>
  </r>
  <r>
    <n v="1099888"/>
    <x v="366"/>
    <x v="12"/>
    <x v="101"/>
    <x v="232"/>
  </r>
  <r>
    <n v="1099888"/>
    <x v="1"/>
    <x v="1"/>
    <x v="2"/>
    <x v="2"/>
  </r>
  <r>
    <n v="1099895"/>
    <x v="367"/>
    <x v="6"/>
    <x v="167"/>
    <x v="2"/>
  </r>
  <r>
    <n v="1099895"/>
    <x v="1"/>
    <x v="1"/>
    <x v="2"/>
    <x v="2"/>
  </r>
  <r>
    <n v="1099901"/>
    <x v="368"/>
    <x v="6"/>
    <x v="167"/>
    <x v="2"/>
  </r>
  <r>
    <n v="1099901"/>
    <x v="1"/>
    <x v="1"/>
    <x v="2"/>
    <x v="2"/>
  </r>
  <r>
    <n v="1099907"/>
    <x v="369"/>
    <x v="6"/>
    <x v="450"/>
    <x v="2"/>
  </r>
  <r>
    <n v="1099907"/>
    <x v="1"/>
    <x v="1"/>
    <x v="2"/>
    <x v="2"/>
  </r>
  <r>
    <n v="1099909"/>
    <x v="370"/>
    <x v="6"/>
    <x v="167"/>
    <x v="2"/>
  </r>
  <r>
    <n v="1099909"/>
    <x v="1"/>
    <x v="1"/>
    <x v="2"/>
    <x v="2"/>
  </r>
  <r>
    <n v="1099911"/>
    <x v="371"/>
    <x v="6"/>
    <x v="287"/>
    <x v="325"/>
  </r>
  <r>
    <n v="1099911"/>
    <x v="371"/>
    <x v="6"/>
    <x v="288"/>
    <x v="770"/>
  </r>
  <r>
    <n v="1099911"/>
    <x v="371"/>
    <x v="6"/>
    <x v="104"/>
    <x v="771"/>
  </r>
  <r>
    <n v="1099911"/>
    <x v="371"/>
    <x v="6"/>
    <x v="106"/>
    <x v="772"/>
  </r>
  <r>
    <n v="1099911"/>
    <x v="371"/>
    <x v="6"/>
    <x v="105"/>
    <x v="773"/>
  </r>
  <r>
    <n v="1099911"/>
    <x v="371"/>
    <x v="6"/>
    <x v="289"/>
    <x v="774"/>
  </r>
  <r>
    <n v="1099911"/>
    <x v="371"/>
    <x v="6"/>
    <x v="102"/>
    <x v="775"/>
  </r>
  <r>
    <n v="1099911"/>
    <x v="371"/>
    <x v="6"/>
    <x v="103"/>
    <x v="771"/>
  </r>
  <r>
    <n v="1099911"/>
    <x v="371"/>
    <x v="6"/>
    <x v="101"/>
    <x v="776"/>
  </r>
  <r>
    <n v="1099911"/>
    <x v="371"/>
    <x v="6"/>
    <x v="107"/>
    <x v="240"/>
  </r>
  <r>
    <n v="1099911"/>
    <x v="1"/>
    <x v="1"/>
    <x v="2"/>
    <x v="2"/>
  </r>
  <r>
    <n v="1099914"/>
    <x v="372"/>
    <x v="6"/>
    <x v="450"/>
    <x v="2"/>
  </r>
  <r>
    <n v="1099914"/>
    <x v="1"/>
    <x v="1"/>
    <x v="2"/>
    <x v="2"/>
  </r>
  <r>
    <n v="1099915"/>
    <x v="373"/>
    <x v="6"/>
    <x v="167"/>
    <x v="2"/>
  </r>
  <r>
    <n v="1099915"/>
    <x v="1"/>
    <x v="1"/>
    <x v="2"/>
    <x v="2"/>
  </r>
  <r>
    <n v="1099916"/>
    <x v="374"/>
    <x v="5"/>
    <x v="299"/>
    <x v="2"/>
  </r>
  <r>
    <n v="1099916"/>
    <x v="1"/>
    <x v="1"/>
    <x v="2"/>
    <x v="2"/>
  </r>
  <r>
    <n v="1099917"/>
    <x v="375"/>
    <x v="6"/>
    <x v="396"/>
    <x v="2"/>
  </r>
  <r>
    <n v="1099917"/>
    <x v="1"/>
    <x v="1"/>
    <x v="2"/>
    <x v="2"/>
  </r>
  <r>
    <n v="1099918"/>
    <x v="376"/>
    <x v="6"/>
    <x v="277"/>
    <x v="2"/>
  </r>
  <r>
    <n v="1099918"/>
    <x v="1"/>
    <x v="1"/>
    <x v="2"/>
    <x v="2"/>
  </r>
  <r>
    <n v="1099921"/>
    <x v="377"/>
    <x v="6"/>
    <x v="450"/>
    <x v="2"/>
  </r>
  <r>
    <n v="1099921"/>
    <x v="1"/>
    <x v="1"/>
    <x v="2"/>
    <x v="2"/>
  </r>
  <r>
    <n v="1099923"/>
    <x v="378"/>
    <x v="6"/>
    <x v="363"/>
    <x v="161"/>
  </r>
  <r>
    <n v="1099923"/>
    <x v="378"/>
    <x v="6"/>
    <x v="95"/>
    <x v="363"/>
  </r>
  <r>
    <n v="1099923"/>
    <x v="378"/>
    <x v="6"/>
    <x v="111"/>
    <x v="42"/>
  </r>
  <r>
    <n v="1099923"/>
    <x v="378"/>
    <x v="6"/>
    <x v="365"/>
    <x v="535"/>
  </r>
  <r>
    <n v="1099923"/>
    <x v="378"/>
    <x v="6"/>
    <x v="371"/>
    <x v="351"/>
  </r>
  <r>
    <n v="1099923"/>
    <x v="378"/>
    <x v="6"/>
    <x v="308"/>
    <x v="176"/>
  </r>
  <r>
    <n v="1099923"/>
    <x v="378"/>
    <x v="6"/>
    <x v="110"/>
    <x v="97"/>
  </r>
  <r>
    <n v="1099923"/>
    <x v="378"/>
    <x v="6"/>
    <x v="272"/>
    <x v="659"/>
  </r>
  <r>
    <n v="1099923"/>
    <x v="378"/>
    <x v="6"/>
    <x v="87"/>
    <x v="210"/>
  </r>
  <r>
    <n v="1099923"/>
    <x v="378"/>
    <x v="6"/>
    <x v="404"/>
    <x v="83"/>
  </r>
  <r>
    <n v="1099923"/>
    <x v="378"/>
    <x v="6"/>
    <x v="46"/>
    <x v="61"/>
  </r>
  <r>
    <n v="1099923"/>
    <x v="378"/>
    <x v="6"/>
    <x v="267"/>
    <x v="3"/>
  </r>
  <r>
    <n v="1099923"/>
    <x v="378"/>
    <x v="6"/>
    <x v="283"/>
    <x v="62"/>
  </r>
  <r>
    <n v="1099923"/>
    <x v="378"/>
    <x v="6"/>
    <x v="406"/>
    <x v="178"/>
  </r>
  <r>
    <n v="1099923"/>
    <x v="378"/>
    <x v="6"/>
    <x v="97"/>
    <x v="210"/>
  </r>
  <r>
    <n v="1099923"/>
    <x v="378"/>
    <x v="6"/>
    <x v="443"/>
    <x v="64"/>
  </r>
  <r>
    <n v="1099923"/>
    <x v="378"/>
    <x v="6"/>
    <x v="367"/>
    <x v="346"/>
  </r>
  <r>
    <n v="1099923"/>
    <x v="378"/>
    <x v="6"/>
    <x v="373"/>
    <x v="176"/>
  </r>
  <r>
    <n v="1099923"/>
    <x v="378"/>
    <x v="6"/>
    <x v="306"/>
    <x v="88"/>
  </r>
  <r>
    <n v="1099923"/>
    <x v="378"/>
    <x v="6"/>
    <x v="328"/>
    <x v="198"/>
  </r>
  <r>
    <n v="1099923"/>
    <x v="378"/>
    <x v="6"/>
    <x v="85"/>
    <x v="407"/>
  </r>
  <r>
    <n v="1099923"/>
    <x v="378"/>
    <x v="6"/>
    <x v="382"/>
    <x v="38"/>
  </r>
  <r>
    <n v="1099923"/>
    <x v="378"/>
    <x v="6"/>
    <x v="429"/>
    <x v="42"/>
  </r>
  <r>
    <n v="1099923"/>
    <x v="378"/>
    <x v="6"/>
    <x v="293"/>
    <x v="747"/>
  </r>
  <r>
    <n v="1099923"/>
    <x v="378"/>
    <x v="6"/>
    <x v="391"/>
    <x v="744"/>
  </r>
  <r>
    <n v="1099923"/>
    <x v="378"/>
    <x v="6"/>
    <x v="327"/>
    <x v="224"/>
  </r>
  <r>
    <n v="1099923"/>
    <x v="378"/>
    <x v="6"/>
    <x v="305"/>
    <x v="136"/>
  </r>
  <r>
    <n v="1099923"/>
    <x v="378"/>
    <x v="6"/>
    <x v="401"/>
    <x v="178"/>
  </r>
  <r>
    <n v="1099923"/>
    <x v="378"/>
    <x v="6"/>
    <x v="196"/>
    <x v="748"/>
  </r>
  <r>
    <n v="1099923"/>
    <x v="378"/>
    <x v="6"/>
    <x v="355"/>
    <x v="79"/>
  </r>
  <r>
    <n v="1099923"/>
    <x v="378"/>
    <x v="6"/>
    <x v="311"/>
    <x v="78"/>
  </r>
  <r>
    <n v="1099923"/>
    <x v="378"/>
    <x v="6"/>
    <x v="52"/>
    <x v="178"/>
  </r>
  <r>
    <n v="1099923"/>
    <x v="378"/>
    <x v="6"/>
    <x v="271"/>
    <x v="24"/>
  </r>
  <r>
    <n v="1099923"/>
    <x v="378"/>
    <x v="6"/>
    <x v="91"/>
    <x v="346"/>
  </r>
  <r>
    <n v="1099923"/>
    <x v="378"/>
    <x v="6"/>
    <x v="374"/>
    <x v="154"/>
  </r>
  <r>
    <n v="1099923"/>
    <x v="378"/>
    <x v="6"/>
    <x v="310"/>
    <x v="151"/>
  </r>
  <r>
    <n v="1099923"/>
    <x v="378"/>
    <x v="6"/>
    <x v="417"/>
    <x v="82"/>
  </r>
  <r>
    <n v="1099923"/>
    <x v="378"/>
    <x v="6"/>
    <x v="304"/>
    <x v="34"/>
  </r>
  <r>
    <n v="1099923"/>
    <x v="378"/>
    <x v="6"/>
    <x v="121"/>
    <x v="88"/>
  </r>
  <r>
    <n v="1099923"/>
    <x v="378"/>
    <x v="6"/>
    <x v="437"/>
    <x v="153"/>
  </r>
  <r>
    <n v="1099923"/>
    <x v="378"/>
    <x v="6"/>
    <x v="431"/>
    <x v="164"/>
  </r>
  <r>
    <n v="1099923"/>
    <x v="378"/>
    <x v="6"/>
    <x v="433"/>
    <x v="170"/>
  </r>
  <r>
    <n v="1099923"/>
    <x v="378"/>
    <x v="6"/>
    <x v="324"/>
    <x v="176"/>
  </r>
  <r>
    <n v="1099923"/>
    <x v="378"/>
    <x v="6"/>
    <x v="326"/>
    <x v="170"/>
  </r>
  <r>
    <n v="1099923"/>
    <x v="378"/>
    <x v="6"/>
    <x v="400"/>
    <x v="178"/>
  </r>
  <r>
    <n v="1099923"/>
    <x v="378"/>
    <x v="6"/>
    <x v="18"/>
    <x v="348"/>
  </r>
  <r>
    <n v="1099923"/>
    <x v="378"/>
    <x v="6"/>
    <x v="22"/>
    <x v="154"/>
  </r>
  <r>
    <n v="1099923"/>
    <x v="378"/>
    <x v="6"/>
    <x v="440"/>
    <x v="80"/>
  </r>
  <r>
    <n v="1099923"/>
    <x v="378"/>
    <x v="6"/>
    <x v="278"/>
    <x v="224"/>
  </r>
  <r>
    <n v="1099923"/>
    <x v="378"/>
    <x v="6"/>
    <x v="359"/>
    <x v="4"/>
  </r>
  <r>
    <n v="1099923"/>
    <x v="378"/>
    <x v="6"/>
    <x v="90"/>
    <x v="4"/>
  </r>
  <r>
    <n v="1099923"/>
    <x v="378"/>
    <x v="6"/>
    <x v="369"/>
    <x v="348"/>
  </r>
  <r>
    <n v="1099923"/>
    <x v="378"/>
    <x v="6"/>
    <x v="410"/>
    <x v="88"/>
  </r>
  <r>
    <n v="1099923"/>
    <x v="378"/>
    <x v="6"/>
    <x v="118"/>
    <x v="217"/>
  </r>
  <r>
    <n v="1099923"/>
    <x v="378"/>
    <x v="6"/>
    <x v="120"/>
    <x v="181"/>
  </r>
  <r>
    <n v="1099923"/>
    <x v="378"/>
    <x v="6"/>
    <x v="381"/>
    <x v="740"/>
  </r>
  <r>
    <n v="1099923"/>
    <x v="378"/>
    <x v="6"/>
    <x v="296"/>
    <x v="61"/>
  </r>
  <r>
    <n v="1099923"/>
    <x v="378"/>
    <x v="6"/>
    <x v="288"/>
    <x v="315"/>
  </r>
  <r>
    <n v="1099923"/>
    <x v="378"/>
    <x v="6"/>
    <x v="435"/>
    <x v="348"/>
  </r>
  <r>
    <n v="1099923"/>
    <x v="378"/>
    <x v="6"/>
    <x v="45"/>
    <x v="149"/>
  </r>
  <r>
    <n v="1099923"/>
    <x v="378"/>
    <x v="6"/>
    <x v="309"/>
    <x v="179"/>
  </r>
  <r>
    <n v="1099923"/>
    <x v="378"/>
    <x v="6"/>
    <x v="122"/>
    <x v="24"/>
  </r>
  <r>
    <n v="1099923"/>
    <x v="378"/>
    <x v="6"/>
    <x v="376"/>
    <x v="161"/>
  </r>
  <r>
    <n v="1099923"/>
    <x v="378"/>
    <x v="6"/>
    <x v="407"/>
    <x v="83"/>
  </r>
  <r>
    <n v="1099923"/>
    <x v="378"/>
    <x v="6"/>
    <x v="295"/>
    <x v="61"/>
  </r>
  <r>
    <n v="1099923"/>
    <x v="378"/>
    <x v="6"/>
    <x v="297"/>
    <x v="176"/>
  </r>
  <r>
    <n v="1099923"/>
    <x v="378"/>
    <x v="6"/>
    <x v="101"/>
    <x v="34"/>
  </r>
  <r>
    <n v="1099923"/>
    <x v="378"/>
    <x v="6"/>
    <x v="393"/>
    <x v="21"/>
  </r>
  <r>
    <n v="1099923"/>
    <x v="378"/>
    <x v="6"/>
    <x v="109"/>
    <x v="152"/>
  </r>
  <r>
    <n v="1099923"/>
    <x v="378"/>
    <x v="6"/>
    <x v="275"/>
    <x v="745"/>
  </r>
  <r>
    <n v="1099923"/>
    <x v="378"/>
    <x v="6"/>
    <x v="397"/>
    <x v="161"/>
  </r>
  <r>
    <n v="1099923"/>
    <x v="378"/>
    <x v="6"/>
    <x v="86"/>
    <x v="213"/>
  </r>
  <r>
    <n v="1099923"/>
    <x v="378"/>
    <x v="6"/>
    <x v="266"/>
    <x v="85"/>
  </r>
  <r>
    <n v="1099923"/>
    <x v="378"/>
    <x v="6"/>
    <x v="19"/>
    <x v="351"/>
  </r>
  <r>
    <n v="1099923"/>
    <x v="378"/>
    <x v="6"/>
    <x v="361"/>
    <x v="161"/>
  </r>
  <r>
    <n v="1099923"/>
    <x v="378"/>
    <x v="6"/>
    <x v="99"/>
    <x v="455"/>
  </r>
  <r>
    <n v="1099923"/>
    <x v="378"/>
    <x v="6"/>
    <x v="307"/>
    <x v="560"/>
  </r>
  <r>
    <n v="1099923"/>
    <x v="378"/>
    <x v="6"/>
    <x v="445"/>
    <x v="198"/>
  </r>
  <r>
    <n v="1099923"/>
    <x v="378"/>
    <x v="6"/>
    <x v="54"/>
    <x v="198"/>
  </r>
  <r>
    <n v="1099923"/>
    <x v="378"/>
    <x v="6"/>
    <x v="441"/>
    <x v="353"/>
  </r>
  <r>
    <n v="1099923"/>
    <x v="378"/>
    <x v="6"/>
    <x v="436"/>
    <x v="156"/>
  </r>
  <r>
    <n v="1099923"/>
    <x v="378"/>
    <x v="6"/>
    <x v="291"/>
    <x v="79"/>
  </r>
  <r>
    <n v="1099923"/>
    <x v="378"/>
    <x v="6"/>
    <x v="105"/>
    <x v="221"/>
  </r>
  <r>
    <n v="1099923"/>
    <x v="378"/>
    <x v="6"/>
    <x v="392"/>
    <x v="51"/>
  </r>
  <r>
    <n v="1099923"/>
    <x v="378"/>
    <x v="6"/>
    <x v="320"/>
    <x v="78"/>
  </r>
  <r>
    <n v="1099923"/>
    <x v="378"/>
    <x v="6"/>
    <x v="303"/>
    <x v="376"/>
  </r>
  <r>
    <n v="1099923"/>
    <x v="378"/>
    <x v="6"/>
    <x v="20"/>
    <x v="170"/>
  </r>
  <r>
    <n v="1099923"/>
    <x v="378"/>
    <x v="6"/>
    <x v="197"/>
    <x v="743"/>
  </r>
  <r>
    <n v="1099923"/>
    <x v="378"/>
    <x v="6"/>
    <x v="354"/>
    <x v="79"/>
  </r>
  <r>
    <n v="1099923"/>
    <x v="378"/>
    <x v="6"/>
    <x v="409"/>
    <x v="198"/>
  </r>
  <r>
    <n v="1099923"/>
    <x v="378"/>
    <x v="6"/>
    <x v="416"/>
    <x v="64"/>
  </r>
  <r>
    <n v="1099923"/>
    <x v="378"/>
    <x v="6"/>
    <x v="268"/>
    <x v="154"/>
  </r>
  <r>
    <n v="1099923"/>
    <x v="378"/>
    <x v="6"/>
    <x v="368"/>
    <x v="346"/>
  </r>
  <r>
    <n v="1099923"/>
    <x v="378"/>
    <x v="6"/>
    <x v="92"/>
    <x v="617"/>
  </r>
  <r>
    <n v="1099923"/>
    <x v="378"/>
    <x v="6"/>
    <x v="114"/>
    <x v="351"/>
  </r>
  <r>
    <n v="1099923"/>
    <x v="378"/>
    <x v="6"/>
    <x v="329"/>
    <x v="51"/>
  </r>
  <r>
    <n v="1099923"/>
    <x v="378"/>
    <x v="6"/>
    <x v="100"/>
    <x v="97"/>
  </r>
  <r>
    <n v="1099923"/>
    <x v="378"/>
    <x v="6"/>
    <x v="279"/>
    <x v="392"/>
  </r>
  <r>
    <n v="1099923"/>
    <x v="378"/>
    <x v="6"/>
    <x v="298"/>
    <x v="162"/>
  </r>
  <r>
    <n v="1099923"/>
    <x v="378"/>
    <x v="6"/>
    <x v="430"/>
    <x v="346"/>
  </r>
  <r>
    <n v="1099923"/>
    <x v="378"/>
    <x v="6"/>
    <x v="106"/>
    <x v="62"/>
  </r>
  <r>
    <n v="1099923"/>
    <x v="378"/>
    <x v="6"/>
    <x v="17"/>
    <x v="742"/>
  </r>
  <r>
    <n v="1099923"/>
    <x v="378"/>
    <x v="6"/>
    <x v="323"/>
    <x v="392"/>
  </r>
  <r>
    <n v="1099923"/>
    <x v="378"/>
    <x v="6"/>
    <x v="325"/>
    <x v="205"/>
  </r>
  <r>
    <n v="1099923"/>
    <x v="378"/>
    <x v="6"/>
    <x v="93"/>
    <x v="455"/>
  </r>
  <r>
    <n v="1099923"/>
    <x v="378"/>
    <x v="6"/>
    <x v="408"/>
    <x v="351"/>
  </r>
  <r>
    <n v="1099923"/>
    <x v="378"/>
    <x v="6"/>
    <x v="413"/>
    <x v="178"/>
  </r>
  <r>
    <n v="1099923"/>
    <x v="378"/>
    <x v="6"/>
    <x v="414"/>
    <x v="535"/>
  </r>
  <r>
    <n v="1099923"/>
    <x v="378"/>
    <x v="6"/>
    <x v="51"/>
    <x v="407"/>
  </r>
  <r>
    <n v="1099923"/>
    <x v="378"/>
    <x v="6"/>
    <x v="47"/>
    <x v="619"/>
  </r>
  <r>
    <n v="1099923"/>
    <x v="378"/>
    <x v="6"/>
    <x v="50"/>
    <x v="4"/>
  </r>
  <r>
    <n v="1099923"/>
    <x v="378"/>
    <x v="6"/>
    <x v="98"/>
    <x v="82"/>
  </r>
  <r>
    <n v="1099923"/>
    <x v="378"/>
    <x v="6"/>
    <x v="398"/>
    <x v="351"/>
  </r>
  <r>
    <n v="1099923"/>
    <x v="378"/>
    <x v="6"/>
    <x v="357"/>
    <x v="42"/>
  </r>
  <r>
    <n v="1099923"/>
    <x v="378"/>
    <x v="6"/>
    <x v="358"/>
    <x v="82"/>
  </r>
  <r>
    <n v="1099923"/>
    <x v="378"/>
    <x v="6"/>
    <x v="89"/>
    <x v="376"/>
  </r>
  <r>
    <n v="1099923"/>
    <x v="378"/>
    <x v="6"/>
    <x v="319"/>
    <x v="305"/>
  </r>
  <r>
    <n v="1099923"/>
    <x v="378"/>
    <x v="6"/>
    <x v="321"/>
    <x v="615"/>
  </r>
  <r>
    <n v="1099923"/>
    <x v="378"/>
    <x v="6"/>
    <x v="270"/>
    <x v="179"/>
  </r>
  <r>
    <n v="1099923"/>
    <x v="378"/>
    <x v="6"/>
    <x v="402"/>
    <x v="83"/>
  </r>
  <r>
    <n v="1099923"/>
    <x v="378"/>
    <x v="6"/>
    <x v="23"/>
    <x v="154"/>
  </r>
  <r>
    <n v="1099923"/>
    <x v="378"/>
    <x v="6"/>
    <x v="415"/>
    <x v="98"/>
  </r>
  <r>
    <n v="1099923"/>
    <x v="378"/>
    <x v="6"/>
    <x v="356"/>
    <x v="170"/>
  </r>
  <r>
    <n v="1099923"/>
    <x v="378"/>
    <x v="6"/>
    <x v="113"/>
    <x v="178"/>
  </r>
  <r>
    <n v="1099923"/>
    <x v="378"/>
    <x v="6"/>
    <x v="403"/>
    <x v="163"/>
  </r>
  <r>
    <n v="1099923"/>
    <x v="378"/>
    <x v="6"/>
    <x v="399"/>
    <x v="54"/>
  </r>
  <r>
    <n v="1099923"/>
    <x v="378"/>
    <x v="6"/>
    <x v="285"/>
    <x v="346"/>
  </r>
  <r>
    <n v="1099923"/>
    <x v="378"/>
    <x v="6"/>
    <x v="280"/>
    <x v="346"/>
  </r>
  <r>
    <n v="1099923"/>
    <x v="378"/>
    <x v="6"/>
    <x v="119"/>
    <x v="206"/>
  </r>
  <r>
    <n v="1099923"/>
    <x v="378"/>
    <x v="6"/>
    <x v="269"/>
    <x v="211"/>
  </r>
  <r>
    <n v="1099923"/>
    <x v="378"/>
    <x v="6"/>
    <x v="378"/>
    <x v="24"/>
  </r>
  <r>
    <n v="1099923"/>
    <x v="378"/>
    <x v="6"/>
    <x v="380"/>
    <x v="98"/>
  </r>
  <r>
    <n v="1099923"/>
    <x v="378"/>
    <x v="6"/>
    <x v="289"/>
    <x v="105"/>
  </r>
  <r>
    <n v="1099923"/>
    <x v="378"/>
    <x v="6"/>
    <x v="434"/>
    <x v="78"/>
  </r>
  <r>
    <n v="1099923"/>
    <x v="378"/>
    <x v="6"/>
    <x v="102"/>
    <x v="741"/>
  </r>
  <r>
    <n v="1099923"/>
    <x v="378"/>
    <x v="6"/>
    <x v="432"/>
    <x v="149"/>
  </r>
  <r>
    <n v="1099923"/>
    <x v="378"/>
    <x v="6"/>
    <x v="103"/>
    <x v="144"/>
  </r>
  <r>
    <n v="1099923"/>
    <x v="378"/>
    <x v="6"/>
    <x v="104"/>
    <x v="144"/>
  </r>
  <r>
    <n v="1099923"/>
    <x v="378"/>
    <x v="6"/>
    <x v="16"/>
    <x v="134"/>
  </r>
  <r>
    <n v="1099923"/>
    <x v="378"/>
    <x v="6"/>
    <x v="322"/>
    <x v="305"/>
  </r>
  <r>
    <n v="1099923"/>
    <x v="378"/>
    <x v="6"/>
    <x v="108"/>
    <x v="474"/>
  </r>
  <r>
    <n v="1099923"/>
    <x v="378"/>
    <x v="6"/>
    <x v="53"/>
    <x v="457"/>
  </r>
  <r>
    <n v="1099923"/>
    <x v="378"/>
    <x v="6"/>
    <x v="274"/>
    <x v="206"/>
  </r>
  <r>
    <n v="1099923"/>
    <x v="378"/>
    <x v="6"/>
    <x v="21"/>
    <x v="351"/>
  </r>
  <r>
    <n v="1099923"/>
    <x v="378"/>
    <x v="6"/>
    <x v="405"/>
    <x v="178"/>
  </r>
  <r>
    <n v="1099923"/>
    <x v="378"/>
    <x v="6"/>
    <x v="49"/>
    <x v="4"/>
  </r>
  <r>
    <n v="1099923"/>
    <x v="378"/>
    <x v="6"/>
    <x v="48"/>
    <x v="706"/>
  </r>
  <r>
    <n v="1099923"/>
    <x v="378"/>
    <x v="6"/>
    <x v="198"/>
    <x v="149"/>
  </r>
  <r>
    <n v="1099923"/>
    <x v="378"/>
    <x v="6"/>
    <x v="281"/>
    <x v="238"/>
  </r>
  <r>
    <n v="1099923"/>
    <x v="378"/>
    <x v="6"/>
    <x v="282"/>
    <x v="147"/>
  </r>
  <r>
    <n v="1099923"/>
    <x v="378"/>
    <x v="6"/>
    <x v="96"/>
    <x v="346"/>
  </r>
  <r>
    <n v="1099923"/>
    <x v="378"/>
    <x v="6"/>
    <x v="94"/>
    <x v="351"/>
  </r>
  <r>
    <n v="1099923"/>
    <x v="378"/>
    <x v="6"/>
    <x v="88"/>
    <x v="88"/>
  </r>
  <r>
    <n v="1099923"/>
    <x v="378"/>
    <x v="6"/>
    <x v="362"/>
    <x v="144"/>
  </r>
  <r>
    <n v="1099923"/>
    <x v="378"/>
    <x v="6"/>
    <x v="115"/>
    <x v="170"/>
  </r>
  <r>
    <n v="1099923"/>
    <x v="378"/>
    <x v="6"/>
    <x v="284"/>
    <x v="105"/>
  </r>
  <r>
    <n v="1099923"/>
    <x v="378"/>
    <x v="6"/>
    <x v="442"/>
    <x v="88"/>
  </r>
  <r>
    <n v="1099923"/>
    <x v="378"/>
    <x v="6"/>
    <x v="366"/>
    <x v="178"/>
  </r>
  <r>
    <n v="1099923"/>
    <x v="378"/>
    <x v="6"/>
    <x v="444"/>
    <x v="535"/>
  </r>
  <r>
    <n v="1099923"/>
    <x v="378"/>
    <x v="6"/>
    <x v="372"/>
    <x v="176"/>
  </r>
  <r>
    <n v="1099923"/>
    <x v="378"/>
    <x v="6"/>
    <x v="44"/>
    <x v="346"/>
  </r>
  <r>
    <n v="1099923"/>
    <x v="378"/>
    <x v="6"/>
    <x v="112"/>
    <x v="4"/>
  </r>
  <r>
    <n v="1099923"/>
    <x v="378"/>
    <x v="6"/>
    <x v="312"/>
    <x v="179"/>
  </r>
  <r>
    <n v="1099923"/>
    <x v="378"/>
    <x v="6"/>
    <x v="273"/>
    <x v="144"/>
  </r>
  <r>
    <n v="1099923"/>
    <x v="378"/>
    <x v="6"/>
    <x v="411"/>
    <x v="82"/>
  </r>
  <r>
    <n v="1099923"/>
    <x v="378"/>
    <x v="6"/>
    <x v="286"/>
    <x v="185"/>
  </r>
  <r>
    <n v="1099923"/>
    <x v="378"/>
    <x v="6"/>
    <x v="375"/>
    <x v="535"/>
  </r>
  <r>
    <n v="1099923"/>
    <x v="378"/>
    <x v="6"/>
    <x v="377"/>
    <x v="745"/>
  </r>
  <r>
    <n v="1099923"/>
    <x v="378"/>
    <x v="6"/>
    <x v="117"/>
    <x v="347"/>
  </r>
  <r>
    <n v="1099923"/>
    <x v="378"/>
    <x v="6"/>
    <x v="379"/>
    <x v="23"/>
  </r>
  <r>
    <n v="1099923"/>
    <x v="378"/>
    <x v="6"/>
    <x v="287"/>
    <x v="88"/>
  </r>
  <r>
    <n v="1099923"/>
    <x v="378"/>
    <x v="6"/>
    <x v="428"/>
    <x v="30"/>
  </r>
  <r>
    <n v="1099923"/>
    <x v="378"/>
    <x v="6"/>
    <x v="292"/>
    <x v="98"/>
  </r>
  <r>
    <n v="1099923"/>
    <x v="378"/>
    <x v="6"/>
    <x v="294"/>
    <x v="387"/>
  </r>
  <r>
    <n v="1099923"/>
    <x v="378"/>
    <x v="6"/>
    <x v="107"/>
    <x v="156"/>
  </r>
  <r>
    <n v="1099923"/>
    <x v="378"/>
    <x v="6"/>
    <x v="290"/>
    <x v="746"/>
  </r>
  <r>
    <n v="1099923"/>
    <x v="378"/>
    <x v="6"/>
    <x v="360"/>
    <x v="4"/>
  </r>
  <r>
    <n v="1099923"/>
    <x v="378"/>
    <x v="6"/>
    <x v="364"/>
    <x v="348"/>
  </r>
  <r>
    <n v="1099923"/>
    <x v="378"/>
    <x v="6"/>
    <x v="370"/>
    <x v="198"/>
  </r>
  <r>
    <n v="1099923"/>
    <x v="378"/>
    <x v="6"/>
    <x v="116"/>
    <x v="34"/>
  </r>
  <r>
    <n v="1099923"/>
    <x v="1"/>
    <x v="1"/>
    <x v="2"/>
    <x v="2"/>
  </r>
  <r>
    <n v="1099924"/>
    <x v="379"/>
    <x v="6"/>
    <x v="398"/>
    <x v="351"/>
  </r>
  <r>
    <n v="1099924"/>
    <x v="379"/>
    <x v="6"/>
    <x v="358"/>
    <x v="82"/>
  </r>
  <r>
    <n v="1099924"/>
    <x v="379"/>
    <x v="6"/>
    <x v="362"/>
    <x v="144"/>
  </r>
  <r>
    <n v="1099924"/>
    <x v="379"/>
    <x v="6"/>
    <x v="111"/>
    <x v="42"/>
  </r>
  <r>
    <n v="1099924"/>
    <x v="379"/>
    <x v="6"/>
    <x v="369"/>
    <x v="348"/>
  </r>
  <r>
    <n v="1099924"/>
    <x v="379"/>
    <x v="6"/>
    <x v="45"/>
    <x v="149"/>
  </r>
  <r>
    <n v="1099924"/>
    <x v="379"/>
    <x v="6"/>
    <x v="309"/>
    <x v="179"/>
  </r>
  <r>
    <n v="1099924"/>
    <x v="379"/>
    <x v="6"/>
    <x v="122"/>
    <x v="24"/>
  </r>
  <r>
    <n v="1099924"/>
    <x v="379"/>
    <x v="6"/>
    <x v="376"/>
    <x v="161"/>
  </r>
  <r>
    <n v="1099924"/>
    <x v="379"/>
    <x v="6"/>
    <x v="407"/>
    <x v="83"/>
  </r>
  <r>
    <n v="1099924"/>
    <x v="379"/>
    <x v="6"/>
    <x v="295"/>
    <x v="61"/>
  </r>
  <r>
    <n v="1099924"/>
    <x v="379"/>
    <x v="6"/>
    <x v="297"/>
    <x v="176"/>
  </r>
  <r>
    <n v="1099924"/>
    <x v="379"/>
    <x v="6"/>
    <x v="101"/>
    <x v="34"/>
  </r>
  <r>
    <n v="1099924"/>
    <x v="379"/>
    <x v="6"/>
    <x v="324"/>
    <x v="176"/>
  </r>
  <r>
    <n v="1099924"/>
    <x v="379"/>
    <x v="6"/>
    <x v="326"/>
    <x v="170"/>
  </r>
  <r>
    <n v="1099924"/>
    <x v="379"/>
    <x v="6"/>
    <x v="400"/>
    <x v="178"/>
  </r>
  <r>
    <n v="1099924"/>
    <x v="379"/>
    <x v="6"/>
    <x v="18"/>
    <x v="348"/>
  </r>
  <r>
    <n v="1099924"/>
    <x v="379"/>
    <x v="6"/>
    <x v="22"/>
    <x v="154"/>
  </r>
  <r>
    <n v="1099924"/>
    <x v="379"/>
    <x v="6"/>
    <x v="440"/>
    <x v="80"/>
  </r>
  <r>
    <n v="1099924"/>
    <x v="379"/>
    <x v="6"/>
    <x v="278"/>
    <x v="224"/>
  </r>
  <r>
    <n v="1099924"/>
    <x v="379"/>
    <x v="6"/>
    <x v="359"/>
    <x v="4"/>
  </r>
  <r>
    <n v="1099924"/>
    <x v="379"/>
    <x v="6"/>
    <x v="363"/>
    <x v="161"/>
  </r>
  <r>
    <n v="1099924"/>
    <x v="379"/>
    <x v="6"/>
    <x v="442"/>
    <x v="88"/>
  </r>
  <r>
    <n v="1099924"/>
    <x v="379"/>
    <x v="6"/>
    <x v="370"/>
    <x v="198"/>
  </r>
  <r>
    <n v="1099924"/>
    <x v="379"/>
    <x v="6"/>
    <x v="116"/>
    <x v="34"/>
  </r>
  <r>
    <n v="1099924"/>
    <x v="379"/>
    <x v="6"/>
    <x v="410"/>
    <x v="88"/>
  </r>
  <r>
    <n v="1099924"/>
    <x v="379"/>
    <x v="6"/>
    <x v="118"/>
    <x v="217"/>
  </r>
  <r>
    <n v="1099924"/>
    <x v="379"/>
    <x v="6"/>
    <x v="120"/>
    <x v="181"/>
  </r>
  <r>
    <n v="1099924"/>
    <x v="379"/>
    <x v="6"/>
    <x v="381"/>
    <x v="740"/>
  </r>
  <r>
    <n v="1099924"/>
    <x v="379"/>
    <x v="6"/>
    <x v="296"/>
    <x v="61"/>
  </r>
  <r>
    <n v="1099924"/>
    <x v="379"/>
    <x v="6"/>
    <x v="288"/>
    <x v="315"/>
  </r>
  <r>
    <n v="1099924"/>
    <x v="379"/>
    <x v="6"/>
    <x v="435"/>
    <x v="348"/>
  </r>
  <r>
    <n v="1099924"/>
    <x v="379"/>
    <x v="6"/>
    <x v="322"/>
    <x v="305"/>
  </r>
  <r>
    <n v="1099924"/>
    <x v="379"/>
    <x v="6"/>
    <x v="272"/>
    <x v="659"/>
  </r>
  <r>
    <n v="1099924"/>
    <x v="379"/>
    <x v="6"/>
    <x v="53"/>
    <x v="457"/>
  </r>
  <r>
    <n v="1099924"/>
    <x v="379"/>
    <x v="6"/>
    <x v="87"/>
    <x v="210"/>
  </r>
  <r>
    <n v="1099924"/>
    <x v="379"/>
    <x v="6"/>
    <x v="21"/>
    <x v="351"/>
  </r>
  <r>
    <n v="1099924"/>
    <x v="379"/>
    <x v="6"/>
    <x v="404"/>
    <x v="83"/>
  </r>
  <r>
    <n v="1099924"/>
    <x v="379"/>
    <x v="6"/>
    <x v="49"/>
    <x v="4"/>
  </r>
  <r>
    <n v="1099924"/>
    <x v="379"/>
    <x v="6"/>
    <x v="46"/>
    <x v="61"/>
  </r>
  <r>
    <n v="1099924"/>
    <x v="379"/>
    <x v="6"/>
    <x v="198"/>
    <x v="149"/>
  </r>
  <r>
    <n v="1099924"/>
    <x v="379"/>
    <x v="6"/>
    <x v="267"/>
    <x v="3"/>
  </r>
  <r>
    <n v="1099924"/>
    <x v="379"/>
    <x v="6"/>
    <x v="282"/>
    <x v="147"/>
  </r>
  <r>
    <n v="1099924"/>
    <x v="379"/>
    <x v="6"/>
    <x v="283"/>
    <x v="62"/>
  </r>
  <r>
    <n v="1099924"/>
    <x v="379"/>
    <x v="6"/>
    <x v="94"/>
    <x v="351"/>
  </r>
  <r>
    <n v="1099924"/>
    <x v="379"/>
    <x v="6"/>
    <x v="406"/>
    <x v="178"/>
  </r>
  <r>
    <n v="1099924"/>
    <x v="379"/>
    <x v="6"/>
    <x v="360"/>
    <x v="4"/>
  </r>
  <r>
    <n v="1099924"/>
    <x v="379"/>
    <x v="6"/>
    <x v="88"/>
    <x v="88"/>
  </r>
  <r>
    <n v="1099924"/>
    <x v="379"/>
    <x v="6"/>
    <x v="364"/>
    <x v="348"/>
  </r>
  <r>
    <n v="1099924"/>
    <x v="379"/>
    <x v="6"/>
    <x v="115"/>
    <x v="170"/>
  </r>
  <r>
    <n v="1099924"/>
    <x v="379"/>
    <x v="6"/>
    <x v="365"/>
    <x v="535"/>
  </r>
  <r>
    <n v="1099924"/>
    <x v="379"/>
    <x v="6"/>
    <x v="308"/>
    <x v="176"/>
  </r>
  <r>
    <n v="1099924"/>
    <x v="379"/>
    <x v="6"/>
    <x v="280"/>
    <x v="346"/>
  </r>
  <r>
    <n v="1099924"/>
    <x v="379"/>
    <x v="6"/>
    <x v="286"/>
    <x v="185"/>
  </r>
  <r>
    <n v="1099924"/>
    <x v="379"/>
    <x v="6"/>
    <x v="269"/>
    <x v="211"/>
  </r>
  <r>
    <n v="1099924"/>
    <x v="379"/>
    <x v="6"/>
    <x v="377"/>
    <x v="745"/>
  </r>
  <r>
    <n v="1099924"/>
    <x v="379"/>
    <x v="6"/>
    <x v="380"/>
    <x v="98"/>
  </r>
  <r>
    <n v="1099924"/>
    <x v="379"/>
    <x v="6"/>
    <x v="379"/>
    <x v="23"/>
  </r>
  <r>
    <n v="1099924"/>
    <x v="379"/>
    <x v="6"/>
    <x v="434"/>
    <x v="78"/>
  </r>
  <r>
    <n v="1099924"/>
    <x v="379"/>
    <x v="6"/>
    <x v="428"/>
    <x v="30"/>
  </r>
  <r>
    <n v="1099924"/>
    <x v="379"/>
    <x v="6"/>
    <x v="432"/>
    <x v="149"/>
  </r>
  <r>
    <n v="1099924"/>
    <x v="379"/>
    <x v="6"/>
    <x v="294"/>
    <x v="387"/>
  </r>
  <r>
    <n v="1099924"/>
    <x v="379"/>
    <x v="6"/>
    <x v="104"/>
    <x v="144"/>
  </r>
  <r>
    <n v="1099924"/>
    <x v="379"/>
    <x v="6"/>
    <x v="290"/>
    <x v="746"/>
  </r>
  <r>
    <n v="1099924"/>
    <x v="379"/>
    <x v="6"/>
    <x v="393"/>
    <x v="21"/>
  </r>
  <r>
    <n v="1099924"/>
    <x v="379"/>
    <x v="6"/>
    <x v="109"/>
    <x v="152"/>
  </r>
  <r>
    <n v="1099924"/>
    <x v="379"/>
    <x v="6"/>
    <x v="275"/>
    <x v="745"/>
  </r>
  <r>
    <n v="1099924"/>
    <x v="379"/>
    <x v="6"/>
    <x v="397"/>
    <x v="161"/>
  </r>
  <r>
    <n v="1099924"/>
    <x v="379"/>
    <x v="6"/>
    <x v="86"/>
    <x v="213"/>
  </r>
  <r>
    <n v="1099924"/>
    <x v="379"/>
    <x v="6"/>
    <x v="266"/>
    <x v="85"/>
  </r>
  <r>
    <n v="1099924"/>
    <x v="379"/>
    <x v="6"/>
    <x v="19"/>
    <x v="351"/>
  </r>
  <r>
    <n v="1099924"/>
    <x v="379"/>
    <x v="6"/>
    <x v="271"/>
    <x v="24"/>
  </r>
  <r>
    <n v="1099924"/>
    <x v="379"/>
    <x v="6"/>
    <x v="91"/>
    <x v="346"/>
  </r>
  <r>
    <n v="1099924"/>
    <x v="379"/>
    <x v="6"/>
    <x v="374"/>
    <x v="154"/>
  </r>
  <r>
    <n v="1099924"/>
    <x v="379"/>
    <x v="6"/>
    <x v="310"/>
    <x v="151"/>
  </r>
  <r>
    <n v="1099924"/>
    <x v="379"/>
    <x v="6"/>
    <x v="417"/>
    <x v="82"/>
  </r>
  <r>
    <n v="1099924"/>
    <x v="379"/>
    <x v="6"/>
    <x v="304"/>
    <x v="34"/>
  </r>
  <r>
    <n v="1099924"/>
    <x v="379"/>
    <x v="6"/>
    <x v="121"/>
    <x v="88"/>
  </r>
  <r>
    <n v="1099924"/>
    <x v="379"/>
    <x v="6"/>
    <x v="437"/>
    <x v="153"/>
  </r>
  <r>
    <n v="1099924"/>
    <x v="379"/>
    <x v="6"/>
    <x v="431"/>
    <x v="164"/>
  </r>
  <r>
    <n v="1099924"/>
    <x v="379"/>
    <x v="6"/>
    <x v="433"/>
    <x v="170"/>
  </r>
  <r>
    <n v="1099924"/>
    <x v="379"/>
    <x v="6"/>
    <x v="319"/>
    <x v="305"/>
  </r>
  <r>
    <n v="1099924"/>
    <x v="379"/>
    <x v="6"/>
    <x v="323"/>
    <x v="392"/>
  </r>
  <r>
    <n v="1099924"/>
    <x v="379"/>
    <x v="6"/>
    <x v="321"/>
    <x v="615"/>
  </r>
  <r>
    <n v="1099924"/>
    <x v="379"/>
    <x v="6"/>
    <x v="93"/>
    <x v="455"/>
  </r>
  <r>
    <n v="1099924"/>
    <x v="379"/>
    <x v="6"/>
    <x v="270"/>
    <x v="179"/>
  </r>
  <r>
    <n v="1099924"/>
    <x v="379"/>
    <x v="6"/>
    <x v="413"/>
    <x v="178"/>
  </r>
  <r>
    <n v="1099924"/>
    <x v="379"/>
    <x v="6"/>
    <x v="402"/>
    <x v="83"/>
  </r>
  <r>
    <n v="1099924"/>
    <x v="379"/>
    <x v="6"/>
    <x v="51"/>
    <x v="407"/>
  </r>
  <r>
    <n v="1099924"/>
    <x v="379"/>
    <x v="6"/>
    <x v="23"/>
    <x v="154"/>
  </r>
  <r>
    <n v="1099924"/>
    <x v="379"/>
    <x v="6"/>
    <x v="50"/>
    <x v="4"/>
  </r>
  <r>
    <n v="1099924"/>
    <x v="379"/>
    <x v="6"/>
    <x v="415"/>
    <x v="98"/>
  </r>
  <r>
    <n v="1099924"/>
    <x v="379"/>
    <x v="6"/>
    <x v="98"/>
    <x v="82"/>
  </r>
  <r>
    <n v="1099924"/>
    <x v="379"/>
    <x v="6"/>
    <x v="356"/>
    <x v="170"/>
  </r>
  <r>
    <n v="1099924"/>
    <x v="379"/>
    <x v="6"/>
    <x v="357"/>
    <x v="42"/>
  </r>
  <r>
    <n v="1099924"/>
    <x v="379"/>
    <x v="6"/>
    <x v="97"/>
    <x v="210"/>
  </r>
  <r>
    <n v="1099924"/>
    <x v="379"/>
    <x v="6"/>
    <x v="90"/>
    <x v="4"/>
  </r>
  <r>
    <n v="1099924"/>
    <x v="379"/>
    <x v="6"/>
    <x v="443"/>
    <x v="64"/>
  </r>
  <r>
    <n v="1099924"/>
    <x v="379"/>
    <x v="6"/>
    <x v="366"/>
    <x v="178"/>
  </r>
  <r>
    <n v="1099924"/>
    <x v="379"/>
    <x v="6"/>
    <x v="371"/>
    <x v="351"/>
  </r>
  <r>
    <n v="1099924"/>
    <x v="379"/>
    <x v="6"/>
    <x v="373"/>
    <x v="176"/>
  </r>
  <r>
    <n v="1099924"/>
    <x v="379"/>
    <x v="6"/>
    <x v="110"/>
    <x v="97"/>
  </r>
  <r>
    <n v="1099924"/>
    <x v="379"/>
    <x v="6"/>
    <x v="306"/>
    <x v="88"/>
  </r>
  <r>
    <n v="1099924"/>
    <x v="379"/>
    <x v="6"/>
    <x v="403"/>
    <x v="163"/>
  </r>
  <r>
    <n v="1099924"/>
    <x v="379"/>
    <x v="6"/>
    <x v="328"/>
    <x v="198"/>
  </r>
  <r>
    <n v="1099924"/>
    <x v="379"/>
    <x v="6"/>
    <x v="285"/>
    <x v="346"/>
  </r>
  <r>
    <n v="1099924"/>
    <x v="379"/>
    <x v="6"/>
    <x v="85"/>
    <x v="407"/>
  </r>
  <r>
    <n v="1099924"/>
    <x v="379"/>
    <x v="6"/>
    <x v="119"/>
    <x v="206"/>
  </r>
  <r>
    <n v="1099924"/>
    <x v="379"/>
    <x v="6"/>
    <x v="378"/>
    <x v="24"/>
  </r>
  <r>
    <n v="1099924"/>
    <x v="379"/>
    <x v="6"/>
    <x v="382"/>
    <x v="38"/>
  </r>
  <r>
    <n v="1099924"/>
    <x v="379"/>
    <x v="6"/>
    <x v="289"/>
    <x v="105"/>
  </r>
  <r>
    <n v="1099924"/>
    <x v="379"/>
    <x v="6"/>
    <x v="17"/>
    <x v="742"/>
  </r>
  <r>
    <n v="1099924"/>
    <x v="379"/>
    <x v="6"/>
    <x v="325"/>
    <x v="205"/>
  </r>
  <r>
    <n v="1099924"/>
    <x v="379"/>
    <x v="6"/>
    <x v="408"/>
    <x v="351"/>
  </r>
  <r>
    <n v="1099924"/>
    <x v="379"/>
    <x v="6"/>
    <x v="414"/>
    <x v="535"/>
  </r>
  <r>
    <n v="1099924"/>
    <x v="379"/>
    <x v="6"/>
    <x v="47"/>
    <x v="619"/>
  </r>
  <r>
    <n v="1099924"/>
    <x v="379"/>
    <x v="6"/>
    <x v="429"/>
    <x v="42"/>
  </r>
  <r>
    <n v="1099924"/>
    <x v="379"/>
    <x v="6"/>
    <x v="102"/>
    <x v="741"/>
  </r>
  <r>
    <n v="1099924"/>
    <x v="379"/>
    <x v="6"/>
    <x v="293"/>
    <x v="747"/>
  </r>
  <r>
    <n v="1099924"/>
    <x v="379"/>
    <x v="6"/>
    <x v="103"/>
    <x v="144"/>
  </r>
  <r>
    <n v="1099924"/>
    <x v="379"/>
    <x v="6"/>
    <x v="291"/>
    <x v="79"/>
  </r>
  <r>
    <n v="1099924"/>
    <x v="379"/>
    <x v="6"/>
    <x v="105"/>
    <x v="221"/>
  </r>
  <r>
    <n v="1099924"/>
    <x v="379"/>
    <x v="6"/>
    <x v="16"/>
    <x v="134"/>
  </r>
  <r>
    <n v="1099924"/>
    <x v="379"/>
    <x v="6"/>
    <x v="108"/>
    <x v="474"/>
  </r>
  <r>
    <n v="1099924"/>
    <x v="379"/>
    <x v="6"/>
    <x v="274"/>
    <x v="206"/>
  </r>
  <r>
    <n v="1099924"/>
    <x v="379"/>
    <x v="6"/>
    <x v="405"/>
    <x v="178"/>
  </r>
  <r>
    <n v="1099924"/>
    <x v="379"/>
    <x v="6"/>
    <x v="48"/>
    <x v="706"/>
  </r>
  <r>
    <n v="1099924"/>
    <x v="379"/>
    <x v="6"/>
    <x v="281"/>
    <x v="238"/>
  </r>
  <r>
    <n v="1099924"/>
    <x v="379"/>
    <x v="6"/>
    <x v="96"/>
    <x v="346"/>
  </r>
  <r>
    <n v="1099924"/>
    <x v="379"/>
    <x v="6"/>
    <x v="361"/>
    <x v="161"/>
  </r>
  <r>
    <n v="1099924"/>
    <x v="379"/>
    <x v="6"/>
    <x v="284"/>
    <x v="105"/>
  </r>
  <r>
    <n v="1099924"/>
    <x v="379"/>
    <x v="6"/>
    <x v="444"/>
    <x v="535"/>
  </r>
  <r>
    <n v="1099924"/>
    <x v="379"/>
    <x v="6"/>
    <x v="44"/>
    <x v="346"/>
  </r>
  <r>
    <n v="1099924"/>
    <x v="379"/>
    <x v="6"/>
    <x v="312"/>
    <x v="179"/>
  </r>
  <r>
    <n v="1099924"/>
    <x v="379"/>
    <x v="6"/>
    <x v="411"/>
    <x v="82"/>
  </r>
  <r>
    <n v="1099924"/>
    <x v="379"/>
    <x v="6"/>
    <x v="375"/>
    <x v="535"/>
  </r>
  <r>
    <n v="1099924"/>
    <x v="379"/>
    <x v="6"/>
    <x v="117"/>
    <x v="347"/>
  </r>
  <r>
    <n v="1099924"/>
    <x v="379"/>
    <x v="6"/>
    <x v="287"/>
    <x v="88"/>
  </r>
  <r>
    <n v="1099924"/>
    <x v="379"/>
    <x v="6"/>
    <x v="292"/>
    <x v="98"/>
  </r>
  <r>
    <n v="1099924"/>
    <x v="379"/>
    <x v="6"/>
    <x v="107"/>
    <x v="156"/>
  </r>
  <r>
    <n v="1099924"/>
    <x v="379"/>
    <x v="6"/>
    <x v="392"/>
    <x v="51"/>
  </r>
  <r>
    <n v="1099924"/>
    <x v="379"/>
    <x v="6"/>
    <x v="320"/>
    <x v="78"/>
  </r>
  <r>
    <n v="1099924"/>
    <x v="379"/>
    <x v="6"/>
    <x v="303"/>
    <x v="376"/>
  </r>
  <r>
    <n v="1099924"/>
    <x v="379"/>
    <x v="6"/>
    <x v="20"/>
    <x v="170"/>
  </r>
  <r>
    <n v="1099924"/>
    <x v="379"/>
    <x v="6"/>
    <x v="197"/>
    <x v="743"/>
  </r>
  <r>
    <n v="1099924"/>
    <x v="379"/>
    <x v="6"/>
    <x v="354"/>
    <x v="79"/>
  </r>
  <r>
    <n v="1099924"/>
    <x v="379"/>
    <x v="6"/>
    <x v="409"/>
    <x v="198"/>
  </r>
  <r>
    <n v="1099924"/>
    <x v="379"/>
    <x v="6"/>
    <x v="416"/>
    <x v="64"/>
  </r>
  <r>
    <n v="1099924"/>
    <x v="379"/>
    <x v="6"/>
    <x v="89"/>
    <x v="376"/>
  </r>
  <r>
    <n v="1099924"/>
    <x v="379"/>
    <x v="6"/>
    <x v="95"/>
    <x v="363"/>
  </r>
  <r>
    <n v="1099924"/>
    <x v="379"/>
    <x v="6"/>
    <x v="367"/>
    <x v="346"/>
  </r>
  <r>
    <n v="1099924"/>
    <x v="379"/>
    <x v="6"/>
    <x v="92"/>
    <x v="617"/>
  </r>
  <r>
    <n v="1099924"/>
    <x v="379"/>
    <x v="6"/>
    <x v="114"/>
    <x v="351"/>
  </r>
  <r>
    <n v="1099924"/>
    <x v="379"/>
    <x v="6"/>
    <x v="329"/>
    <x v="51"/>
  </r>
  <r>
    <n v="1099924"/>
    <x v="379"/>
    <x v="6"/>
    <x v="100"/>
    <x v="97"/>
  </r>
  <r>
    <n v="1099924"/>
    <x v="379"/>
    <x v="6"/>
    <x v="279"/>
    <x v="392"/>
  </r>
  <r>
    <n v="1099924"/>
    <x v="379"/>
    <x v="6"/>
    <x v="298"/>
    <x v="162"/>
  </r>
  <r>
    <n v="1099924"/>
    <x v="379"/>
    <x v="6"/>
    <x v="430"/>
    <x v="346"/>
  </r>
  <r>
    <n v="1099924"/>
    <x v="379"/>
    <x v="6"/>
    <x v="106"/>
    <x v="62"/>
  </r>
  <r>
    <n v="1099924"/>
    <x v="379"/>
    <x v="6"/>
    <x v="391"/>
    <x v="744"/>
  </r>
  <r>
    <n v="1099924"/>
    <x v="379"/>
    <x v="6"/>
    <x v="327"/>
    <x v="224"/>
  </r>
  <r>
    <n v="1099924"/>
    <x v="379"/>
    <x v="6"/>
    <x v="305"/>
    <x v="136"/>
  </r>
  <r>
    <n v="1099924"/>
    <x v="379"/>
    <x v="6"/>
    <x v="401"/>
    <x v="178"/>
  </r>
  <r>
    <n v="1099924"/>
    <x v="379"/>
    <x v="6"/>
    <x v="196"/>
    <x v="748"/>
  </r>
  <r>
    <n v="1099924"/>
    <x v="379"/>
    <x v="6"/>
    <x v="355"/>
    <x v="79"/>
  </r>
  <r>
    <n v="1099924"/>
    <x v="379"/>
    <x v="6"/>
    <x v="311"/>
    <x v="78"/>
  </r>
  <r>
    <n v="1099924"/>
    <x v="379"/>
    <x v="6"/>
    <x v="52"/>
    <x v="178"/>
  </r>
  <r>
    <n v="1099924"/>
    <x v="379"/>
    <x v="6"/>
    <x v="268"/>
    <x v="154"/>
  </r>
  <r>
    <n v="1099924"/>
    <x v="379"/>
    <x v="6"/>
    <x v="368"/>
    <x v="346"/>
  </r>
  <r>
    <n v="1099924"/>
    <x v="379"/>
    <x v="6"/>
    <x v="99"/>
    <x v="455"/>
  </r>
  <r>
    <n v="1099924"/>
    <x v="379"/>
    <x v="6"/>
    <x v="307"/>
    <x v="560"/>
  </r>
  <r>
    <n v="1099924"/>
    <x v="379"/>
    <x v="6"/>
    <x v="445"/>
    <x v="198"/>
  </r>
  <r>
    <n v="1099924"/>
    <x v="379"/>
    <x v="6"/>
    <x v="54"/>
    <x v="198"/>
  </r>
  <r>
    <n v="1099924"/>
    <x v="379"/>
    <x v="6"/>
    <x v="441"/>
    <x v="353"/>
  </r>
  <r>
    <n v="1099924"/>
    <x v="379"/>
    <x v="6"/>
    <x v="436"/>
    <x v="156"/>
  </r>
  <r>
    <n v="1099924"/>
    <x v="379"/>
    <x v="6"/>
    <x v="372"/>
    <x v="176"/>
  </r>
  <r>
    <n v="1099924"/>
    <x v="379"/>
    <x v="6"/>
    <x v="113"/>
    <x v="178"/>
  </r>
  <r>
    <n v="1099924"/>
    <x v="379"/>
    <x v="6"/>
    <x v="112"/>
    <x v="4"/>
  </r>
  <r>
    <n v="1099924"/>
    <x v="379"/>
    <x v="6"/>
    <x v="399"/>
    <x v="54"/>
  </r>
  <r>
    <n v="1099924"/>
    <x v="379"/>
    <x v="6"/>
    <x v="273"/>
    <x v="144"/>
  </r>
  <r>
    <n v="1099924"/>
    <x v="1"/>
    <x v="1"/>
    <x v="2"/>
    <x v="2"/>
  </r>
  <r>
    <n v="1099925"/>
    <x v="380"/>
    <x v="6"/>
    <x v="450"/>
    <x v="2"/>
  </r>
  <r>
    <n v="1099925"/>
    <x v="1"/>
    <x v="1"/>
    <x v="2"/>
    <x v="2"/>
  </r>
  <r>
    <n v="1099926"/>
    <x v="381"/>
    <x v="2"/>
    <x v="276"/>
    <x v="2"/>
  </r>
  <r>
    <n v="1099926"/>
    <x v="1"/>
    <x v="1"/>
    <x v="2"/>
    <x v="2"/>
  </r>
  <r>
    <n v="1099929"/>
    <x v="382"/>
    <x v="13"/>
    <x v="385"/>
    <x v="418"/>
  </r>
  <r>
    <n v="1099929"/>
    <x v="382"/>
    <x v="13"/>
    <x v="386"/>
    <x v="419"/>
  </r>
  <r>
    <n v="1099929"/>
    <x v="382"/>
    <x v="13"/>
    <x v="383"/>
    <x v="416"/>
  </r>
  <r>
    <n v="1099929"/>
    <x v="382"/>
    <x v="13"/>
    <x v="384"/>
    <x v="417"/>
  </r>
  <r>
    <n v="1099929"/>
    <x v="1"/>
    <x v="1"/>
    <x v="2"/>
    <x v="2"/>
  </r>
  <r>
    <n v="1099931"/>
    <x v="383"/>
    <x v="13"/>
    <x v="394"/>
    <x v="657"/>
  </r>
  <r>
    <n v="1099931"/>
    <x v="383"/>
    <x v="13"/>
    <x v="422"/>
    <x v="406"/>
  </r>
  <r>
    <n v="1099931"/>
    <x v="383"/>
    <x v="13"/>
    <x v="395"/>
    <x v="777"/>
  </r>
  <r>
    <n v="1099931"/>
    <x v="383"/>
    <x v="13"/>
    <x v="421"/>
    <x v="778"/>
  </r>
  <r>
    <n v="1099931"/>
    <x v="1"/>
    <x v="1"/>
    <x v="2"/>
    <x v="2"/>
  </r>
  <r>
    <n v="1099932"/>
    <x v="384"/>
    <x v="6"/>
    <x v="194"/>
    <x v="516"/>
  </r>
  <r>
    <n v="1099932"/>
    <x v="384"/>
    <x v="6"/>
    <x v="174"/>
    <x v="88"/>
  </r>
  <r>
    <n v="1099932"/>
    <x v="384"/>
    <x v="6"/>
    <x v="176"/>
    <x v="83"/>
  </r>
  <r>
    <n v="1099932"/>
    <x v="384"/>
    <x v="6"/>
    <x v="166"/>
    <x v="534"/>
  </r>
  <r>
    <n v="1099932"/>
    <x v="384"/>
    <x v="6"/>
    <x v="35"/>
    <x v="178"/>
  </r>
  <r>
    <n v="1099932"/>
    <x v="384"/>
    <x v="6"/>
    <x v="41"/>
    <x v="203"/>
  </r>
  <r>
    <n v="1099932"/>
    <x v="384"/>
    <x v="6"/>
    <x v="78"/>
    <x v="541"/>
  </r>
  <r>
    <n v="1099932"/>
    <x v="384"/>
    <x v="6"/>
    <x v="75"/>
    <x v="176"/>
  </r>
  <r>
    <n v="1099932"/>
    <x v="384"/>
    <x v="6"/>
    <x v="199"/>
    <x v="542"/>
  </r>
  <r>
    <n v="1099932"/>
    <x v="384"/>
    <x v="6"/>
    <x v="387"/>
    <x v="233"/>
  </r>
  <r>
    <n v="1099932"/>
    <x v="384"/>
    <x v="6"/>
    <x v="394"/>
    <x v="54"/>
  </r>
  <r>
    <n v="1099932"/>
    <x v="384"/>
    <x v="6"/>
    <x v="343"/>
    <x v="348"/>
  </r>
  <r>
    <n v="1099932"/>
    <x v="384"/>
    <x v="6"/>
    <x v="13"/>
    <x v="535"/>
  </r>
  <r>
    <n v="1099932"/>
    <x v="384"/>
    <x v="6"/>
    <x v="333"/>
    <x v="348"/>
  </r>
  <r>
    <n v="1099932"/>
    <x v="384"/>
    <x v="6"/>
    <x v="159"/>
    <x v="516"/>
  </r>
  <r>
    <n v="1099932"/>
    <x v="384"/>
    <x v="6"/>
    <x v="128"/>
    <x v="178"/>
  </r>
  <r>
    <n v="1099932"/>
    <x v="384"/>
    <x v="6"/>
    <x v="141"/>
    <x v="351"/>
  </r>
  <r>
    <n v="1099932"/>
    <x v="384"/>
    <x v="6"/>
    <x v="151"/>
    <x v="77"/>
  </r>
  <r>
    <n v="1099932"/>
    <x v="384"/>
    <x v="6"/>
    <x v="249"/>
    <x v="348"/>
  </r>
  <r>
    <n v="1099932"/>
    <x v="384"/>
    <x v="6"/>
    <x v="206"/>
    <x v="535"/>
  </r>
  <r>
    <n v="1099932"/>
    <x v="384"/>
    <x v="6"/>
    <x v="215"/>
    <x v="516"/>
  </r>
  <r>
    <n v="1099932"/>
    <x v="384"/>
    <x v="6"/>
    <x v="251"/>
    <x v="535"/>
  </r>
  <r>
    <n v="1099932"/>
    <x v="384"/>
    <x v="6"/>
    <x v="234"/>
    <x v="4"/>
  </r>
  <r>
    <n v="1099932"/>
    <x v="384"/>
    <x v="6"/>
    <x v="313"/>
    <x v="98"/>
  </r>
  <r>
    <n v="1099932"/>
    <x v="384"/>
    <x v="6"/>
    <x v="218"/>
    <x v="346"/>
  </r>
  <r>
    <n v="1099932"/>
    <x v="384"/>
    <x v="6"/>
    <x v="195"/>
    <x v="535"/>
  </r>
  <r>
    <n v="1099932"/>
    <x v="384"/>
    <x v="6"/>
    <x v="192"/>
    <x v="535"/>
  </r>
  <r>
    <n v="1099932"/>
    <x v="384"/>
    <x v="6"/>
    <x v="190"/>
    <x v="346"/>
  </r>
  <r>
    <n v="1099932"/>
    <x v="384"/>
    <x v="6"/>
    <x v="28"/>
    <x v="226"/>
  </r>
  <r>
    <n v="1099932"/>
    <x v="384"/>
    <x v="6"/>
    <x v="29"/>
    <x v="197"/>
  </r>
  <r>
    <n v="1099932"/>
    <x v="384"/>
    <x v="6"/>
    <x v="31"/>
    <x v="162"/>
  </r>
  <r>
    <n v="1099932"/>
    <x v="384"/>
    <x v="6"/>
    <x v="59"/>
    <x v="62"/>
  </r>
  <r>
    <n v="1099932"/>
    <x v="384"/>
    <x v="6"/>
    <x v="74"/>
    <x v="154"/>
  </r>
  <r>
    <n v="1099932"/>
    <x v="384"/>
    <x v="6"/>
    <x v="80"/>
    <x v="550"/>
  </r>
  <r>
    <n v="1099932"/>
    <x v="384"/>
    <x v="6"/>
    <x v="424"/>
    <x v="170"/>
  </r>
  <r>
    <n v="1099932"/>
    <x v="384"/>
    <x v="6"/>
    <x v="386"/>
    <x v="85"/>
  </r>
  <r>
    <n v="1099932"/>
    <x v="384"/>
    <x v="6"/>
    <x v="5"/>
    <x v="3"/>
  </r>
  <r>
    <n v="1099932"/>
    <x v="384"/>
    <x v="6"/>
    <x v="8"/>
    <x v="351"/>
  </r>
  <r>
    <n v="1099932"/>
    <x v="384"/>
    <x v="6"/>
    <x v="349"/>
    <x v="535"/>
  </r>
  <r>
    <n v="1099932"/>
    <x v="384"/>
    <x v="6"/>
    <x v="337"/>
    <x v="348"/>
  </r>
  <r>
    <n v="1099932"/>
    <x v="384"/>
    <x v="6"/>
    <x v="125"/>
    <x v="535"/>
  </r>
  <r>
    <n v="1099932"/>
    <x v="384"/>
    <x v="6"/>
    <x v="136"/>
    <x v="516"/>
  </r>
  <r>
    <n v="1099932"/>
    <x v="384"/>
    <x v="6"/>
    <x v="148"/>
    <x v="535"/>
  </r>
  <r>
    <n v="1099932"/>
    <x v="384"/>
    <x v="6"/>
    <x v="259"/>
    <x v="178"/>
  </r>
  <r>
    <n v="1099932"/>
    <x v="384"/>
    <x v="6"/>
    <x v="265"/>
    <x v="535"/>
  </r>
  <r>
    <n v="1099932"/>
    <x v="384"/>
    <x v="6"/>
    <x v="212"/>
    <x v="4"/>
  </r>
  <r>
    <n v="1099932"/>
    <x v="384"/>
    <x v="6"/>
    <x v="223"/>
    <x v="3"/>
  </r>
  <r>
    <n v="1099932"/>
    <x v="384"/>
    <x v="6"/>
    <x v="231"/>
    <x v="88"/>
  </r>
  <r>
    <n v="1099932"/>
    <x v="384"/>
    <x v="6"/>
    <x v="239"/>
    <x v="198"/>
  </r>
  <r>
    <n v="1099932"/>
    <x v="384"/>
    <x v="6"/>
    <x v="247"/>
    <x v="198"/>
  </r>
  <r>
    <n v="1099932"/>
    <x v="384"/>
    <x v="6"/>
    <x v="221"/>
    <x v="198"/>
  </r>
  <r>
    <n v="1099932"/>
    <x v="384"/>
    <x v="6"/>
    <x v="385"/>
    <x v="5"/>
  </r>
  <r>
    <n v="1099932"/>
    <x v="384"/>
    <x v="6"/>
    <x v="9"/>
    <x v="348"/>
  </r>
  <r>
    <n v="1099932"/>
    <x v="384"/>
    <x v="6"/>
    <x v="145"/>
    <x v="351"/>
  </r>
  <r>
    <n v="1099932"/>
    <x v="384"/>
    <x v="6"/>
    <x v="256"/>
    <x v="79"/>
  </r>
  <r>
    <n v="1099932"/>
    <x v="384"/>
    <x v="6"/>
    <x v="263"/>
    <x v="83"/>
  </r>
  <r>
    <n v="1099932"/>
    <x v="384"/>
    <x v="6"/>
    <x v="209"/>
    <x v="516"/>
  </r>
  <r>
    <n v="1099932"/>
    <x v="384"/>
    <x v="6"/>
    <x v="140"/>
    <x v="4"/>
  </r>
  <r>
    <n v="1099932"/>
    <x v="384"/>
    <x v="6"/>
    <x v="228"/>
    <x v="30"/>
  </r>
  <r>
    <n v="1099932"/>
    <x v="384"/>
    <x v="6"/>
    <x v="238"/>
    <x v="375"/>
  </r>
  <r>
    <n v="1099932"/>
    <x v="384"/>
    <x v="6"/>
    <x v="245"/>
    <x v="161"/>
  </r>
  <r>
    <n v="1099932"/>
    <x v="384"/>
    <x v="6"/>
    <x v="318"/>
    <x v="88"/>
  </r>
  <r>
    <n v="1099932"/>
    <x v="384"/>
    <x v="6"/>
    <x v="179"/>
    <x v="516"/>
  </r>
  <r>
    <n v="1099932"/>
    <x v="384"/>
    <x v="6"/>
    <x v="181"/>
    <x v="161"/>
  </r>
  <r>
    <n v="1099932"/>
    <x v="384"/>
    <x v="6"/>
    <x v="183"/>
    <x v="535"/>
  </r>
  <r>
    <n v="1099932"/>
    <x v="384"/>
    <x v="6"/>
    <x v="24"/>
    <x v="88"/>
  </r>
  <r>
    <n v="1099932"/>
    <x v="384"/>
    <x v="6"/>
    <x v="39"/>
    <x v="105"/>
  </r>
  <r>
    <n v="1099932"/>
    <x v="384"/>
    <x v="6"/>
    <x v="388"/>
    <x v="37"/>
  </r>
  <r>
    <n v="1099932"/>
    <x v="384"/>
    <x v="6"/>
    <x v="65"/>
    <x v="351"/>
  </r>
  <r>
    <n v="1099932"/>
    <x v="384"/>
    <x v="6"/>
    <x v="58"/>
    <x v="82"/>
  </r>
  <r>
    <n v="1099932"/>
    <x v="384"/>
    <x v="6"/>
    <x v="3"/>
    <x v="24"/>
  </r>
  <r>
    <n v="1099932"/>
    <x v="384"/>
    <x v="6"/>
    <x v="395"/>
    <x v="539"/>
  </r>
  <r>
    <n v="1099932"/>
    <x v="384"/>
    <x v="6"/>
    <x v="12"/>
    <x v="3"/>
  </r>
  <r>
    <n v="1099932"/>
    <x v="384"/>
    <x v="6"/>
    <x v="345"/>
    <x v="346"/>
  </r>
  <r>
    <n v="1099932"/>
    <x v="384"/>
    <x v="6"/>
    <x v="351"/>
    <x v="351"/>
  </r>
  <r>
    <n v="1099932"/>
    <x v="384"/>
    <x v="6"/>
    <x v="162"/>
    <x v="535"/>
  </r>
  <r>
    <n v="1099932"/>
    <x v="384"/>
    <x v="6"/>
    <x v="132"/>
    <x v="178"/>
  </r>
  <r>
    <n v="1099932"/>
    <x v="384"/>
    <x v="6"/>
    <x v="144"/>
    <x v="348"/>
  </r>
  <r>
    <n v="1099932"/>
    <x v="384"/>
    <x v="6"/>
    <x v="255"/>
    <x v="154"/>
  </r>
  <r>
    <n v="1099932"/>
    <x v="384"/>
    <x v="6"/>
    <x v="250"/>
    <x v="535"/>
  </r>
  <r>
    <n v="1099932"/>
    <x v="384"/>
    <x v="6"/>
    <x v="139"/>
    <x v="178"/>
  </r>
  <r>
    <n v="1099932"/>
    <x v="384"/>
    <x v="6"/>
    <x v="227"/>
    <x v="4"/>
  </r>
  <r>
    <n v="1099932"/>
    <x v="384"/>
    <x v="6"/>
    <x v="237"/>
    <x v="548"/>
  </r>
  <r>
    <n v="1099932"/>
    <x v="384"/>
    <x v="6"/>
    <x v="244"/>
    <x v="154"/>
  </r>
  <r>
    <n v="1099932"/>
    <x v="384"/>
    <x v="6"/>
    <x v="314"/>
    <x v="516"/>
  </r>
  <r>
    <n v="1099932"/>
    <x v="384"/>
    <x v="6"/>
    <x v="168"/>
    <x v="535"/>
  </r>
  <r>
    <n v="1099932"/>
    <x v="384"/>
    <x v="6"/>
    <x v="175"/>
    <x v="516"/>
  </r>
  <r>
    <n v="1099932"/>
    <x v="384"/>
    <x v="6"/>
    <x v="177"/>
    <x v="198"/>
  </r>
  <r>
    <n v="1099932"/>
    <x v="384"/>
    <x v="6"/>
    <x v="38"/>
    <x v="198"/>
  </r>
  <r>
    <n v="1099932"/>
    <x v="384"/>
    <x v="6"/>
    <x v="34"/>
    <x v="105"/>
  </r>
  <r>
    <n v="1099932"/>
    <x v="384"/>
    <x v="6"/>
    <x v="390"/>
    <x v="220"/>
  </r>
  <r>
    <n v="1099932"/>
    <x v="384"/>
    <x v="6"/>
    <x v="202"/>
    <x v="238"/>
  </r>
  <r>
    <n v="1099932"/>
    <x v="384"/>
    <x v="6"/>
    <x v="63"/>
    <x v="178"/>
  </r>
  <r>
    <n v="1099932"/>
    <x v="384"/>
    <x v="6"/>
    <x v="55"/>
    <x v="178"/>
  </r>
  <r>
    <n v="1099932"/>
    <x v="384"/>
    <x v="6"/>
    <x v="330"/>
    <x v="553"/>
  </r>
  <r>
    <n v="1099932"/>
    <x v="384"/>
    <x v="6"/>
    <x v="11"/>
    <x v="348"/>
  </r>
  <r>
    <n v="1099932"/>
    <x v="384"/>
    <x v="6"/>
    <x v="40"/>
    <x v="161"/>
  </r>
  <r>
    <n v="1099932"/>
    <x v="384"/>
    <x v="6"/>
    <x v="25"/>
    <x v="105"/>
  </r>
  <r>
    <n v="1099932"/>
    <x v="384"/>
    <x v="6"/>
    <x v="418"/>
    <x v="552"/>
  </r>
  <r>
    <n v="1099932"/>
    <x v="384"/>
    <x v="6"/>
    <x v="421"/>
    <x v="58"/>
  </r>
  <r>
    <n v="1099932"/>
    <x v="384"/>
    <x v="6"/>
    <x v="15"/>
    <x v="154"/>
  </r>
  <r>
    <n v="1099932"/>
    <x v="384"/>
    <x v="6"/>
    <x v="254"/>
    <x v="178"/>
  </r>
  <r>
    <n v="1099932"/>
    <x v="384"/>
    <x v="6"/>
    <x v="350"/>
    <x v="535"/>
  </r>
  <r>
    <n v="1099932"/>
    <x v="384"/>
    <x v="6"/>
    <x v="161"/>
    <x v="351"/>
  </r>
  <r>
    <n v="1099932"/>
    <x v="384"/>
    <x v="6"/>
    <x v="7"/>
    <x v="351"/>
  </r>
  <r>
    <n v="1099932"/>
    <x v="384"/>
    <x v="6"/>
    <x v="331"/>
    <x v="178"/>
  </r>
  <r>
    <n v="1099932"/>
    <x v="384"/>
    <x v="6"/>
    <x v="338"/>
    <x v="346"/>
  </r>
  <r>
    <n v="1099932"/>
    <x v="384"/>
    <x v="6"/>
    <x v="126"/>
    <x v="516"/>
  </r>
  <r>
    <n v="1099932"/>
    <x v="384"/>
    <x v="6"/>
    <x v="137"/>
    <x v="535"/>
  </r>
  <r>
    <n v="1099932"/>
    <x v="384"/>
    <x v="6"/>
    <x v="149"/>
    <x v="516"/>
  </r>
  <r>
    <n v="1099932"/>
    <x v="384"/>
    <x v="6"/>
    <x v="260"/>
    <x v="83"/>
  </r>
  <r>
    <n v="1099932"/>
    <x v="384"/>
    <x v="6"/>
    <x v="204"/>
    <x v="535"/>
  </r>
  <r>
    <n v="1099932"/>
    <x v="384"/>
    <x v="6"/>
    <x v="213"/>
    <x v="83"/>
  </r>
  <r>
    <n v="1099932"/>
    <x v="384"/>
    <x v="6"/>
    <x v="224"/>
    <x v="144"/>
  </r>
  <r>
    <n v="1099932"/>
    <x v="384"/>
    <x v="6"/>
    <x v="232"/>
    <x v="161"/>
  </r>
  <r>
    <n v="1099932"/>
    <x v="384"/>
    <x v="6"/>
    <x v="240"/>
    <x v="535"/>
  </r>
  <r>
    <n v="1099932"/>
    <x v="384"/>
    <x v="6"/>
    <x v="248"/>
    <x v="516"/>
  </r>
  <r>
    <n v="1099932"/>
    <x v="384"/>
    <x v="6"/>
    <x v="170"/>
    <x v="178"/>
  </r>
  <r>
    <n v="1099932"/>
    <x v="384"/>
    <x v="6"/>
    <x v="172"/>
    <x v="154"/>
  </r>
  <r>
    <n v="1099932"/>
    <x v="384"/>
    <x v="6"/>
    <x v="1"/>
    <x v="540"/>
  </r>
  <r>
    <n v="1099932"/>
    <x v="384"/>
    <x v="6"/>
    <x v="27"/>
    <x v="64"/>
  </r>
  <r>
    <n v="1099932"/>
    <x v="384"/>
    <x v="6"/>
    <x v="64"/>
    <x v="549"/>
  </r>
  <r>
    <n v="1099932"/>
    <x v="384"/>
    <x v="6"/>
    <x v="203"/>
    <x v="543"/>
  </r>
  <r>
    <n v="1099932"/>
    <x v="384"/>
    <x v="6"/>
    <x v="70"/>
    <x v="198"/>
  </r>
  <r>
    <n v="1099932"/>
    <x v="384"/>
    <x v="6"/>
    <x v="73"/>
    <x v="351"/>
  </r>
  <r>
    <n v="1099932"/>
    <x v="384"/>
    <x v="6"/>
    <x v="4"/>
    <x v="3"/>
  </r>
  <r>
    <n v="1099932"/>
    <x v="384"/>
    <x v="6"/>
    <x v="157"/>
    <x v="544"/>
  </r>
  <r>
    <n v="1099932"/>
    <x v="384"/>
    <x v="6"/>
    <x v="344"/>
    <x v="346"/>
  </r>
  <r>
    <n v="1099932"/>
    <x v="384"/>
    <x v="6"/>
    <x v="347"/>
    <x v="348"/>
  </r>
  <r>
    <n v="1099932"/>
    <x v="384"/>
    <x v="6"/>
    <x v="335"/>
    <x v="348"/>
  </r>
  <r>
    <n v="1099932"/>
    <x v="384"/>
    <x v="6"/>
    <x v="163"/>
    <x v="516"/>
  </r>
  <r>
    <n v="1099932"/>
    <x v="384"/>
    <x v="6"/>
    <x v="134"/>
    <x v="178"/>
  </r>
  <r>
    <n v="1099932"/>
    <x v="384"/>
    <x v="6"/>
    <x v="146"/>
    <x v="535"/>
  </r>
  <r>
    <n v="1099932"/>
    <x v="384"/>
    <x v="6"/>
    <x v="257"/>
    <x v="198"/>
  </r>
  <r>
    <n v="1099932"/>
    <x v="384"/>
    <x v="6"/>
    <x v="264"/>
    <x v="351"/>
  </r>
  <r>
    <n v="1099932"/>
    <x v="384"/>
    <x v="6"/>
    <x v="210"/>
    <x v="348"/>
  </r>
  <r>
    <n v="1099932"/>
    <x v="384"/>
    <x v="6"/>
    <x v="340"/>
    <x v="78"/>
  </r>
  <r>
    <n v="1099932"/>
    <x v="384"/>
    <x v="6"/>
    <x v="229"/>
    <x v="219"/>
  </r>
  <r>
    <n v="1099932"/>
    <x v="384"/>
    <x v="6"/>
    <x v="155"/>
    <x v="331"/>
  </r>
  <r>
    <n v="1099932"/>
    <x v="384"/>
    <x v="6"/>
    <x v="341"/>
    <x v="346"/>
  </r>
  <r>
    <n v="1099932"/>
    <x v="384"/>
    <x v="6"/>
    <x v="317"/>
    <x v="346"/>
  </r>
  <r>
    <n v="1099932"/>
    <x v="384"/>
    <x v="6"/>
    <x v="193"/>
    <x v="170"/>
  </r>
  <r>
    <n v="1099932"/>
    <x v="384"/>
    <x v="6"/>
    <x v="191"/>
    <x v="178"/>
  </r>
  <r>
    <n v="1099932"/>
    <x v="384"/>
    <x v="6"/>
    <x v="189"/>
    <x v="178"/>
  </r>
  <r>
    <n v="1099932"/>
    <x v="384"/>
    <x v="6"/>
    <x v="422"/>
    <x v="154"/>
  </r>
  <r>
    <n v="1099932"/>
    <x v="384"/>
    <x v="6"/>
    <x v="14"/>
    <x v="4"/>
  </r>
  <r>
    <n v="1099932"/>
    <x v="384"/>
    <x v="6"/>
    <x v="253"/>
    <x v="170"/>
  </r>
  <r>
    <n v="1099932"/>
    <x v="384"/>
    <x v="6"/>
    <x v="334"/>
    <x v="198"/>
  </r>
  <r>
    <n v="1099932"/>
    <x v="384"/>
    <x v="6"/>
    <x v="160"/>
    <x v="351"/>
  </r>
  <r>
    <n v="1099932"/>
    <x v="384"/>
    <x v="6"/>
    <x v="129"/>
    <x v="535"/>
  </r>
  <r>
    <n v="1099932"/>
    <x v="384"/>
    <x v="6"/>
    <x v="142"/>
    <x v="83"/>
  </r>
  <r>
    <n v="1099932"/>
    <x v="384"/>
    <x v="6"/>
    <x v="152"/>
    <x v="535"/>
  </r>
  <r>
    <n v="1099932"/>
    <x v="384"/>
    <x v="6"/>
    <x v="262"/>
    <x v="351"/>
  </r>
  <r>
    <n v="1099932"/>
    <x v="384"/>
    <x v="6"/>
    <x v="207"/>
    <x v="88"/>
  </r>
  <r>
    <n v="1099932"/>
    <x v="384"/>
    <x v="6"/>
    <x v="216"/>
    <x v="198"/>
  </r>
  <r>
    <n v="1099932"/>
    <x v="384"/>
    <x v="6"/>
    <x v="426"/>
    <x v="170"/>
  </r>
  <r>
    <n v="1099932"/>
    <x v="384"/>
    <x v="6"/>
    <x v="235"/>
    <x v="83"/>
  </r>
  <r>
    <n v="1099932"/>
    <x v="384"/>
    <x v="6"/>
    <x v="242"/>
    <x v="346"/>
  </r>
  <r>
    <n v="1099932"/>
    <x v="384"/>
    <x v="6"/>
    <x v="219"/>
    <x v="77"/>
  </r>
  <r>
    <n v="1099932"/>
    <x v="384"/>
    <x v="6"/>
    <x v="173"/>
    <x v="516"/>
  </r>
  <r>
    <n v="1099932"/>
    <x v="384"/>
    <x v="6"/>
    <x v="187"/>
    <x v="98"/>
  </r>
  <r>
    <n v="1099932"/>
    <x v="384"/>
    <x v="6"/>
    <x v="184"/>
    <x v="516"/>
  </r>
  <r>
    <n v="1099932"/>
    <x v="384"/>
    <x v="6"/>
    <x v="0"/>
    <x v="529"/>
  </r>
  <r>
    <n v="1099932"/>
    <x v="384"/>
    <x v="6"/>
    <x v="36"/>
    <x v="34"/>
  </r>
  <r>
    <n v="1099932"/>
    <x v="384"/>
    <x v="6"/>
    <x v="81"/>
    <x v="229"/>
  </r>
  <r>
    <n v="1099932"/>
    <x v="384"/>
    <x v="6"/>
    <x v="200"/>
    <x v="179"/>
  </r>
  <r>
    <n v="1099932"/>
    <x v="384"/>
    <x v="6"/>
    <x v="62"/>
    <x v="348"/>
  </r>
  <r>
    <n v="1099932"/>
    <x v="384"/>
    <x v="6"/>
    <x v="57"/>
    <x v="36"/>
  </r>
  <r>
    <n v="1099932"/>
    <x v="384"/>
    <x v="6"/>
    <x v="169"/>
    <x v="351"/>
  </r>
  <r>
    <n v="1099932"/>
    <x v="384"/>
    <x v="6"/>
    <x v="171"/>
    <x v="351"/>
  </r>
  <r>
    <n v="1099932"/>
    <x v="384"/>
    <x v="6"/>
    <x v="165"/>
    <x v="546"/>
  </r>
  <r>
    <n v="1099932"/>
    <x v="384"/>
    <x v="6"/>
    <x v="43"/>
    <x v="351"/>
  </r>
  <r>
    <n v="1099932"/>
    <x v="384"/>
    <x v="6"/>
    <x v="30"/>
    <x v="203"/>
  </r>
  <r>
    <n v="1099932"/>
    <x v="384"/>
    <x v="6"/>
    <x v="77"/>
    <x v="536"/>
  </r>
  <r>
    <n v="1099932"/>
    <x v="384"/>
    <x v="6"/>
    <x v="60"/>
    <x v="82"/>
  </r>
  <r>
    <n v="1099932"/>
    <x v="384"/>
    <x v="6"/>
    <x v="201"/>
    <x v="88"/>
  </r>
  <r>
    <n v="1099932"/>
    <x v="384"/>
    <x v="6"/>
    <x v="389"/>
    <x v="537"/>
  </r>
  <r>
    <n v="1099932"/>
    <x v="384"/>
    <x v="6"/>
    <x v="346"/>
    <x v="516"/>
  </r>
  <r>
    <n v="1099932"/>
    <x v="384"/>
    <x v="6"/>
    <x v="352"/>
    <x v="516"/>
  </r>
  <r>
    <n v="1099932"/>
    <x v="384"/>
    <x v="6"/>
    <x v="154"/>
    <x v="351"/>
  </r>
  <r>
    <n v="1099932"/>
    <x v="384"/>
    <x v="6"/>
    <x v="133"/>
    <x v="348"/>
  </r>
  <r>
    <n v="1099932"/>
    <x v="384"/>
    <x v="6"/>
    <x v="425"/>
    <x v="170"/>
  </r>
  <r>
    <n v="1099932"/>
    <x v="384"/>
    <x v="6"/>
    <x v="383"/>
    <x v="220"/>
  </r>
  <r>
    <n v="1099932"/>
    <x v="384"/>
    <x v="6"/>
    <x v="158"/>
    <x v="472"/>
  </r>
  <r>
    <n v="1099932"/>
    <x v="384"/>
    <x v="6"/>
    <x v="10"/>
    <x v="83"/>
  </r>
  <r>
    <n v="1099932"/>
    <x v="384"/>
    <x v="6"/>
    <x v="348"/>
    <x v="178"/>
  </r>
  <r>
    <n v="1099932"/>
    <x v="384"/>
    <x v="6"/>
    <x v="336"/>
    <x v="178"/>
  </r>
  <r>
    <n v="1099932"/>
    <x v="384"/>
    <x v="6"/>
    <x v="124"/>
    <x v="351"/>
  </r>
  <r>
    <n v="1099932"/>
    <x v="384"/>
    <x v="6"/>
    <x v="135"/>
    <x v="535"/>
  </r>
  <r>
    <n v="1099932"/>
    <x v="384"/>
    <x v="6"/>
    <x v="147"/>
    <x v="535"/>
  </r>
  <r>
    <n v="1099932"/>
    <x v="384"/>
    <x v="6"/>
    <x v="258"/>
    <x v="516"/>
  </r>
  <r>
    <n v="1099932"/>
    <x v="384"/>
    <x v="6"/>
    <x v="316"/>
    <x v="347"/>
  </r>
  <r>
    <n v="1099932"/>
    <x v="384"/>
    <x v="6"/>
    <x v="211"/>
    <x v="351"/>
  </r>
  <r>
    <n v="1099932"/>
    <x v="384"/>
    <x v="6"/>
    <x v="222"/>
    <x v="77"/>
  </r>
  <r>
    <n v="1099932"/>
    <x v="384"/>
    <x v="6"/>
    <x v="230"/>
    <x v="77"/>
  </r>
  <r>
    <n v="1099932"/>
    <x v="384"/>
    <x v="6"/>
    <x v="156"/>
    <x v="545"/>
  </r>
  <r>
    <n v="1099932"/>
    <x v="384"/>
    <x v="6"/>
    <x v="246"/>
    <x v="198"/>
  </r>
  <r>
    <n v="1099932"/>
    <x v="384"/>
    <x v="6"/>
    <x v="220"/>
    <x v="178"/>
  </r>
  <r>
    <n v="1099932"/>
    <x v="384"/>
    <x v="6"/>
    <x v="186"/>
    <x v="535"/>
  </r>
  <r>
    <n v="1099932"/>
    <x v="384"/>
    <x v="6"/>
    <x v="188"/>
    <x v="88"/>
  </r>
  <r>
    <n v="1099932"/>
    <x v="384"/>
    <x v="6"/>
    <x v="164"/>
    <x v="105"/>
  </r>
  <r>
    <n v="1099932"/>
    <x v="384"/>
    <x v="6"/>
    <x v="26"/>
    <x v="351"/>
  </r>
  <r>
    <n v="1099932"/>
    <x v="384"/>
    <x v="6"/>
    <x v="42"/>
    <x v="182"/>
  </r>
  <r>
    <n v="1099932"/>
    <x v="384"/>
    <x v="6"/>
    <x v="82"/>
    <x v="346"/>
  </r>
  <r>
    <n v="1099932"/>
    <x v="384"/>
    <x v="6"/>
    <x v="68"/>
    <x v="98"/>
  </r>
  <r>
    <n v="1099932"/>
    <x v="384"/>
    <x v="6"/>
    <x v="56"/>
    <x v="69"/>
  </r>
  <r>
    <n v="1099932"/>
    <x v="384"/>
    <x v="6"/>
    <x v="420"/>
    <x v="547"/>
  </r>
  <r>
    <n v="1099932"/>
    <x v="384"/>
    <x v="6"/>
    <x v="384"/>
    <x v="551"/>
  </r>
  <r>
    <n v="1099932"/>
    <x v="384"/>
    <x v="6"/>
    <x v="342"/>
    <x v="348"/>
  </r>
  <r>
    <n v="1099932"/>
    <x v="384"/>
    <x v="6"/>
    <x v="6"/>
    <x v="516"/>
  </r>
  <r>
    <n v="1099932"/>
    <x v="384"/>
    <x v="6"/>
    <x v="332"/>
    <x v="346"/>
  </r>
  <r>
    <n v="1099932"/>
    <x v="384"/>
    <x v="6"/>
    <x v="339"/>
    <x v="348"/>
  </r>
  <r>
    <n v="1099932"/>
    <x v="384"/>
    <x v="6"/>
    <x v="127"/>
    <x v="535"/>
  </r>
  <r>
    <n v="1099932"/>
    <x v="384"/>
    <x v="6"/>
    <x v="138"/>
    <x v="351"/>
  </r>
  <r>
    <n v="1099932"/>
    <x v="384"/>
    <x v="6"/>
    <x v="150"/>
    <x v="77"/>
  </r>
  <r>
    <n v="1099932"/>
    <x v="384"/>
    <x v="6"/>
    <x v="261"/>
    <x v="348"/>
  </r>
  <r>
    <n v="1099932"/>
    <x v="384"/>
    <x v="6"/>
    <x v="205"/>
    <x v="516"/>
  </r>
  <r>
    <n v="1099932"/>
    <x v="384"/>
    <x v="6"/>
    <x v="214"/>
    <x v="516"/>
  </r>
  <r>
    <n v="1099932"/>
    <x v="384"/>
    <x v="6"/>
    <x v="225"/>
    <x v="4"/>
  </r>
  <r>
    <n v="1099932"/>
    <x v="384"/>
    <x v="6"/>
    <x v="233"/>
    <x v="154"/>
  </r>
  <r>
    <n v="1099932"/>
    <x v="384"/>
    <x v="6"/>
    <x v="241"/>
    <x v="178"/>
  </r>
  <r>
    <n v="1099932"/>
    <x v="384"/>
    <x v="6"/>
    <x v="217"/>
    <x v="170"/>
  </r>
  <r>
    <n v="1099932"/>
    <x v="384"/>
    <x v="6"/>
    <x v="178"/>
    <x v="516"/>
  </r>
  <r>
    <n v="1099932"/>
    <x v="384"/>
    <x v="6"/>
    <x v="180"/>
    <x v="88"/>
  </r>
  <r>
    <n v="1099932"/>
    <x v="384"/>
    <x v="6"/>
    <x v="182"/>
    <x v="516"/>
  </r>
  <r>
    <n v="1099932"/>
    <x v="384"/>
    <x v="6"/>
    <x v="33"/>
    <x v="90"/>
  </r>
  <r>
    <n v="1099932"/>
    <x v="384"/>
    <x v="6"/>
    <x v="32"/>
    <x v="62"/>
  </r>
  <r>
    <n v="1099932"/>
    <x v="384"/>
    <x v="6"/>
    <x v="37"/>
    <x v="149"/>
  </r>
  <r>
    <n v="1099932"/>
    <x v="384"/>
    <x v="6"/>
    <x v="83"/>
    <x v="348"/>
  </r>
  <r>
    <n v="1099932"/>
    <x v="384"/>
    <x v="6"/>
    <x v="71"/>
    <x v="97"/>
  </r>
  <r>
    <n v="1099932"/>
    <x v="384"/>
    <x v="6"/>
    <x v="69"/>
    <x v="538"/>
  </r>
  <r>
    <n v="1099932"/>
    <x v="384"/>
    <x v="6"/>
    <x v="61"/>
    <x v="172"/>
  </r>
  <r>
    <n v="1099932"/>
    <x v="384"/>
    <x v="6"/>
    <x v="131"/>
    <x v="535"/>
  </r>
  <r>
    <n v="1099932"/>
    <x v="384"/>
    <x v="6"/>
    <x v="143"/>
    <x v="178"/>
  </r>
  <r>
    <n v="1099932"/>
    <x v="384"/>
    <x v="6"/>
    <x v="153"/>
    <x v="348"/>
  </r>
  <r>
    <n v="1099932"/>
    <x v="384"/>
    <x v="6"/>
    <x v="208"/>
    <x v="178"/>
  </r>
  <r>
    <n v="1099932"/>
    <x v="384"/>
    <x v="6"/>
    <x v="66"/>
    <x v="98"/>
  </r>
  <r>
    <n v="1099932"/>
    <x v="384"/>
    <x v="6"/>
    <x v="79"/>
    <x v="69"/>
  </r>
  <r>
    <n v="1099932"/>
    <x v="384"/>
    <x v="6"/>
    <x v="419"/>
    <x v="84"/>
  </r>
  <r>
    <n v="1099932"/>
    <x v="384"/>
    <x v="6"/>
    <x v="130"/>
    <x v="348"/>
  </r>
  <r>
    <n v="1099932"/>
    <x v="384"/>
    <x v="6"/>
    <x v="226"/>
    <x v="82"/>
  </r>
  <r>
    <n v="1099932"/>
    <x v="384"/>
    <x v="6"/>
    <x v="236"/>
    <x v="83"/>
  </r>
  <r>
    <n v="1099932"/>
    <x v="384"/>
    <x v="6"/>
    <x v="243"/>
    <x v="351"/>
  </r>
  <r>
    <n v="1099932"/>
    <x v="384"/>
    <x v="6"/>
    <x v="315"/>
    <x v="144"/>
  </r>
  <r>
    <n v="1099932"/>
    <x v="384"/>
    <x v="6"/>
    <x v="185"/>
    <x v="3"/>
  </r>
  <r>
    <n v="1099932"/>
    <x v="1"/>
    <x v="1"/>
    <x v="2"/>
    <x v="2"/>
  </r>
  <r>
    <n v="1099933"/>
    <x v="385"/>
    <x v="5"/>
    <x v="282"/>
    <x v="779"/>
  </r>
  <r>
    <n v="1099933"/>
    <x v="385"/>
    <x v="5"/>
    <x v="283"/>
    <x v="780"/>
  </r>
  <r>
    <n v="1099933"/>
    <x v="1"/>
    <x v="1"/>
    <x v="2"/>
    <x v="2"/>
  </r>
  <r>
    <n v="1099935"/>
    <x v="386"/>
    <x v="5"/>
    <x v="400"/>
    <x v="223"/>
  </r>
  <r>
    <n v="1099935"/>
    <x v="386"/>
    <x v="5"/>
    <x v="85"/>
    <x v="781"/>
  </r>
  <r>
    <n v="1099935"/>
    <x v="386"/>
    <x v="5"/>
    <x v="404"/>
    <x v="512"/>
  </r>
  <r>
    <n v="1099935"/>
    <x v="386"/>
    <x v="5"/>
    <x v="409"/>
    <x v="767"/>
  </r>
  <r>
    <n v="1099935"/>
    <x v="386"/>
    <x v="5"/>
    <x v="86"/>
    <x v="782"/>
  </r>
  <r>
    <n v="1099935"/>
    <x v="386"/>
    <x v="5"/>
    <x v="414"/>
    <x v="455"/>
  </r>
  <r>
    <n v="1099935"/>
    <x v="1"/>
    <x v="1"/>
    <x v="2"/>
    <x v="2"/>
  </r>
  <r>
    <n v="1099936"/>
    <x v="387"/>
    <x v="14"/>
    <x v="393"/>
    <x v="428"/>
  </r>
  <r>
    <n v="1099936"/>
    <x v="387"/>
    <x v="14"/>
    <x v="392"/>
    <x v="427"/>
  </r>
  <r>
    <n v="1099936"/>
    <x v="1"/>
    <x v="1"/>
    <x v="2"/>
    <x v="2"/>
  </r>
  <r>
    <n v="1099937"/>
    <x v="388"/>
    <x v="5"/>
    <x v="96"/>
    <x v="147"/>
  </r>
  <r>
    <n v="1099937"/>
    <x v="388"/>
    <x v="5"/>
    <x v="376"/>
    <x v="549"/>
  </r>
  <r>
    <n v="1099937"/>
    <x v="388"/>
    <x v="5"/>
    <x v="98"/>
    <x v="199"/>
  </r>
  <r>
    <n v="1099937"/>
    <x v="388"/>
    <x v="5"/>
    <x v="97"/>
    <x v="783"/>
  </r>
  <r>
    <n v="1099937"/>
    <x v="388"/>
    <x v="5"/>
    <x v="444"/>
    <x v="42"/>
  </r>
  <r>
    <n v="1099937"/>
    <x v="388"/>
    <x v="5"/>
    <x v="355"/>
    <x v="569"/>
  </r>
  <r>
    <n v="1099937"/>
    <x v="388"/>
    <x v="5"/>
    <x v="360"/>
    <x v="212"/>
  </r>
  <r>
    <n v="1099937"/>
    <x v="388"/>
    <x v="5"/>
    <x v="443"/>
    <x v="784"/>
  </r>
  <r>
    <n v="1099937"/>
    <x v="388"/>
    <x v="5"/>
    <x v="91"/>
    <x v="457"/>
  </r>
  <r>
    <n v="1099937"/>
    <x v="388"/>
    <x v="5"/>
    <x v="374"/>
    <x v="211"/>
  </r>
  <r>
    <n v="1099937"/>
    <x v="388"/>
    <x v="5"/>
    <x v="375"/>
    <x v="77"/>
  </r>
  <r>
    <n v="1099937"/>
    <x v="388"/>
    <x v="5"/>
    <x v="87"/>
    <x v="785"/>
  </r>
  <r>
    <n v="1099937"/>
    <x v="388"/>
    <x v="5"/>
    <x v="94"/>
    <x v="164"/>
  </r>
  <r>
    <n v="1099937"/>
    <x v="388"/>
    <x v="5"/>
    <x v="362"/>
    <x v="476"/>
  </r>
  <r>
    <n v="1099937"/>
    <x v="388"/>
    <x v="5"/>
    <x v="365"/>
    <x v="24"/>
  </r>
  <r>
    <n v="1099937"/>
    <x v="388"/>
    <x v="5"/>
    <x v="371"/>
    <x v="156"/>
  </r>
  <r>
    <n v="1099937"/>
    <x v="388"/>
    <x v="5"/>
    <x v="93"/>
    <x v="682"/>
  </r>
  <r>
    <n v="1099937"/>
    <x v="388"/>
    <x v="5"/>
    <x v="440"/>
    <x v="786"/>
  </r>
  <r>
    <n v="1099937"/>
    <x v="388"/>
    <x v="5"/>
    <x v="88"/>
    <x v="173"/>
  </r>
  <r>
    <n v="1099937"/>
    <x v="388"/>
    <x v="5"/>
    <x v="95"/>
    <x v="557"/>
  </r>
  <r>
    <n v="1099937"/>
    <x v="388"/>
    <x v="5"/>
    <x v="369"/>
    <x v="54"/>
  </r>
  <r>
    <n v="1099937"/>
    <x v="388"/>
    <x v="5"/>
    <x v="445"/>
    <x v="202"/>
  </r>
  <r>
    <n v="1099937"/>
    <x v="388"/>
    <x v="5"/>
    <x v="358"/>
    <x v="171"/>
  </r>
  <r>
    <n v="1099937"/>
    <x v="388"/>
    <x v="5"/>
    <x v="90"/>
    <x v="212"/>
  </r>
  <r>
    <n v="1099937"/>
    <x v="388"/>
    <x v="5"/>
    <x v="367"/>
    <x v="61"/>
  </r>
  <r>
    <n v="1099937"/>
    <x v="388"/>
    <x v="5"/>
    <x v="377"/>
    <x v="787"/>
  </r>
  <r>
    <n v="1099937"/>
    <x v="388"/>
    <x v="5"/>
    <x v="356"/>
    <x v="363"/>
  </r>
  <r>
    <n v="1099937"/>
    <x v="388"/>
    <x v="5"/>
    <x v="357"/>
    <x v="788"/>
  </r>
  <r>
    <n v="1099937"/>
    <x v="388"/>
    <x v="5"/>
    <x v="361"/>
    <x v="364"/>
  </r>
  <r>
    <n v="1099937"/>
    <x v="388"/>
    <x v="5"/>
    <x v="363"/>
    <x v="364"/>
  </r>
  <r>
    <n v="1099937"/>
    <x v="388"/>
    <x v="5"/>
    <x v="442"/>
    <x v="201"/>
  </r>
  <r>
    <n v="1099937"/>
    <x v="388"/>
    <x v="5"/>
    <x v="366"/>
    <x v="62"/>
  </r>
  <r>
    <n v="1099937"/>
    <x v="388"/>
    <x v="5"/>
    <x v="370"/>
    <x v="89"/>
  </r>
  <r>
    <n v="1099937"/>
    <x v="388"/>
    <x v="5"/>
    <x v="372"/>
    <x v="315"/>
  </r>
  <r>
    <n v="1099937"/>
    <x v="388"/>
    <x v="5"/>
    <x v="100"/>
    <x v="438"/>
  </r>
  <r>
    <n v="1099937"/>
    <x v="388"/>
    <x v="5"/>
    <x v="441"/>
    <x v="789"/>
  </r>
  <r>
    <n v="1099937"/>
    <x v="388"/>
    <x v="5"/>
    <x v="354"/>
    <x v="375"/>
  </r>
  <r>
    <n v="1099937"/>
    <x v="388"/>
    <x v="5"/>
    <x v="359"/>
    <x v="218"/>
  </r>
  <r>
    <n v="1099937"/>
    <x v="388"/>
    <x v="5"/>
    <x v="364"/>
    <x v="217"/>
  </r>
  <r>
    <n v="1099937"/>
    <x v="388"/>
    <x v="5"/>
    <x v="368"/>
    <x v="220"/>
  </r>
  <r>
    <n v="1099937"/>
    <x v="388"/>
    <x v="5"/>
    <x v="373"/>
    <x v="203"/>
  </r>
  <r>
    <n v="1099937"/>
    <x v="388"/>
    <x v="5"/>
    <x v="89"/>
    <x v="790"/>
  </r>
  <r>
    <n v="1099937"/>
    <x v="1"/>
    <x v="1"/>
    <x v="2"/>
    <x v="2"/>
  </r>
  <r>
    <n v="1099938"/>
    <x v="389"/>
    <x v="2"/>
    <x v="4"/>
    <x v="3"/>
  </r>
  <r>
    <n v="1099938"/>
    <x v="389"/>
    <x v="2"/>
    <x v="3"/>
    <x v="2"/>
  </r>
  <r>
    <n v="1099938"/>
    <x v="1"/>
    <x v="1"/>
    <x v="2"/>
    <x v="2"/>
  </r>
  <r>
    <n v="1099939"/>
    <x v="390"/>
    <x v="2"/>
    <x v="203"/>
    <x v="791"/>
  </r>
  <r>
    <n v="1099939"/>
    <x v="390"/>
    <x v="2"/>
    <x v="202"/>
    <x v="652"/>
  </r>
  <r>
    <n v="1099939"/>
    <x v="390"/>
    <x v="2"/>
    <x v="389"/>
    <x v="792"/>
  </r>
  <r>
    <n v="1099939"/>
    <x v="390"/>
    <x v="2"/>
    <x v="200"/>
    <x v="793"/>
  </r>
  <r>
    <n v="1099939"/>
    <x v="390"/>
    <x v="2"/>
    <x v="388"/>
    <x v="794"/>
  </r>
  <r>
    <n v="1099939"/>
    <x v="390"/>
    <x v="2"/>
    <x v="201"/>
    <x v="377"/>
  </r>
  <r>
    <n v="1099939"/>
    <x v="390"/>
    <x v="2"/>
    <x v="390"/>
    <x v="795"/>
  </r>
  <r>
    <n v="1099939"/>
    <x v="390"/>
    <x v="2"/>
    <x v="199"/>
    <x v="462"/>
  </r>
  <r>
    <n v="1099939"/>
    <x v="390"/>
    <x v="2"/>
    <x v="387"/>
    <x v="796"/>
  </r>
  <r>
    <n v="1099939"/>
    <x v="1"/>
    <x v="1"/>
    <x v="2"/>
    <x v="2"/>
  </r>
  <r>
    <n v="1099940"/>
    <x v="391"/>
    <x v="3"/>
    <x v="220"/>
    <x v="105"/>
  </r>
  <r>
    <n v="1099940"/>
    <x v="391"/>
    <x v="3"/>
    <x v="244"/>
    <x v="213"/>
  </r>
  <r>
    <n v="1099940"/>
    <x v="391"/>
    <x v="3"/>
    <x v="264"/>
    <x v="153"/>
  </r>
  <r>
    <n v="1099940"/>
    <x v="391"/>
    <x v="3"/>
    <x v="211"/>
    <x v="153"/>
  </r>
  <r>
    <n v="1099940"/>
    <x v="391"/>
    <x v="3"/>
    <x v="226"/>
    <x v="206"/>
  </r>
  <r>
    <n v="1099940"/>
    <x v="391"/>
    <x v="3"/>
    <x v="236"/>
    <x v="173"/>
  </r>
  <r>
    <n v="1099940"/>
    <x v="391"/>
    <x v="3"/>
    <x v="246"/>
    <x v="219"/>
  </r>
  <r>
    <n v="1099940"/>
    <x v="391"/>
    <x v="3"/>
    <x v="258"/>
    <x v="77"/>
  </r>
  <r>
    <n v="1099940"/>
    <x v="391"/>
    <x v="3"/>
    <x v="205"/>
    <x v="77"/>
  </r>
  <r>
    <n v="1099940"/>
    <x v="391"/>
    <x v="3"/>
    <x v="214"/>
    <x v="77"/>
  </r>
  <r>
    <n v="1099940"/>
    <x v="391"/>
    <x v="3"/>
    <x v="229"/>
    <x v="209"/>
  </r>
  <r>
    <n v="1099940"/>
    <x v="391"/>
    <x v="3"/>
    <x v="239"/>
    <x v="119"/>
  </r>
  <r>
    <n v="1099940"/>
    <x v="391"/>
    <x v="3"/>
    <x v="217"/>
    <x v="201"/>
  </r>
  <r>
    <n v="1099940"/>
    <x v="391"/>
    <x v="3"/>
    <x v="260"/>
    <x v="225"/>
  </r>
  <r>
    <n v="1099940"/>
    <x v="391"/>
    <x v="3"/>
    <x v="207"/>
    <x v="196"/>
  </r>
  <r>
    <n v="1099940"/>
    <x v="391"/>
    <x v="3"/>
    <x v="216"/>
    <x v="114"/>
  </r>
  <r>
    <n v="1099940"/>
    <x v="391"/>
    <x v="3"/>
    <x v="231"/>
    <x v="211"/>
  </r>
  <r>
    <n v="1099940"/>
    <x v="391"/>
    <x v="3"/>
    <x v="241"/>
    <x v="217"/>
  </r>
  <r>
    <n v="1099940"/>
    <x v="391"/>
    <x v="3"/>
    <x v="219"/>
    <x v="203"/>
  </r>
  <r>
    <n v="1099940"/>
    <x v="391"/>
    <x v="3"/>
    <x v="251"/>
    <x v="176"/>
  </r>
  <r>
    <n v="1099940"/>
    <x v="391"/>
    <x v="3"/>
    <x v="252"/>
    <x v="97"/>
  </r>
  <r>
    <n v="1099940"/>
    <x v="391"/>
    <x v="3"/>
    <x v="254"/>
    <x v="221"/>
  </r>
  <r>
    <n v="1099940"/>
    <x v="391"/>
    <x v="3"/>
    <x v="263"/>
    <x v="226"/>
  </r>
  <r>
    <n v="1099940"/>
    <x v="391"/>
    <x v="3"/>
    <x v="210"/>
    <x v="147"/>
  </r>
  <r>
    <n v="1099940"/>
    <x v="391"/>
    <x v="3"/>
    <x v="225"/>
    <x v="59"/>
  </r>
  <r>
    <n v="1099940"/>
    <x v="391"/>
    <x v="3"/>
    <x v="235"/>
    <x v="214"/>
  </r>
  <r>
    <n v="1099940"/>
    <x v="391"/>
    <x v="3"/>
    <x v="245"/>
    <x v="218"/>
  </r>
  <r>
    <n v="1099940"/>
    <x v="391"/>
    <x v="3"/>
    <x v="249"/>
    <x v="220"/>
  </r>
  <r>
    <n v="1099940"/>
    <x v="391"/>
    <x v="3"/>
    <x v="250"/>
    <x v="34"/>
  </r>
  <r>
    <n v="1099940"/>
    <x v="391"/>
    <x v="3"/>
    <x v="223"/>
    <x v="3"/>
  </r>
  <r>
    <n v="1099940"/>
    <x v="391"/>
    <x v="3"/>
    <x v="233"/>
    <x v="213"/>
  </r>
  <r>
    <n v="1099940"/>
    <x v="391"/>
    <x v="3"/>
    <x v="243"/>
    <x v="163"/>
  </r>
  <r>
    <n v="1099940"/>
    <x v="391"/>
    <x v="3"/>
    <x v="221"/>
    <x v="204"/>
  </r>
  <r>
    <n v="1099940"/>
    <x v="391"/>
    <x v="3"/>
    <x v="256"/>
    <x v="223"/>
  </r>
  <r>
    <n v="1099940"/>
    <x v="391"/>
    <x v="3"/>
    <x v="265"/>
    <x v="176"/>
  </r>
  <r>
    <n v="1099940"/>
    <x v="391"/>
    <x v="3"/>
    <x v="212"/>
    <x v="199"/>
  </r>
  <r>
    <n v="1099940"/>
    <x v="391"/>
    <x v="3"/>
    <x v="227"/>
    <x v="207"/>
  </r>
  <r>
    <n v="1099940"/>
    <x v="391"/>
    <x v="3"/>
    <x v="237"/>
    <x v="215"/>
  </r>
  <r>
    <n v="1099940"/>
    <x v="391"/>
    <x v="3"/>
    <x v="247"/>
    <x v="119"/>
  </r>
  <r>
    <n v="1099940"/>
    <x v="391"/>
    <x v="3"/>
    <x v="259"/>
    <x v="197"/>
  </r>
  <r>
    <n v="1099940"/>
    <x v="391"/>
    <x v="3"/>
    <x v="206"/>
    <x v="144"/>
  </r>
  <r>
    <n v="1099940"/>
    <x v="391"/>
    <x v="3"/>
    <x v="215"/>
    <x v="77"/>
  </r>
  <r>
    <n v="1099940"/>
    <x v="391"/>
    <x v="3"/>
    <x v="230"/>
    <x v="210"/>
  </r>
  <r>
    <n v="1099940"/>
    <x v="391"/>
    <x v="3"/>
    <x v="240"/>
    <x v="82"/>
  </r>
  <r>
    <n v="1099940"/>
    <x v="391"/>
    <x v="3"/>
    <x v="218"/>
    <x v="202"/>
  </r>
  <r>
    <n v="1099940"/>
    <x v="391"/>
    <x v="3"/>
    <x v="257"/>
    <x v="224"/>
  </r>
  <r>
    <n v="1099940"/>
    <x v="391"/>
    <x v="3"/>
    <x v="204"/>
    <x v="97"/>
  </r>
  <r>
    <n v="1099940"/>
    <x v="391"/>
    <x v="3"/>
    <x v="213"/>
    <x v="200"/>
  </r>
  <r>
    <n v="1099940"/>
    <x v="391"/>
    <x v="3"/>
    <x v="228"/>
    <x v="208"/>
  </r>
  <r>
    <n v="1099940"/>
    <x v="391"/>
    <x v="3"/>
    <x v="238"/>
    <x v="216"/>
  </r>
  <r>
    <n v="1099940"/>
    <x v="391"/>
    <x v="3"/>
    <x v="248"/>
    <x v="161"/>
  </r>
  <r>
    <n v="1099940"/>
    <x v="391"/>
    <x v="3"/>
    <x v="253"/>
    <x v="119"/>
  </r>
  <r>
    <n v="1099940"/>
    <x v="391"/>
    <x v="3"/>
    <x v="261"/>
    <x v="92"/>
  </r>
  <r>
    <n v="1099940"/>
    <x v="391"/>
    <x v="3"/>
    <x v="262"/>
    <x v="164"/>
  </r>
  <r>
    <n v="1099940"/>
    <x v="391"/>
    <x v="3"/>
    <x v="208"/>
    <x v="197"/>
  </r>
  <r>
    <n v="1099940"/>
    <x v="391"/>
    <x v="3"/>
    <x v="209"/>
    <x v="198"/>
  </r>
  <r>
    <n v="1099940"/>
    <x v="391"/>
    <x v="3"/>
    <x v="222"/>
    <x v="205"/>
  </r>
  <r>
    <n v="1099940"/>
    <x v="391"/>
    <x v="3"/>
    <x v="224"/>
    <x v="93"/>
  </r>
  <r>
    <n v="1099940"/>
    <x v="391"/>
    <x v="3"/>
    <x v="232"/>
    <x v="212"/>
  </r>
  <r>
    <n v="1099940"/>
    <x v="391"/>
    <x v="3"/>
    <x v="234"/>
    <x v="175"/>
  </r>
  <r>
    <n v="1099940"/>
    <x v="391"/>
    <x v="3"/>
    <x v="242"/>
    <x v="85"/>
  </r>
  <r>
    <n v="1099940"/>
    <x v="391"/>
    <x v="3"/>
    <x v="255"/>
    <x v="222"/>
  </r>
  <r>
    <n v="1099940"/>
    <x v="1"/>
    <x v="1"/>
    <x v="2"/>
    <x v="2"/>
  </r>
  <r>
    <n v="1099941"/>
    <x v="392"/>
    <x v="3"/>
    <x v="222"/>
    <x v="205"/>
  </r>
  <r>
    <n v="1099941"/>
    <x v="392"/>
    <x v="3"/>
    <x v="208"/>
    <x v="117"/>
  </r>
  <r>
    <n v="1099941"/>
    <x v="392"/>
    <x v="3"/>
    <x v="242"/>
    <x v="85"/>
  </r>
  <r>
    <n v="1099941"/>
    <x v="392"/>
    <x v="3"/>
    <x v="220"/>
    <x v="105"/>
  </r>
  <r>
    <n v="1099941"/>
    <x v="392"/>
    <x v="3"/>
    <x v="257"/>
    <x v="224"/>
  </r>
  <r>
    <n v="1099941"/>
    <x v="392"/>
    <x v="3"/>
    <x v="204"/>
    <x v="97"/>
  </r>
  <r>
    <n v="1099941"/>
    <x v="392"/>
    <x v="3"/>
    <x v="213"/>
    <x v="200"/>
  </r>
  <r>
    <n v="1099941"/>
    <x v="392"/>
    <x v="3"/>
    <x v="228"/>
    <x v="797"/>
  </r>
  <r>
    <n v="1099941"/>
    <x v="392"/>
    <x v="3"/>
    <x v="238"/>
    <x v="798"/>
  </r>
  <r>
    <n v="1099941"/>
    <x v="392"/>
    <x v="3"/>
    <x v="248"/>
    <x v="161"/>
  </r>
  <r>
    <n v="1099941"/>
    <x v="392"/>
    <x v="3"/>
    <x v="258"/>
    <x v="77"/>
  </r>
  <r>
    <n v="1099941"/>
    <x v="392"/>
    <x v="3"/>
    <x v="205"/>
    <x v="77"/>
  </r>
  <r>
    <n v="1099941"/>
    <x v="392"/>
    <x v="3"/>
    <x v="214"/>
    <x v="77"/>
  </r>
  <r>
    <n v="1099941"/>
    <x v="392"/>
    <x v="3"/>
    <x v="229"/>
    <x v="799"/>
  </r>
  <r>
    <n v="1099941"/>
    <x v="392"/>
    <x v="3"/>
    <x v="239"/>
    <x v="119"/>
  </r>
  <r>
    <n v="1099941"/>
    <x v="392"/>
    <x v="3"/>
    <x v="217"/>
    <x v="201"/>
  </r>
  <r>
    <n v="1099941"/>
    <x v="392"/>
    <x v="3"/>
    <x v="249"/>
    <x v="220"/>
  </r>
  <r>
    <n v="1099941"/>
    <x v="392"/>
    <x v="3"/>
    <x v="250"/>
    <x v="34"/>
  </r>
  <r>
    <n v="1099941"/>
    <x v="392"/>
    <x v="3"/>
    <x v="223"/>
    <x v="3"/>
  </r>
  <r>
    <n v="1099941"/>
    <x v="392"/>
    <x v="3"/>
    <x v="233"/>
    <x v="800"/>
  </r>
  <r>
    <n v="1099941"/>
    <x v="392"/>
    <x v="3"/>
    <x v="243"/>
    <x v="163"/>
  </r>
  <r>
    <n v="1099941"/>
    <x v="392"/>
    <x v="3"/>
    <x v="221"/>
    <x v="204"/>
  </r>
  <r>
    <n v="1099941"/>
    <x v="392"/>
    <x v="3"/>
    <x v="260"/>
    <x v="225"/>
  </r>
  <r>
    <n v="1099941"/>
    <x v="392"/>
    <x v="3"/>
    <x v="207"/>
    <x v="196"/>
  </r>
  <r>
    <n v="1099941"/>
    <x v="392"/>
    <x v="3"/>
    <x v="216"/>
    <x v="119"/>
  </r>
  <r>
    <n v="1099941"/>
    <x v="392"/>
    <x v="3"/>
    <x v="231"/>
    <x v="211"/>
  </r>
  <r>
    <n v="1099941"/>
    <x v="392"/>
    <x v="3"/>
    <x v="241"/>
    <x v="217"/>
  </r>
  <r>
    <n v="1099941"/>
    <x v="392"/>
    <x v="3"/>
    <x v="219"/>
    <x v="567"/>
  </r>
  <r>
    <n v="1099941"/>
    <x v="392"/>
    <x v="3"/>
    <x v="253"/>
    <x v="238"/>
  </r>
  <r>
    <n v="1099941"/>
    <x v="392"/>
    <x v="3"/>
    <x v="262"/>
    <x v="164"/>
  </r>
  <r>
    <n v="1099941"/>
    <x v="392"/>
    <x v="3"/>
    <x v="209"/>
    <x v="198"/>
  </r>
  <r>
    <n v="1099941"/>
    <x v="392"/>
    <x v="3"/>
    <x v="224"/>
    <x v="76"/>
  </r>
  <r>
    <n v="1099941"/>
    <x v="392"/>
    <x v="3"/>
    <x v="234"/>
    <x v="199"/>
  </r>
  <r>
    <n v="1099941"/>
    <x v="392"/>
    <x v="3"/>
    <x v="244"/>
    <x v="213"/>
  </r>
  <r>
    <n v="1099941"/>
    <x v="392"/>
    <x v="3"/>
    <x v="254"/>
    <x v="221"/>
  </r>
  <r>
    <n v="1099941"/>
    <x v="392"/>
    <x v="3"/>
    <x v="263"/>
    <x v="226"/>
  </r>
  <r>
    <n v="1099941"/>
    <x v="392"/>
    <x v="3"/>
    <x v="210"/>
    <x v="147"/>
  </r>
  <r>
    <n v="1099941"/>
    <x v="392"/>
    <x v="3"/>
    <x v="225"/>
    <x v="59"/>
  </r>
  <r>
    <n v="1099941"/>
    <x v="392"/>
    <x v="3"/>
    <x v="235"/>
    <x v="214"/>
  </r>
  <r>
    <n v="1099941"/>
    <x v="392"/>
    <x v="3"/>
    <x v="245"/>
    <x v="218"/>
  </r>
  <r>
    <n v="1099941"/>
    <x v="392"/>
    <x v="3"/>
    <x v="259"/>
    <x v="117"/>
  </r>
  <r>
    <n v="1099941"/>
    <x v="392"/>
    <x v="3"/>
    <x v="206"/>
    <x v="144"/>
  </r>
  <r>
    <n v="1099941"/>
    <x v="392"/>
    <x v="3"/>
    <x v="215"/>
    <x v="77"/>
  </r>
  <r>
    <n v="1099941"/>
    <x v="392"/>
    <x v="3"/>
    <x v="230"/>
    <x v="745"/>
  </r>
  <r>
    <n v="1099941"/>
    <x v="392"/>
    <x v="3"/>
    <x v="240"/>
    <x v="82"/>
  </r>
  <r>
    <n v="1099941"/>
    <x v="392"/>
    <x v="3"/>
    <x v="218"/>
    <x v="202"/>
  </r>
  <r>
    <n v="1099941"/>
    <x v="392"/>
    <x v="3"/>
    <x v="255"/>
    <x v="222"/>
  </r>
  <r>
    <n v="1099941"/>
    <x v="392"/>
    <x v="3"/>
    <x v="264"/>
    <x v="153"/>
  </r>
  <r>
    <n v="1099941"/>
    <x v="392"/>
    <x v="3"/>
    <x v="211"/>
    <x v="153"/>
  </r>
  <r>
    <n v="1099941"/>
    <x v="392"/>
    <x v="3"/>
    <x v="226"/>
    <x v="67"/>
  </r>
  <r>
    <n v="1099941"/>
    <x v="392"/>
    <x v="3"/>
    <x v="236"/>
    <x v="173"/>
  </r>
  <r>
    <n v="1099941"/>
    <x v="392"/>
    <x v="3"/>
    <x v="246"/>
    <x v="219"/>
  </r>
  <r>
    <n v="1099941"/>
    <x v="392"/>
    <x v="3"/>
    <x v="256"/>
    <x v="801"/>
  </r>
  <r>
    <n v="1099941"/>
    <x v="392"/>
    <x v="3"/>
    <x v="265"/>
    <x v="176"/>
  </r>
  <r>
    <n v="1099941"/>
    <x v="392"/>
    <x v="3"/>
    <x v="212"/>
    <x v="199"/>
  </r>
  <r>
    <n v="1099941"/>
    <x v="392"/>
    <x v="3"/>
    <x v="227"/>
    <x v="207"/>
  </r>
  <r>
    <n v="1099941"/>
    <x v="392"/>
    <x v="3"/>
    <x v="237"/>
    <x v="802"/>
  </r>
  <r>
    <n v="1099941"/>
    <x v="392"/>
    <x v="3"/>
    <x v="247"/>
    <x v="119"/>
  </r>
  <r>
    <n v="1099941"/>
    <x v="392"/>
    <x v="3"/>
    <x v="261"/>
    <x v="92"/>
  </r>
  <r>
    <n v="1099941"/>
    <x v="392"/>
    <x v="3"/>
    <x v="232"/>
    <x v="212"/>
  </r>
  <r>
    <n v="1099941"/>
    <x v="1"/>
    <x v="1"/>
    <x v="2"/>
    <x v="2"/>
  </r>
  <r>
    <n v="1099942"/>
    <x v="393"/>
    <x v="13"/>
    <x v="276"/>
    <x v="2"/>
  </r>
  <r>
    <n v="1099942"/>
    <x v="1"/>
    <x v="1"/>
    <x v="2"/>
    <x v="2"/>
  </r>
  <r>
    <n v="1099943"/>
    <x v="394"/>
    <x v="13"/>
    <x v="276"/>
    <x v="2"/>
  </r>
  <r>
    <n v="1099943"/>
    <x v="1"/>
    <x v="1"/>
    <x v="2"/>
    <x v="2"/>
  </r>
  <r>
    <n v="1099944"/>
    <x v="395"/>
    <x v="6"/>
    <x v="390"/>
    <x v="220"/>
  </r>
  <r>
    <n v="1099944"/>
    <x v="395"/>
    <x v="6"/>
    <x v="203"/>
    <x v="543"/>
  </r>
  <r>
    <n v="1099944"/>
    <x v="395"/>
    <x v="6"/>
    <x v="65"/>
    <x v="351"/>
  </r>
  <r>
    <n v="1099944"/>
    <x v="395"/>
    <x v="6"/>
    <x v="60"/>
    <x v="82"/>
  </r>
  <r>
    <n v="1099944"/>
    <x v="395"/>
    <x v="6"/>
    <x v="56"/>
    <x v="69"/>
  </r>
  <r>
    <n v="1099944"/>
    <x v="395"/>
    <x v="6"/>
    <x v="199"/>
    <x v="542"/>
  </r>
  <r>
    <n v="1099944"/>
    <x v="395"/>
    <x v="6"/>
    <x v="57"/>
    <x v="36"/>
  </r>
  <r>
    <n v="1099944"/>
    <x v="395"/>
    <x v="6"/>
    <x v="424"/>
    <x v="170"/>
  </r>
  <r>
    <n v="1099944"/>
    <x v="395"/>
    <x v="6"/>
    <x v="4"/>
    <x v="3"/>
  </r>
  <r>
    <n v="1099944"/>
    <x v="395"/>
    <x v="6"/>
    <x v="383"/>
    <x v="220"/>
  </r>
  <r>
    <n v="1099944"/>
    <x v="395"/>
    <x v="6"/>
    <x v="343"/>
    <x v="348"/>
  </r>
  <r>
    <n v="1099944"/>
    <x v="395"/>
    <x v="6"/>
    <x v="346"/>
    <x v="516"/>
  </r>
  <r>
    <n v="1099944"/>
    <x v="395"/>
    <x v="6"/>
    <x v="338"/>
    <x v="346"/>
  </r>
  <r>
    <n v="1099944"/>
    <x v="395"/>
    <x v="6"/>
    <x v="131"/>
    <x v="535"/>
  </r>
  <r>
    <n v="1099944"/>
    <x v="395"/>
    <x v="6"/>
    <x v="147"/>
    <x v="535"/>
  </r>
  <r>
    <n v="1099944"/>
    <x v="395"/>
    <x v="6"/>
    <x v="249"/>
    <x v="348"/>
  </r>
  <r>
    <n v="1099944"/>
    <x v="395"/>
    <x v="6"/>
    <x v="211"/>
    <x v="351"/>
  </r>
  <r>
    <n v="1099944"/>
    <x v="395"/>
    <x v="6"/>
    <x v="251"/>
    <x v="535"/>
  </r>
  <r>
    <n v="1099944"/>
    <x v="395"/>
    <x v="6"/>
    <x v="238"/>
    <x v="375"/>
  </r>
  <r>
    <n v="1099944"/>
    <x v="395"/>
    <x v="6"/>
    <x v="248"/>
    <x v="516"/>
  </r>
  <r>
    <n v="1099944"/>
    <x v="395"/>
    <x v="6"/>
    <x v="185"/>
    <x v="3"/>
  </r>
  <r>
    <n v="1099944"/>
    <x v="395"/>
    <x v="6"/>
    <x v="188"/>
    <x v="88"/>
  </r>
  <r>
    <n v="1099944"/>
    <x v="395"/>
    <x v="6"/>
    <x v="28"/>
    <x v="226"/>
  </r>
  <r>
    <n v="1099944"/>
    <x v="395"/>
    <x v="6"/>
    <x v="39"/>
    <x v="105"/>
  </r>
  <r>
    <n v="1099944"/>
    <x v="395"/>
    <x v="6"/>
    <x v="78"/>
    <x v="541"/>
  </r>
  <r>
    <n v="1099944"/>
    <x v="395"/>
    <x v="6"/>
    <x v="70"/>
    <x v="198"/>
  </r>
  <r>
    <n v="1099944"/>
    <x v="395"/>
    <x v="6"/>
    <x v="420"/>
    <x v="547"/>
  </r>
  <r>
    <n v="1099944"/>
    <x v="395"/>
    <x v="6"/>
    <x v="395"/>
    <x v="539"/>
  </r>
  <r>
    <n v="1099944"/>
    <x v="395"/>
    <x v="6"/>
    <x v="8"/>
    <x v="351"/>
  </r>
  <r>
    <n v="1099944"/>
    <x v="395"/>
    <x v="6"/>
    <x v="334"/>
    <x v="198"/>
  </r>
  <r>
    <n v="1099944"/>
    <x v="395"/>
    <x v="6"/>
    <x v="163"/>
    <x v="516"/>
  </r>
  <r>
    <n v="1099944"/>
    <x v="395"/>
    <x v="6"/>
    <x v="138"/>
    <x v="351"/>
  </r>
  <r>
    <n v="1099944"/>
    <x v="395"/>
    <x v="6"/>
    <x v="255"/>
    <x v="154"/>
  </r>
  <r>
    <n v="1099944"/>
    <x v="395"/>
    <x v="6"/>
    <x v="205"/>
    <x v="516"/>
  </r>
  <r>
    <n v="1099944"/>
    <x v="395"/>
    <x v="6"/>
    <x v="139"/>
    <x v="178"/>
  </r>
  <r>
    <n v="1099944"/>
    <x v="395"/>
    <x v="6"/>
    <x v="231"/>
    <x v="88"/>
  </r>
  <r>
    <n v="1099944"/>
    <x v="395"/>
    <x v="6"/>
    <x v="242"/>
    <x v="346"/>
  </r>
  <r>
    <n v="1099944"/>
    <x v="395"/>
    <x v="6"/>
    <x v="317"/>
    <x v="346"/>
  </r>
  <r>
    <n v="1099944"/>
    <x v="395"/>
    <x v="6"/>
    <x v="180"/>
    <x v="88"/>
  </r>
  <r>
    <n v="1099944"/>
    <x v="395"/>
    <x v="6"/>
    <x v="177"/>
    <x v="198"/>
  </r>
  <r>
    <n v="1099944"/>
    <x v="395"/>
    <x v="6"/>
    <x v="43"/>
    <x v="351"/>
  </r>
  <r>
    <n v="1099944"/>
    <x v="395"/>
    <x v="6"/>
    <x v="81"/>
    <x v="229"/>
  </r>
  <r>
    <n v="1099944"/>
    <x v="395"/>
    <x v="6"/>
    <x v="66"/>
    <x v="98"/>
  </r>
  <r>
    <n v="1099944"/>
    <x v="395"/>
    <x v="6"/>
    <x v="69"/>
    <x v="538"/>
  </r>
  <r>
    <n v="1099944"/>
    <x v="395"/>
    <x v="6"/>
    <x v="330"/>
    <x v="553"/>
  </r>
  <r>
    <n v="1099944"/>
    <x v="395"/>
    <x v="6"/>
    <x v="7"/>
    <x v="351"/>
  </r>
  <r>
    <n v="1099944"/>
    <x v="395"/>
    <x v="6"/>
    <x v="350"/>
    <x v="535"/>
  </r>
  <r>
    <n v="1099944"/>
    <x v="395"/>
    <x v="6"/>
    <x v="124"/>
    <x v="351"/>
  </r>
  <r>
    <n v="1099944"/>
    <x v="395"/>
    <x v="6"/>
    <x v="141"/>
    <x v="351"/>
  </r>
  <r>
    <n v="1099944"/>
    <x v="395"/>
    <x v="6"/>
    <x v="256"/>
    <x v="79"/>
  </r>
  <r>
    <n v="1099944"/>
    <x v="395"/>
    <x v="6"/>
    <x v="206"/>
    <x v="535"/>
  </r>
  <r>
    <n v="1099944"/>
    <x v="395"/>
    <x v="6"/>
    <x v="140"/>
    <x v="4"/>
  </r>
  <r>
    <n v="1099944"/>
    <x v="395"/>
    <x v="6"/>
    <x v="232"/>
    <x v="161"/>
  </r>
  <r>
    <n v="1099944"/>
    <x v="395"/>
    <x v="6"/>
    <x v="243"/>
    <x v="351"/>
  </r>
  <r>
    <n v="1099944"/>
    <x v="395"/>
    <x v="6"/>
    <x v="220"/>
    <x v="178"/>
  </r>
  <r>
    <n v="1099944"/>
    <x v="395"/>
    <x v="6"/>
    <x v="192"/>
    <x v="535"/>
  </r>
  <r>
    <n v="1099944"/>
    <x v="395"/>
    <x v="6"/>
    <x v="183"/>
    <x v="535"/>
  </r>
  <r>
    <n v="1099944"/>
    <x v="395"/>
    <x v="6"/>
    <x v="35"/>
    <x v="178"/>
  </r>
  <r>
    <n v="1099944"/>
    <x v="395"/>
    <x v="6"/>
    <x v="64"/>
    <x v="549"/>
  </r>
  <r>
    <n v="1099944"/>
    <x v="395"/>
    <x v="6"/>
    <x v="68"/>
    <x v="98"/>
  </r>
  <r>
    <n v="1099944"/>
    <x v="395"/>
    <x v="6"/>
    <x v="80"/>
    <x v="550"/>
  </r>
  <r>
    <n v="1099944"/>
    <x v="395"/>
    <x v="6"/>
    <x v="83"/>
    <x v="348"/>
  </r>
  <r>
    <n v="1099944"/>
    <x v="395"/>
    <x v="6"/>
    <x v="63"/>
    <x v="178"/>
  </r>
  <r>
    <n v="1099944"/>
    <x v="395"/>
    <x v="6"/>
    <x v="389"/>
    <x v="537"/>
  </r>
  <r>
    <n v="1099944"/>
    <x v="395"/>
    <x v="6"/>
    <x v="158"/>
    <x v="472"/>
  </r>
  <r>
    <n v="1099944"/>
    <x v="395"/>
    <x v="6"/>
    <x v="13"/>
    <x v="535"/>
  </r>
  <r>
    <n v="1099944"/>
    <x v="395"/>
    <x v="6"/>
    <x v="352"/>
    <x v="516"/>
  </r>
  <r>
    <n v="1099944"/>
    <x v="395"/>
    <x v="6"/>
    <x v="126"/>
    <x v="516"/>
  </r>
  <r>
    <n v="1099944"/>
    <x v="395"/>
    <x v="6"/>
    <x v="143"/>
    <x v="178"/>
  </r>
  <r>
    <n v="1099944"/>
    <x v="395"/>
    <x v="6"/>
    <x v="258"/>
    <x v="516"/>
  </r>
  <r>
    <n v="1099944"/>
    <x v="395"/>
    <x v="6"/>
    <x v="208"/>
    <x v="178"/>
  </r>
  <r>
    <n v="1099944"/>
    <x v="395"/>
    <x v="6"/>
    <x v="222"/>
    <x v="77"/>
  </r>
  <r>
    <n v="1099944"/>
    <x v="395"/>
    <x v="6"/>
    <x v="234"/>
    <x v="4"/>
  </r>
  <r>
    <n v="1099944"/>
    <x v="395"/>
    <x v="6"/>
    <x v="245"/>
    <x v="161"/>
  </r>
  <r>
    <n v="1099944"/>
    <x v="395"/>
    <x v="6"/>
    <x v="194"/>
    <x v="516"/>
  </r>
  <r>
    <n v="1099944"/>
    <x v="395"/>
    <x v="6"/>
    <x v="170"/>
    <x v="178"/>
  </r>
  <r>
    <n v="1099944"/>
    <x v="395"/>
    <x v="6"/>
    <x v="164"/>
    <x v="105"/>
  </r>
  <r>
    <n v="1099944"/>
    <x v="395"/>
    <x v="6"/>
    <x v="29"/>
    <x v="197"/>
  </r>
  <r>
    <n v="1099944"/>
    <x v="395"/>
    <x v="6"/>
    <x v="388"/>
    <x v="37"/>
  </r>
  <r>
    <n v="1099944"/>
    <x v="395"/>
    <x v="6"/>
    <x v="75"/>
    <x v="176"/>
  </r>
  <r>
    <n v="1099944"/>
    <x v="395"/>
    <x v="6"/>
    <x v="73"/>
    <x v="351"/>
  </r>
  <r>
    <n v="1099944"/>
    <x v="395"/>
    <x v="6"/>
    <x v="394"/>
    <x v="54"/>
  </r>
  <r>
    <n v="1099944"/>
    <x v="395"/>
    <x v="6"/>
    <x v="421"/>
    <x v="58"/>
  </r>
  <r>
    <n v="1099944"/>
    <x v="395"/>
    <x v="6"/>
    <x v="157"/>
    <x v="544"/>
  </r>
  <r>
    <n v="1099944"/>
    <x v="395"/>
    <x v="6"/>
    <x v="11"/>
    <x v="348"/>
  </r>
  <r>
    <n v="1099944"/>
    <x v="395"/>
    <x v="6"/>
    <x v="10"/>
    <x v="83"/>
  </r>
  <r>
    <n v="1099944"/>
    <x v="395"/>
    <x v="6"/>
    <x v="6"/>
    <x v="516"/>
  </r>
  <r>
    <n v="1099944"/>
    <x v="395"/>
    <x v="6"/>
    <x v="331"/>
    <x v="178"/>
  </r>
  <r>
    <n v="1099944"/>
    <x v="395"/>
    <x v="6"/>
    <x v="333"/>
    <x v="348"/>
  </r>
  <r>
    <n v="1099944"/>
    <x v="395"/>
    <x v="6"/>
    <x v="351"/>
    <x v="351"/>
  </r>
  <r>
    <n v="1099944"/>
    <x v="395"/>
    <x v="6"/>
    <x v="161"/>
    <x v="351"/>
  </r>
  <r>
    <n v="1099944"/>
    <x v="395"/>
    <x v="6"/>
    <x v="154"/>
    <x v="351"/>
  </r>
  <r>
    <n v="1099944"/>
    <x v="395"/>
    <x v="6"/>
    <x v="125"/>
    <x v="535"/>
  </r>
  <r>
    <n v="1099944"/>
    <x v="395"/>
    <x v="6"/>
    <x v="135"/>
    <x v="535"/>
  </r>
  <r>
    <n v="1099944"/>
    <x v="395"/>
    <x v="6"/>
    <x v="137"/>
    <x v="535"/>
  </r>
  <r>
    <n v="1099944"/>
    <x v="395"/>
    <x v="6"/>
    <x v="142"/>
    <x v="83"/>
  </r>
  <r>
    <n v="1099944"/>
    <x v="395"/>
    <x v="6"/>
    <x v="151"/>
    <x v="77"/>
  </r>
  <r>
    <n v="1099944"/>
    <x v="395"/>
    <x v="6"/>
    <x v="153"/>
    <x v="348"/>
  </r>
  <r>
    <n v="1099944"/>
    <x v="395"/>
    <x v="6"/>
    <x v="257"/>
    <x v="198"/>
  </r>
  <r>
    <n v="1099944"/>
    <x v="395"/>
    <x v="6"/>
    <x v="316"/>
    <x v="347"/>
  </r>
  <r>
    <n v="1099944"/>
    <x v="395"/>
    <x v="6"/>
    <x v="204"/>
    <x v="535"/>
  </r>
  <r>
    <n v="1099944"/>
    <x v="395"/>
    <x v="6"/>
    <x v="207"/>
    <x v="88"/>
  </r>
  <r>
    <n v="1099944"/>
    <x v="395"/>
    <x v="6"/>
    <x v="215"/>
    <x v="516"/>
  </r>
  <r>
    <n v="1099944"/>
    <x v="395"/>
    <x v="6"/>
    <x v="130"/>
    <x v="348"/>
  </r>
  <r>
    <n v="1099944"/>
    <x v="395"/>
    <x v="6"/>
    <x v="340"/>
    <x v="78"/>
  </r>
  <r>
    <n v="1099944"/>
    <x v="395"/>
    <x v="6"/>
    <x v="228"/>
    <x v="30"/>
  </r>
  <r>
    <n v="1099944"/>
    <x v="395"/>
    <x v="6"/>
    <x v="230"/>
    <x v="77"/>
  </r>
  <r>
    <n v="1099944"/>
    <x v="395"/>
    <x v="6"/>
    <x v="233"/>
    <x v="154"/>
  </r>
  <r>
    <n v="1099944"/>
    <x v="395"/>
    <x v="6"/>
    <x v="240"/>
    <x v="535"/>
  </r>
  <r>
    <n v="1099944"/>
    <x v="395"/>
    <x v="6"/>
    <x v="313"/>
    <x v="98"/>
  </r>
  <r>
    <n v="1099944"/>
    <x v="395"/>
    <x v="6"/>
    <x v="244"/>
    <x v="154"/>
  </r>
  <r>
    <n v="1099944"/>
    <x v="395"/>
    <x v="6"/>
    <x v="315"/>
    <x v="144"/>
  </r>
  <r>
    <n v="1099944"/>
    <x v="395"/>
    <x v="6"/>
    <x v="318"/>
    <x v="88"/>
  </r>
  <r>
    <n v="1099944"/>
    <x v="395"/>
    <x v="6"/>
    <x v="221"/>
    <x v="198"/>
  </r>
  <r>
    <n v="1099944"/>
    <x v="395"/>
    <x v="6"/>
    <x v="186"/>
    <x v="535"/>
  </r>
  <r>
    <n v="1099944"/>
    <x v="395"/>
    <x v="6"/>
    <x v="174"/>
    <x v="88"/>
  </r>
  <r>
    <n v="1099944"/>
    <x v="395"/>
    <x v="6"/>
    <x v="187"/>
    <x v="98"/>
  </r>
  <r>
    <n v="1099944"/>
    <x v="395"/>
    <x v="6"/>
    <x v="190"/>
    <x v="346"/>
  </r>
  <r>
    <n v="1099944"/>
    <x v="395"/>
    <x v="6"/>
    <x v="172"/>
    <x v="154"/>
  </r>
  <r>
    <n v="1099944"/>
    <x v="395"/>
    <x v="6"/>
    <x v="189"/>
    <x v="178"/>
  </r>
  <r>
    <n v="1099944"/>
    <x v="395"/>
    <x v="6"/>
    <x v="24"/>
    <x v="88"/>
  </r>
  <r>
    <n v="1099944"/>
    <x v="395"/>
    <x v="6"/>
    <x v="26"/>
    <x v="351"/>
  </r>
  <r>
    <n v="1099944"/>
    <x v="395"/>
    <x v="6"/>
    <x v="32"/>
    <x v="62"/>
  </r>
  <r>
    <n v="1099944"/>
    <x v="395"/>
    <x v="6"/>
    <x v="41"/>
    <x v="203"/>
  </r>
  <r>
    <n v="1099944"/>
    <x v="395"/>
    <x v="6"/>
    <x v="31"/>
    <x v="162"/>
  </r>
  <r>
    <n v="1099944"/>
    <x v="395"/>
    <x v="6"/>
    <x v="133"/>
    <x v="348"/>
  </r>
  <r>
    <n v="1099944"/>
    <x v="395"/>
    <x v="6"/>
    <x v="149"/>
    <x v="516"/>
  </r>
  <r>
    <n v="1099944"/>
    <x v="395"/>
    <x v="6"/>
    <x v="263"/>
    <x v="83"/>
  </r>
  <r>
    <n v="1099944"/>
    <x v="395"/>
    <x v="6"/>
    <x v="213"/>
    <x v="83"/>
  </r>
  <r>
    <n v="1099944"/>
    <x v="395"/>
    <x v="6"/>
    <x v="226"/>
    <x v="82"/>
  </r>
  <r>
    <n v="1099944"/>
    <x v="395"/>
    <x v="6"/>
    <x v="156"/>
    <x v="545"/>
  </r>
  <r>
    <n v="1099944"/>
    <x v="395"/>
    <x v="6"/>
    <x v="218"/>
    <x v="346"/>
  </r>
  <r>
    <n v="1099944"/>
    <x v="395"/>
    <x v="6"/>
    <x v="179"/>
    <x v="516"/>
  </r>
  <r>
    <n v="1099944"/>
    <x v="395"/>
    <x v="6"/>
    <x v="176"/>
    <x v="83"/>
  </r>
  <r>
    <n v="1099944"/>
    <x v="395"/>
    <x v="6"/>
    <x v="1"/>
    <x v="540"/>
  </r>
  <r>
    <n v="1099944"/>
    <x v="395"/>
    <x v="6"/>
    <x v="42"/>
    <x v="182"/>
  </r>
  <r>
    <n v="1099944"/>
    <x v="395"/>
    <x v="6"/>
    <x v="59"/>
    <x v="62"/>
  </r>
  <r>
    <n v="1099944"/>
    <x v="395"/>
    <x v="6"/>
    <x v="58"/>
    <x v="82"/>
  </r>
  <r>
    <n v="1099944"/>
    <x v="395"/>
    <x v="6"/>
    <x v="387"/>
    <x v="233"/>
  </r>
  <r>
    <n v="1099944"/>
    <x v="395"/>
    <x v="6"/>
    <x v="9"/>
    <x v="348"/>
  </r>
  <r>
    <n v="1099944"/>
    <x v="395"/>
    <x v="6"/>
    <x v="254"/>
    <x v="178"/>
  </r>
  <r>
    <n v="1099944"/>
    <x v="395"/>
    <x v="6"/>
    <x v="336"/>
    <x v="178"/>
  </r>
  <r>
    <n v="1099944"/>
    <x v="395"/>
    <x v="6"/>
    <x v="128"/>
    <x v="178"/>
  </r>
  <r>
    <n v="1099944"/>
    <x v="395"/>
    <x v="6"/>
    <x v="145"/>
    <x v="351"/>
  </r>
  <r>
    <n v="1099944"/>
    <x v="395"/>
    <x v="6"/>
    <x v="260"/>
    <x v="83"/>
  </r>
  <r>
    <n v="1099944"/>
    <x v="395"/>
    <x v="6"/>
    <x v="209"/>
    <x v="516"/>
  </r>
  <r>
    <n v="1099944"/>
    <x v="395"/>
    <x v="6"/>
    <x v="224"/>
    <x v="144"/>
  </r>
  <r>
    <n v="1099944"/>
    <x v="395"/>
    <x v="6"/>
    <x v="236"/>
    <x v="83"/>
  </r>
  <r>
    <n v="1099944"/>
    <x v="395"/>
    <x v="6"/>
    <x v="246"/>
    <x v="198"/>
  </r>
  <r>
    <n v="1099944"/>
    <x v="395"/>
    <x v="6"/>
    <x v="195"/>
    <x v="535"/>
  </r>
  <r>
    <n v="1099944"/>
    <x v="395"/>
    <x v="6"/>
    <x v="181"/>
    <x v="161"/>
  </r>
  <r>
    <n v="1099944"/>
    <x v="395"/>
    <x v="6"/>
    <x v="166"/>
    <x v="534"/>
  </r>
  <r>
    <n v="1099944"/>
    <x v="395"/>
    <x v="6"/>
    <x v="27"/>
    <x v="64"/>
  </r>
  <r>
    <n v="1099944"/>
    <x v="395"/>
    <x v="6"/>
    <x v="82"/>
    <x v="346"/>
  </r>
  <r>
    <n v="1099944"/>
    <x v="395"/>
    <x v="6"/>
    <x v="74"/>
    <x v="154"/>
  </r>
  <r>
    <n v="1099944"/>
    <x v="395"/>
    <x v="6"/>
    <x v="3"/>
    <x v="24"/>
  </r>
  <r>
    <n v="1099944"/>
    <x v="395"/>
    <x v="6"/>
    <x v="422"/>
    <x v="154"/>
  </r>
  <r>
    <n v="1099944"/>
    <x v="395"/>
    <x v="6"/>
    <x v="344"/>
    <x v="346"/>
  </r>
  <r>
    <n v="1099944"/>
    <x v="395"/>
    <x v="6"/>
    <x v="332"/>
    <x v="346"/>
  </r>
  <r>
    <n v="1099944"/>
    <x v="395"/>
    <x v="6"/>
    <x v="162"/>
    <x v="535"/>
  </r>
  <r>
    <n v="1099944"/>
    <x v="395"/>
    <x v="6"/>
    <x v="136"/>
    <x v="516"/>
  </r>
  <r>
    <n v="1099944"/>
    <x v="395"/>
    <x v="6"/>
    <x v="152"/>
    <x v="535"/>
  </r>
  <r>
    <n v="1099944"/>
    <x v="395"/>
    <x v="6"/>
    <x v="265"/>
    <x v="535"/>
  </r>
  <r>
    <n v="1099944"/>
    <x v="395"/>
    <x v="6"/>
    <x v="216"/>
    <x v="198"/>
  </r>
  <r>
    <n v="1099944"/>
    <x v="395"/>
    <x v="6"/>
    <x v="229"/>
    <x v="219"/>
  </r>
  <r>
    <n v="1099944"/>
    <x v="395"/>
    <x v="6"/>
    <x v="241"/>
    <x v="178"/>
  </r>
  <r>
    <n v="1099944"/>
    <x v="395"/>
    <x v="6"/>
    <x v="314"/>
    <x v="516"/>
  </r>
  <r>
    <n v="1099944"/>
    <x v="395"/>
    <x v="6"/>
    <x v="169"/>
    <x v="351"/>
  </r>
  <r>
    <n v="1099944"/>
    <x v="395"/>
    <x v="6"/>
    <x v="184"/>
    <x v="516"/>
  </r>
  <r>
    <n v="1099944"/>
    <x v="395"/>
    <x v="6"/>
    <x v="40"/>
    <x v="161"/>
  </r>
  <r>
    <n v="1099944"/>
    <x v="395"/>
    <x v="6"/>
    <x v="37"/>
    <x v="149"/>
  </r>
  <r>
    <n v="1099944"/>
    <x v="395"/>
    <x v="6"/>
    <x v="202"/>
    <x v="238"/>
  </r>
  <r>
    <n v="1099944"/>
    <x v="395"/>
    <x v="6"/>
    <x v="201"/>
    <x v="88"/>
  </r>
  <r>
    <n v="1099944"/>
    <x v="395"/>
    <x v="6"/>
    <x v="425"/>
    <x v="170"/>
  </r>
  <r>
    <n v="1099944"/>
    <x v="395"/>
    <x v="6"/>
    <x v="386"/>
    <x v="85"/>
  </r>
  <r>
    <n v="1099944"/>
    <x v="395"/>
    <x v="6"/>
    <x v="14"/>
    <x v="4"/>
  </r>
  <r>
    <n v="1099944"/>
    <x v="395"/>
    <x v="6"/>
    <x v="347"/>
    <x v="348"/>
  </r>
  <r>
    <n v="1099944"/>
    <x v="395"/>
    <x v="6"/>
    <x v="339"/>
    <x v="348"/>
  </r>
  <r>
    <n v="1099944"/>
    <x v="395"/>
    <x v="6"/>
    <x v="132"/>
    <x v="178"/>
  </r>
  <r>
    <n v="1099944"/>
    <x v="395"/>
    <x v="6"/>
    <x v="148"/>
    <x v="535"/>
  </r>
  <r>
    <n v="1099944"/>
    <x v="395"/>
    <x v="6"/>
    <x v="262"/>
    <x v="351"/>
  </r>
  <r>
    <n v="1099944"/>
    <x v="395"/>
    <x v="6"/>
    <x v="212"/>
    <x v="4"/>
  </r>
  <r>
    <n v="1099944"/>
    <x v="395"/>
    <x v="6"/>
    <x v="426"/>
    <x v="170"/>
  </r>
  <r>
    <n v="1099944"/>
    <x v="395"/>
    <x v="6"/>
    <x v="155"/>
    <x v="331"/>
  </r>
  <r>
    <n v="1099944"/>
    <x v="395"/>
    <x v="6"/>
    <x v="217"/>
    <x v="170"/>
  </r>
  <r>
    <n v="1099944"/>
    <x v="395"/>
    <x v="6"/>
    <x v="168"/>
    <x v="535"/>
  </r>
  <r>
    <n v="1099944"/>
    <x v="395"/>
    <x v="6"/>
    <x v="171"/>
    <x v="351"/>
  </r>
  <r>
    <n v="1099944"/>
    <x v="395"/>
    <x v="6"/>
    <x v="0"/>
    <x v="529"/>
  </r>
  <r>
    <n v="1099944"/>
    <x v="395"/>
    <x v="6"/>
    <x v="25"/>
    <x v="105"/>
  </r>
  <r>
    <n v="1099944"/>
    <x v="395"/>
    <x v="6"/>
    <x v="384"/>
    <x v="551"/>
  </r>
  <r>
    <n v="1099944"/>
    <x v="395"/>
    <x v="6"/>
    <x v="12"/>
    <x v="3"/>
  </r>
  <r>
    <n v="1099944"/>
    <x v="395"/>
    <x v="6"/>
    <x v="349"/>
    <x v="535"/>
  </r>
  <r>
    <n v="1099944"/>
    <x v="395"/>
    <x v="6"/>
    <x v="160"/>
    <x v="351"/>
  </r>
  <r>
    <n v="1099944"/>
    <x v="395"/>
    <x v="6"/>
    <x v="134"/>
    <x v="178"/>
  </r>
  <r>
    <n v="1099944"/>
    <x v="395"/>
    <x v="6"/>
    <x v="150"/>
    <x v="77"/>
  </r>
  <r>
    <n v="1099944"/>
    <x v="395"/>
    <x v="6"/>
    <x v="264"/>
    <x v="351"/>
  </r>
  <r>
    <n v="1099944"/>
    <x v="395"/>
    <x v="6"/>
    <x v="214"/>
    <x v="516"/>
  </r>
  <r>
    <n v="1099944"/>
    <x v="395"/>
    <x v="6"/>
    <x v="227"/>
    <x v="4"/>
  </r>
  <r>
    <n v="1099944"/>
    <x v="395"/>
    <x v="6"/>
    <x v="239"/>
    <x v="198"/>
  </r>
  <r>
    <n v="1099944"/>
    <x v="395"/>
    <x v="6"/>
    <x v="219"/>
    <x v="77"/>
  </r>
  <r>
    <n v="1099944"/>
    <x v="395"/>
    <x v="6"/>
    <x v="193"/>
    <x v="170"/>
  </r>
  <r>
    <n v="1099944"/>
    <x v="395"/>
    <x v="6"/>
    <x v="182"/>
    <x v="516"/>
  </r>
  <r>
    <n v="1099944"/>
    <x v="395"/>
    <x v="6"/>
    <x v="38"/>
    <x v="198"/>
  </r>
  <r>
    <n v="1099944"/>
    <x v="395"/>
    <x v="6"/>
    <x v="30"/>
    <x v="203"/>
  </r>
  <r>
    <n v="1099944"/>
    <x v="395"/>
    <x v="6"/>
    <x v="200"/>
    <x v="179"/>
  </r>
  <r>
    <n v="1099944"/>
    <x v="395"/>
    <x v="6"/>
    <x v="79"/>
    <x v="69"/>
  </r>
  <r>
    <n v="1099944"/>
    <x v="395"/>
    <x v="6"/>
    <x v="61"/>
    <x v="172"/>
  </r>
  <r>
    <n v="1099944"/>
    <x v="395"/>
    <x v="6"/>
    <x v="5"/>
    <x v="3"/>
  </r>
  <r>
    <n v="1099944"/>
    <x v="395"/>
    <x v="6"/>
    <x v="253"/>
    <x v="170"/>
  </r>
  <r>
    <n v="1099944"/>
    <x v="395"/>
    <x v="6"/>
    <x v="335"/>
    <x v="348"/>
  </r>
  <r>
    <n v="1099944"/>
    <x v="395"/>
    <x v="6"/>
    <x v="127"/>
    <x v="535"/>
  </r>
  <r>
    <n v="1099944"/>
    <x v="395"/>
    <x v="6"/>
    <x v="144"/>
    <x v="348"/>
  </r>
  <r>
    <n v="1099944"/>
    <x v="395"/>
    <x v="6"/>
    <x v="259"/>
    <x v="178"/>
  </r>
  <r>
    <n v="1099944"/>
    <x v="395"/>
    <x v="6"/>
    <x v="250"/>
    <x v="535"/>
  </r>
  <r>
    <n v="1099944"/>
    <x v="395"/>
    <x v="6"/>
    <x v="223"/>
    <x v="3"/>
  </r>
  <r>
    <n v="1099944"/>
    <x v="395"/>
    <x v="6"/>
    <x v="235"/>
    <x v="83"/>
  </r>
  <r>
    <n v="1099944"/>
    <x v="395"/>
    <x v="6"/>
    <x v="341"/>
    <x v="346"/>
  </r>
  <r>
    <n v="1099944"/>
    <x v="395"/>
    <x v="6"/>
    <x v="178"/>
    <x v="516"/>
  </r>
  <r>
    <n v="1099944"/>
    <x v="395"/>
    <x v="6"/>
    <x v="175"/>
    <x v="516"/>
  </r>
  <r>
    <n v="1099944"/>
    <x v="395"/>
    <x v="6"/>
    <x v="165"/>
    <x v="546"/>
  </r>
  <r>
    <n v="1099944"/>
    <x v="395"/>
    <x v="6"/>
    <x v="36"/>
    <x v="34"/>
  </r>
  <r>
    <n v="1099944"/>
    <x v="395"/>
    <x v="6"/>
    <x v="418"/>
    <x v="552"/>
  </r>
  <r>
    <n v="1099944"/>
    <x v="395"/>
    <x v="6"/>
    <x v="71"/>
    <x v="97"/>
  </r>
  <r>
    <n v="1099944"/>
    <x v="395"/>
    <x v="6"/>
    <x v="55"/>
    <x v="178"/>
  </r>
  <r>
    <n v="1099944"/>
    <x v="395"/>
    <x v="6"/>
    <x v="342"/>
    <x v="348"/>
  </r>
  <r>
    <n v="1099944"/>
    <x v="395"/>
    <x v="6"/>
    <x v="345"/>
    <x v="346"/>
  </r>
  <r>
    <n v="1099944"/>
    <x v="395"/>
    <x v="6"/>
    <x v="337"/>
    <x v="348"/>
  </r>
  <r>
    <n v="1099944"/>
    <x v="395"/>
    <x v="6"/>
    <x v="129"/>
    <x v="535"/>
  </r>
  <r>
    <n v="1099944"/>
    <x v="395"/>
    <x v="6"/>
    <x v="146"/>
    <x v="535"/>
  </r>
  <r>
    <n v="1099944"/>
    <x v="395"/>
    <x v="6"/>
    <x v="261"/>
    <x v="348"/>
  </r>
  <r>
    <n v="1099944"/>
    <x v="395"/>
    <x v="6"/>
    <x v="210"/>
    <x v="348"/>
  </r>
  <r>
    <n v="1099944"/>
    <x v="395"/>
    <x v="6"/>
    <x v="225"/>
    <x v="4"/>
  </r>
  <r>
    <n v="1099944"/>
    <x v="395"/>
    <x v="6"/>
    <x v="237"/>
    <x v="548"/>
  </r>
  <r>
    <n v="1099944"/>
    <x v="395"/>
    <x v="6"/>
    <x v="247"/>
    <x v="198"/>
  </r>
  <r>
    <n v="1099944"/>
    <x v="395"/>
    <x v="6"/>
    <x v="173"/>
    <x v="516"/>
  </r>
  <r>
    <n v="1099944"/>
    <x v="395"/>
    <x v="6"/>
    <x v="191"/>
    <x v="178"/>
  </r>
  <r>
    <n v="1099944"/>
    <x v="395"/>
    <x v="6"/>
    <x v="33"/>
    <x v="90"/>
  </r>
  <r>
    <n v="1099944"/>
    <x v="395"/>
    <x v="6"/>
    <x v="34"/>
    <x v="105"/>
  </r>
  <r>
    <n v="1099944"/>
    <x v="395"/>
    <x v="6"/>
    <x v="77"/>
    <x v="536"/>
  </r>
  <r>
    <n v="1099944"/>
    <x v="395"/>
    <x v="6"/>
    <x v="62"/>
    <x v="348"/>
  </r>
  <r>
    <n v="1099944"/>
    <x v="395"/>
    <x v="6"/>
    <x v="419"/>
    <x v="84"/>
  </r>
  <r>
    <n v="1099944"/>
    <x v="395"/>
    <x v="6"/>
    <x v="385"/>
    <x v="5"/>
  </r>
  <r>
    <n v="1099944"/>
    <x v="395"/>
    <x v="6"/>
    <x v="15"/>
    <x v="154"/>
  </r>
  <r>
    <n v="1099944"/>
    <x v="395"/>
    <x v="6"/>
    <x v="348"/>
    <x v="178"/>
  </r>
  <r>
    <n v="1099944"/>
    <x v="395"/>
    <x v="6"/>
    <x v="159"/>
    <x v="516"/>
  </r>
  <r>
    <n v="1099944"/>
    <x v="1"/>
    <x v="1"/>
    <x v="2"/>
    <x v="2"/>
  </r>
  <r>
    <n v="1099945"/>
    <x v="396"/>
    <x v="6"/>
    <x v="167"/>
    <x v="2"/>
  </r>
  <r>
    <n v="1099945"/>
    <x v="1"/>
    <x v="1"/>
    <x v="2"/>
    <x v="2"/>
  </r>
  <r>
    <n v="1099946"/>
    <x v="397"/>
    <x v="6"/>
    <x v="167"/>
    <x v="2"/>
  </r>
  <r>
    <n v="1099946"/>
    <x v="1"/>
    <x v="1"/>
    <x v="2"/>
    <x v="2"/>
  </r>
  <r>
    <n v="1099947"/>
    <x v="398"/>
    <x v="0"/>
    <x v="37"/>
    <x v="803"/>
  </r>
  <r>
    <n v="1099947"/>
    <x v="398"/>
    <x v="0"/>
    <x v="0"/>
    <x v="804"/>
  </r>
  <r>
    <n v="1099947"/>
    <x v="398"/>
    <x v="0"/>
    <x v="31"/>
    <x v="805"/>
  </r>
  <r>
    <n v="1099947"/>
    <x v="398"/>
    <x v="0"/>
    <x v="1"/>
    <x v="806"/>
  </r>
  <r>
    <n v="1099947"/>
    <x v="1"/>
    <x v="1"/>
    <x v="2"/>
    <x v="2"/>
  </r>
  <r>
    <n v="1099948"/>
    <x v="399"/>
    <x v="0"/>
    <x v="449"/>
    <x v="2"/>
  </r>
  <r>
    <n v="1099948"/>
    <x v="1"/>
    <x v="1"/>
    <x v="2"/>
    <x v="2"/>
  </r>
  <r>
    <n v="1099949"/>
    <x v="400"/>
    <x v="4"/>
    <x v="16"/>
    <x v="14"/>
  </r>
  <r>
    <n v="1099949"/>
    <x v="400"/>
    <x v="4"/>
    <x v="17"/>
    <x v="15"/>
  </r>
  <r>
    <n v="1099949"/>
    <x v="1"/>
    <x v="1"/>
    <x v="2"/>
    <x v="2"/>
  </r>
  <r>
    <n v="1099950"/>
    <x v="401"/>
    <x v="5"/>
    <x v="276"/>
    <x v="2"/>
  </r>
  <r>
    <n v="1099950"/>
    <x v="1"/>
    <x v="1"/>
    <x v="2"/>
    <x v="2"/>
  </r>
  <r>
    <n v="1099952"/>
    <x v="402"/>
    <x v="6"/>
    <x v="167"/>
    <x v="2"/>
  </r>
  <r>
    <n v="1099952"/>
    <x v="1"/>
    <x v="1"/>
    <x v="2"/>
    <x v="2"/>
  </r>
  <r>
    <n v="1099953"/>
    <x v="403"/>
    <x v="2"/>
    <x v="16"/>
    <x v="14"/>
  </r>
  <r>
    <n v="1099953"/>
    <x v="403"/>
    <x v="2"/>
    <x v="17"/>
    <x v="15"/>
  </r>
  <r>
    <n v="1099953"/>
    <x v="1"/>
    <x v="1"/>
    <x v="2"/>
    <x v="2"/>
  </r>
  <r>
    <n v="1099954"/>
    <x v="404"/>
    <x v="3"/>
    <x v="342"/>
    <x v="807"/>
  </r>
  <r>
    <n v="1099954"/>
    <x v="404"/>
    <x v="3"/>
    <x v="344"/>
    <x v="808"/>
  </r>
  <r>
    <n v="1099954"/>
    <x v="404"/>
    <x v="3"/>
    <x v="9"/>
    <x v="809"/>
  </r>
  <r>
    <n v="1099954"/>
    <x v="404"/>
    <x v="3"/>
    <x v="11"/>
    <x v="810"/>
  </r>
  <r>
    <n v="1099954"/>
    <x v="404"/>
    <x v="3"/>
    <x v="13"/>
    <x v="412"/>
  </r>
  <r>
    <n v="1099954"/>
    <x v="404"/>
    <x v="3"/>
    <x v="15"/>
    <x v="811"/>
  </r>
  <r>
    <n v="1099954"/>
    <x v="404"/>
    <x v="3"/>
    <x v="10"/>
    <x v="812"/>
  </r>
  <r>
    <n v="1099954"/>
    <x v="404"/>
    <x v="3"/>
    <x v="14"/>
    <x v="813"/>
  </r>
  <r>
    <n v="1099954"/>
    <x v="404"/>
    <x v="3"/>
    <x v="8"/>
    <x v="390"/>
  </r>
  <r>
    <n v="1099954"/>
    <x v="404"/>
    <x v="3"/>
    <x v="12"/>
    <x v="3"/>
  </r>
  <r>
    <n v="1099954"/>
    <x v="404"/>
    <x v="3"/>
    <x v="6"/>
    <x v="468"/>
  </r>
  <r>
    <n v="1099954"/>
    <x v="404"/>
    <x v="3"/>
    <x v="343"/>
    <x v="814"/>
  </r>
  <r>
    <n v="1099954"/>
    <x v="404"/>
    <x v="3"/>
    <x v="7"/>
    <x v="322"/>
  </r>
  <r>
    <n v="1099954"/>
    <x v="1"/>
    <x v="1"/>
    <x v="2"/>
    <x v="2"/>
  </r>
  <r>
    <n v="1099955"/>
    <x v="405"/>
    <x v="8"/>
    <x v="178"/>
    <x v="387"/>
  </r>
  <r>
    <n v="1099955"/>
    <x v="405"/>
    <x v="8"/>
    <x v="183"/>
    <x v="472"/>
  </r>
  <r>
    <n v="1099955"/>
    <x v="405"/>
    <x v="8"/>
    <x v="174"/>
    <x v="477"/>
  </r>
  <r>
    <n v="1099955"/>
    <x v="405"/>
    <x v="8"/>
    <x v="175"/>
    <x v="258"/>
  </r>
  <r>
    <n v="1099955"/>
    <x v="405"/>
    <x v="8"/>
    <x v="176"/>
    <x v="483"/>
  </r>
  <r>
    <n v="1099955"/>
    <x v="405"/>
    <x v="8"/>
    <x v="456"/>
    <x v="3"/>
  </r>
  <r>
    <n v="1099955"/>
    <x v="405"/>
    <x v="8"/>
    <x v="195"/>
    <x v="475"/>
  </r>
  <r>
    <n v="1099955"/>
    <x v="405"/>
    <x v="8"/>
    <x v="193"/>
    <x v="482"/>
  </r>
  <r>
    <n v="1099955"/>
    <x v="405"/>
    <x v="8"/>
    <x v="180"/>
    <x v="19"/>
  </r>
  <r>
    <n v="1099955"/>
    <x v="405"/>
    <x v="8"/>
    <x v="181"/>
    <x v="294"/>
  </r>
  <r>
    <n v="1099955"/>
    <x v="405"/>
    <x v="8"/>
    <x v="182"/>
    <x v="69"/>
  </r>
  <r>
    <n v="1099955"/>
    <x v="405"/>
    <x v="8"/>
    <x v="177"/>
    <x v="485"/>
  </r>
  <r>
    <n v="1099955"/>
    <x v="405"/>
    <x v="8"/>
    <x v="457"/>
    <x v="3"/>
  </r>
  <r>
    <n v="1099955"/>
    <x v="405"/>
    <x v="8"/>
    <x v="185"/>
    <x v="34"/>
  </r>
  <r>
    <n v="1099955"/>
    <x v="405"/>
    <x v="8"/>
    <x v="169"/>
    <x v="368"/>
  </r>
  <r>
    <n v="1099955"/>
    <x v="405"/>
    <x v="8"/>
    <x v="187"/>
    <x v="478"/>
  </r>
  <r>
    <n v="1099955"/>
    <x v="405"/>
    <x v="8"/>
    <x v="188"/>
    <x v="481"/>
  </r>
  <r>
    <n v="1099955"/>
    <x v="405"/>
    <x v="8"/>
    <x v="184"/>
    <x v="135"/>
  </r>
  <r>
    <n v="1099955"/>
    <x v="405"/>
    <x v="8"/>
    <x v="189"/>
    <x v="484"/>
  </r>
  <r>
    <n v="1099955"/>
    <x v="405"/>
    <x v="8"/>
    <x v="194"/>
    <x v="474"/>
  </r>
  <r>
    <n v="1099955"/>
    <x v="405"/>
    <x v="8"/>
    <x v="458"/>
    <x v="3"/>
  </r>
  <r>
    <n v="1099955"/>
    <x v="405"/>
    <x v="8"/>
    <x v="173"/>
    <x v="148"/>
  </r>
  <r>
    <n v="1099955"/>
    <x v="405"/>
    <x v="8"/>
    <x v="168"/>
    <x v="65"/>
  </r>
  <r>
    <n v="1099955"/>
    <x v="405"/>
    <x v="8"/>
    <x v="186"/>
    <x v="476"/>
  </r>
  <r>
    <n v="1099955"/>
    <x v="405"/>
    <x v="8"/>
    <x v="459"/>
    <x v="3"/>
  </r>
  <r>
    <n v="1099955"/>
    <x v="405"/>
    <x v="8"/>
    <x v="192"/>
    <x v="65"/>
  </r>
  <r>
    <n v="1099955"/>
    <x v="405"/>
    <x v="8"/>
    <x v="170"/>
    <x v="480"/>
  </r>
  <r>
    <n v="1099955"/>
    <x v="405"/>
    <x v="8"/>
    <x v="191"/>
    <x v="479"/>
  </r>
  <r>
    <n v="1099955"/>
    <x v="405"/>
    <x v="8"/>
    <x v="171"/>
    <x v="331"/>
  </r>
  <r>
    <n v="1099955"/>
    <x v="405"/>
    <x v="8"/>
    <x v="190"/>
    <x v="71"/>
  </r>
  <r>
    <n v="1099955"/>
    <x v="405"/>
    <x v="8"/>
    <x v="172"/>
    <x v="473"/>
  </r>
  <r>
    <n v="1099955"/>
    <x v="405"/>
    <x v="8"/>
    <x v="179"/>
    <x v="226"/>
  </r>
  <r>
    <n v="1099955"/>
    <x v="1"/>
    <x v="1"/>
    <x v="2"/>
    <x v="2"/>
  </r>
  <r>
    <n v="1099956"/>
    <x v="406"/>
    <x v="2"/>
    <x v="83"/>
    <x v="815"/>
  </r>
  <r>
    <n v="1099956"/>
    <x v="406"/>
    <x v="2"/>
    <x v="81"/>
    <x v="816"/>
  </r>
  <r>
    <n v="1099956"/>
    <x v="406"/>
    <x v="2"/>
    <x v="64"/>
    <x v="817"/>
  </r>
  <r>
    <n v="1099956"/>
    <x v="406"/>
    <x v="2"/>
    <x v="59"/>
    <x v="818"/>
  </r>
  <r>
    <n v="1099956"/>
    <x v="1"/>
    <x v="1"/>
    <x v="2"/>
    <x v="2"/>
  </r>
  <r>
    <n v="1099957"/>
    <x v="407"/>
    <x v="5"/>
    <x v="114"/>
    <x v="568"/>
  </r>
  <r>
    <n v="1099957"/>
    <x v="407"/>
    <x v="5"/>
    <x v="115"/>
    <x v="595"/>
  </r>
  <r>
    <n v="1099957"/>
    <x v="407"/>
    <x v="5"/>
    <x v="118"/>
    <x v="819"/>
  </r>
  <r>
    <n v="1099957"/>
    <x v="407"/>
    <x v="5"/>
    <x v="119"/>
    <x v="820"/>
  </r>
  <r>
    <n v="1099957"/>
    <x v="1"/>
    <x v="1"/>
    <x v="2"/>
    <x v="2"/>
  </r>
  <r>
    <n v="1099958"/>
    <x v="408"/>
    <x v="2"/>
    <x v="203"/>
    <x v="791"/>
  </r>
  <r>
    <n v="1099958"/>
    <x v="408"/>
    <x v="2"/>
    <x v="390"/>
    <x v="795"/>
  </r>
  <r>
    <n v="1099958"/>
    <x v="408"/>
    <x v="2"/>
    <x v="199"/>
    <x v="462"/>
  </r>
  <r>
    <n v="1099958"/>
    <x v="408"/>
    <x v="2"/>
    <x v="388"/>
    <x v="794"/>
  </r>
  <r>
    <n v="1099958"/>
    <x v="408"/>
    <x v="2"/>
    <x v="202"/>
    <x v="652"/>
  </r>
  <r>
    <n v="1099958"/>
    <x v="408"/>
    <x v="2"/>
    <x v="201"/>
    <x v="377"/>
  </r>
  <r>
    <n v="1099958"/>
    <x v="408"/>
    <x v="2"/>
    <x v="387"/>
    <x v="796"/>
  </r>
  <r>
    <n v="1099958"/>
    <x v="408"/>
    <x v="2"/>
    <x v="389"/>
    <x v="792"/>
  </r>
  <r>
    <n v="1099958"/>
    <x v="408"/>
    <x v="2"/>
    <x v="200"/>
    <x v="793"/>
  </r>
  <r>
    <n v="1099958"/>
    <x v="1"/>
    <x v="1"/>
    <x v="2"/>
    <x v="2"/>
  </r>
  <r>
    <n v="1099959"/>
    <x v="409"/>
    <x v="5"/>
    <x v="410"/>
    <x v="659"/>
  </r>
  <r>
    <n v="1099959"/>
    <x v="409"/>
    <x v="5"/>
    <x v="86"/>
    <x v="821"/>
  </r>
  <r>
    <n v="1099959"/>
    <x v="409"/>
    <x v="5"/>
    <x v="414"/>
    <x v="37"/>
  </r>
  <r>
    <n v="1099959"/>
    <x v="409"/>
    <x v="5"/>
    <x v="398"/>
    <x v="363"/>
  </r>
  <r>
    <n v="1099959"/>
    <x v="409"/>
    <x v="5"/>
    <x v="20"/>
    <x v="121"/>
  </r>
  <r>
    <n v="1099959"/>
    <x v="409"/>
    <x v="5"/>
    <x v="23"/>
    <x v="460"/>
  </r>
  <r>
    <n v="1099959"/>
    <x v="409"/>
    <x v="5"/>
    <x v="411"/>
    <x v="630"/>
  </r>
  <r>
    <n v="1099959"/>
    <x v="409"/>
    <x v="5"/>
    <x v="397"/>
    <x v="822"/>
  </r>
  <r>
    <n v="1099959"/>
    <x v="409"/>
    <x v="5"/>
    <x v="409"/>
    <x v="254"/>
  </r>
  <r>
    <n v="1099959"/>
    <x v="409"/>
    <x v="5"/>
    <x v="412"/>
    <x v="347"/>
  </r>
  <r>
    <n v="1099959"/>
    <x v="409"/>
    <x v="5"/>
    <x v="413"/>
    <x v="552"/>
  </r>
  <r>
    <n v="1099959"/>
    <x v="409"/>
    <x v="5"/>
    <x v="22"/>
    <x v="460"/>
  </r>
  <r>
    <n v="1099959"/>
    <x v="409"/>
    <x v="5"/>
    <x v="399"/>
    <x v="823"/>
  </r>
  <r>
    <n v="1099959"/>
    <x v="409"/>
    <x v="5"/>
    <x v="401"/>
    <x v="225"/>
  </r>
  <r>
    <n v="1099959"/>
    <x v="409"/>
    <x v="5"/>
    <x v="415"/>
    <x v="824"/>
  </r>
  <r>
    <n v="1099959"/>
    <x v="409"/>
    <x v="5"/>
    <x v="85"/>
    <x v="825"/>
  </r>
  <r>
    <n v="1099959"/>
    <x v="409"/>
    <x v="5"/>
    <x v="400"/>
    <x v="231"/>
  </r>
  <r>
    <n v="1099959"/>
    <x v="409"/>
    <x v="5"/>
    <x v="18"/>
    <x v="542"/>
  </r>
  <r>
    <n v="1099959"/>
    <x v="409"/>
    <x v="5"/>
    <x v="406"/>
    <x v="225"/>
  </r>
  <r>
    <n v="1099959"/>
    <x v="409"/>
    <x v="5"/>
    <x v="21"/>
    <x v="39"/>
  </r>
  <r>
    <n v="1099959"/>
    <x v="409"/>
    <x v="5"/>
    <x v="402"/>
    <x v="454"/>
  </r>
  <r>
    <n v="1099959"/>
    <x v="409"/>
    <x v="5"/>
    <x v="416"/>
    <x v="826"/>
  </r>
  <r>
    <n v="1099959"/>
    <x v="409"/>
    <x v="5"/>
    <x v="405"/>
    <x v="200"/>
  </r>
  <r>
    <n v="1099959"/>
    <x v="409"/>
    <x v="5"/>
    <x v="19"/>
    <x v="362"/>
  </r>
  <r>
    <n v="1099959"/>
    <x v="409"/>
    <x v="5"/>
    <x v="407"/>
    <x v="561"/>
  </r>
  <r>
    <n v="1099959"/>
    <x v="409"/>
    <x v="5"/>
    <x v="404"/>
    <x v="827"/>
  </r>
  <r>
    <n v="1099959"/>
    <x v="409"/>
    <x v="5"/>
    <x v="408"/>
    <x v="84"/>
  </r>
  <r>
    <n v="1099959"/>
    <x v="1"/>
    <x v="1"/>
    <x v="2"/>
    <x v="2"/>
  </r>
  <r>
    <n v="1099960"/>
    <x v="410"/>
    <x v="4"/>
    <x v="324"/>
    <x v="2"/>
  </r>
  <r>
    <n v="1099960"/>
    <x v="1"/>
    <x v="1"/>
    <x v="2"/>
    <x v="2"/>
  </r>
  <r>
    <n v="1099961"/>
    <x v="411"/>
    <x v="6"/>
    <x v="167"/>
    <x v="2"/>
  </r>
  <r>
    <n v="1099961"/>
    <x v="1"/>
    <x v="1"/>
    <x v="2"/>
    <x v="2"/>
  </r>
  <r>
    <n v="1099962"/>
    <x v="412"/>
    <x v="2"/>
    <x v="353"/>
    <x v="2"/>
  </r>
  <r>
    <n v="1099962"/>
    <x v="1"/>
    <x v="1"/>
    <x v="2"/>
    <x v="2"/>
  </r>
  <r>
    <n v="1099963"/>
    <x v="413"/>
    <x v="13"/>
    <x v="421"/>
    <x v="511"/>
  </r>
  <r>
    <n v="1099963"/>
    <x v="413"/>
    <x v="13"/>
    <x v="422"/>
    <x v="512"/>
  </r>
  <r>
    <n v="1099963"/>
    <x v="1"/>
    <x v="1"/>
    <x v="2"/>
    <x v="2"/>
  </r>
  <r>
    <n v="1099964"/>
    <x v="414"/>
    <x v="13"/>
    <x v="422"/>
    <x v="512"/>
  </r>
  <r>
    <n v="1099964"/>
    <x v="414"/>
    <x v="13"/>
    <x v="421"/>
    <x v="511"/>
  </r>
  <r>
    <n v="1099964"/>
    <x v="1"/>
    <x v="1"/>
    <x v="2"/>
    <x v="2"/>
  </r>
  <r>
    <n v="1099965"/>
    <x v="415"/>
    <x v="2"/>
    <x v="276"/>
    <x v="2"/>
  </r>
  <r>
    <n v="1099965"/>
    <x v="1"/>
    <x v="1"/>
    <x v="2"/>
    <x v="2"/>
  </r>
  <r>
    <n v="1099966"/>
    <x v="416"/>
    <x v="13"/>
    <x v="394"/>
    <x v="657"/>
  </r>
  <r>
    <n v="1099966"/>
    <x v="416"/>
    <x v="13"/>
    <x v="422"/>
    <x v="406"/>
  </r>
  <r>
    <n v="1099966"/>
    <x v="416"/>
    <x v="13"/>
    <x v="460"/>
    <x v="3"/>
  </r>
  <r>
    <n v="1099966"/>
    <x v="416"/>
    <x v="13"/>
    <x v="395"/>
    <x v="777"/>
  </r>
  <r>
    <n v="1099966"/>
    <x v="416"/>
    <x v="13"/>
    <x v="421"/>
    <x v="778"/>
  </r>
  <r>
    <n v="1099966"/>
    <x v="1"/>
    <x v="1"/>
    <x v="2"/>
    <x v="2"/>
  </r>
  <r>
    <n v="1099967"/>
    <x v="417"/>
    <x v="5"/>
    <x v="276"/>
    <x v="2"/>
  </r>
  <r>
    <n v="1099967"/>
    <x v="1"/>
    <x v="1"/>
    <x v="2"/>
    <x v="2"/>
  </r>
  <r>
    <n v="1099968"/>
    <x v="418"/>
    <x v="5"/>
    <x v="276"/>
    <x v="2"/>
  </r>
  <r>
    <n v="1099968"/>
    <x v="1"/>
    <x v="1"/>
    <x v="2"/>
    <x v="2"/>
  </r>
  <r>
    <n v="1099969"/>
    <x v="419"/>
    <x v="2"/>
    <x v="59"/>
    <x v="104"/>
  </r>
  <r>
    <n v="1099969"/>
    <x v="419"/>
    <x v="2"/>
    <x v="80"/>
    <x v="102"/>
  </r>
  <r>
    <n v="1099969"/>
    <x v="419"/>
    <x v="2"/>
    <x v="83"/>
    <x v="105"/>
  </r>
  <r>
    <n v="1099969"/>
    <x v="419"/>
    <x v="2"/>
    <x v="64"/>
    <x v="107"/>
  </r>
  <r>
    <n v="1099969"/>
    <x v="419"/>
    <x v="2"/>
    <x v="57"/>
    <x v="101"/>
  </r>
  <r>
    <n v="1099969"/>
    <x v="419"/>
    <x v="2"/>
    <x v="67"/>
    <x v="99"/>
  </r>
  <r>
    <n v="1099969"/>
    <x v="419"/>
    <x v="2"/>
    <x v="81"/>
    <x v="106"/>
  </r>
  <r>
    <n v="1099969"/>
    <x v="419"/>
    <x v="2"/>
    <x v="69"/>
    <x v="103"/>
  </r>
  <r>
    <n v="1099969"/>
    <x v="419"/>
    <x v="2"/>
    <x v="73"/>
    <x v="34"/>
  </r>
  <r>
    <n v="1099969"/>
    <x v="419"/>
    <x v="2"/>
    <x v="55"/>
    <x v="54"/>
  </r>
  <r>
    <n v="1099969"/>
    <x v="419"/>
    <x v="2"/>
    <x v="72"/>
    <x v="100"/>
  </r>
  <r>
    <n v="1099969"/>
    <x v="1"/>
    <x v="1"/>
    <x v="2"/>
    <x v="2"/>
  </r>
  <r>
    <n v="1099970"/>
    <x v="420"/>
    <x v="5"/>
    <x v="373"/>
    <x v="176"/>
  </r>
  <r>
    <n v="1099970"/>
    <x v="420"/>
    <x v="5"/>
    <x v="309"/>
    <x v="179"/>
  </r>
  <r>
    <n v="1099970"/>
    <x v="420"/>
    <x v="5"/>
    <x v="85"/>
    <x v="407"/>
  </r>
  <r>
    <n v="1099970"/>
    <x v="420"/>
    <x v="5"/>
    <x v="381"/>
    <x v="740"/>
  </r>
  <r>
    <n v="1099970"/>
    <x v="420"/>
    <x v="5"/>
    <x v="430"/>
    <x v="346"/>
  </r>
  <r>
    <n v="1099970"/>
    <x v="420"/>
    <x v="5"/>
    <x v="435"/>
    <x v="348"/>
  </r>
  <r>
    <n v="1099970"/>
    <x v="420"/>
    <x v="5"/>
    <x v="391"/>
    <x v="744"/>
  </r>
  <r>
    <n v="1099970"/>
    <x v="420"/>
    <x v="5"/>
    <x v="321"/>
    <x v="615"/>
  </r>
  <r>
    <n v="1099970"/>
    <x v="420"/>
    <x v="5"/>
    <x v="401"/>
    <x v="178"/>
  </r>
  <r>
    <n v="1099970"/>
    <x v="420"/>
    <x v="5"/>
    <x v="23"/>
    <x v="154"/>
  </r>
  <r>
    <n v="1099970"/>
    <x v="420"/>
    <x v="5"/>
    <x v="19"/>
    <x v="351"/>
  </r>
  <r>
    <n v="1099970"/>
    <x v="420"/>
    <x v="5"/>
    <x v="89"/>
    <x v="376"/>
  </r>
  <r>
    <n v="1099970"/>
    <x v="420"/>
    <x v="5"/>
    <x v="366"/>
    <x v="178"/>
  </r>
  <r>
    <n v="1099970"/>
    <x v="420"/>
    <x v="5"/>
    <x v="45"/>
    <x v="149"/>
  </r>
  <r>
    <n v="1099970"/>
    <x v="420"/>
    <x v="5"/>
    <x v="328"/>
    <x v="198"/>
  </r>
  <r>
    <n v="1099970"/>
    <x v="420"/>
    <x v="5"/>
    <x v="376"/>
    <x v="161"/>
  </r>
  <r>
    <n v="1099970"/>
    <x v="420"/>
    <x v="5"/>
    <x v="298"/>
    <x v="162"/>
  </r>
  <r>
    <n v="1099970"/>
    <x v="420"/>
    <x v="5"/>
    <x v="288"/>
    <x v="315"/>
  </r>
  <r>
    <n v="1099970"/>
    <x v="420"/>
    <x v="5"/>
    <x v="320"/>
    <x v="78"/>
  </r>
  <r>
    <n v="1099970"/>
    <x v="420"/>
    <x v="5"/>
    <x v="400"/>
    <x v="178"/>
  </r>
  <r>
    <n v="1099970"/>
    <x v="420"/>
    <x v="5"/>
    <x v="197"/>
    <x v="743"/>
  </r>
  <r>
    <n v="1099970"/>
    <x v="420"/>
    <x v="5"/>
    <x v="415"/>
    <x v="98"/>
  </r>
  <r>
    <n v="1099970"/>
    <x v="420"/>
    <x v="5"/>
    <x v="52"/>
    <x v="178"/>
  </r>
  <r>
    <n v="1099970"/>
    <x v="420"/>
    <x v="5"/>
    <x v="268"/>
    <x v="154"/>
  </r>
  <r>
    <n v="1099970"/>
    <x v="420"/>
    <x v="5"/>
    <x v="372"/>
    <x v="176"/>
  </r>
  <r>
    <n v="1099970"/>
    <x v="420"/>
    <x v="5"/>
    <x v="312"/>
    <x v="179"/>
  </r>
  <r>
    <n v="1099970"/>
    <x v="420"/>
    <x v="5"/>
    <x v="286"/>
    <x v="185"/>
  </r>
  <r>
    <n v="1099970"/>
    <x v="420"/>
    <x v="5"/>
    <x v="407"/>
    <x v="83"/>
  </r>
  <r>
    <n v="1099970"/>
    <x v="420"/>
    <x v="5"/>
    <x v="429"/>
    <x v="42"/>
  </r>
  <r>
    <n v="1099970"/>
    <x v="420"/>
    <x v="5"/>
    <x v="101"/>
    <x v="34"/>
  </r>
  <r>
    <n v="1099970"/>
    <x v="420"/>
    <x v="5"/>
    <x v="109"/>
    <x v="152"/>
  </r>
  <r>
    <n v="1099970"/>
    <x v="420"/>
    <x v="5"/>
    <x v="21"/>
    <x v="351"/>
  </r>
  <r>
    <n v="1099970"/>
    <x v="420"/>
    <x v="5"/>
    <x v="86"/>
    <x v="213"/>
  </r>
  <r>
    <n v="1099970"/>
    <x v="420"/>
    <x v="5"/>
    <x v="283"/>
    <x v="62"/>
  </r>
  <r>
    <n v="1099970"/>
    <x v="420"/>
    <x v="5"/>
    <x v="359"/>
    <x v="4"/>
  </r>
  <r>
    <n v="1099970"/>
    <x v="420"/>
    <x v="5"/>
    <x v="284"/>
    <x v="105"/>
  </r>
  <r>
    <n v="1099970"/>
    <x v="420"/>
    <x v="5"/>
    <x v="92"/>
    <x v="617"/>
  </r>
  <r>
    <n v="1099970"/>
    <x v="420"/>
    <x v="5"/>
    <x v="410"/>
    <x v="88"/>
  </r>
  <r>
    <n v="1099970"/>
    <x v="420"/>
    <x v="5"/>
    <x v="100"/>
    <x v="97"/>
  </r>
  <r>
    <n v="1099970"/>
    <x v="420"/>
    <x v="5"/>
    <x v="378"/>
    <x v="24"/>
  </r>
  <r>
    <n v="1099970"/>
    <x v="420"/>
    <x v="5"/>
    <x v="291"/>
    <x v="79"/>
  </r>
  <r>
    <n v="1099970"/>
    <x v="420"/>
    <x v="5"/>
    <x v="103"/>
    <x v="144"/>
  </r>
  <r>
    <n v="1099970"/>
    <x v="420"/>
    <x v="5"/>
    <x v="392"/>
    <x v="51"/>
  </r>
  <r>
    <n v="1099970"/>
    <x v="420"/>
    <x v="5"/>
    <x v="17"/>
    <x v="742"/>
  </r>
  <r>
    <n v="1099970"/>
    <x v="420"/>
    <x v="5"/>
    <x v="93"/>
    <x v="455"/>
  </r>
  <r>
    <n v="1099970"/>
    <x v="420"/>
    <x v="5"/>
    <x v="414"/>
    <x v="535"/>
  </r>
  <r>
    <n v="1099970"/>
    <x v="420"/>
    <x v="5"/>
    <x v="50"/>
    <x v="4"/>
  </r>
  <r>
    <n v="1099970"/>
    <x v="420"/>
    <x v="5"/>
    <x v="278"/>
    <x v="224"/>
  </r>
  <r>
    <n v="1099970"/>
    <x v="420"/>
    <x v="5"/>
    <x v="363"/>
    <x v="161"/>
  </r>
  <r>
    <n v="1099970"/>
    <x v="420"/>
    <x v="5"/>
    <x v="91"/>
    <x v="346"/>
  </r>
  <r>
    <n v="1099970"/>
    <x v="420"/>
    <x v="5"/>
    <x v="113"/>
    <x v="178"/>
  </r>
  <r>
    <n v="1099970"/>
    <x v="420"/>
    <x v="5"/>
    <x v="417"/>
    <x v="82"/>
  </r>
  <r>
    <n v="1099970"/>
    <x v="420"/>
    <x v="5"/>
    <x v="434"/>
    <x v="78"/>
  </r>
  <r>
    <n v="1099970"/>
    <x v="420"/>
    <x v="5"/>
    <x v="433"/>
    <x v="170"/>
  </r>
  <r>
    <n v="1099970"/>
    <x v="420"/>
    <x v="5"/>
    <x v="324"/>
    <x v="176"/>
  </r>
  <r>
    <n v="1099970"/>
    <x v="420"/>
    <x v="5"/>
    <x v="303"/>
    <x v="376"/>
  </r>
  <r>
    <n v="1099970"/>
    <x v="420"/>
    <x v="5"/>
    <x v="18"/>
    <x v="348"/>
  </r>
  <r>
    <n v="1099970"/>
    <x v="420"/>
    <x v="5"/>
    <x v="354"/>
    <x v="79"/>
  </r>
  <r>
    <n v="1099970"/>
    <x v="420"/>
    <x v="5"/>
    <x v="356"/>
    <x v="170"/>
  </r>
  <r>
    <n v="1099970"/>
    <x v="420"/>
    <x v="5"/>
    <x v="90"/>
    <x v="4"/>
  </r>
  <r>
    <n v="1099970"/>
    <x v="420"/>
    <x v="5"/>
    <x v="444"/>
    <x v="535"/>
  </r>
  <r>
    <n v="1099970"/>
    <x v="420"/>
    <x v="5"/>
    <x v="112"/>
    <x v="4"/>
  </r>
  <r>
    <n v="1099970"/>
    <x v="420"/>
    <x v="5"/>
    <x v="411"/>
    <x v="82"/>
  </r>
  <r>
    <n v="1099970"/>
    <x v="420"/>
    <x v="5"/>
    <x v="377"/>
    <x v="745"/>
  </r>
  <r>
    <n v="1099970"/>
    <x v="420"/>
    <x v="5"/>
    <x v="295"/>
    <x v="61"/>
  </r>
  <r>
    <n v="1099970"/>
    <x v="420"/>
    <x v="5"/>
    <x v="293"/>
    <x v="747"/>
  </r>
  <r>
    <n v="1099970"/>
    <x v="420"/>
    <x v="5"/>
    <x v="16"/>
    <x v="134"/>
  </r>
  <r>
    <n v="1099970"/>
    <x v="420"/>
    <x v="5"/>
    <x v="319"/>
    <x v="305"/>
  </r>
  <r>
    <n v="1099970"/>
    <x v="420"/>
    <x v="5"/>
    <x v="325"/>
    <x v="205"/>
  </r>
  <r>
    <n v="1099970"/>
    <x v="420"/>
    <x v="5"/>
    <x v="87"/>
    <x v="210"/>
  </r>
  <r>
    <n v="1099970"/>
    <x v="420"/>
    <x v="5"/>
    <x v="305"/>
    <x v="136"/>
  </r>
  <r>
    <n v="1099970"/>
    <x v="420"/>
    <x v="5"/>
    <x v="413"/>
    <x v="178"/>
  </r>
  <r>
    <n v="1099970"/>
    <x v="420"/>
    <x v="5"/>
    <x v="405"/>
    <x v="178"/>
  </r>
  <r>
    <n v="1099970"/>
    <x v="420"/>
    <x v="5"/>
    <x v="402"/>
    <x v="83"/>
  </r>
  <r>
    <n v="1099970"/>
    <x v="420"/>
    <x v="5"/>
    <x v="47"/>
    <x v="619"/>
  </r>
  <r>
    <n v="1099970"/>
    <x v="420"/>
    <x v="5"/>
    <x v="267"/>
    <x v="3"/>
  </r>
  <r>
    <n v="1099970"/>
    <x v="420"/>
    <x v="5"/>
    <x v="355"/>
    <x v="79"/>
  </r>
  <r>
    <n v="1099970"/>
    <x v="420"/>
    <x v="5"/>
    <x v="409"/>
    <x v="198"/>
  </r>
  <r>
    <n v="1099970"/>
    <x v="420"/>
    <x v="5"/>
    <x v="398"/>
    <x v="351"/>
  </r>
  <r>
    <n v="1099970"/>
    <x v="420"/>
    <x v="5"/>
    <x v="94"/>
    <x v="351"/>
  </r>
  <r>
    <n v="1099970"/>
    <x v="420"/>
    <x v="5"/>
    <x v="88"/>
    <x v="88"/>
  </r>
  <r>
    <n v="1099970"/>
    <x v="420"/>
    <x v="5"/>
    <x v="362"/>
    <x v="144"/>
  </r>
  <r>
    <n v="1099970"/>
    <x v="420"/>
    <x v="5"/>
    <x v="364"/>
    <x v="348"/>
  </r>
  <r>
    <n v="1099970"/>
    <x v="420"/>
    <x v="5"/>
    <x v="442"/>
    <x v="88"/>
  </r>
  <r>
    <n v="1099970"/>
    <x v="420"/>
    <x v="5"/>
    <x v="368"/>
    <x v="346"/>
  </r>
  <r>
    <n v="1099970"/>
    <x v="420"/>
    <x v="5"/>
    <x v="369"/>
    <x v="348"/>
  </r>
  <r>
    <n v="1099970"/>
    <x v="420"/>
    <x v="5"/>
    <x v="374"/>
    <x v="154"/>
  </r>
  <r>
    <n v="1099970"/>
    <x v="420"/>
    <x v="5"/>
    <x v="110"/>
    <x v="97"/>
  </r>
  <r>
    <n v="1099970"/>
    <x v="420"/>
    <x v="5"/>
    <x v="306"/>
    <x v="88"/>
  </r>
  <r>
    <n v="1099970"/>
    <x v="420"/>
    <x v="5"/>
    <x v="399"/>
    <x v="54"/>
  </r>
  <r>
    <n v="1099970"/>
    <x v="420"/>
    <x v="5"/>
    <x v="445"/>
    <x v="198"/>
  </r>
  <r>
    <n v="1099970"/>
    <x v="420"/>
    <x v="5"/>
    <x v="122"/>
    <x v="24"/>
  </r>
  <r>
    <n v="1099970"/>
    <x v="420"/>
    <x v="5"/>
    <x v="304"/>
    <x v="34"/>
  </r>
  <r>
    <n v="1099970"/>
    <x v="420"/>
    <x v="5"/>
    <x v="119"/>
    <x v="206"/>
  </r>
  <r>
    <n v="1099970"/>
    <x v="420"/>
    <x v="5"/>
    <x v="279"/>
    <x v="392"/>
  </r>
  <r>
    <n v="1099970"/>
    <x v="420"/>
    <x v="5"/>
    <x v="269"/>
    <x v="211"/>
  </r>
  <r>
    <n v="1099970"/>
    <x v="420"/>
    <x v="5"/>
    <x v="287"/>
    <x v="88"/>
  </r>
  <r>
    <n v="1099970"/>
    <x v="420"/>
    <x v="5"/>
    <x v="294"/>
    <x v="387"/>
  </r>
  <r>
    <n v="1099970"/>
    <x v="420"/>
    <x v="5"/>
    <x v="108"/>
    <x v="474"/>
  </r>
  <r>
    <n v="1099970"/>
    <x v="420"/>
    <x v="5"/>
    <x v="404"/>
    <x v="83"/>
  </r>
  <r>
    <n v="1099970"/>
    <x v="420"/>
    <x v="5"/>
    <x v="48"/>
    <x v="706"/>
  </r>
  <r>
    <n v="1099970"/>
    <x v="420"/>
    <x v="5"/>
    <x v="98"/>
    <x v="82"/>
  </r>
  <r>
    <n v="1099970"/>
    <x v="420"/>
    <x v="5"/>
    <x v="360"/>
    <x v="4"/>
  </r>
  <r>
    <n v="1099970"/>
    <x v="420"/>
    <x v="5"/>
    <x v="111"/>
    <x v="42"/>
  </r>
  <r>
    <n v="1099970"/>
    <x v="420"/>
    <x v="5"/>
    <x v="99"/>
    <x v="455"/>
  </r>
  <r>
    <n v="1099970"/>
    <x v="420"/>
    <x v="5"/>
    <x v="403"/>
    <x v="163"/>
  </r>
  <r>
    <n v="1099970"/>
    <x v="420"/>
    <x v="5"/>
    <x v="54"/>
    <x v="198"/>
  </r>
  <r>
    <n v="1099970"/>
    <x v="420"/>
    <x v="5"/>
    <x v="380"/>
    <x v="98"/>
  </r>
  <r>
    <n v="1099970"/>
    <x v="420"/>
    <x v="5"/>
    <x v="431"/>
    <x v="164"/>
  </r>
  <r>
    <n v="1099970"/>
    <x v="420"/>
    <x v="5"/>
    <x v="104"/>
    <x v="144"/>
  </r>
  <r>
    <n v="1099970"/>
    <x v="420"/>
    <x v="5"/>
    <x v="327"/>
    <x v="224"/>
  </r>
  <r>
    <n v="1099970"/>
    <x v="420"/>
    <x v="5"/>
    <x v="270"/>
    <x v="179"/>
  </r>
  <r>
    <n v="1099970"/>
    <x v="420"/>
    <x v="5"/>
    <x v="196"/>
    <x v="748"/>
  </r>
  <r>
    <n v="1099970"/>
    <x v="420"/>
    <x v="5"/>
    <x v="282"/>
    <x v="147"/>
  </r>
  <r>
    <n v="1099970"/>
    <x v="420"/>
    <x v="5"/>
    <x v="358"/>
    <x v="82"/>
  </r>
  <r>
    <n v="1099970"/>
    <x v="420"/>
    <x v="5"/>
    <x v="271"/>
    <x v="24"/>
  </r>
  <r>
    <n v="1099970"/>
    <x v="420"/>
    <x v="5"/>
    <x v="379"/>
    <x v="23"/>
  </r>
  <r>
    <n v="1099970"/>
    <x v="420"/>
    <x v="5"/>
    <x v="437"/>
    <x v="153"/>
  </r>
  <r>
    <n v="1099970"/>
    <x v="420"/>
    <x v="5"/>
    <x v="296"/>
    <x v="61"/>
  </r>
  <r>
    <n v="1099970"/>
    <x v="420"/>
    <x v="5"/>
    <x v="292"/>
    <x v="98"/>
  </r>
  <r>
    <n v="1099970"/>
    <x v="420"/>
    <x v="5"/>
    <x v="432"/>
    <x v="149"/>
  </r>
  <r>
    <n v="1099970"/>
    <x v="420"/>
    <x v="5"/>
    <x v="106"/>
    <x v="62"/>
  </r>
  <r>
    <n v="1099970"/>
    <x v="420"/>
    <x v="5"/>
    <x v="290"/>
    <x v="746"/>
  </r>
  <r>
    <n v="1099970"/>
    <x v="420"/>
    <x v="5"/>
    <x v="436"/>
    <x v="156"/>
  </r>
  <r>
    <n v="1099970"/>
    <x v="420"/>
    <x v="5"/>
    <x v="102"/>
    <x v="741"/>
  </r>
  <r>
    <n v="1099970"/>
    <x v="420"/>
    <x v="5"/>
    <x v="322"/>
    <x v="305"/>
  </r>
  <r>
    <n v="1099970"/>
    <x v="420"/>
    <x v="5"/>
    <x v="275"/>
    <x v="745"/>
  </r>
  <r>
    <n v="1099970"/>
    <x v="420"/>
    <x v="5"/>
    <x v="49"/>
    <x v="4"/>
  </r>
  <r>
    <n v="1099970"/>
    <x v="420"/>
    <x v="5"/>
    <x v="266"/>
    <x v="85"/>
  </r>
  <r>
    <n v="1099970"/>
    <x v="420"/>
    <x v="5"/>
    <x v="406"/>
    <x v="178"/>
  </r>
  <r>
    <n v="1099970"/>
    <x v="420"/>
    <x v="5"/>
    <x v="115"/>
    <x v="170"/>
  </r>
  <r>
    <n v="1099970"/>
    <x v="420"/>
    <x v="5"/>
    <x v="370"/>
    <x v="198"/>
  </r>
  <r>
    <n v="1099970"/>
    <x v="420"/>
    <x v="5"/>
    <x v="114"/>
    <x v="351"/>
  </r>
  <r>
    <n v="1099970"/>
    <x v="420"/>
    <x v="5"/>
    <x v="118"/>
    <x v="217"/>
  </r>
  <r>
    <n v="1099970"/>
    <x v="420"/>
    <x v="5"/>
    <x v="441"/>
    <x v="353"/>
  </r>
  <r>
    <n v="1099970"/>
    <x v="420"/>
    <x v="5"/>
    <x v="289"/>
    <x v="105"/>
  </r>
  <r>
    <n v="1099970"/>
    <x v="420"/>
    <x v="5"/>
    <x v="105"/>
    <x v="221"/>
  </r>
  <r>
    <n v="1099970"/>
    <x v="420"/>
    <x v="5"/>
    <x v="393"/>
    <x v="21"/>
  </r>
  <r>
    <n v="1099970"/>
    <x v="420"/>
    <x v="5"/>
    <x v="53"/>
    <x v="457"/>
  </r>
  <r>
    <n v="1099970"/>
    <x v="420"/>
    <x v="5"/>
    <x v="397"/>
    <x v="161"/>
  </r>
  <r>
    <n v="1099970"/>
    <x v="420"/>
    <x v="5"/>
    <x v="198"/>
    <x v="149"/>
  </r>
  <r>
    <n v="1099970"/>
    <x v="420"/>
    <x v="5"/>
    <x v="96"/>
    <x v="346"/>
  </r>
  <r>
    <n v="1099970"/>
    <x v="420"/>
    <x v="5"/>
    <x v="361"/>
    <x v="161"/>
  </r>
  <r>
    <n v="1099970"/>
    <x v="420"/>
    <x v="5"/>
    <x v="367"/>
    <x v="346"/>
  </r>
  <r>
    <n v="1099970"/>
    <x v="420"/>
    <x v="5"/>
    <x v="116"/>
    <x v="34"/>
  </r>
  <r>
    <n v="1099970"/>
    <x v="420"/>
    <x v="5"/>
    <x v="329"/>
    <x v="51"/>
  </r>
  <r>
    <n v="1099970"/>
    <x v="420"/>
    <x v="5"/>
    <x v="120"/>
    <x v="181"/>
  </r>
  <r>
    <n v="1099970"/>
    <x v="420"/>
    <x v="5"/>
    <x v="323"/>
    <x v="392"/>
  </r>
  <r>
    <n v="1099970"/>
    <x v="420"/>
    <x v="5"/>
    <x v="408"/>
    <x v="351"/>
  </r>
  <r>
    <n v="1099970"/>
    <x v="420"/>
    <x v="5"/>
    <x v="51"/>
    <x v="407"/>
  </r>
  <r>
    <n v="1099970"/>
    <x v="420"/>
    <x v="5"/>
    <x v="440"/>
    <x v="80"/>
  </r>
  <r>
    <n v="1099970"/>
    <x v="420"/>
    <x v="5"/>
    <x v="416"/>
    <x v="64"/>
  </r>
  <r>
    <n v="1099970"/>
    <x v="420"/>
    <x v="5"/>
    <x v="95"/>
    <x v="363"/>
  </r>
  <r>
    <n v="1099970"/>
    <x v="420"/>
    <x v="5"/>
    <x v="308"/>
    <x v="176"/>
  </r>
  <r>
    <n v="1099970"/>
    <x v="420"/>
    <x v="5"/>
    <x v="310"/>
    <x v="151"/>
  </r>
  <r>
    <n v="1099970"/>
    <x v="420"/>
    <x v="5"/>
    <x v="280"/>
    <x v="346"/>
  </r>
  <r>
    <n v="1099970"/>
    <x v="420"/>
    <x v="5"/>
    <x v="117"/>
    <x v="347"/>
  </r>
  <r>
    <n v="1099970"/>
    <x v="420"/>
    <x v="5"/>
    <x v="428"/>
    <x v="30"/>
  </r>
  <r>
    <n v="1099970"/>
    <x v="420"/>
    <x v="5"/>
    <x v="107"/>
    <x v="156"/>
  </r>
  <r>
    <n v="1099970"/>
    <x v="420"/>
    <x v="5"/>
    <x v="326"/>
    <x v="170"/>
  </r>
  <r>
    <n v="1099970"/>
    <x v="420"/>
    <x v="5"/>
    <x v="20"/>
    <x v="170"/>
  </r>
  <r>
    <n v="1099970"/>
    <x v="420"/>
    <x v="5"/>
    <x v="22"/>
    <x v="154"/>
  </r>
  <r>
    <n v="1099970"/>
    <x v="420"/>
    <x v="5"/>
    <x v="311"/>
    <x v="78"/>
  </r>
  <r>
    <n v="1099970"/>
    <x v="420"/>
    <x v="5"/>
    <x v="97"/>
    <x v="210"/>
  </r>
  <r>
    <n v="1099970"/>
    <x v="420"/>
    <x v="5"/>
    <x v="365"/>
    <x v="535"/>
  </r>
  <r>
    <n v="1099970"/>
    <x v="420"/>
    <x v="5"/>
    <x v="44"/>
    <x v="346"/>
  </r>
  <r>
    <n v="1099970"/>
    <x v="420"/>
    <x v="5"/>
    <x v="273"/>
    <x v="144"/>
  </r>
  <r>
    <n v="1099970"/>
    <x v="420"/>
    <x v="5"/>
    <x v="375"/>
    <x v="535"/>
  </r>
  <r>
    <n v="1099970"/>
    <x v="420"/>
    <x v="5"/>
    <x v="382"/>
    <x v="38"/>
  </r>
  <r>
    <n v="1099970"/>
    <x v="420"/>
    <x v="5"/>
    <x v="297"/>
    <x v="176"/>
  </r>
  <r>
    <n v="1099970"/>
    <x v="420"/>
    <x v="5"/>
    <x v="272"/>
    <x v="659"/>
  </r>
  <r>
    <n v="1099970"/>
    <x v="420"/>
    <x v="5"/>
    <x v="274"/>
    <x v="206"/>
  </r>
  <r>
    <n v="1099970"/>
    <x v="420"/>
    <x v="5"/>
    <x v="46"/>
    <x v="61"/>
  </r>
  <r>
    <n v="1099970"/>
    <x v="420"/>
    <x v="5"/>
    <x v="281"/>
    <x v="238"/>
  </r>
  <r>
    <n v="1099970"/>
    <x v="420"/>
    <x v="5"/>
    <x v="357"/>
    <x v="42"/>
  </r>
  <r>
    <n v="1099970"/>
    <x v="420"/>
    <x v="5"/>
    <x v="443"/>
    <x v="64"/>
  </r>
  <r>
    <n v="1099970"/>
    <x v="420"/>
    <x v="5"/>
    <x v="371"/>
    <x v="351"/>
  </r>
  <r>
    <n v="1099970"/>
    <x v="420"/>
    <x v="5"/>
    <x v="307"/>
    <x v="560"/>
  </r>
  <r>
    <n v="1099970"/>
    <x v="420"/>
    <x v="5"/>
    <x v="285"/>
    <x v="346"/>
  </r>
  <r>
    <n v="1099970"/>
    <x v="420"/>
    <x v="5"/>
    <x v="121"/>
    <x v="88"/>
  </r>
  <r>
    <n v="1099970"/>
    <x v="1"/>
    <x v="1"/>
    <x v="2"/>
    <x v="2"/>
  </r>
  <r>
    <n v="1099971"/>
    <x v="421"/>
    <x v="6"/>
    <x v="73"/>
    <x v="348"/>
  </r>
  <r>
    <n v="1099971"/>
    <x v="421"/>
    <x v="6"/>
    <x v="314"/>
    <x v="535"/>
  </r>
  <r>
    <n v="1099971"/>
    <x v="421"/>
    <x v="6"/>
    <x v="171"/>
    <x v="348"/>
  </r>
  <r>
    <n v="1099971"/>
    <x v="421"/>
    <x v="6"/>
    <x v="1"/>
    <x v="284"/>
  </r>
  <r>
    <n v="1099971"/>
    <x v="421"/>
    <x v="6"/>
    <x v="30"/>
    <x v="828"/>
  </r>
  <r>
    <n v="1099971"/>
    <x v="421"/>
    <x v="6"/>
    <x v="203"/>
    <x v="617"/>
  </r>
  <r>
    <n v="1099971"/>
    <x v="421"/>
    <x v="6"/>
    <x v="201"/>
    <x v="98"/>
  </r>
  <r>
    <n v="1099971"/>
    <x v="421"/>
    <x v="6"/>
    <x v="4"/>
    <x v="3"/>
  </r>
  <r>
    <n v="1099971"/>
    <x v="421"/>
    <x v="6"/>
    <x v="317"/>
    <x v="88"/>
  </r>
  <r>
    <n v="1099971"/>
    <x v="421"/>
    <x v="6"/>
    <x v="186"/>
    <x v="178"/>
  </r>
  <r>
    <n v="1099971"/>
    <x v="421"/>
    <x v="6"/>
    <x v="184"/>
    <x v="535"/>
  </r>
  <r>
    <n v="1099971"/>
    <x v="421"/>
    <x v="6"/>
    <x v="26"/>
    <x v="348"/>
  </r>
  <r>
    <n v="1099971"/>
    <x v="421"/>
    <x v="6"/>
    <x v="81"/>
    <x v="203"/>
  </r>
  <r>
    <n v="1099971"/>
    <x v="421"/>
    <x v="6"/>
    <x v="68"/>
    <x v="179"/>
  </r>
  <r>
    <n v="1099971"/>
    <x v="421"/>
    <x v="6"/>
    <x v="57"/>
    <x v="255"/>
  </r>
  <r>
    <n v="1099971"/>
    <x v="421"/>
    <x v="6"/>
    <x v="318"/>
    <x v="176"/>
  </r>
  <r>
    <n v="1099971"/>
    <x v="421"/>
    <x v="6"/>
    <x v="179"/>
    <x v="535"/>
  </r>
  <r>
    <n v="1099971"/>
    <x v="421"/>
    <x v="6"/>
    <x v="182"/>
    <x v="516"/>
  </r>
  <r>
    <n v="1099971"/>
    <x v="421"/>
    <x v="6"/>
    <x v="24"/>
    <x v="98"/>
  </r>
  <r>
    <n v="1099971"/>
    <x v="421"/>
    <x v="6"/>
    <x v="37"/>
    <x v="145"/>
  </r>
  <r>
    <n v="1099971"/>
    <x v="421"/>
    <x v="6"/>
    <x v="65"/>
    <x v="348"/>
  </r>
  <r>
    <n v="1099971"/>
    <x v="421"/>
    <x v="6"/>
    <x v="69"/>
    <x v="829"/>
  </r>
  <r>
    <n v="1099971"/>
    <x v="421"/>
    <x v="6"/>
    <x v="193"/>
    <x v="77"/>
  </r>
  <r>
    <n v="1099971"/>
    <x v="421"/>
    <x v="6"/>
    <x v="190"/>
    <x v="88"/>
  </r>
  <r>
    <n v="1099971"/>
    <x v="421"/>
    <x v="6"/>
    <x v="40"/>
    <x v="79"/>
  </r>
  <r>
    <n v="1099971"/>
    <x v="421"/>
    <x v="6"/>
    <x v="31"/>
    <x v="80"/>
  </r>
  <r>
    <n v="1099971"/>
    <x v="421"/>
    <x v="6"/>
    <x v="66"/>
    <x v="156"/>
  </r>
  <r>
    <n v="1099971"/>
    <x v="421"/>
    <x v="6"/>
    <x v="80"/>
    <x v="830"/>
  </r>
  <r>
    <n v="1099971"/>
    <x v="421"/>
    <x v="6"/>
    <x v="221"/>
    <x v="161"/>
  </r>
  <r>
    <n v="1099971"/>
    <x v="421"/>
    <x v="6"/>
    <x v="192"/>
    <x v="178"/>
  </r>
  <r>
    <n v="1099971"/>
    <x v="421"/>
    <x v="6"/>
    <x v="189"/>
    <x v="346"/>
  </r>
  <r>
    <n v="1099971"/>
    <x v="421"/>
    <x v="6"/>
    <x v="29"/>
    <x v="85"/>
  </r>
  <r>
    <n v="1099971"/>
    <x v="421"/>
    <x v="6"/>
    <x v="418"/>
    <x v="567"/>
  </r>
  <r>
    <n v="1099971"/>
    <x v="421"/>
    <x v="6"/>
    <x v="74"/>
    <x v="24"/>
  </r>
  <r>
    <n v="1099971"/>
    <x v="421"/>
    <x v="6"/>
    <x v="419"/>
    <x v="196"/>
  </r>
  <r>
    <n v="1099971"/>
    <x v="421"/>
    <x v="6"/>
    <x v="185"/>
    <x v="516"/>
  </r>
  <r>
    <n v="1099971"/>
    <x v="421"/>
    <x v="6"/>
    <x v="188"/>
    <x v="98"/>
  </r>
  <r>
    <n v="1099971"/>
    <x v="421"/>
    <x v="6"/>
    <x v="0"/>
    <x v="831"/>
  </r>
  <r>
    <n v="1099971"/>
    <x v="421"/>
    <x v="6"/>
    <x v="42"/>
    <x v="392"/>
  </r>
  <r>
    <n v="1099971"/>
    <x v="421"/>
    <x v="6"/>
    <x v="200"/>
    <x v="61"/>
  </r>
  <r>
    <n v="1099971"/>
    <x v="421"/>
    <x v="6"/>
    <x v="56"/>
    <x v="549"/>
  </r>
  <r>
    <n v="1099971"/>
    <x v="421"/>
    <x v="6"/>
    <x v="425"/>
    <x v="77"/>
  </r>
  <r>
    <n v="1099971"/>
    <x v="421"/>
    <x v="6"/>
    <x v="195"/>
    <x v="178"/>
  </r>
  <r>
    <n v="1099971"/>
    <x v="421"/>
    <x v="6"/>
    <x v="175"/>
    <x v="535"/>
  </r>
  <r>
    <n v="1099971"/>
    <x v="421"/>
    <x v="6"/>
    <x v="166"/>
    <x v="832"/>
  </r>
  <r>
    <n v="1099971"/>
    <x v="421"/>
    <x v="6"/>
    <x v="34"/>
    <x v="392"/>
  </r>
  <r>
    <n v="1099971"/>
    <x v="421"/>
    <x v="6"/>
    <x v="78"/>
    <x v="833"/>
  </r>
  <r>
    <n v="1099971"/>
    <x v="421"/>
    <x v="6"/>
    <x v="63"/>
    <x v="198"/>
  </r>
  <r>
    <n v="1099971"/>
    <x v="421"/>
    <x v="6"/>
    <x v="387"/>
    <x v="205"/>
  </r>
  <r>
    <n v="1099971"/>
    <x v="421"/>
    <x v="6"/>
    <x v="194"/>
    <x v="535"/>
  </r>
  <r>
    <n v="1099971"/>
    <x v="421"/>
    <x v="6"/>
    <x v="173"/>
    <x v="516"/>
  </r>
  <r>
    <n v="1099971"/>
    <x v="421"/>
    <x v="6"/>
    <x v="180"/>
    <x v="98"/>
  </r>
  <r>
    <n v="1099971"/>
    <x v="421"/>
    <x v="6"/>
    <x v="187"/>
    <x v="179"/>
  </r>
  <r>
    <n v="1099971"/>
    <x v="421"/>
    <x v="6"/>
    <x v="181"/>
    <x v="79"/>
  </r>
  <r>
    <n v="1099971"/>
    <x v="421"/>
    <x v="6"/>
    <x v="183"/>
    <x v="351"/>
  </r>
  <r>
    <n v="1099971"/>
    <x v="421"/>
    <x v="6"/>
    <x v="164"/>
    <x v="39"/>
  </r>
  <r>
    <n v="1099971"/>
    <x v="421"/>
    <x v="6"/>
    <x v="33"/>
    <x v="53"/>
  </r>
  <r>
    <n v="1099971"/>
    <x v="421"/>
    <x v="6"/>
    <x v="32"/>
    <x v="202"/>
  </r>
  <r>
    <n v="1099971"/>
    <x v="421"/>
    <x v="6"/>
    <x v="36"/>
    <x v="91"/>
  </r>
  <r>
    <n v="1099971"/>
    <x v="421"/>
    <x v="6"/>
    <x v="39"/>
    <x v="392"/>
  </r>
  <r>
    <n v="1099971"/>
    <x v="421"/>
    <x v="6"/>
    <x v="388"/>
    <x v="456"/>
  </r>
  <r>
    <n v="1099971"/>
    <x v="421"/>
    <x v="6"/>
    <x v="82"/>
    <x v="88"/>
  </r>
  <r>
    <n v="1099971"/>
    <x v="421"/>
    <x v="6"/>
    <x v="83"/>
    <x v="170"/>
  </r>
  <r>
    <n v="1099971"/>
    <x v="421"/>
    <x v="6"/>
    <x v="71"/>
    <x v="197"/>
  </r>
  <r>
    <n v="1099971"/>
    <x v="421"/>
    <x v="6"/>
    <x v="62"/>
    <x v="83"/>
  </r>
  <r>
    <n v="1099971"/>
    <x v="421"/>
    <x v="6"/>
    <x v="58"/>
    <x v="347"/>
  </r>
  <r>
    <n v="1099971"/>
    <x v="421"/>
    <x v="6"/>
    <x v="3"/>
    <x v="149"/>
  </r>
  <r>
    <n v="1099971"/>
    <x v="421"/>
    <x v="6"/>
    <x v="420"/>
    <x v="26"/>
  </r>
  <r>
    <n v="1099971"/>
    <x v="421"/>
    <x v="6"/>
    <x v="61"/>
    <x v="834"/>
  </r>
  <r>
    <n v="1099971"/>
    <x v="421"/>
    <x v="6"/>
    <x v="191"/>
    <x v="346"/>
  </r>
  <r>
    <n v="1099971"/>
    <x v="421"/>
    <x v="6"/>
    <x v="28"/>
    <x v="569"/>
  </r>
  <r>
    <n v="1099971"/>
    <x v="421"/>
    <x v="6"/>
    <x v="25"/>
    <x v="219"/>
  </r>
  <r>
    <n v="1099971"/>
    <x v="421"/>
    <x v="6"/>
    <x v="59"/>
    <x v="202"/>
  </r>
  <r>
    <n v="1099971"/>
    <x v="421"/>
    <x v="6"/>
    <x v="79"/>
    <x v="135"/>
  </r>
  <r>
    <n v="1099971"/>
    <x v="421"/>
    <x v="6"/>
    <x v="424"/>
    <x v="77"/>
  </r>
  <r>
    <n v="1099971"/>
    <x v="421"/>
    <x v="6"/>
    <x v="168"/>
    <x v="178"/>
  </r>
  <r>
    <n v="1099971"/>
    <x v="421"/>
    <x v="6"/>
    <x v="176"/>
    <x v="82"/>
  </r>
  <r>
    <n v="1099971"/>
    <x v="421"/>
    <x v="6"/>
    <x v="38"/>
    <x v="4"/>
  </r>
  <r>
    <n v="1099971"/>
    <x v="421"/>
    <x v="6"/>
    <x v="41"/>
    <x v="759"/>
  </r>
  <r>
    <n v="1099971"/>
    <x v="421"/>
    <x v="6"/>
    <x v="202"/>
    <x v="574"/>
  </r>
  <r>
    <n v="1099971"/>
    <x v="421"/>
    <x v="6"/>
    <x v="199"/>
    <x v="377"/>
  </r>
  <r>
    <n v="1099971"/>
    <x v="421"/>
    <x v="6"/>
    <x v="220"/>
    <x v="198"/>
  </r>
  <r>
    <n v="1099971"/>
    <x v="421"/>
    <x v="6"/>
    <x v="174"/>
    <x v="98"/>
  </r>
  <r>
    <n v="1099971"/>
    <x v="421"/>
    <x v="6"/>
    <x v="177"/>
    <x v="154"/>
  </r>
  <r>
    <n v="1099971"/>
    <x v="421"/>
    <x v="6"/>
    <x v="35"/>
    <x v="346"/>
  </r>
  <r>
    <n v="1099971"/>
    <x v="421"/>
    <x v="6"/>
    <x v="390"/>
    <x v="233"/>
  </r>
  <r>
    <n v="1099971"/>
    <x v="421"/>
    <x v="6"/>
    <x v="75"/>
    <x v="164"/>
  </r>
  <r>
    <n v="1099971"/>
    <x v="421"/>
    <x v="6"/>
    <x v="55"/>
    <x v="198"/>
  </r>
  <r>
    <n v="1099971"/>
    <x v="421"/>
    <x v="6"/>
    <x v="178"/>
    <x v="535"/>
  </r>
  <r>
    <n v="1099971"/>
    <x v="421"/>
    <x v="6"/>
    <x v="170"/>
    <x v="346"/>
  </r>
  <r>
    <n v="1099971"/>
    <x v="421"/>
    <x v="6"/>
    <x v="165"/>
    <x v="374"/>
  </r>
  <r>
    <n v="1099971"/>
    <x v="421"/>
    <x v="6"/>
    <x v="27"/>
    <x v="182"/>
  </r>
  <r>
    <n v="1099971"/>
    <x v="421"/>
    <x v="6"/>
    <x v="77"/>
    <x v="835"/>
  </r>
  <r>
    <n v="1099971"/>
    <x v="421"/>
    <x v="6"/>
    <x v="70"/>
    <x v="161"/>
  </r>
  <r>
    <n v="1099971"/>
    <x v="421"/>
    <x v="6"/>
    <x v="389"/>
    <x v="199"/>
  </r>
  <r>
    <n v="1099971"/>
    <x v="421"/>
    <x v="6"/>
    <x v="169"/>
    <x v="348"/>
  </r>
  <r>
    <n v="1099971"/>
    <x v="421"/>
    <x v="6"/>
    <x v="172"/>
    <x v="42"/>
  </r>
  <r>
    <n v="1099971"/>
    <x v="421"/>
    <x v="6"/>
    <x v="43"/>
    <x v="348"/>
  </r>
  <r>
    <n v="1099971"/>
    <x v="421"/>
    <x v="6"/>
    <x v="64"/>
    <x v="836"/>
  </r>
  <r>
    <n v="1099971"/>
    <x v="421"/>
    <x v="6"/>
    <x v="60"/>
    <x v="34"/>
  </r>
  <r>
    <n v="1099971"/>
    <x v="1"/>
    <x v="1"/>
    <x v="2"/>
    <x v="2"/>
  </r>
  <r>
    <n v="1099972"/>
    <x v="422"/>
    <x v="6"/>
    <x v="436"/>
    <x v="587"/>
  </r>
  <r>
    <n v="1099972"/>
    <x v="422"/>
    <x v="6"/>
    <x v="437"/>
    <x v="584"/>
  </r>
  <r>
    <n v="1099972"/>
    <x v="422"/>
    <x v="6"/>
    <x v="431"/>
    <x v="588"/>
  </r>
  <r>
    <n v="1099972"/>
    <x v="422"/>
    <x v="6"/>
    <x v="432"/>
    <x v="448"/>
  </r>
  <r>
    <n v="1099972"/>
    <x v="422"/>
    <x v="6"/>
    <x v="428"/>
    <x v="589"/>
  </r>
  <r>
    <n v="1099972"/>
    <x v="422"/>
    <x v="6"/>
    <x v="433"/>
    <x v="368"/>
  </r>
  <r>
    <n v="1099972"/>
    <x v="422"/>
    <x v="6"/>
    <x v="429"/>
    <x v="585"/>
  </r>
  <r>
    <n v="1099972"/>
    <x v="422"/>
    <x v="6"/>
    <x v="434"/>
    <x v="586"/>
  </r>
  <r>
    <n v="1099972"/>
    <x v="422"/>
    <x v="6"/>
    <x v="435"/>
    <x v="441"/>
  </r>
  <r>
    <n v="1099972"/>
    <x v="422"/>
    <x v="6"/>
    <x v="430"/>
    <x v="590"/>
  </r>
  <r>
    <n v="1099972"/>
    <x v="1"/>
    <x v="1"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16" firstHeaderRow="1" firstDataRow="2" firstDataCol="1"/>
  <pivotFields count="5">
    <pivotField showAll="0"/>
    <pivotField axis="axisRow" showAll="0">
      <items count="424">
        <item x="72"/>
        <item x="418"/>
        <item x="276"/>
        <item x="256"/>
        <item x="80"/>
        <item x="109"/>
        <item x="254"/>
        <item x="8"/>
        <item x="166"/>
        <item x="366"/>
        <item x="410"/>
        <item x="271"/>
        <item x="373"/>
        <item x="388"/>
        <item x="345"/>
        <item x="38"/>
        <item x="171"/>
        <item x="210"/>
        <item x="204"/>
        <item x="203"/>
        <item x="222"/>
        <item x="386"/>
        <item x="39"/>
        <item x="264"/>
        <item x="277"/>
        <item x="346"/>
        <item x="352"/>
        <item x="34"/>
        <item x="86"/>
        <item x="37"/>
        <item x="321"/>
        <item x="70"/>
        <item x="40"/>
        <item x="209"/>
        <item x="43"/>
        <item x="220"/>
        <item x="90"/>
        <item x="351"/>
        <item x="195"/>
        <item x="41"/>
        <item x="132"/>
        <item x="42"/>
        <item x="133"/>
        <item x="192"/>
        <item x="162"/>
        <item x="84"/>
        <item x="0"/>
        <item x="294"/>
        <item x="111"/>
        <item x="245"/>
        <item x="193"/>
        <item x="174"/>
        <item x="349"/>
        <item x="115"/>
        <item x="316"/>
        <item x="74"/>
        <item x="205"/>
        <item x="265"/>
        <item x="286"/>
        <item x="98"/>
        <item x="49"/>
        <item x="16"/>
        <item x="327"/>
        <item x="339"/>
        <item x="48"/>
        <item x="275"/>
        <item x="199"/>
        <item x="50"/>
        <item x="7"/>
        <item x="260"/>
        <item x="51"/>
        <item x="6"/>
        <item x="153"/>
        <item x="31"/>
        <item x="52"/>
        <item x="151"/>
        <item x="263"/>
        <item x="287"/>
        <item x="212"/>
        <item x="155"/>
        <item x="200"/>
        <item x="53"/>
        <item x="244"/>
        <item x="246"/>
        <item x="20"/>
        <item x="149"/>
        <item x="136"/>
        <item x="318"/>
        <item x="372"/>
        <item x="180"/>
        <item x="24"/>
        <item x="121"/>
        <item x="87"/>
        <item x="297"/>
        <item x="344"/>
        <item x="32"/>
        <item x="150"/>
        <item x="399"/>
        <item x="44"/>
        <item x="18"/>
        <item x="156"/>
        <item x="179"/>
        <item h="1" x="282"/>
        <item x="355"/>
        <item x="281"/>
        <item x="280"/>
        <item x="405"/>
        <item x="283"/>
        <item x="138"/>
        <item x="273"/>
        <item x="47"/>
        <item x="336"/>
        <item x="129"/>
        <item x="259"/>
        <item x="404"/>
        <item x="4"/>
        <item x="23"/>
        <item x="164"/>
        <item x="54"/>
        <item x="178"/>
        <item x="13"/>
        <item h="1" x="341"/>
        <item x="236"/>
        <item x="303"/>
        <item x="110"/>
        <item x="279"/>
        <item x="112"/>
        <item x="409"/>
        <item x="231"/>
        <item x="68"/>
        <item x="12"/>
        <item x="85"/>
        <item x="364"/>
        <item x="154"/>
        <item x="196"/>
        <item x="402"/>
        <item x="243"/>
        <item x="408"/>
        <item x="332"/>
        <item x="101"/>
        <item x="414"/>
        <item x="284"/>
        <item x="160"/>
        <item x="113"/>
        <item h="1" x="379"/>
        <item x="317"/>
        <item x="28"/>
        <item x="17"/>
        <item x="227"/>
        <item x="411"/>
        <item x="175"/>
        <item x="213"/>
        <item x="422"/>
        <item x="106"/>
        <item x="326"/>
        <item x="240"/>
        <item x="311"/>
        <item x="46"/>
        <item x="15"/>
        <item x="242"/>
        <item x="393"/>
        <item x="55"/>
        <item x="125"/>
        <item x="71"/>
        <item x="304"/>
        <item x="343"/>
        <item x="33"/>
        <item x="253"/>
        <item x="232"/>
        <item x="77"/>
        <item x="369"/>
        <item x="225"/>
        <item x="250"/>
        <item x="413"/>
        <item x="56"/>
        <item x="88"/>
        <item x="340"/>
        <item x="233"/>
        <item x="417"/>
        <item x="143"/>
        <item x="290"/>
        <item x="229"/>
        <item x="255"/>
        <item x="266"/>
        <item x="100"/>
        <item x="57"/>
        <item x="368"/>
        <item x="119"/>
        <item x="419"/>
        <item x="274"/>
        <item x="356"/>
        <item x="320"/>
        <item x="117"/>
        <item x="141"/>
        <item x="310"/>
        <item x="315"/>
        <item h="1" x="378"/>
        <item x="360"/>
        <item x="134"/>
        <item x="22"/>
        <item x="58"/>
        <item x="354"/>
        <item x="400"/>
        <item x="14"/>
        <item x="319"/>
        <item x="184"/>
        <item x="338"/>
        <item x="308"/>
        <item x="76"/>
        <item x="94"/>
        <item x="170"/>
        <item x="382"/>
        <item h="1" x="420"/>
        <item x="285"/>
        <item x="383"/>
        <item x="188"/>
        <item x="293"/>
        <item x="248"/>
        <item x="172"/>
        <item x="36"/>
        <item x="95"/>
        <item x="374"/>
        <item x="262"/>
        <item x="329"/>
        <item x="288"/>
        <item x="313"/>
        <item x="306"/>
        <item x="322"/>
        <item x="389"/>
        <item x="221"/>
        <item x="267"/>
        <item x="97"/>
        <item x="59"/>
        <item x="139"/>
        <item x="381"/>
        <item x="398"/>
        <item x="183"/>
        <item x="247"/>
        <item x="60"/>
        <item x="144"/>
        <item x="376"/>
        <item x="325"/>
        <item x="337"/>
        <item x="91"/>
        <item x="147"/>
        <item x="169"/>
        <item x="314"/>
        <item x="249"/>
        <item x="104"/>
        <item x="93"/>
        <item x="331"/>
        <item x="124"/>
        <item x="191"/>
        <item x="9"/>
        <item x="130"/>
        <item x="394"/>
        <item h="1" x="334"/>
        <item x="218"/>
        <item x="135"/>
        <item x="421"/>
        <item x="163"/>
        <item x="377"/>
        <item x="312"/>
        <item x="257"/>
        <item x="185"/>
        <item x="89"/>
        <item x="269"/>
        <item x="186"/>
        <item x="333"/>
        <item x="365"/>
        <item x="78"/>
        <item x="62"/>
        <item x="168"/>
        <item x="161"/>
        <item x="105"/>
        <item x="190"/>
        <item x="99"/>
        <item x="10"/>
        <item x="385"/>
        <item x="228"/>
        <item x="11"/>
        <item x="211"/>
        <item x="367"/>
        <item x="384"/>
        <item x="215"/>
        <item x="375"/>
        <item x="63"/>
        <item x="335"/>
        <item x="197"/>
        <item x="258"/>
        <item x="131"/>
        <item x="137"/>
        <item x="140"/>
        <item x="127"/>
        <item x="128"/>
        <item x="234"/>
        <item x="208"/>
        <item x="396"/>
        <item x="75"/>
        <item x="158"/>
        <item x="207"/>
        <item x="390"/>
        <item x="148"/>
        <item x="120"/>
        <item x="261"/>
        <item x="330"/>
        <item x="142"/>
        <item x="230"/>
        <item x="406"/>
        <item x="380"/>
        <item x="107"/>
        <item x="165"/>
        <item x="241"/>
        <item x="152"/>
        <item x="296"/>
        <item x="347"/>
        <item x="361"/>
        <item x="328"/>
        <item x="226"/>
        <item x="387"/>
        <item x="123"/>
        <item x="251"/>
        <item x="102"/>
        <item x="189"/>
        <item x="305"/>
        <item x="353"/>
        <item x="35"/>
        <item x="416"/>
        <item x="391"/>
        <item x="300"/>
        <item x="83"/>
        <item x="159"/>
        <item x="108"/>
        <item x="289"/>
        <item x="403"/>
        <item x="217"/>
        <item x="81"/>
        <item x="96"/>
        <item x="291"/>
        <item x="64"/>
        <item x="370"/>
        <item x="103"/>
        <item x="30"/>
        <item x="252"/>
        <item x="206"/>
        <item x="194"/>
        <item x="401"/>
        <item x="116"/>
        <item x="114"/>
        <item x="307"/>
        <item x="122"/>
        <item x="5"/>
        <item x="362"/>
        <item x="323"/>
        <item x="363"/>
        <item x="302"/>
        <item x="45"/>
        <item x="146"/>
        <item x="19"/>
        <item x="371"/>
        <item x="298"/>
        <item x="301"/>
        <item x="415"/>
        <item x="181"/>
        <item x="357"/>
        <item x="238"/>
        <item x="359"/>
        <item x="342"/>
        <item x="25"/>
        <item x="237"/>
        <item x="219"/>
        <item x="3"/>
        <item x="239"/>
        <item x="176"/>
        <item x="309"/>
        <item x="272"/>
        <item x="73"/>
        <item x="407"/>
        <item x="299"/>
        <item x="216"/>
        <item x="157"/>
        <item x="126"/>
        <item x="69"/>
        <item x="224"/>
        <item x="92"/>
        <item x="79"/>
        <item x="27"/>
        <item x="278"/>
        <item h="1" x="198"/>
        <item x="324"/>
        <item x="21"/>
        <item x="235"/>
        <item x="270"/>
        <item x="412"/>
        <item x="182"/>
        <item x="295"/>
        <item x="202"/>
        <item x="268"/>
        <item x="187"/>
        <item x="145"/>
        <item x="118"/>
        <item x="392"/>
        <item x="358"/>
        <item x="65"/>
        <item x="2"/>
        <item x="350"/>
        <item x="61"/>
        <item x="167"/>
        <item x="82"/>
        <item x="201"/>
        <item x="395"/>
        <item x="397"/>
        <item x="66"/>
        <item x="67"/>
        <item x="292"/>
        <item x="177"/>
        <item x="214"/>
        <item x="173"/>
        <item h="1" x="348"/>
        <item x="26"/>
        <item x="223"/>
        <item x="29"/>
        <item x="1"/>
        <item t="default"/>
      </items>
    </pivotField>
    <pivotField showAll="0">
      <items count="16">
        <item x="6"/>
        <item x="12"/>
        <item x="5"/>
        <item x="2"/>
        <item x="7"/>
        <item x="11"/>
        <item x="9"/>
        <item x="4"/>
        <item x="14"/>
        <item x="0"/>
        <item x="8"/>
        <item x="3"/>
        <item x="10"/>
        <item x="13"/>
        <item x="1"/>
        <item t="default"/>
      </items>
    </pivotField>
    <pivotField axis="axisCol" multipleItemSelectionAllowed="1" showAll="0">
      <items count="462">
        <item h="1" x="167"/>
        <item h="1" x="452"/>
        <item h="1" x="277"/>
        <item h="1" x="427"/>
        <item h="1" x="353"/>
        <item h="1" x="276"/>
        <item h="1" x="450"/>
        <item h="1" x="396"/>
        <item h="1" x="454"/>
        <item h="1" x="300"/>
        <item h="1" x="299"/>
        <item h="1" x="455"/>
        <item h="1" x="290"/>
        <item h="1" x="104"/>
        <item h="1" x="103"/>
        <item h="1" x="435"/>
        <item h="1" x="101"/>
        <item h="1" x="107"/>
        <item h="1" x="433"/>
        <item h="1" x="105"/>
        <item h="1" x="106"/>
        <item h="1" x="293"/>
        <item h="1" x="294"/>
        <item h="1" x="432"/>
        <item h="1" x="102"/>
        <item h="1" x="288"/>
        <item h="1" x="297"/>
        <item h="1" x="292"/>
        <item h="1" x="431"/>
        <item h="1" x="291"/>
        <item h="1" x="430"/>
        <item h="1" x="429"/>
        <item h="1" x="428"/>
        <item h="1" x="434"/>
        <item h="1" x="289"/>
        <item h="1" x="296"/>
        <item h="1" x="295"/>
        <item h="1" x="287"/>
        <item h="1" x="437"/>
        <item h="1" x="436"/>
        <item h="1" x="298"/>
        <item h="1" x="382"/>
        <item h="1" x="379"/>
        <item h="1" x="380"/>
        <item h="1" x="378"/>
        <item h="1" x="381"/>
        <item h="1" x="407"/>
        <item h="1" x="412"/>
        <item h="1" x="117"/>
        <item h="1" x="121"/>
        <item h="1" x="441"/>
        <item h="1" x="279"/>
        <item h="1" x="377"/>
        <item h="1" x="269"/>
        <item h="1" x="119"/>
        <item h="1" x="120"/>
        <item h="1" x="376"/>
        <item h="1" x="375"/>
        <item h="1" x="304"/>
        <item h="1" x="54"/>
        <item h="1" x="100"/>
        <item h="1" x="85"/>
        <item h="1" x="286"/>
        <item h="1" x="280"/>
        <item h="1" x="285"/>
        <item h="1" x="118"/>
        <item h="1" x="122"/>
        <item h="1" x="411"/>
        <item h="1" x="417"/>
        <item h="1" x="445"/>
        <item h="1" x="329"/>
        <item h="1" x="328"/>
        <item h="1" x="273"/>
        <item h="1" x="399"/>
        <item h="1" x="403"/>
        <item h="1" x="410"/>
        <item h="1" x="309"/>
        <item h="1" x="312"/>
        <item h="1" x="310"/>
        <item h="1" x="307"/>
        <item h="1" x="114"/>
        <item h="1" x="306"/>
        <item h="1" x="112"/>
        <item h="1" x="113"/>
        <item h="1" x="110"/>
        <item h="1" x="116"/>
        <item h="1" x="45"/>
        <item h="1" x="44"/>
        <item h="1" x="374"/>
        <item h="1" x="99"/>
        <item h="1" x="92"/>
        <item h="1" x="373"/>
        <item h="1" x="372"/>
        <item h="1" x="308"/>
        <item h="1" x="371"/>
        <item h="1" x="370"/>
        <item h="1" x="369"/>
        <item h="1" x="444"/>
        <item h="1" x="91"/>
        <item h="1" x="368"/>
        <item h="1" x="367"/>
        <item h="1" x="366"/>
        <item h="1" x="365"/>
        <item h="1" x="442"/>
        <item h="1" x="111"/>
        <item h="1" x="284"/>
        <item h="1" x="271"/>
        <item h="1" x="268"/>
        <item h="1" x="95"/>
        <item h="1" x="443"/>
        <item h="1" x="115"/>
        <item h="1" x="364"/>
        <item h="1" x="90"/>
        <item h="1" x="363"/>
        <item h="1" x="362"/>
        <item h="1" x="361"/>
        <item h="1" x="448"/>
        <item h="1" x="89"/>
        <item h="1" x="97"/>
        <item h="1" x="88"/>
        <item h="1" x="360"/>
        <item h="1" x="359"/>
        <item h="1" x="358"/>
        <item h="1" x="52"/>
        <item h="1" x="416"/>
        <item h="1" x="357"/>
        <item h="1" x="406"/>
        <item h="1" x="94"/>
        <item h="1" x="356"/>
        <item h="1" x="278"/>
        <item h="1" x="398"/>
        <item h="1" x="96"/>
        <item h="1" x="19"/>
        <item h="1" x="311"/>
        <item h="1" x="409"/>
        <item h="1" x="98"/>
        <item h="1" x="283"/>
        <item h="1" x="282"/>
        <item h="1" x="415"/>
        <item h="1" x="440"/>
        <item h="1" x="281"/>
        <item h="1" x="266"/>
        <item h="1" x="355"/>
        <item h="1" x="354"/>
        <item h="1" x="50"/>
        <item h="1" x="267"/>
        <item h="1" x="198"/>
        <item h="1" x="23"/>
        <item h="1" x="22"/>
        <item h="1" x="47"/>
        <item h="1" x="48"/>
        <item h="1" x="86"/>
        <item h="1" x="196"/>
        <item h="1" x="197"/>
        <item h="1" x="51"/>
        <item h="1" x="46"/>
        <item h="1" x="453"/>
        <item h="1" x="49"/>
        <item h="1" x="402"/>
        <item h="1" x="18"/>
        <item h="1" x="414"/>
        <item h="1" x="405"/>
        <item h="1" x="397"/>
        <item h="1" x="401"/>
        <item h="1" x="20"/>
        <item h="1" x="413"/>
        <item h="1" x="404"/>
        <item h="1" x="21"/>
        <item h="1" x="270"/>
        <item h="1" x="400"/>
        <item h="1" x="408"/>
        <item h="1" x="274"/>
        <item h="1" x="275"/>
        <item h="1" x="305"/>
        <item h="1" x="303"/>
        <item h="1" x="93"/>
        <item h="1" x="87"/>
        <item h="1" x="53"/>
        <item h="1" x="4"/>
        <item h="1" x="425"/>
        <item h="1" x="424"/>
        <item h="1" x="61"/>
        <item h="1" x="387"/>
        <item h="1" x="389"/>
        <item h="1" x="420"/>
        <item h="1" x="419"/>
        <item h="1" x="3"/>
        <item h="1" x="55"/>
        <item h="1" x="73"/>
        <item h="1" x="57"/>
        <item h="1" x="80"/>
        <item h="1" x="67"/>
        <item h="1" x="69"/>
        <item h="1" x="199"/>
        <item h="1" x="201"/>
        <item h="1" x="56"/>
        <item h="1" x="79"/>
        <item h="1" x="58"/>
        <item h="1" x="63"/>
        <item h="1" x="70"/>
        <item h="1" x="62"/>
        <item h="1" x="74"/>
        <item h="1" x="71"/>
        <item h="1" x="75"/>
        <item h="1" x="60"/>
        <item h="1" x="68"/>
        <item h="1" x="66"/>
        <item h="1" x="65"/>
        <item h="1" x="202"/>
        <item h="1" x="203"/>
        <item h="1" x="200"/>
        <item h="1" x="59"/>
        <item h="1" x="83"/>
        <item h="1" x="439"/>
        <item h="1" x="438"/>
        <item h="1" x="84"/>
        <item h="1" x="76"/>
        <item h="1" x="72"/>
        <item h="1" x="78"/>
        <item h="1" x="77"/>
        <item h="1" x="82"/>
        <item h="1" x="423"/>
        <item h="1" x="418"/>
        <item h="1" x="388"/>
        <item h="1" x="390"/>
        <item h="1" x="64"/>
        <item h="1" x="81"/>
        <item h="1" x="321"/>
        <item h="1" x="326"/>
        <item h="1" x="325"/>
        <item h="1" x="108"/>
        <item h="1" x="109"/>
        <item h="1" x="327"/>
        <item h="1" x="320"/>
        <item h="1" x="323"/>
        <item h="1" x="272"/>
        <item h="1" x="322"/>
        <item h="1" x="319"/>
        <item h="1" x="324"/>
        <item h="1" x="17"/>
        <item h="1" x="16"/>
        <item x="393"/>
        <item x="391"/>
        <item x="392"/>
        <item h="1" x="449"/>
        <item h="1" x="31"/>
        <item h="1" x="37"/>
        <item h="1" x="41"/>
        <item h="1" x="30"/>
        <item h="1" x="42"/>
        <item h="1" x="25"/>
        <item h="1" x="39"/>
        <item h="1" x="34"/>
        <item h="1" x="27"/>
        <item h="1" x="36"/>
        <item h="1" x="29"/>
        <item h="1" x="32"/>
        <item h="1" x="35"/>
        <item h="1" x="43"/>
        <item h="1" x="26"/>
        <item h="1" x="40"/>
        <item h="1" x="24"/>
        <item h="1" x="38"/>
        <item h="1" x="447"/>
        <item h="1" x="1"/>
        <item h="1" x="0"/>
        <item h="1" x="28"/>
        <item h="1" x="33"/>
        <item h="1" x="166"/>
        <item h="1" x="165"/>
        <item h="1" x="164"/>
        <item h="1" x="189"/>
        <item h="1" x="183"/>
        <item h="1" x="177"/>
        <item h="1" x="456"/>
        <item h="1" x="172"/>
        <item h="1" x="184"/>
        <item h="1" x="190"/>
        <item h="1" x="182"/>
        <item h="1" x="176"/>
        <item h="1" x="171"/>
        <item h="1" x="188"/>
        <item h="1" x="191"/>
        <item h="1" x="181"/>
        <item h="1" x="175"/>
        <item h="1" x="170"/>
        <item h="1" x="187"/>
        <item h="1" x="192"/>
        <item h="1" x="180"/>
        <item h="1" x="174"/>
        <item h="1" x="459"/>
        <item h="1" x="169"/>
        <item h="1" x="186"/>
        <item h="1" x="193"/>
        <item h="1" x="179"/>
        <item h="1" x="168"/>
        <item h="1" x="185"/>
        <item h="1" x="173"/>
        <item h="1" x="195"/>
        <item h="1" x="178"/>
        <item h="1" x="458"/>
        <item h="1" x="457"/>
        <item h="1" x="194"/>
        <item h="1" x="221"/>
        <item h="1" x="220"/>
        <item h="1" x="317"/>
        <item h="1" x="318"/>
        <item h="1" x="314"/>
        <item h="1" x="315"/>
        <item h="1" x="219"/>
        <item h="1" x="218"/>
        <item h="1" x="217"/>
        <item h="1" x="248"/>
        <item h="1" x="247"/>
        <item h="1" x="246"/>
        <item h="1" x="341"/>
        <item h="1" x="245"/>
        <item h="1" x="244"/>
        <item h="1" x="243"/>
        <item h="1" x="242"/>
        <item h="1" x="313"/>
        <item h="1" x="241"/>
        <item h="1" x="240"/>
        <item h="1" x="239"/>
        <item h="1" x="156"/>
        <item h="1" x="155"/>
        <item h="1" x="238"/>
        <item h="1" x="237"/>
        <item h="1" x="236"/>
        <item h="1" x="235"/>
        <item h="1" x="234"/>
        <item h="1" x="233"/>
        <item h="1" x="232"/>
        <item h="1" x="231"/>
        <item h="1" x="230"/>
        <item h="1" x="229"/>
        <item h="1" x="252"/>
        <item h="1" x="228"/>
        <item h="1" x="227"/>
        <item h="1" x="226"/>
        <item h="1" x="426"/>
        <item h="1" x="251"/>
        <item h="1" x="225"/>
        <item h="1" x="224"/>
        <item h="1" x="223"/>
        <item h="1" x="222"/>
        <item h="1" x="340"/>
        <item h="1" x="140"/>
        <item h="1" x="139"/>
        <item h="1" x="130"/>
        <item h="1" x="216"/>
        <item h="1" x="215"/>
        <item h="1" x="214"/>
        <item h="1" x="213"/>
        <item h="1" x="212"/>
        <item h="1" x="211"/>
        <item h="1" x="210"/>
        <item h="1" x="209"/>
        <item h="1" x="250"/>
        <item h="1" x="208"/>
        <item h="1" x="207"/>
        <item h="1" x="206"/>
        <item h="1" x="205"/>
        <item h="1" x="204"/>
        <item h="1" x="265"/>
        <item h="1" x="316"/>
        <item h="1" x="264"/>
        <item h="1" x="263"/>
        <item h="1" x="262"/>
        <item h="1" x="249"/>
        <item h="1" x="261"/>
        <item h="1" x="260"/>
        <item h="1" x="259"/>
        <item h="1" x="258"/>
        <item h="1" x="257"/>
        <item h="1" x="256"/>
        <item h="1" x="255"/>
        <item h="1" x="153"/>
        <item h="1" x="152"/>
        <item h="1" x="151"/>
        <item h="1" x="150"/>
        <item h="1" x="149"/>
        <item h="1" x="148"/>
        <item h="1" x="147"/>
        <item h="1" x="146"/>
        <item h="1" x="145"/>
        <item h="1" x="144"/>
        <item h="1" x="143"/>
        <item h="1" x="142"/>
        <item h="1" x="141"/>
        <item h="1" x="138"/>
        <item h="1" x="137"/>
        <item h="1" x="136"/>
        <item h="1" x="135"/>
        <item h="1" x="134"/>
        <item h="1" x="133"/>
        <item h="1" x="132"/>
        <item h="1" x="131"/>
        <item h="1" x="129"/>
        <item h="1" x="128"/>
        <item h="1" x="127"/>
        <item h="1" x="126"/>
        <item h="1" x="125"/>
        <item h="1" x="124"/>
        <item h="1" x="163"/>
        <item h="1" x="154"/>
        <item h="1" x="162"/>
        <item h="1" x="161"/>
        <item h="1" x="160"/>
        <item h="1" x="159"/>
        <item h="1" x="339"/>
        <item h="1" x="338"/>
        <item h="1" x="337"/>
        <item h="1" x="336"/>
        <item h="1" x="335"/>
        <item h="1" x="352"/>
        <item h="1" x="351"/>
        <item h="1" x="350"/>
        <item h="1" x="334"/>
        <item h="1" x="333"/>
        <item h="1" x="332"/>
        <item h="1" x="331"/>
        <item h="1" x="349"/>
        <item h="1" x="348"/>
        <item h="1" x="347"/>
        <item h="1" x="346"/>
        <item h="1" x="345"/>
        <item h="1" x="254"/>
        <item h="1" x="253"/>
        <item h="1" x="13"/>
        <item h="1" x="6"/>
        <item h="1" x="7"/>
        <item h="1" x="8"/>
        <item h="1" x="10"/>
        <item h="1" x="344"/>
        <item h="1" x="11"/>
        <item h="1" x="12"/>
        <item h="1" x="15"/>
        <item h="1" x="14"/>
        <item h="1" x="343"/>
        <item h="1" x="342"/>
        <item h="1" x="9"/>
        <item h="1" x="5"/>
        <item h="1" x="158"/>
        <item h="1" x="157"/>
        <item h="1" x="330"/>
        <item h="1" x="395"/>
        <item h="1" x="421"/>
        <item h="1" x="422"/>
        <item h="1" x="460"/>
        <item h="1" x="394"/>
        <item h="1" x="384"/>
        <item h="1" x="385"/>
        <item h="1" x="386"/>
        <item h="1" x="383"/>
        <item h="1" x="451"/>
        <item h="1" x="123"/>
        <item h="1" x="302"/>
        <item h="1" x="301"/>
        <item h="1" x="446"/>
        <item h="1" x="2"/>
        <item t="default"/>
      </items>
    </pivotField>
    <pivotField dataField="1" showAll="0">
      <items count="838">
        <item x="3"/>
        <item x="516"/>
        <item x="535"/>
        <item x="351"/>
        <item x="178"/>
        <item x="348"/>
        <item x="346"/>
        <item x="198"/>
        <item x="170"/>
        <item x="83"/>
        <item x="88"/>
        <item x="161"/>
        <item x="154"/>
        <item x="4"/>
        <item x="77"/>
        <item x="82"/>
        <item x="176"/>
        <item x="98"/>
        <item x="79"/>
        <item x="24"/>
        <item x="144"/>
        <item x="42"/>
        <item x="97"/>
        <item x="78"/>
        <item x="34"/>
        <item x="347"/>
        <item x="64"/>
        <item x="164"/>
        <item x="179"/>
        <item x="156"/>
        <item x="153"/>
        <item x="163"/>
        <item x="149"/>
        <item x="162"/>
        <item x="151"/>
        <item x="62"/>
        <item x="221"/>
        <item x="197"/>
        <item x="117"/>
        <item x="54"/>
        <item x="146"/>
        <item x="91"/>
        <item x="217"/>
        <item x="105"/>
        <item x="182"/>
        <item x="185"/>
        <item x="168"/>
        <item x="61"/>
        <item x="148"/>
        <item x="220"/>
        <item x="37"/>
        <item x="92"/>
        <item x="457"/>
        <item x="147"/>
        <item x="145"/>
        <item x="80"/>
        <item x="362"/>
        <item x="344"/>
        <item x="69"/>
        <item x="202"/>
        <item x="84"/>
        <item x="89"/>
        <item x="85"/>
        <item x="353"/>
        <item x="363"/>
        <item x="51"/>
        <item x="543"/>
        <item x="204"/>
        <item x="349"/>
        <item x="224"/>
        <item x="21"/>
        <item x="39"/>
        <item x="219"/>
        <item x="392"/>
        <item x="114"/>
        <item x="119"/>
        <item x="537"/>
        <item x="387"/>
        <item x="90"/>
        <item x="238"/>
        <item x="615"/>
        <item x="229"/>
        <item x="552"/>
        <item x="233"/>
        <item x="456"/>
        <item x="201"/>
        <item x="706"/>
        <item x="200"/>
        <item x="214"/>
        <item x="173"/>
        <item x="455"/>
        <item x="226"/>
        <item x="364"/>
        <item x="230"/>
        <item x="225"/>
        <item x="352"/>
        <item x="135"/>
        <item x="549"/>
        <item x="231"/>
        <item x="232"/>
        <item x="196"/>
        <item x="258"/>
        <item x="152"/>
        <item x="72"/>
        <item x="211"/>
        <item x="547"/>
        <item x="474"/>
        <item x="407"/>
        <item x="218"/>
        <item x="212"/>
        <item x="617"/>
        <item x="172"/>
        <item x="542"/>
        <item x="544"/>
        <item x="707"/>
        <item x="472"/>
        <item x="222"/>
        <item x="350"/>
        <item x="441"/>
        <item x="376"/>
        <item x="213"/>
        <item x="800"/>
        <item x="74"/>
        <item x="181"/>
        <item x="171"/>
        <item x="111"/>
        <item x="175"/>
        <item x="199"/>
        <item x="59"/>
        <item x="57"/>
        <item x="53"/>
        <item x="574"/>
        <item x="207"/>
        <item x="315"/>
        <item x="203"/>
        <item x="567"/>
        <item x="705"/>
        <item x="205"/>
        <item x="624"/>
        <item x="210"/>
        <item x="745"/>
        <item x="708"/>
        <item x="150"/>
        <item x="560"/>
        <item x="206"/>
        <item x="67"/>
        <item x="517"/>
        <item x="548"/>
        <item x="375"/>
        <item x="305"/>
        <item x="339"/>
        <item x="569"/>
        <item x="65"/>
        <item x="113"/>
        <item x="338"/>
        <item x="99"/>
        <item x="442"/>
        <item x="66"/>
        <item x="254"/>
        <item x="590"/>
        <item x="704"/>
        <item x="836"/>
        <item x="35"/>
        <item x="155"/>
        <item x="763"/>
        <item x="520"/>
        <item x="476"/>
        <item x="740"/>
        <item x="459"/>
        <item x="444"/>
        <item x="568"/>
        <item x="26"/>
        <item x="223"/>
        <item x="801"/>
        <item x="721"/>
        <item x="689"/>
        <item x="788"/>
        <item x="121"/>
        <item x="475"/>
        <item x="136"/>
        <item x="834"/>
        <item x="377"/>
        <item x="438"/>
        <item x="325"/>
        <item x="563"/>
        <item x="752"/>
        <item x="741"/>
        <item x="561"/>
        <item x="468"/>
        <item x="342"/>
        <item x="699"/>
        <item x="368"/>
        <item x="70"/>
        <item x="613"/>
        <item x="93"/>
        <item x="76"/>
        <item x="406"/>
        <item x="827"/>
        <item x="608"/>
        <item x="694"/>
        <item x="454"/>
        <item x="579"/>
        <item x="722"/>
        <item x="180"/>
        <item x="747"/>
        <item x="550"/>
        <item x="576"/>
        <item x="693"/>
        <item x="36"/>
        <item x="397"/>
        <item x="142"/>
        <item x="784"/>
        <item x="659"/>
        <item x="30"/>
        <item x="539"/>
        <item x="828"/>
        <item x="759"/>
        <item x="815"/>
        <item x="718"/>
        <item x="637"/>
        <item x="619"/>
        <item x="49"/>
        <item x="822"/>
        <item x="48"/>
        <item x="331"/>
        <item x="31"/>
        <item x="267"/>
        <item x="395"/>
        <item x="688"/>
        <item x="489"/>
        <item x="612"/>
        <item x="28"/>
        <item x="412"/>
        <item x="746"/>
        <item x="743"/>
        <item x="5"/>
        <item x="383"/>
        <item x="575"/>
        <item x="748"/>
        <item x="484"/>
        <item x="717"/>
        <item x="460"/>
        <item x="753"/>
        <item x="123"/>
        <item x="480"/>
        <item x="247"/>
        <item x="545"/>
        <item x="134"/>
        <item x="409"/>
        <item x="742"/>
        <item x="573"/>
        <item x="447"/>
        <item x="413"/>
        <item x="466"/>
        <item x="95"/>
        <item x="415"/>
        <item x="373"/>
        <item x="479"/>
        <item x="766"/>
        <item x="767"/>
        <item x="23"/>
        <item x="38"/>
        <item x="33"/>
        <item x="41"/>
        <item x="570"/>
        <item x="252"/>
        <item x="381"/>
        <item x="692"/>
        <item x="596"/>
        <item x="414"/>
        <item x="622"/>
        <item x="104"/>
        <item x="546"/>
        <item x="529"/>
        <item x="58"/>
        <item x="527"/>
        <item x="450"/>
        <item x="534"/>
        <item x="380"/>
        <item x="521"/>
        <item x="227"/>
        <item x="228"/>
        <item x="11"/>
        <item x="291"/>
        <item x="731"/>
        <item x="401"/>
        <item x="289"/>
        <item x="764"/>
        <item x="371"/>
        <item x="630"/>
        <item x="372"/>
        <item x="540"/>
        <item x="96"/>
        <item x="355"/>
        <item x="687"/>
        <item x="674"/>
        <item x="765"/>
        <item x="194"/>
        <item x="326"/>
        <item x="611"/>
        <item x="830"/>
        <item x="389"/>
        <item x="618"/>
        <item x="404"/>
        <item x="255"/>
        <item x="602"/>
        <item x="685"/>
        <item x="512"/>
        <item x="771"/>
        <item x="824"/>
        <item x="597"/>
        <item x="410"/>
        <item x="756"/>
        <item x="257"/>
        <item x="408"/>
        <item x="370"/>
        <item x="81"/>
        <item x="330"/>
        <item x="679"/>
        <item x="449"/>
        <item x="601"/>
        <item x="605"/>
        <item x="321"/>
        <item x="143"/>
        <item x="551"/>
        <item x="378"/>
        <item x="329"/>
        <item x="379"/>
        <item x="538"/>
        <item x="598"/>
        <item x="411"/>
        <item x="595"/>
        <item x="386"/>
        <item x="318"/>
        <item x="340"/>
        <item x="100"/>
        <item x="749"/>
        <item x="71"/>
        <item x="300"/>
        <item x="776"/>
        <item x="670"/>
        <item x="803"/>
        <item x="769"/>
        <item x="251"/>
        <item x="437"/>
        <item x="758"/>
        <item x="614"/>
        <item x="133"/>
        <item x="367"/>
        <item x="805"/>
        <item x="272"/>
        <item x="263"/>
        <item x="760"/>
        <item x="786"/>
        <item x="639"/>
        <item x="322"/>
        <item x="316"/>
        <item x="604"/>
        <item x="132"/>
        <item x="600"/>
        <item x="494"/>
        <item x="390"/>
        <item x="599"/>
        <item x="333"/>
        <item x="623"/>
        <item x="793"/>
        <item x="343"/>
        <item x="585"/>
        <item x="506"/>
        <item x="55"/>
        <item x="755"/>
        <item x="374"/>
        <item x="831"/>
        <item x="295"/>
        <item x="137"/>
        <item x="485"/>
        <item x="177"/>
        <item x="32"/>
        <item x="360"/>
        <item x="240"/>
        <item x="264"/>
        <item x="832"/>
        <item x="789"/>
        <item x="440"/>
        <item x="361"/>
        <item x="467"/>
        <item x="138"/>
        <item x="557"/>
        <item x="654"/>
        <item x="259"/>
        <item x="369"/>
        <item x="405"/>
        <item x="716"/>
        <item x="416"/>
        <item x="553"/>
        <item x="126"/>
        <item x="284"/>
        <item x="826"/>
        <item x="586"/>
        <item x="572"/>
        <item x="191"/>
        <item x="768"/>
        <item x="248"/>
        <item x="629"/>
        <item x="17"/>
        <item x="625"/>
        <item x="313"/>
        <item x="750"/>
        <item x="536"/>
        <item x="593"/>
        <item x="482"/>
        <item x="726"/>
        <item x="27"/>
        <item x="757"/>
        <item x="6"/>
        <item x="754"/>
        <item x="744"/>
        <item x="234"/>
        <item x="319"/>
        <item x="443"/>
        <item x="691"/>
        <item x="165"/>
        <item x="187"/>
        <item x="296"/>
        <item x="7"/>
        <item x="293"/>
        <item x="715"/>
        <item x="270"/>
        <item x="772"/>
        <item x="773"/>
        <item x="483"/>
        <item x="657"/>
        <item x="244"/>
        <item x="271"/>
        <item x="616"/>
        <item x="250"/>
        <item x="588"/>
        <item x="436"/>
        <item x="124"/>
        <item x="566"/>
        <item x="829"/>
        <item x="356"/>
        <item x="700"/>
        <item x="357"/>
        <item x="106"/>
        <item x="403"/>
        <item x="209"/>
        <item x="799"/>
        <item x="513"/>
        <item x="587"/>
        <item x="481"/>
        <item x="282"/>
        <item x="584"/>
        <item x="762"/>
        <item x="477"/>
        <item x="94"/>
        <item x="809"/>
        <item x="19"/>
        <item x="435"/>
        <item x="807"/>
        <item x="73"/>
        <item x="810"/>
        <item x="445"/>
        <item x="402"/>
        <item x="682"/>
        <item x="814"/>
        <item x="294"/>
        <item x="118"/>
        <item x="541"/>
        <item x="323"/>
        <item x="603"/>
        <item x="680"/>
        <item x="558"/>
        <item x="621"/>
        <item x="774"/>
        <item x="308"/>
        <item x="448"/>
        <item x="695"/>
        <item x="419"/>
        <item x="129"/>
        <item x="620"/>
        <item x="761"/>
        <item x="320"/>
        <item x="45"/>
        <item x="556"/>
        <item x="728"/>
        <item x="243"/>
        <item x="555"/>
        <item x="665"/>
        <item x="808"/>
        <item x="336"/>
        <item x="107"/>
        <item x="495"/>
        <item x="63"/>
        <item x="559"/>
        <item x="823"/>
        <item x="499"/>
        <item x="431"/>
        <item x="253"/>
        <item x="729"/>
        <item x="524"/>
        <item x="795"/>
        <item x="312"/>
        <item x="275"/>
        <item x="317"/>
        <item x="139"/>
        <item x="709"/>
        <item x="29"/>
        <item x="713"/>
        <item x="794"/>
        <item x="473"/>
        <item x="40"/>
        <item x="633"/>
        <item x="501"/>
        <item x="663"/>
        <item x="439"/>
        <item x="52"/>
        <item x="385"/>
        <item x="286"/>
        <item x="631"/>
        <item x="193"/>
        <item x="725"/>
        <item x="671"/>
        <item x="384"/>
        <item x="280"/>
        <item x="580"/>
        <item x="341"/>
        <item x="737"/>
        <item x="636"/>
        <item x="8"/>
        <item x="739"/>
        <item x="60"/>
        <item x="128"/>
        <item x="10"/>
        <item x="634"/>
        <item x="127"/>
        <item x="735"/>
        <item x="835"/>
        <item x="790"/>
        <item x="279"/>
        <item x="564"/>
        <item x="677"/>
        <item x="719"/>
        <item x="720"/>
        <item x="354"/>
        <item x="734"/>
        <item x="269"/>
        <item x="751"/>
        <item x="122"/>
        <item x="116"/>
        <item x="451"/>
        <item x="712"/>
        <item x="571"/>
        <item x="358"/>
        <item x="658"/>
        <item x="514"/>
        <item x="496"/>
        <item x="562"/>
        <item x="565"/>
        <item x="16"/>
        <item x="791"/>
        <item x="783"/>
        <item x="785"/>
        <item x="787"/>
        <item x="714"/>
        <item x="328"/>
        <item x="242"/>
        <item x="660"/>
        <item x="453"/>
        <item x="478"/>
        <item x="507"/>
        <item x="309"/>
        <item x="635"/>
        <item x="446"/>
        <item x="359"/>
        <item x="626"/>
        <item x="812"/>
        <item x="159"/>
        <item x="833"/>
        <item x="509"/>
        <item x="160"/>
        <item x="311"/>
        <item x="115"/>
        <item x="290"/>
        <item x="498"/>
        <item x="632"/>
        <item x="792"/>
        <item x="493"/>
        <item x="400"/>
        <item x="486"/>
        <item x="711"/>
        <item x="420"/>
        <item x="710"/>
        <item x="652"/>
        <item x="112"/>
        <item x="500"/>
        <item x="703"/>
        <item x="452"/>
        <item x="75"/>
        <item x="702"/>
        <item x="429"/>
        <item x="461"/>
        <item x="215"/>
        <item x="802"/>
        <item x="458"/>
        <item x="519"/>
        <item x="216"/>
        <item x="796"/>
        <item x="798"/>
        <item x="581"/>
        <item x="47"/>
        <item x="188"/>
        <item x="594"/>
        <item x="577"/>
        <item x="818"/>
        <item x="314"/>
        <item x="310"/>
        <item x="811"/>
        <item x="9"/>
        <item x="120"/>
        <item x="110"/>
        <item x="43"/>
        <item x="813"/>
        <item x="648"/>
        <item x="388"/>
        <item x="505"/>
        <item x="277"/>
        <item x="102"/>
        <item x="662"/>
        <item x="345"/>
        <item x="101"/>
        <item x="426"/>
        <item x="531"/>
        <item x="50"/>
        <item x="18"/>
        <item x="56"/>
        <item x="424"/>
        <item x="497"/>
        <item x="655"/>
        <item x="646"/>
        <item x="523"/>
        <item x="522"/>
        <item x="462"/>
        <item x="668"/>
        <item x="578"/>
        <item x="819"/>
        <item x="22"/>
        <item x="86"/>
        <item x="304"/>
        <item x="335"/>
        <item x="487"/>
        <item x="256"/>
        <item x="463"/>
        <item x="398"/>
        <item x="13"/>
        <item x="701"/>
        <item x="287"/>
        <item x="730"/>
        <item x="686"/>
        <item x="733"/>
        <item x="249"/>
        <item x="644"/>
        <item x="208"/>
        <item x="797"/>
        <item x="195"/>
        <item x="515"/>
        <item x="651"/>
        <item x="25"/>
        <item x="528"/>
        <item x="261"/>
        <item x="470"/>
        <item x="12"/>
        <item x="327"/>
        <item x="641"/>
        <item x="650"/>
        <item x="471"/>
        <item x="825"/>
        <item x="518"/>
        <item x="609"/>
        <item x="770"/>
        <item x="723"/>
        <item x="690"/>
        <item x="365"/>
        <item x="669"/>
        <item x="610"/>
        <item x="667"/>
        <item x="698"/>
        <item x="306"/>
        <item x="697"/>
        <item x="490"/>
        <item x="661"/>
        <item x="278"/>
        <item x="653"/>
        <item x="276"/>
        <item x="821"/>
        <item x="141"/>
        <item x="87"/>
        <item x="157"/>
        <item x="643"/>
        <item x="297"/>
        <item x="334"/>
        <item x="301"/>
        <item x="324"/>
        <item x="642"/>
        <item x="239"/>
        <item x="464"/>
        <item x="20"/>
        <item x="465"/>
        <item x="656"/>
        <item x="298"/>
        <item x="302"/>
        <item x="425"/>
        <item x="268"/>
        <item x="666"/>
        <item x="532"/>
        <item x="649"/>
        <item x="530"/>
        <item x="158"/>
        <item x="504"/>
        <item x="140"/>
        <item x="307"/>
        <item x="423"/>
        <item x="732"/>
        <item x="503"/>
        <item x="488"/>
        <item x="418"/>
        <item x="724"/>
        <item x="591"/>
        <item x="727"/>
        <item x="236"/>
        <item x="391"/>
        <item x="266"/>
        <item x="775"/>
        <item x="491"/>
        <item x="337"/>
        <item x="281"/>
        <item x="103"/>
        <item x="396"/>
        <item x="382"/>
        <item x="399"/>
        <item x="816"/>
        <item x="68"/>
        <item x="582"/>
        <item x="192"/>
        <item x="583"/>
        <item x="777"/>
        <item x="525"/>
        <item x="169"/>
        <item x="592"/>
        <item x="673"/>
        <item x="421"/>
        <item x="174"/>
        <item x="780"/>
        <item x="526"/>
        <item x="645"/>
        <item x="738"/>
        <item x="736"/>
        <item x="647"/>
        <item x="262"/>
        <item x="46"/>
        <item x="684"/>
        <item x="292"/>
        <item x="533"/>
        <item x="781"/>
        <item x="265"/>
        <item x="235"/>
        <item x="804"/>
        <item x="184"/>
        <item x="638"/>
        <item x="303"/>
        <item x="817"/>
        <item x="675"/>
        <item x="469"/>
        <item x="246"/>
        <item x="166"/>
        <item x="241"/>
        <item x="422"/>
        <item x="190"/>
        <item x="332"/>
        <item x="108"/>
        <item x="683"/>
        <item x="806"/>
        <item x="672"/>
        <item x="245"/>
        <item x="167"/>
        <item x="427"/>
        <item x="189"/>
        <item x="607"/>
        <item x="676"/>
        <item x="0"/>
        <item x="782"/>
        <item x="434"/>
        <item x="433"/>
        <item x="696"/>
        <item x="131"/>
        <item x="274"/>
        <item x="627"/>
        <item x="14"/>
        <item x="393"/>
        <item x="394"/>
        <item x="15"/>
        <item x="628"/>
        <item x="273"/>
        <item x="130"/>
        <item x="640"/>
        <item x="1"/>
        <item x="428"/>
        <item x="109"/>
        <item x="778"/>
        <item x="417"/>
        <item x="125"/>
        <item x="589"/>
        <item x="183"/>
        <item x="283"/>
        <item x="288"/>
        <item x="779"/>
        <item x="492"/>
        <item x="299"/>
        <item x="260"/>
        <item x="820"/>
        <item x="366"/>
        <item x="186"/>
        <item x="681"/>
        <item x="664"/>
        <item x="44"/>
        <item x="554"/>
        <item x="285"/>
        <item x="430"/>
        <item x="508"/>
        <item x="510"/>
        <item x="678"/>
        <item x="502"/>
        <item x="432"/>
        <item x="606"/>
        <item x="511"/>
        <item x="237"/>
        <item x="2"/>
        <item t="default"/>
      </items>
    </pivotField>
  </pivotFields>
  <rowFields count="1">
    <field x="1"/>
  </rowFields>
  <rowItems count="12">
    <i>
      <x v="36"/>
    </i>
    <i>
      <x v="175"/>
    </i>
    <i>
      <x v="180"/>
    </i>
    <i>
      <x v="207"/>
    </i>
    <i>
      <x v="243"/>
    </i>
    <i>
      <x v="265"/>
    </i>
    <i>
      <x v="274"/>
    </i>
    <i>
      <x v="319"/>
    </i>
    <i>
      <x v="323"/>
    </i>
    <i>
      <x v="384"/>
    </i>
    <i>
      <x v="391"/>
    </i>
    <i t="grand">
      <x/>
    </i>
  </rowItems>
  <colFields count="1">
    <field x="3"/>
  </colFields>
  <colItems count="4">
    <i>
      <x v="241"/>
    </i>
    <i>
      <x v="242"/>
    </i>
    <i>
      <x v="243"/>
    </i>
    <i t="grand">
      <x/>
    </i>
  </colItems>
  <dataFields count="1">
    <dataField name="Sum of Percentage" fld="4" baseField="0" baseItem="0"/>
  </dataFields>
  <formats count="11">
    <format dxfId="10">
      <pivotArea dataOnly="0" labelOnly="1" fieldPosition="0">
        <references count="1">
          <reference field="1" count="1">
            <x v="4"/>
          </reference>
        </references>
      </pivotArea>
    </format>
    <format dxfId="9">
      <pivotArea dataOnly="0" labelOnly="1" fieldPosition="0">
        <references count="1">
          <reference field="1" count="1">
            <x v="136"/>
          </reference>
        </references>
      </pivotArea>
    </format>
    <format dxfId="8">
      <pivotArea dataOnly="0" labelOnly="1" fieldPosition="0">
        <references count="1">
          <reference field="1" count="1">
            <x v="218"/>
          </reference>
        </references>
      </pivotArea>
    </format>
    <format dxfId="7">
      <pivotArea dataOnly="0" labelOnly="1" fieldPosition="0">
        <references count="1">
          <reference field="1" count="1">
            <x v="230"/>
          </reference>
        </references>
      </pivotArea>
    </format>
    <format dxfId="6">
      <pivotArea dataOnly="0" labelOnly="1" fieldPosition="0">
        <references count="1">
          <reference field="1" count="1">
            <x v="268"/>
          </reference>
        </references>
      </pivotArea>
    </format>
    <format dxfId="5">
      <pivotArea dataOnly="0" labelOnly="1" fieldPosition="0">
        <references count="1">
          <reference field="1" count="1">
            <x v="321"/>
          </reference>
        </references>
      </pivotArea>
    </format>
    <format dxfId="4">
      <pivotArea dataOnly="0" labelOnly="1" fieldPosition="0">
        <references count="1">
          <reference field="1" count="1">
            <x v="142"/>
          </reference>
        </references>
      </pivotArea>
    </format>
    <format dxfId="3">
      <pivotArea dataOnly="0" labelOnly="1" fieldPosition="0">
        <references count="1">
          <reference field="1" count="1">
            <x v="9"/>
          </reference>
        </references>
      </pivotArea>
    </format>
    <format dxfId="2">
      <pivotArea dataOnly="0" labelOnly="1" fieldPosition="0">
        <references count="1">
          <reference field="1" count="1">
            <x v="373"/>
          </reference>
        </references>
      </pivotArea>
    </format>
    <format dxfId="1">
      <pivotArea dataOnly="0" labelOnly="1" fieldPosition="0">
        <references count="1">
          <reference field="1" count="1">
            <x v="373"/>
          </reference>
        </references>
      </pivotArea>
    </format>
    <format dxfId="0">
      <pivotArea dataOnly="0" labelOnly="1" fieldPosition="0">
        <references count="1">
          <reference field="1" count="1">
            <x v="9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F455"/>
  <sheetViews>
    <sheetView topLeftCell="A151" workbookViewId="0">
      <selection activeCell="D160" sqref="D160"/>
    </sheetView>
  </sheetViews>
  <sheetFormatPr defaultColWidth="10.875" defaultRowHeight="13.5"/>
  <cols>
    <col min="1" max="1" width="13.375" style="840" customWidth="1"/>
    <col min="2" max="2" width="33" style="833" bestFit="1" customWidth="1"/>
    <col min="3" max="3" width="5.25" style="833" bestFit="1" customWidth="1"/>
    <col min="4" max="4" width="15.625" style="833" customWidth="1"/>
    <col min="5" max="5" width="10.875" style="833" customWidth="1"/>
    <col min="6" max="6" width="17.125" style="831" bestFit="1" customWidth="1"/>
    <col min="7" max="16384" width="10.875" style="831"/>
  </cols>
  <sheetData>
    <row r="1" spans="1:5" ht="15.75">
      <c r="A1" s="836" t="s">
        <v>551</v>
      </c>
      <c r="B1" s="837" t="s">
        <v>172</v>
      </c>
      <c r="C1" s="838" t="s">
        <v>1147</v>
      </c>
      <c r="D1" s="839" t="s">
        <v>1148</v>
      </c>
    </row>
    <row r="2" spans="1:5">
      <c r="A2" s="830">
        <v>1020</v>
      </c>
      <c r="B2" s="831" t="s">
        <v>1309</v>
      </c>
      <c r="C2" s="831" t="s">
        <v>1057</v>
      </c>
      <c r="D2" s="535">
        <v>128111.41</v>
      </c>
      <c r="E2" s="831" t="b">
        <f>+ISERROR(MATCH(A2,'Linked TB'!$A$9:$A$722,0))</f>
        <v>0</v>
      </c>
    </row>
    <row r="3" spans="1:5">
      <c r="A3" s="830">
        <v>1025</v>
      </c>
      <c r="B3" s="831" t="s">
        <v>1310</v>
      </c>
      <c r="C3" s="831" t="s">
        <v>1057</v>
      </c>
      <c r="D3" s="535">
        <v>0</v>
      </c>
      <c r="E3" s="831" t="b">
        <f>+ISERROR(MATCH(A3,'Linked TB'!$A$9:$A$722,0))</f>
        <v>0</v>
      </c>
    </row>
    <row r="4" spans="1:5">
      <c r="A4" s="830">
        <v>1040</v>
      </c>
      <c r="B4" s="831" t="s">
        <v>1311</v>
      </c>
      <c r="C4" s="831" t="s">
        <v>1057</v>
      </c>
      <c r="D4" s="535">
        <v>0</v>
      </c>
      <c r="E4" s="831" t="b">
        <f>+ISERROR(MATCH(A4,'Linked TB'!$A$9:$A$722,0))</f>
        <v>0</v>
      </c>
    </row>
    <row r="5" spans="1:5">
      <c r="A5" s="830">
        <v>1045</v>
      </c>
      <c r="B5" s="831" t="s">
        <v>1312</v>
      </c>
      <c r="C5" s="831" t="s">
        <v>1057</v>
      </c>
      <c r="D5" s="535">
        <v>22680.63</v>
      </c>
      <c r="E5" s="831" t="b">
        <f>+ISERROR(MATCH(A5,'Linked TB'!$A$9:$A$722,0))</f>
        <v>0</v>
      </c>
    </row>
    <row r="6" spans="1:5">
      <c r="A6" s="830">
        <v>1050</v>
      </c>
      <c r="B6" s="831" t="s">
        <v>1313</v>
      </c>
      <c r="C6" s="831" t="s">
        <v>1057</v>
      </c>
      <c r="D6" s="535">
        <v>114758.11</v>
      </c>
      <c r="E6" s="831" t="b">
        <f>+ISERROR(MATCH(A6,'Linked TB'!$A$9:$A$722,0))</f>
        <v>0</v>
      </c>
    </row>
    <row r="7" spans="1:5">
      <c r="A7" s="830">
        <v>1055</v>
      </c>
      <c r="B7" s="831" t="s">
        <v>1314</v>
      </c>
      <c r="C7" s="831" t="s">
        <v>1057</v>
      </c>
      <c r="D7" s="535">
        <v>455474.07</v>
      </c>
      <c r="E7" s="831" t="b">
        <f>+ISERROR(MATCH(A7,'Linked TB'!$A$9:$A$722,0))</f>
        <v>0</v>
      </c>
    </row>
    <row r="8" spans="1:5">
      <c r="A8" s="830">
        <v>1060</v>
      </c>
      <c r="B8" s="831" t="s">
        <v>1315</v>
      </c>
      <c r="C8" s="831" t="s">
        <v>1057</v>
      </c>
      <c r="D8" s="535">
        <v>0</v>
      </c>
      <c r="E8" s="831" t="b">
        <f>+ISERROR(MATCH(A8,'Linked TB'!$A$9:$A$722,0))</f>
        <v>0</v>
      </c>
    </row>
    <row r="9" spans="1:5">
      <c r="A9" s="830">
        <v>1065</v>
      </c>
      <c r="B9" s="831" t="s">
        <v>1316</v>
      </c>
      <c r="C9" s="831" t="s">
        <v>1057</v>
      </c>
      <c r="D9" s="535">
        <v>129602.66</v>
      </c>
      <c r="E9" s="831" t="b">
        <f>+ISERROR(MATCH(A9,'Linked TB'!$A$9:$A$722,0))</f>
        <v>0</v>
      </c>
    </row>
    <row r="10" spans="1:5">
      <c r="A10" s="830">
        <v>1080</v>
      </c>
      <c r="B10" s="831" t="s">
        <v>1317</v>
      </c>
      <c r="C10" s="831" t="s">
        <v>1057</v>
      </c>
      <c r="D10" s="535">
        <v>475874.13</v>
      </c>
      <c r="E10" s="831" t="b">
        <f>+ISERROR(MATCH(A10,'Linked TB'!$A$9:$A$722,0))</f>
        <v>0</v>
      </c>
    </row>
    <row r="11" spans="1:5">
      <c r="A11" s="830">
        <v>1090</v>
      </c>
      <c r="B11" s="831" t="s">
        <v>1318</v>
      </c>
      <c r="C11" s="831" t="s">
        <v>1057</v>
      </c>
      <c r="D11" s="535">
        <v>8822.06</v>
      </c>
      <c r="E11" s="831" t="b">
        <f>+ISERROR(MATCH(A11,'Linked TB'!$A$9:$A$722,0))</f>
        <v>0</v>
      </c>
    </row>
    <row r="12" spans="1:5">
      <c r="A12" s="835">
        <v>1100</v>
      </c>
      <c r="B12" s="834" t="s">
        <v>1815</v>
      </c>
      <c r="C12" s="834" t="s">
        <v>1057</v>
      </c>
      <c r="D12" s="1336">
        <v>7283.51</v>
      </c>
      <c r="E12" s="831" t="b">
        <f>+ISERROR(MATCH(A12,'Linked TB'!$A$9:$A$722,0))</f>
        <v>0</v>
      </c>
    </row>
    <row r="13" spans="1:5">
      <c r="A13" s="830">
        <v>1105</v>
      </c>
      <c r="B13" s="831" t="s">
        <v>1319</v>
      </c>
      <c r="C13" s="831" t="s">
        <v>1057</v>
      </c>
      <c r="D13" s="535">
        <v>677173.35</v>
      </c>
      <c r="E13" s="831" t="b">
        <f>+ISERROR(MATCH(A13,'Linked TB'!$A$9:$A$722,0))</f>
        <v>0</v>
      </c>
    </row>
    <row r="14" spans="1:5">
      <c r="A14" s="830">
        <v>1110</v>
      </c>
      <c r="B14" s="831" t="s">
        <v>1320</v>
      </c>
      <c r="C14" s="831" t="s">
        <v>1057</v>
      </c>
      <c r="D14" s="535">
        <v>6754.82</v>
      </c>
      <c r="E14" s="831" t="b">
        <f>+ISERROR(MATCH(A14,'Linked TB'!$A$9:$A$722,0))</f>
        <v>0</v>
      </c>
    </row>
    <row r="15" spans="1:5">
      <c r="A15" s="830">
        <v>1115</v>
      </c>
      <c r="B15" s="831" t="s">
        <v>1321</v>
      </c>
      <c r="C15" s="831" t="s">
        <v>1057</v>
      </c>
      <c r="D15" s="535">
        <v>598217.5</v>
      </c>
      <c r="E15" s="831" t="b">
        <f>+ISERROR(MATCH(A15,'Linked TB'!$A$9:$A$722,0))</f>
        <v>0</v>
      </c>
    </row>
    <row r="16" spans="1:5">
      <c r="A16" s="830">
        <v>1120</v>
      </c>
      <c r="B16" s="831" t="s">
        <v>1322</v>
      </c>
      <c r="C16" s="831" t="s">
        <v>1057</v>
      </c>
      <c r="D16" s="535">
        <v>525328.65</v>
      </c>
      <c r="E16" s="831" t="b">
        <f>+ISERROR(MATCH(A16,'Linked TB'!$A$9:$A$722,0))</f>
        <v>0</v>
      </c>
    </row>
    <row r="17" spans="1:5">
      <c r="A17" s="830">
        <v>1125</v>
      </c>
      <c r="B17" s="831" t="s">
        <v>1323</v>
      </c>
      <c r="C17" s="831" t="s">
        <v>1057</v>
      </c>
      <c r="D17" s="535">
        <v>3111464.84</v>
      </c>
      <c r="E17" s="831" t="b">
        <f>+ISERROR(MATCH(A17,'Linked TB'!$A$9:$A$722,0))</f>
        <v>0</v>
      </c>
    </row>
    <row r="18" spans="1:5">
      <c r="A18" s="830">
        <v>1130</v>
      </c>
      <c r="B18" s="831" t="s">
        <v>1324</v>
      </c>
      <c r="C18" s="831" t="s">
        <v>1057</v>
      </c>
      <c r="D18" s="535">
        <v>710231.66</v>
      </c>
      <c r="E18" s="831" t="b">
        <f>+ISERROR(MATCH(A18,'Linked TB'!$A$9:$A$722,0))</f>
        <v>0</v>
      </c>
    </row>
    <row r="19" spans="1:5">
      <c r="A19" s="830">
        <v>1135</v>
      </c>
      <c r="B19" s="831" t="s">
        <v>1325</v>
      </c>
      <c r="C19" s="831" t="s">
        <v>1057</v>
      </c>
      <c r="D19" s="535">
        <v>705371.17</v>
      </c>
      <c r="E19" s="831" t="b">
        <f>+ISERROR(MATCH(A19,'Linked TB'!$A$9:$A$722,0))</f>
        <v>0</v>
      </c>
    </row>
    <row r="20" spans="1:5">
      <c r="A20" s="830">
        <v>1140</v>
      </c>
      <c r="B20" s="831" t="s">
        <v>1326</v>
      </c>
      <c r="C20" s="831" t="s">
        <v>1057</v>
      </c>
      <c r="D20" s="535">
        <v>514400.83</v>
      </c>
      <c r="E20" s="831" t="b">
        <f>+ISERROR(MATCH(A20,'Linked TB'!$A$9:$A$722,0))</f>
        <v>0</v>
      </c>
    </row>
    <row r="21" spans="1:5">
      <c r="A21" s="830">
        <v>1145</v>
      </c>
      <c r="B21" s="831" t="s">
        <v>1327</v>
      </c>
      <c r="C21" s="831" t="s">
        <v>1057</v>
      </c>
      <c r="D21" s="535">
        <v>387152.09</v>
      </c>
      <c r="E21" s="831" t="b">
        <f>+ISERROR(MATCH(A21,'Linked TB'!$A$9:$A$722,0))</f>
        <v>0</v>
      </c>
    </row>
    <row r="22" spans="1:5">
      <c r="A22" s="830">
        <v>1150</v>
      </c>
      <c r="B22" s="831" t="s">
        <v>1328</v>
      </c>
      <c r="C22" s="831" t="s">
        <v>1057</v>
      </c>
      <c r="D22" s="535">
        <v>0</v>
      </c>
      <c r="E22" s="831" t="b">
        <f>+ISERROR(MATCH(A22,'Linked TB'!$A$9:$A$722,0))</f>
        <v>0</v>
      </c>
    </row>
    <row r="23" spans="1:5">
      <c r="A23" s="830">
        <v>1170</v>
      </c>
      <c r="B23" s="831" t="s">
        <v>1329</v>
      </c>
      <c r="C23" s="831" t="s">
        <v>1057</v>
      </c>
      <c r="D23" s="535">
        <v>0</v>
      </c>
      <c r="E23" s="831" t="b">
        <f>+ISERROR(MATCH(A23,'Linked TB'!$A$9:$A$722,0))</f>
        <v>0</v>
      </c>
    </row>
    <row r="24" spans="1:5">
      <c r="A24" s="830">
        <v>1175</v>
      </c>
      <c r="B24" s="831" t="s">
        <v>1330</v>
      </c>
      <c r="C24" s="831" t="s">
        <v>1057</v>
      </c>
      <c r="D24" s="535">
        <v>149903.66</v>
      </c>
      <c r="E24" s="831" t="b">
        <f>+ISERROR(MATCH(A24,'Linked TB'!$A$9:$A$722,0))</f>
        <v>0</v>
      </c>
    </row>
    <row r="25" spans="1:5">
      <c r="A25" s="830">
        <v>1180</v>
      </c>
      <c r="B25" s="831" t="s">
        <v>1331</v>
      </c>
      <c r="C25" s="831" t="s">
        <v>1057</v>
      </c>
      <c r="D25" s="535">
        <v>101672.93</v>
      </c>
      <c r="E25" s="831" t="b">
        <f>+ISERROR(MATCH(A25,'Linked TB'!$A$9:$A$722,0))</f>
        <v>0</v>
      </c>
    </row>
    <row r="26" spans="1:5">
      <c r="A26" s="830">
        <v>1190</v>
      </c>
      <c r="B26" s="831" t="s">
        <v>1332</v>
      </c>
      <c r="C26" s="831" t="s">
        <v>1057</v>
      </c>
      <c r="D26" s="535">
        <v>264646.53000000003</v>
      </c>
      <c r="E26" s="831" t="b">
        <f>+ISERROR(MATCH(A26,'Linked TB'!$A$9:$A$722,0))</f>
        <v>0</v>
      </c>
    </row>
    <row r="27" spans="1:5">
      <c r="A27" s="830">
        <v>1195</v>
      </c>
      <c r="B27" s="831" t="s">
        <v>1333</v>
      </c>
      <c r="C27" s="831" t="s">
        <v>1057</v>
      </c>
      <c r="D27" s="535">
        <v>58851.44</v>
      </c>
      <c r="E27" s="831" t="b">
        <f>+ISERROR(MATCH(A27,'Linked TB'!$A$9:$A$722,0))</f>
        <v>0</v>
      </c>
    </row>
    <row r="28" spans="1:5">
      <c r="A28" s="835">
        <v>1200</v>
      </c>
      <c r="B28" s="834" t="s">
        <v>1358</v>
      </c>
      <c r="C28" s="834" t="s">
        <v>1057</v>
      </c>
      <c r="D28" s="1336">
        <v>2570.16</v>
      </c>
      <c r="E28" s="831" t="b">
        <f>+ISERROR(MATCH(A28,'Linked TB'!$A$9:$A$722,0))</f>
        <v>0</v>
      </c>
    </row>
    <row r="29" spans="1:5">
      <c r="A29" s="830">
        <v>1205</v>
      </c>
      <c r="B29" s="831" t="s">
        <v>1334</v>
      </c>
      <c r="C29" s="831" t="s">
        <v>1057</v>
      </c>
      <c r="D29" s="535">
        <v>55329.9</v>
      </c>
      <c r="E29" s="831" t="b">
        <f>+ISERROR(MATCH(A29,'Linked TB'!$A$9:$A$722,0))</f>
        <v>0</v>
      </c>
    </row>
    <row r="30" spans="1:5">
      <c r="A30" s="830">
        <v>1210</v>
      </c>
      <c r="B30" s="831" t="s">
        <v>1335</v>
      </c>
      <c r="C30" s="831" t="s">
        <v>1057</v>
      </c>
      <c r="D30" s="535">
        <v>0</v>
      </c>
      <c r="E30" s="831" t="b">
        <f>+ISERROR(MATCH(A30,'Linked TB'!$A$9:$A$722,0))</f>
        <v>0</v>
      </c>
    </row>
    <row r="31" spans="1:5">
      <c r="A31" s="830">
        <v>1215</v>
      </c>
      <c r="B31" s="831" t="s">
        <v>1336</v>
      </c>
      <c r="C31" s="831" t="s">
        <v>1057</v>
      </c>
      <c r="D31" s="535">
        <v>69976</v>
      </c>
      <c r="E31" s="831" t="b">
        <f>+ISERROR(MATCH(A31,'Linked TB'!$A$9:$A$722,0))</f>
        <v>0</v>
      </c>
    </row>
    <row r="32" spans="1:5">
      <c r="A32" s="830">
        <v>1220</v>
      </c>
      <c r="B32" s="831" t="s">
        <v>1337</v>
      </c>
      <c r="C32" s="831" t="s">
        <v>1057</v>
      </c>
      <c r="D32" s="535">
        <v>0</v>
      </c>
      <c r="E32" s="831" t="b">
        <f>+ISERROR(MATCH(A32,'Linked TB'!$A$9:$A$722,0))</f>
        <v>0</v>
      </c>
    </row>
    <row r="33" spans="1:5">
      <c r="A33" s="830">
        <v>1245</v>
      </c>
      <c r="B33" s="831" t="s">
        <v>1309</v>
      </c>
      <c r="C33" s="831" t="s">
        <v>1057</v>
      </c>
      <c r="D33" s="535">
        <v>0</v>
      </c>
      <c r="E33" s="831" t="b">
        <f>+ISERROR(MATCH(A33,'Linked TB'!$A$9:$A$722,0))</f>
        <v>0</v>
      </c>
    </row>
    <row r="34" spans="1:5">
      <c r="A34" s="830">
        <v>1250</v>
      </c>
      <c r="B34" s="831" t="s">
        <v>1338</v>
      </c>
      <c r="C34" s="831" t="s">
        <v>1057</v>
      </c>
      <c r="D34" s="535">
        <v>0</v>
      </c>
      <c r="E34" s="831" t="b">
        <f>+ISERROR(MATCH(A34,'Linked TB'!$A$9:$A$722,0))</f>
        <v>0</v>
      </c>
    </row>
    <row r="35" spans="1:5">
      <c r="A35" s="830">
        <v>1285</v>
      </c>
      <c r="B35" s="831" t="s">
        <v>1312</v>
      </c>
      <c r="C35" s="831" t="s">
        <v>1057</v>
      </c>
      <c r="D35" s="535">
        <v>0</v>
      </c>
      <c r="E35" s="831" t="b">
        <f>+ISERROR(MATCH(A35,'Linked TB'!$A$9:$A$722,0))</f>
        <v>0</v>
      </c>
    </row>
    <row r="36" spans="1:5">
      <c r="A36" s="830">
        <v>1290</v>
      </c>
      <c r="B36" s="831" t="s">
        <v>1339</v>
      </c>
      <c r="C36" s="831" t="s">
        <v>1057</v>
      </c>
      <c r="D36" s="535">
        <v>0</v>
      </c>
      <c r="E36" s="831" t="b">
        <f>+ISERROR(MATCH(A36,'Linked TB'!$A$9:$A$722,0))</f>
        <v>0</v>
      </c>
    </row>
    <row r="37" spans="1:5">
      <c r="A37" s="830">
        <v>1295</v>
      </c>
      <c r="B37" s="831" t="s">
        <v>1340</v>
      </c>
      <c r="C37" s="831" t="s">
        <v>1057</v>
      </c>
      <c r="D37" s="535">
        <v>0</v>
      </c>
      <c r="E37" s="831" t="b">
        <f>+ISERROR(MATCH(A37,'Linked TB'!$A$9:$A$722,0))</f>
        <v>0</v>
      </c>
    </row>
    <row r="38" spans="1:5">
      <c r="A38" s="830">
        <v>1305</v>
      </c>
      <c r="B38" s="831" t="s">
        <v>1341</v>
      </c>
      <c r="C38" s="831" t="s">
        <v>1057</v>
      </c>
      <c r="D38" s="535">
        <v>0</v>
      </c>
      <c r="E38" s="831" t="b">
        <f>+ISERROR(MATCH(A38,'Linked TB'!$A$9:$A$722,0))</f>
        <v>0</v>
      </c>
    </row>
    <row r="39" spans="1:5">
      <c r="A39" s="830">
        <v>1315</v>
      </c>
      <c r="B39" s="831" t="s">
        <v>1342</v>
      </c>
      <c r="C39" s="831" t="s">
        <v>1057</v>
      </c>
      <c r="D39" s="535">
        <v>179.35</v>
      </c>
      <c r="E39" s="831" t="b">
        <f>+ISERROR(MATCH(A39,'Linked TB'!$A$9:$A$722,0))</f>
        <v>0</v>
      </c>
    </row>
    <row r="40" spans="1:5">
      <c r="A40" s="830">
        <v>1330</v>
      </c>
      <c r="B40" s="831" t="s">
        <v>1343</v>
      </c>
      <c r="C40" s="831" t="s">
        <v>1057</v>
      </c>
      <c r="D40" s="535">
        <v>0</v>
      </c>
      <c r="E40" s="831" t="b">
        <f>+ISERROR(MATCH(A40,'Linked TB'!$A$9:$A$722,0))</f>
        <v>0</v>
      </c>
    </row>
    <row r="41" spans="1:5">
      <c r="A41" s="830">
        <v>1345</v>
      </c>
      <c r="B41" s="831" t="s">
        <v>1344</v>
      </c>
      <c r="C41" s="831" t="s">
        <v>1057</v>
      </c>
      <c r="D41" s="535">
        <v>674.91</v>
      </c>
      <c r="E41" s="831" t="b">
        <f>+ISERROR(MATCH(A41,'Linked TB'!$A$9:$A$722,0))</f>
        <v>0</v>
      </c>
    </row>
    <row r="42" spans="1:5">
      <c r="A42" s="830">
        <v>1350</v>
      </c>
      <c r="B42" s="831" t="s">
        <v>1345</v>
      </c>
      <c r="C42" s="831" t="s">
        <v>1057</v>
      </c>
      <c r="D42" s="535">
        <v>2029.57</v>
      </c>
      <c r="E42" s="831" t="b">
        <f>+ISERROR(MATCH(A42,'Linked TB'!$A$9:$A$722,0))</f>
        <v>0</v>
      </c>
    </row>
    <row r="43" spans="1:5">
      <c r="A43" s="830">
        <v>1360</v>
      </c>
      <c r="B43" s="831" t="s">
        <v>1346</v>
      </c>
      <c r="C43" s="831" t="s">
        <v>1057</v>
      </c>
      <c r="D43" s="535">
        <v>442.52</v>
      </c>
      <c r="E43" s="831" t="b">
        <f>+ISERROR(MATCH(A43,'Linked TB'!$A$9:$A$722,0))</f>
        <v>0</v>
      </c>
    </row>
    <row r="44" spans="1:5">
      <c r="A44" s="830">
        <v>1365</v>
      </c>
      <c r="B44" s="831" t="s">
        <v>1347</v>
      </c>
      <c r="C44" s="831" t="s">
        <v>1057</v>
      </c>
      <c r="D44" s="535">
        <v>3304.79</v>
      </c>
      <c r="E44" s="831" t="b">
        <f>+ISERROR(MATCH(A44,'Linked TB'!$A$9:$A$722,0))</f>
        <v>0</v>
      </c>
    </row>
    <row r="45" spans="1:5">
      <c r="A45" s="830">
        <v>1370</v>
      </c>
      <c r="B45" s="831" t="s">
        <v>1348</v>
      </c>
      <c r="C45" s="831" t="s">
        <v>1057</v>
      </c>
      <c r="D45" s="535">
        <v>0</v>
      </c>
      <c r="E45" s="831" t="b">
        <f>+ISERROR(MATCH(A45,'Linked TB'!$A$9:$A$722,0))</f>
        <v>0</v>
      </c>
    </row>
    <row r="46" spans="1:5">
      <c r="A46" s="830">
        <v>1380</v>
      </c>
      <c r="B46" s="831" t="s">
        <v>1349</v>
      </c>
      <c r="C46" s="831" t="s">
        <v>1057</v>
      </c>
      <c r="D46" s="535">
        <v>7720.6</v>
      </c>
      <c r="E46" s="831" t="b">
        <f>+ISERROR(MATCH(A46,'Linked TB'!$A$9:$A$722,0))</f>
        <v>0</v>
      </c>
    </row>
    <row r="47" spans="1:5">
      <c r="A47" s="830">
        <v>1385</v>
      </c>
      <c r="B47" s="831" t="s">
        <v>1350</v>
      </c>
      <c r="C47" s="831" t="s">
        <v>1057</v>
      </c>
      <c r="D47" s="535">
        <v>0</v>
      </c>
      <c r="E47" s="831" t="b">
        <f>+ISERROR(MATCH(A47,'Linked TB'!$A$9:$A$722,0))</f>
        <v>0</v>
      </c>
    </row>
    <row r="48" spans="1:5">
      <c r="A48" s="830">
        <v>1395</v>
      </c>
      <c r="B48" s="831" t="s">
        <v>1351</v>
      </c>
      <c r="C48" s="831" t="s">
        <v>1057</v>
      </c>
      <c r="D48" s="535">
        <v>232.8</v>
      </c>
      <c r="E48" s="831" t="b">
        <f>+ISERROR(MATCH(A48,'Linked TB'!$A$9:$A$722,0))</f>
        <v>0</v>
      </c>
    </row>
    <row r="49" spans="1:5">
      <c r="A49" s="830">
        <v>1400</v>
      </c>
      <c r="B49" s="831" t="s">
        <v>1352</v>
      </c>
      <c r="C49" s="831" t="s">
        <v>1057</v>
      </c>
      <c r="D49" s="535">
        <v>11201</v>
      </c>
      <c r="E49" s="831" t="b">
        <f>+ISERROR(MATCH(A49,'Linked TB'!$A$9:$A$722,0))</f>
        <v>0</v>
      </c>
    </row>
    <row r="50" spans="1:5">
      <c r="A50" s="830">
        <v>1410</v>
      </c>
      <c r="B50" s="831" t="s">
        <v>1353</v>
      </c>
      <c r="C50" s="831" t="s">
        <v>1057</v>
      </c>
      <c r="D50" s="535">
        <v>0</v>
      </c>
      <c r="E50" s="831" t="b">
        <f>+ISERROR(MATCH(A50,'Linked TB'!$A$9:$A$722,0))</f>
        <v>0</v>
      </c>
    </row>
    <row r="51" spans="1:5">
      <c r="A51" s="830">
        <v>1430</v>
      </c>
      <c r="B51" s="831" t="s">
        <v>1354</v>
      </c>
      <c r="C51" s="831" t="s">
        <v>1057</v>
      </c>
      <c r="D51" s="535">
        <v>0</v>
      </c>
      <c r="E51" s="831" t="b">
        <f>+ISERROR(MATCH(A51,'Linked TB'!$A$9:$A$722,0))</f>
        <v>0</v>
      </c>
    </row>
    <row r="52" spans="1:5">
      <c r="A52" s="830">
        <v>1435</v>
      </c>
      <c r="B52" s="831" t="s">
        <v>1355</v>
      </c>
      <c r="C52" s="831" t="s">
        <v>1057</v>
      </c>
      <c r="D52" s="535">
        <v>0</v>
      </c>
      <c r="E52" s="831" t="b">
        <f>+ISERROR(MATCH(A52,'Linked TB'!$A$9:$A$722,0))</f>
        <v>0</v>
      </c>
    </row>
    <row r="53" spans="1:5">
      <c r="A53" s="830">
        <v>1465</v>
      </c>
      <c r="B53" s="831" t="s">
        <v>1356</v>
      </c>
      <c r="C53" s="831" t="s">
        <v>1057</v>
      </c>
      <c r="D53" s="535">
        <v>0</v>
      </c>
      <c r="E53" s="831" t="b">
        <f>+ISERROR(MATCH(A53,'Linked TB'!$A$9:$A$722,0))</f>
        <v>0</v>
      </c>
    </row>
    <row r="54" spans="1:5">
      <c r="A54" s="830">
        <v>1470</v>
      </c>
      <c r="B54" s="831" t="s">
        <v>1332</v>
      </c>
      <c r="C54" s="831" t="s">
        <v>1057</v>
      </c>
      <c r="D54" s="535">
        <v>251.99</v>
      </c>
      <c r="E54" s="831" t="b">
        <f>+ISERROR(MATCH(A54,'Linked TB'!$A$9:$A$722,0))</f>
        <v>0</v>
      </c>
    </row>
    <row r="55" spans="1:5">
      <c r="A55" s="830">
        <v>1475</v>
      </c>
      <c r="B55" s="831" t="s">
        <v>1357</v>
      </c>
      <c r="C55" s="831" t="s">
        <v>1057</v>
      </c>
      <c r="D55" s="535">
        <v>1733.05</v>
      </c>
      <c r="E55" s="831" t="b">
        <f>+ISERROR(MATCH(A55,'Linked TB'!$A$9:$A$722,0))</f>
        <v>0</v>
      </c>
    </row>
    <row r="56" spans="1:5">
      <c r="A56" s="830">
        <v>1480</v>
      </c>
      <c r="B56" s="831" t="s">
        <v>1358</v>
      </c>
      <c r="C56" s="831" t="s">
        <v>1057</v>
      </c>
      <c r="D56" s="535">
        <v>0</v>
      </c>
      <c r="E56" s="831" t="b">
        <f>+ISERROR(MATCH(A56,'Linked TB'!$A$9:$A$722,0))</f>
        <v>0</v>
      </c>
    </row>
    <row r="57" spans="1:5">
      <c r="A57" s="830">
        <v>1485</v>
      </c>
      <c r="B57" s="831" t="s">
        <v>1334</v>
      </c>
      <c r="C57" s="831" t="s">
        <v>1057</v>
      </c>
      <c r="D57" s="535">
        <v>0</v>
      </c>
      <c r="E57" s="831" t="b">
        <f>+ISERROR(MATCH(A57,'Linked TB'!$A$9:$A$722,0))</f>
        <v>0</v>
      </c>
    </row>
    <row r="58" spans="1:5">
      <c r="A58" s="830">
        <v>1490</v>
      </c>
      <c r="B58" s="831" t="s">
        <v>1359</v>
      </c>
      <c r="C58" s="831" t="s">
        <v>1057</v>
      </c>
      <c r="D58" s="535">
        <v>0</v>
      </c>
      <c r="E58" s="831" t="b">
        <f>+ISERROR(MATCH(A58,'Linked TB'!$A$9:$A$722,0))</f>
        <v>0</v>
      </c>
    </row>
    <row r="59" spans="1:5">
      <c r="A59" s="830">
        <v>1535</v>
      </c>
      <c r="B59" s="831" t="s">
        <v>1360</v>
      </c>
      <c r="C59" s="831" t="s">
        <v>1057</v>
      </c>
      <c r="D59" s="535">
        <v>0</v>
      </c>
      <c r="E59" s="831" t="b">
        <f>+ISERROR(MATCH(A59,'Linked TB'!$A$9:$A$722,0))</f>
        <v>0</v>
      </c>
    </row>
    <row r="60" spans="1:5">
      <c r="A60" s="830">
        <v>1540</v>
      </c>
      <c r="B60" s="831" t="s">
        <v>1361</v>
      </c>
      <c r="C60" s="831" t="s">
        <v>1057</v>
      </c>
      <c r="D60" s="535">
        <v>358.7</v>
      </c>
      <c r="E60" s="831" t="b">
        <f>+ISERROR(MATCH(A60,'Linked TB'!$A$9:$A$722,0))</f>
        <v>0</v>
      </c>
    </row>
    <row r="61" spans="1:5">
      <c r="A61" s="830">
        <v>1555</v>
      </c>
      <c r="B61" s="831" t="s">
        <v>1362</v>
      </c>
      <c r="C61" s="831" t="s">
        <v>1057</v>
      </c>
      <c r="D61" s="535">
        <v>573846.25</v>
      </c>
      <c r="E61" s="831" t="b">
        <f>+ISERROR(MATCH(A61,'Linked TB'!$A$9:$A$722,0))</f>
        <v>0</v>
      </c>
    </row>
    <row r="62" spans="1:5">
      <c r="A62" s="830">
        <v>1580</v>
      </c>
      <c r="B62" s="831" t="s">
        <v>1363</v>
      </c>
      <c r="C62" s="831" t="s">
        <v>1057</v>
      </c>
      <c r="D62" s="535">
        <v>30156.85</v>
      </c>
      <c r="E62" s="831" t="b">
        <f>+ISERROR(MATCH(A62,'Linked TB'!$A$9:$A$722,0))</f>
        <v>0</v>
      </c>
    </row>
    <row r="63" spans="1:5">
      <c r="A63" s="830">
        <v>1585</v>
      </c>
      <c r="B63" s="831" t="s">
        <v>1364</v>
      </c>
      <c r="C63" s="831" t="s">
        <v>1057</v>
      </c>
      <c r="D63" s="535">
        <v>88454.21</v>
      </c>
      <c r="E63" s="831" t="b">
        <f>+ISERROR(MATCH(A63,'Linked TB'!$A$9:$A$722,0))</f>
        <v>0</v>
      </c>
    </row>
    <row r="64" spans="1:5">
      <c r="A64" s="830">
        <v>1590</v>
      </c>
      <c r="B64" s="831" t="s">
        <v>1365</v>
      </c>
      <c r="C64" s="831" t="s">
        <v>1057</v>
      </c>
      <c r="D64" s="535">
        <v>636707.48</v>
      </c>
      <c r="E64" s="831" t="b">
        <f>+ISERROR(MATCH(A64,'Linked TB'!$A$9:$A$722,0))</f>
        <v>0</v>
      </c>
    </row>
    <row r="65" spans="1:5">
      <c r="A65" s="830">
        <v>1595</v>
      </c>
      <c r="B65" s="831" t="s">
        <v>1366</v>
      </c>
      <c r="C65" s="831" t="s">
        <v>1057</v>
      </c>
      <c r="D65" s="535">
        <v>18843.97</v>
      </c>
      <c r="E65" s="831" t="b">
        <f>+ISERROR(MATCH(A65,'Linked TB'!$A$9:$A$722,0))</f>
        <v>0</v>
      </c>
    </row>
    <row r="66" spans="1:5">
      <c r="A66" s="835">
        <v>1665</v>
      </c>
      <c r="B66" s="834" t="s">
        <v>1816</v>
      </c>
      <c r="C66" s="834" t="s">
        <v>1057</v>
      </c>
      <c r="D66" s="1336">
        <v>138513.91999999998</v>
      </c>
      <c r="E66" s="831" t="b">
        <f>+ISERROR(MATCH(A66,'Linked TB'!$A$9:$A$722,0))</f>
        <v>0</v>
      </c>
    </row>
    <row r="67" spans="1:5">
      <c r="A67" s="835">
        <v>1666</v>
      </c>
      <c r="B67" s="834" t="s">
        <v>1817</v>
      </c>
      <c r="C67" s="834" t="s">
        <v>1057</v>
      </c>
      <c r="D67" s="1336">
        <v>13178.100000000002</v>
      </c>
      <c r="E67" s="831" t="b">
        <f>+ISERROR(MATCH(A67,'Linked TB'!$A$9:$A$722,0))</f>
        <v>0</v>
      </c>
    </row>
    <row r="68" spans="1:5">
      <c r="A68" s="835">
        <v>1667</v>
      </c>
      <c r="B68" s="834" t="s">
        <v>1818</v>
      </c>
      <c r="C68" s="834" t="s">
        <v>1057</v>
      </c>
      <c r="D68" s="1336">
        <v>3150</v>
      </c>
      <c r="E68" s="831" t="b">
        <f>+ISERROR(MATCH(A68,'Linked TB'!$A$9:$A$722,0))</f>
        <v>0</v>
      </c>
    </row>
    <row r="69" spans="1:5">
      <c r="A69" s="835">
        <v>1668</v>
      </c>
      <c r="B69" s="834" t="s">
        <v>1819</v>
      </c>
      <c r="C69" s="834" t="s">
        <v>1057</v>
      </c>
      <c r="D69" s="1336">
        <v>269671.96999999997</v>
      </c>
      <c r="E69" s="831" t="b">
        <f>+ISERROR(MATCH(A69,'Linked TB'!$A$9:$A$722,0))</f>
        <v>0</v>
      </c>
    </row>
    <row r="70" spans="1:5">
      <c r="A70" s="835">
        <v>1669</v>
      </c>
      <c r="B70" s="834" t="s">
        <v>1820</v>
      </c>
      <c r="C70" s="834" t="s">
        <v>1057</v>
      </c>
      <c r="D70" s="1336">
        <v>204363.16999999998</v>
      </c>
      <c r="E70" s="831" t="b">
        <f>+ISERROR(MATCH(A70,'Linked TB'!$A$9:$A$722,0))</f>
        <v>0</v>
      </c>
    </row>
    <row r="71" spans="1:5">
      <c r="A71" s="835">
        <v>1670</v>
      </c>
      <c r="B71" s="834" t="s">
        <v>1821</v>
      </c>
      <c r="C71" s="834" t="s">
        <v>1057</v>
      </c>
      <c r="D71" s="1336">
        <v>143275.58000000002</v>
      </c>
      <c r="E71" s="831" t="b">
        <f>+ISERROR(MATCH(A71,'Linked TB'!$A$9:$A$722,0))</f>
        <v>0</v>
      </c>
    </row>
    <row r="72" spans="1:5">
      <c r="A72" s="835">
        <v>1672</v>
      </c>
      <c r="B72" s="834" t="s">
        <v>1822</v>
      </c>
      <c r="C72" s="834" t="s">
        <v>1057</v>
      </c>
      <c r="D72" s="1336">
        <v>45367.13</v>
      </c>
      <c r="E72" s="831" t="b">
        <f>+ISERROR(MATCH(A72,'Linked TB'!$A$9:$A$722,0))</f>
        <v>0</v>
      </c>
    </row>
    <row r="73" spans="1:5">
      <c r="A73" s="835">
        <v>1673</v>
      </c>
      <c r="B73" s="834" t="s">
        <v>1823</v>
      </c>
      <c r="C73" s="834" t="s">
        <v>1057</v>
      </c>
      <c r="D73" s="1336">
        <v>1410</v>
      </c>
      <c r="E73" s="831" t="b">
        <f>+ISERROR(MATCH(A73,'Linked TB'!$A$9:$A$722,0))</f>
        <v>0</v>
      </c>
    </row>
    <row r="74" spans="1:5">
      <c r="A74" s="835">
        <v>1683</v>
      </c>
      <c r="B74" s="834" t="s">
        <v>1824</v>
      </c>
      <c r="C74" s="834" t="s">
        <v>1057</v>
      </c>
      <c r="D74" s="1336">
        <v>6351.62</v>
      </c>
      <c r="E74" s="831" t="b">
        <f>+ISERROR(MATCH(A74,'Linked TB'!$A$9:$A$722,0))</f>
        <v>0</v>
      </c>
    </row>
    <row r="75" spans="1:5">
      <c r="A75" s="835">
        <v>1699</v>
      </c>
      <c r="B75" s="834" t="s">
        <v>1825</v>
      </c>
      <c r="C75" s="834" t="s">
        <v>1057</v>
      </c>
      <c r="D75" s="1336">
        <v>-825281.49000000011</v>
      </c>
      <c r="E75" s="831" t="b">
        <f>+ISERROR(MATCH(A75,'Linked TB'!$A$9:$A$722,0))</f>
        <v>0</v>
      </c>
    </row>
    <row r="76" spans="1:5">
      <c r="A76" s="830">
        <v>1739</v>
      </c>
      <c r="B76" s="831" t="s">
        <v>1367</v>
      </c>
      <c r="C76" s="831" t="s">
        <v>1057</v>
      </c>
      <c r="D76" s="535">
        <v>0</v>
      </c>
      <c r="E76" s="831" t="b">
        <f>+ISERROR(MATCH(A76,'Linked TB'!$A$9:$A$722,0))</f>
        <v>0</v>
      </c>
    </row>
    <row r="77" spans="1:5">
      <c r="A77" s="830">
        <v>1769</v>
      </c>
      <c r="B77" s="831" t="s">
        <v>1368</v>
      </c>
      <c r="C77" s="831" t="s">
        <v>1057</v>
      </c>
      <c r="D77" s="535">
        <v>0</v>
      </c>
      <c r="E77" s="831" t="b">
        <f>+ISERROR(MATCH(A77,'Linked TB'!$A$9:$A$722,0))</f>
        <v>0</v>
      </c>
    </row>
    <row r="78" spans="1:5">
      <c r="A78" s="835">
        <v>1775</v>
      </c>
      <c r="B78" s="834" t="s">
        <v>1816</v>
      </c>
      <c r="C78" s="834" t="s">
        <v>1057</v>
      </c>
      <c r="D78" s="1336">
        <v>6518.89</v>
      </c>
      <c r="E78" s="831" t="b">
        <f>+ISERROR(MATCH(A78,'Linked TB'!$A$9:$A$722,0))</f>
        <v>0</v>
      </c>
    </row>
    <row r="79" spans="1:5">
      <c r="A79" s="835">
        <v>1782</v>
      </c>
      <c r="B79" s="834" t="s">
        <v>1826</v>
      </c>
      <c r="C79" s="834" t="s">
        <v>1057</v>
      </c>
      <c r="D79" s="1336">
        <v>95125.58</v>
      </c>
      <c r="E79" s="831" t="b">
        <f>+ISERROR(MATCH(A79,'Linked TB'!$A$9:$A$722,0))</f>
        <v>0</v>
      </c>
    </row>
    <row r="80" spans="1:5">
      <c r="A80" s="830">
        <v>1799</v>
      </c>
      <c r="B80" s="831" t="s">
        <v>1369</v>
      </c>
      <c r="C80" s="831" t="s">
        <v>1057</v>
      </c>
      <c r="D80" s="535">
        <v>-101644.47</v>
      </c>
      <c r="E80" s="831" t="b">
        <f>+ISERROR(MATCH(A80,'Linked TB'!$A$9:$A$722,0))</f>
        <v>0</v>
      </c>
    </row>
    <row r="81" spans="1:5">
      <c r="A81" s="830">
        <v>1835</v>
      </c>
      <c r="B81" s="831" t="s">
        <v>1370</v>
      </c>
      <c r="C81" s="831" t="s">
        <v>1057</v>
      </c>
      <c r="D81" s="535">
        <v>-14634.56</v>
      </c>
      <c r="E81" s="831" t="b">
        <f>+ISERROR(MATCH(A81,'Linked TB'!$A$9:$A$722,0))</f>
        <v>0</v>
      </c>
    </row>
    <row r="82" spans="1:5">
      <c r="A82" s="830">
        <v>1840</v>
      </c>
      <c r="B82" s="831" t="s">
        <v>1371</v>
      </c>
      <c r="C82" s="831" t="s">
        <v>1057</v>
      </c>
      <c r="D82" s="535">
        <v>0</v>
      </c>
      <c r="E82" s="831" t="b">
        <f>+ISERROR(MATCH(A82,'Linked TB'!$A$9:$A$722,0))</f>
        <v>0</v>
      </c>
    </row>
    <row r="83" spans="1:5">
      <c r="A83" s="830">
        <v>1845</v>
      </c>
      <c r="B83" s="831" t="s">
        <v>1372</v>
      </c>
      <c r="C83" s="831" t="s">
        <v>1057</v>
      </c>
      <c r="D83" s="535">
        <v>-28339.11</v>
      </c>
      <c r="E83" s="831" t="b">
        <f>+ISERROR(MATCH(A83,'Linked TB'!$A$9:$A$722,0))</f>
        <v>0</v>
      </c>
    </row>
    <row r="84" spans="1:5">
      <c r="A84" s="830">
        <v>1850</v>
      </c>
      <c r="B84" s="831" t="s">
        <v>1373</v>
      </c>
      <c r="C84" s="831" t="s">
        <v>1057</v>
      </c>
      <c r="D84" s="535">
        <v>-170405.97</v>
      </c>
      <c r="E84" s="831" t="b">
        <f>+ISERROR(MATCH(A84,'Linked TB'!$A$9:$A$722,0))</f>
        <v>0</v>
      </c>
    </row>
    <row r="85" spans="1:5">
      <c r="A85" s="830">
        <v>1855</v>
      </c>
      <c r="B85" s="831" t="s">
        <v>1374</v>
      </c>
      <c r="C85" s="831" t="s">
        <v>1057</v>
      </c>
      <c r="D85" s="535">
        <v>0</v>
      </c>
      <c r="E85" s="831" t="b">
        <f>+ISERROR(MATCH(A85,'Linked TB'!$A$9:$A$722,0))</f>
        <v>0</v>
      </c>
    </row>
    <row r="86" spans="1:5">
      <c r="A86" s="830">
        <v>1860</v>
      </c>
      <c r="B86" s="831" t="s">
        <v>1375</v>
      </c>
      <c r="C86" s="831" t="s">
        <v>1057</v>
      </c>
      <c r="D86" s="535">
        <v>-13180.15</v>
      </c>
      <c r="E86" s="831" t="b">
        <f>+ISERROR(MATCH(A86,'Linked TB'!$A$9:$A$722,0))</f>
        <v>0</v>
      </c>
    </row>
    <row r="87" spans="1:5">
      <c r="A87" s="830">
        <v>1875</v>
      </c>
      <c r="B87" s="831" t="s">
        <v>1376</v>
      </c>
      <c r="C87" s="831" t="s">
        <v>1057</v>
      </c>
      <c r="D87" s="535">
        <v>-89895.47</v>
      </c>
      <c r="E87" s="831" t="b">
        <f>+ISERROR(MATCH(A87,'Linked TB'!$A$9:$A$722,0))</f>
        <v>0</v>
      </c>
    </row>
    <row r="88" spans="1:5">
      <c r="A88" s="830">
        <v>1885</v>
      </c>
      <c r="B88" s="831" t="s">
        <v>1377</v>
      </c>
      <c r="C88" s="831" t="s">
        <v>1057</v>
      </c>
      <c r="D88" s="535">
        <v>-546.64</v>
      </c>
      <c r="E88" s="831" t="b">
        <f>+ISERROR(MATCH(A88,'Linked TB'!$A$9:$A$722,0))</f>
        <v>0</v>
      </c>
    </row>
    <row r="89" spans="1:5">
      <c r="A89" s="830">
        <v>1895</v>
      </c>
      <c r="B89" s="831" t="s">
        <v>1378</v>
      </c>
      <c r="C89" s="831" t="s">
        <v>1057</v>
      </c>
      <c r="D89" s="535">
        <v>-182</v>
      </c>
      <c r="E89" s="831" t="b">
        <f>+ISERROR(MATCH(A89,'Linked TB'!$A$9:$A$722,0))</f>
        <v>0</v>
      </c>
    </row>
    <row r="90" spans="1:5">
      <c r="A90" s="830">
        <v>1900</v>
      </c>
      <c r="B90" s="831" t="s">
        <v>1378</v>
      </c>
      <c r="C90" s="831" t="s">
        <v>1057</v>
      </c>
      <c r="D90" s="535">
        <v>-109802.84</v>
      </c>
      <c r="E90" s="831" t="b">
        <f>+ISERROR(MATCH(A90,'Linked TB'!$A$9:$A$722,0))</f>
        <v>0</v>
      </c>
    </row>
    <row r="91" spans="1:5">
      <c r="A91" s="830">
        <v>1905</v>
      </c>
      <c r="B91" s="831" t="s">
        <v>1378</v>
      </c>
      <c r="C91" s="831" t="s">
        <v>1057</v>
      </c>
      <c r="D91" s="535">
        <v>140.58000000000001</v>
      </c>
      <c r="E91" s="831" t="b">
        <f>+ISERROR(MATCH(A91,'Linked TB'!$A$9:$A$722,0))</f>
        <v>0</v>
      </c>
    </row>
    <row r="92" spans="1:5">
      <c r="A92" s="830">
        <v>1910</v>
      </c>
      <c r="B92" s="831" t="s">
        <v>1379</v>
      </c>
      <c r="C92" s="831" t="s">
        <v>1057</v>
      </c>
      <c r="D92" s="535">
        <v>-220145.62</v>
      </c>
      <c r="E92" s="831" t="b">
        <f>+ISERROR(MATCH(A92,'Linked TB'!$A$9:$A$722,0))</f>
        <v>0</v>
      </c>
    </row>
    <row r="93" spans="1:5">
      <c r="A93" s="830">
        <v>1915</v>
      </c>
      <c r="B93" s="831" t="s">
        <v>1380</v>
      </c>
      <c r="C93" s="831" t="s">
        <v>1057</v>
      </c>
      <c r="D93" s="535">
        <v>-252417.26</v>
      </c>
      <c r="E93" s="831" t="b">
        <f>+ISERROR(MATCH(A93,'Linked TB'!$A$9:$A$722,0))</f>
        <v>0</v>
      </c>
    </row>
    <row r="94" spans="1:5">
      <c r="A94" s="830">
        <v>1920</v>
      </c>
      <c r="B94" s="831" t="s">
        <v>1381</v>
      </c>
      <c r="C94" s="831" t="s">
        <v>1057</v>
      </c>
      <c r="D94" s="535">
        <v>-1446044.13</v>
      </c>
      <c r="E94" s="831" t="b">
        <f>+ISERROR(MATCH(A94,'Linked TB'!$A$9:$A$722,0))</f>
        <v>0</v>
      </c>
    </row>
    <row r="95" spans="1:5">
      <c r="A95" s="830">
        <v>1925</v>
      </c>
      <c r="B95" s="831" t="s">
        <v>1382</v>
      </c>
      <c r="C95" s="831" t="s">
        <v>1057</v>
      </c>
      <c r="D95" s="535">
        <v>-597585.35</v>
      </c>
      <c r="E95" s="831" t="b">
        <f>+ISERROR(MATCH(A95,'Linked TB'!$A$9:$A$722,0))</f>
        <v>0</v>
      </c>
    </row>
    <row r="96" spans="1:5">
      <c r="A96" s="830">
        <v>1930</v>
      </c>
      <c r="B96" s="831" t="s">
        <v>1383</v>
      </c>
      <c r="C96" s="831" t="s">
        <v>1057</v>
      </c>
      <c r="D96" s="535">
        <v>-449512.03</v>
      </c>
      <c r="E96" s="831" t="b">
        <f>+ISERROR(MATCH(A96,'Linked TB'!$A$9:$A$722,0))</f>
        <v>0</v>
      </c>
    </row>
    <row r="97" spans="1:5">
      <c r="A97" s="830">
        <v>1935</v>
      </c>
      <c r="B97" s="831" t="s">
        <v>1384</v>
      </c>
      <c r="C97" s="831" t="s">
        <v>1057</v>
      </c>
      <c r="D97" s="535">
        <v>-187289.75</v>
      </c>
      <c r="E97" s="831" t="b">
        <f>+ISERROR(MATCH(A97,'Linked TB'!$A$9:$A$722,0))</f>
        <v>0</v>
      </c>
    </row>
    <row r="98" spans="1:5">
      <c r="A98" s="830">
        <v>1940</v>
      </c>
      <c r="B98" s="831" t="s">
        <v>1385</v>
      </c>
      <c r="C98" s="831" t="s">
        <v>1057</v>
      </c>
      <c r="D98" s="535">
        <v>-64175.43</v>
      </c>
      <c r="E98" s="831" t="b">
        <f>+ISERROR(MATCH(A98,'Linked TB'!$A$9:$A$722,0))</f>
        <v>0</v>
      </c>
    </row>
    <row r="99" spans="1:5">
      <c r="A99" s="830">
        <v>1945</v>
      </c>
      <c r="B99" s="831" t="s">
        <v>1386</v>
      </c>
      <c r="C99" s="831" t="s">
        <v>1057</v>
      </c>
      <c r="D99" s="535">
        <v>0</v>
      </c>
      <c r="E99" s="831" t="b">
        <f>+ISERROR(MATCH(A99,'Linked TB'!$A$9:$A$722,0))</f>
        <v>0</v>
      </c>
    </row>
    <row r="100" spans="1:5">
      <c r="A100" s="830">
        <v>1965</v>
      </c>
      <c r="B100" s="831" t="s">
        <v>1387</v>
      </c>
      <c r="C100" s="831" t="s">
        <v>1057</v>
      </c>
      <c r="D100" s="535">
        <v>0</v>
      </c>
      <c r="E100" s="831" t="b">
        <f>+ISERROR(MATCH(A100,'Linked TB'!$A$9:$A$722,0))</f>
        <v>0</v>
      </c>
    </row>
    <row r="101" spans="1:5">
      <c r="A101" s="830">
        <v>1970</v>
      </c>
      <c r="B101" s="831" t="s">
        <v>1388</v>
      </c>
      <c r="C101" s="831" t="s">
        <v>1057</v>
      </c>
      <c r="D101" s="535">
        <v>-57488.38</v>
      </c>
      <c r="E101" s="831" t="b">
        <f>+ISERROR(MATCH(A101,'Linked TB'!$A$9:$A$722,0))</f>
        <v>0</v>
      </c>
    </row>
    <row r="102" spans="1:5">
      <c r="A102" s="830">
        <v>1975</v>
      </c>
      <c r="B102" s="831" t="s">
        <v>1389</v>
      </c>
      <c r="C102" s="831" t="s">
        <v>1057</v>
      </c>
      <c r="D102" s="535">
        <v>-87678.25</v>
      </c>
      <c r="E102" s="831" t="b">
        <f>+ISERROR(MATCH(A102,'Linked TB'!$A$9:$A$722,0))</f>
        <v>0</v>
      </c>
    </row>
    <row r="103" spans="1:5">
      <c r="A103" s="830">
        <v>1985</v>
      </c>
      <c r="B103" s="831" t="s">
        <v>1390</v>
      </c>
      <c r="C103" s="831" t="s">
        <v>1057</v>
      </c>
      <c r="D103" s="535">
        <v>-127396.51</v>
      </c>
      <c r="E103" s="831" t="b">
        <f>+ISERROR(MATCH(A103,'Linked TB'!$A$9:$A$722,0))</f>
        <v>0</v>
      </c>
    </row>
    <row r="104" spans="1:5">
      <c r="A104" s="830">
        <v>1990</v>
      </c>
      <c r="B104" s="831" t="s">
        <v>1391</v>
      </c>
      <c r="C104" s="831" t="s">
        <v>1057</v>
      </c>
      <c r="D104" s="535">
        <v>-27136.57</v>
      </c>
      <c r="E104" s="831" t="b">
        <f>+ISERROR(MATCH(A104,'Linked TB'!$A$9:$A$722,0))</f>
        <v>0</v>
      </c>
    </row>
    <row r="105" spans="1:5">
      <c r="A105" s="835">
        <v>1995</v>
      </c>
      <c r="B105" s="834" t="s">
        <v>1803</v>
      </c>
      <c r="C105" s="834" t="s">
        <v>1057</v>
      </c>
      <c r="D105" s="1336">
        <v>-214.2</v>
      </c>
      <c r="E105" s="831" t="b">
        <f>+ISERROR(MATCH(A105,'Linked TB'!$A$9:$A$722,0))</f>
        <v>0</v>
      </c>
    </row>
    <row r="106" spans="1:5">
      <c r="A106" s="830">
        <v>2000</v>
      </c>
      <c r="B106" s="831" t="s">
        <v>1392</v>
      </c>
      <c r="C106" s="831" t="s">
        <v>1057</v>
      </c>
      <c r="D106" s="535">
        <v>-41344.78</v>
      </c>
      <c r="E106" s="831" t="b">
        <f>+ISERROR(MATCH(A106,'Linked TB'!$A$9:$A$722,0))</f>
        <v>0</v>
      </c>
    </row>
    <row r="107" spans="1:5">
      <c r="A107" s="830">
        <v>2005</v>
      </c>
      <c r="B107" s="831" t="s">
        <v>1393</v>
      </c>
      <c r="C107" s="831" t="s">
        <v>1057</v>
      </c>
      <c r="D107" s="535">
        <v>0</v>
      </c>
      <c r="E107" s="831" t="b">
        <f>+ISERROR(MATCH(A107,'Linked TB'!$A$9:$A$722,0))</f>
        <v>0</v>
      </c>
    </row>
    <row r="108" spans="1:5">
      <c r="A108" s="830">
        <v>2010</v>
      </c>
      <c r="B108" s="831" t="s">
        <v>1394</v>
      </c>
      <c r="C108" s="831" t="s">
        <v>1057</v>
      </c>
      <c r="D108" s="535">
        <v>-11893.6</v>
      </c>
      <c r="E108" s="831" t="b">
        <f>+ISERROR(MATCH(A108,'Linked TB'!$A$9:$A$722,0))</f>
        <v>0</v>
      </c>
    </row>
    <row r="109" spans="1:5">
      <c r="A109" s="830">
        <v>2030</v>
      </c>
      <c r="B109" s="831" t="s">
        <v>1370</v>
      </c>
      <c r="C109" s="831" t="s">
        <v>1057</v>
      </c>
      <c r="D109" s="535">
        <v>0</v>
      </c>
      <c r="E109" s="831" t="b">
        <f>+ISERROR(MATCH(A109,'Linked TB'!$A$9:$A$722,0))</f>
        <v>0</v>
      </c>
    </row>
    <row r="110" spans="1:5">
      <c r="A110" s="830">
        <v>2040</v>
      </c>
      <c r="B110" s="831" t="s">
        <v>1395</v>
      </c>
      <c r="C110" s="831" t="s">
        <v>1057</v>
      </c>
      <c r="D110" s="535">
        <v>0</v>
      </c>
      <c r="E110" s="831" t="b">
        <f>+ISERROR(MATCH(A110,'Linked TB'!$A$9:$A$722,0))</f>
        <v>0</v>
      </c>
    </row>
    <row r="111" spans="1:5">
      <c r="A111" s="830">
        <v>2050</v>
      </c>
      <c r="B111" s="831" t="s">
        <v>1396</v>
      </c>
      <c r="C111" s="831" t="s">
        <v>1057</v>
      </c>
      <c r="D111" s="535">
        <v>0</v>
      </c>
      <c r="E111" s="831" t="b">
        <f>+ISERROR(MATCH(A111,'Linked TB'!$A$9:$A$722,0))</f>
        <v>0</v>
      </c>
    </row>
    <row r="112" spans="1:5">
      <c r="A112" s="830">
        <v>2055</v>
      </c>
      <c r="B112" s="831" t="s">
        <v>1397</v>
      </c>
      <c r="C112" s="831" t="s">
        <v>1057</v>
      </c>
      <c r="D112" s="535">
        <v>0</v>
      </c>
      <c r="E112" s="831" t="b">
        <f>+ISERROR(MATCH(A112,'Linked TB'!$A$9:$A$722,0))</f>
        <v>0</v>
      </c>
    </row>
    <row r="113" spans="1:5">
      <c r="A113" s="830">
        <v>2065</v>
      </c>
      <c r="B113" s="831" t="s">
        <v>1398</v>
      </c>
      <c r="C113" s="831" t="s">
        <v>1057</v>
      </c>
      <c r="D113" s="535">
        <v>0</v>
      </c>
      <c r="E113" s="831" t="b">
        <f>+ISERROR(MATCH(A113,'Linked TB'!$A$9:$A$722,0))</f>
        <v>0</v>
      </c>
    </row>
    <row r="114" spans="1:5">
      <c r="A114" s="830">
        <v>2075</v>
      </c>
      <c r="B114" s="831" t="s">
        <v>1399</v>
      </c>
      <c r="C114" s="831" t="s">
        <v>1057</v>
      </c>
      <c r="D114" s="535">
        <v>-2.86</v>
      </c>
      <c r="E114" s="831" t="b">
        <f>+ISERROR(MATCH(A114,'Linked TB'!$A$9:$A$722,0))</f>
        <v>0</v>
      </c>
    </row>
    <row r="115" spans="1:5">
      <c r="A115" s="830">
        <v>2090</v>
      </c>
      <c r="B115" s="831" t="s">
        <v>1400</v>
      </c>
      <c r="C115" s="831" t="s">
        <v>1057</v>
      </c>
      <c r="D115" s="535">
        <v>0</v>
      </c>
      <c r="E115" s="831" t="b">
        <f>+ISERROR(MATCH(A115,'Linked TB'!$A$9:$A$722,0))</f>
        <v>0</v>
      </c>
    </row>
    <row r="116" spans="1:5">
      <c r="A116" s="830">
        <v>2105</v>
      </c>
      <c r="B116" s="831" t="s">
        <v>1401</v>
      </c>
      <c r="C116" s="831" t="s">
        <v>1057</v>
      </c>
      <c r="D116" s="535">
        <v>-29.6</v>
      </c>
      <c r="E116" s="831" t="b">
        <f>+ISERROR(MATCH(A116,'Linked TB'!$A$9:$A$722,0))</f>
        <v>0</v>
      </c>
    </row>
    <row r="117" spans="1:5">
      <c r="A117" s="830">
        <v>2110</v>
      </c>
      <c r="B117" s="831" t="s">
        <v>1402</v>
      </c>
      <c r="C117" s="831" t="s">
        <v>1057</v>
      </c>
      <c r="D117" s="535">
        <v>-95.92</v>
      </c>
      <c r="E117" s="831" t="b">
        <f>+ISERROR(MATCH(A117,'Linked TB'!$A$9:$A$722,0))</f>
        <v>0</v>
      </c>
    </row>
    <row r="118" spans="1:5">
      <c r="A118" s="830">
        <v>2120</v>
      </c>
      <c r="B118" s="831" t="s">
        <v>1403</v>
      </c>
      <c r="C118" s="831" t="s">
        <v>1057</v>
      </c>
      <c r="D118" s="535">
        <v>-6</v>
      </c>
      <c r="E118" s="831" t="b">
        <f>+ISERROR(MATCH(A118,'Linked TB'!$A$9:$A$722,0))</f>
        <v>0</v>
      </c>
    </row>
    <row r="119" spans="1:5">
      <c r="A119" s="830">
        <v>2125</v>
      </c>
      <c r="B119" s="831" t="s">
        <v>1404</v>
      </c>
      <c r="C119" s="831" t="s">
        <v>1057</v>
      </c>
      <c r="D119" s="535">
        <v>-46.63</v>
      </c>
      <c r="E119" s="831" t="b">
        <f>+ISERROR(MATCH(A119,'Linked TB'!$A$9:$A$722,0))</f>
        <v>0</v>
      </c>
    </row>
    <row r="120" spans="1:5">
      <c r="A120" s="830">
        <v>2130</v>
      </c>
      <c r="B120" s="831" t="s">
        <v>1405</v>
      </c>
      <c r="C120" s="831" t="s">
        <v>1057</v>
      </c>
      <c r="D120" s="535">
        <v>0</v>
      </c>
      <c r="E120" s="831" t="b">
        <f>+ISERROR(MATCH(A120,'Linked TB'!$A$9:$A$722,0))</f>
        <v>0</v>
      </c>
    </row>
    <row r="121" spans="1:5">
      <c r="A121" s="830">
        <v>2140</v>
      </c>
      <c r="B121" s="831" t="s">
        <v>1406</v>
      </c>
      <c r="C121" s="831" t="s">
        <v>1057</v>
      </c>
      <c r="D121" s="535">
        <v>-94.66</v>
      </c>
      <c r="E121" s="831" t="b">
        <f>+ISERROR(MATCH(A121,'Linked TB'!$A$9:$A$722,0))</f>
        <v>0</v>
      </c>
    </row>
    <row r="122" spans="1:5">
      <c r="A122" s="830">
        <v>2145</v>
      </c>
      <c r="B122" s="831" t="s">
        <v>1407</v>
      </c>
      <c r="C122" s="831" t="s">
        <v>1057</v>
      </c>
      <c r="D122" s="535">
        <v>0</v>
      </c>
      <c r="E122" s="831" t="b">
        <f>+ISERROR(MATCH(A122,'Linked TB'!$A$9:$A$722,0))</f>
        <v>0</v>
      </c>
    </row>
    <row r="123" spans="1:5">
      <c r="A123" s="830">
        <v>2155</v>
      </c>
      <c r="B123" s="831" t="s">
        <v>1408</v>
      </c>
      <c r="C123" s="831" t="s">
        <v>1057</v>
      </c>
      <c r="D123" s="535">
        <v>-22.26</v>
      </c>
      <c r="E123" s="831" t="b">
        <f>+ISERROR(MATCH(A123,'Linked TB'!$A$9:$A$722,0))</f>
        <v>0</v>
      </c>
    </row>
    <row r="124" spans="1:5">
      <c r="A124" s="830">
        <v>2160</v>
      </c>
      <c r="B124" s="831" t="s">
        <v>1409</v>
      </c>
      <c r="C124" s="831" t="s">
        <v>1057</v>
      </c>
      <c r="D124" s="535">
        <v>-190.61</v>
      </c>
      <c r="E124" s="831" t="b">
        <f>+ISERROR(MATCH(A124,'Linked TB'!$A$9:$A$722,0))</f>
        <v>0</v>
      </c>
    </row>
    <row r="125" spans="1:5">
      <c r="A125" s="830">
        <v>2170</v>
      </c>
      <c r="B125" s="831" t="s">
        <v>1410</v>
      </c>
      <c r="C125" s="831" t="s">
        <v>1057</v>
      </c>
      <c r="D125" s="535">
        <v>0</v>
      </c>
      <c r="E125" s="831" t="b">
        <f>+ISERROR(MATCH(A125,'Linked TB'!$A$9:$A$722,0))</f>
        <v>0</v>
      </c>
    </row>
    <row r="126" spans="1:5">
      <c r="A126" s="830">
        <v>2180</v>
      </c>
      <c r="B126" s="831" t="s">
        <v>1411</v>
      </c>
      <c r="C126" s="831" t="s">
        <v>1057</v>
      </c>
      <c r="D126" s="535">
        <v>0</v>
      </c>
      <c r="E126" s="831" t="b">
        <f>+ISERROR(MATCH(A126,'Linked TB'!$A$9:$A$722,0))</f>
        <v>0</v>
      </c>
    </row>
    <row r="127" spans="1:5">
      <c r="A127" s="830">
        <v>2195</v>
      </c>
      <c r="B127" s="831" t="s">
        <v>1412</v>
      </c>
      <c r="C127" s="831" t="s">
        <v>1057</v>
      </c>
      <c r="D127" s="535">
        <v>0</v>
      </c>
      <c r="E127" s="831" t="b">
        <f>+ISERROR(MATCH(A127,'Linked TB'!$A$9:$A$722,0))</f>
        <v>0</v>
      </c>
    </row>
    <row r="128" spans="1:5">
      <c r="A128" s="830">
        <v>2225</v>
      </c>
      <c r="B128" s="831" t="s">
        <v>1413</v>
      </c>
      <c r="C128" s="831" t="s">
        <v>1057</v>
      </c>
      <c r="D128" s="535">
        <v>0</v>
      </c>
      <c r="E128" s="831" t="b">
        <f>+ISERROR(MATCH(A128,'Linked TB'!$A$9:$A$722,0))</f>
        <v>0</v>
      </c>
    </row>
    <row r="129" spans="1:5">
      <c r="A129" s="830">
        <v>2230</v>
      </c>
      <c r="B129" s="831" t="s">
        <v>1390</v>
      </c>
      <c r="C129" s="831" t="s">
        <v>1057</v>
      </c>
      <c r="D129" s="535">
        <v>-1.26</v>
      </c>
      <c r="E129" s="831" t="b">
        <f>+ISERROR(MATCH(A129,'Linked TB'!$A$9:$A$722,0))</f>
        <v>0</v>
      </c>
    </row>
    <row r="130" spans="1:5">
      <c r="A130" s="830">
        <v>2235</v>
      </c>
      <c r="B130" s="831" t="s">
        <v>1414</v>
      </c>
      <c r="C130" s="831" t="s">
        <v>1057</v>
      </c>
      <c r="D130" s="535">
        <v>-2.89</v>
      </c>
      <c r="E130" s="831" t="b">
        <f>+ISERROR(MATCH(A130,'Linked TB'!$A$9:$A$722,0))</f>
        <v>0</v>
      </c>
    </row>
    <row r="131" spans="1:5">
      <c r="A131" s="830">
        <v>2240</v>
      </c>
      <c r="B131" s="831" t="s">
        <v>1415</v>
      </c>
      <c r="C131" s="831" t="s">
        <v>1057</v>
      </c>
      <c r="D131" s="535">
        <v>0</v>
      </c>
      <c r="E131" s="831" t="b">
        <f>+ISERROR(MATCH(A131,'Linked TB'!$A$9:$A$722,0))</f>
        <v>0</v>
      </c>
    </row>
    <row r="132" spans="1:5">
      <c r="A132" s="830">
        <v>2245</v>
      </c>
      <c r="B132" s="831" t="s">
        <v>1392</v>
      </c>
      <c r="C132" s="831" t="s">
        <v>1057</v>
      </c>
      <c r="D132" s="535">
        <v>0</v>
      </c>
      <c r="E132" s="831" t="b">
        <f>+ISERROR(MATCH(A132,'Linked TB'!$A$9:$A$722,0))</f>
        <v>0</v>
      </c>
    </row>
    <row r="133" spans="1:5">
      <c r="A133" s="830">
        <v>2250</v>
      </c>
      <c r="B133" s="831" t="s">
        <v>1416</v>
      </c>
      <c r="C133" s="831" t="s">
        <v>1057</v>
      </c>
      <c r="D133" s="535">
        <v>0</v>
      </c>
      <c r="E133" s="831" t="b">
        <f>+ISERROR(MATCH(A133,'Linked TB'!$A$9:$A$722,0))</f>
        <v>0</v>
      </c>
    </row>
    <row r="134" spans="1:5">
      <c r="A134" s="830">
        <v>2280</v>
      </c>
      <c r="B134" s="831" t="s">
        <v>1417</v>
      </c>
      <c r="C134" s="831" t="s">
        <v>1057</v>
      </c>
      <c r="D134" s="535">
        <v>0</v>
      </c>
      <c r="E134" s="831" t="b">
        <f>+ISERROR(MATCH(A134,'Linked TB'!$A$9:$A$722,0))</f>
        <v>0</v>
      </c>
    </row>
    <row r="135" spans="1:5">
      <c r="A135" s="830">
        <v>2285</v>
      </c>
      <c r="B135" s="831" t="s">
        <v>1418</v>
      </c>
      <c r="C135" s="831" t="s">
        <v>1057</v>
      </c>
      <c r="D135" s="535">
        <v>-7.8</v>
      </c>
      <c r="E135" s="831" t="b">
        <f>+ISERROR(MATCH(A135,'Linked TB'!$A$9:$A$722,0))</f>
        <v>0</v>
      </c>
    </row>
    <row r="136" spans="1:5">
      <c r="A136" s="830">
        <v>2300</v>
      </c>
      <c r="B136" s="831" t="s">
        <v>1419</v>
      </c>
      <c r="C136" s="831" t="s">
        <v>1057</v>
      </c>
      <c r="D136" s="535">
        <v>-492673.95</v>
      </c>
      <c r="E136" s="831" t="b">
        <f>+ISERROR(MATCH(A136,'Linked TB'!$A$9:$A$722,0))</f>
        <v>0</v>
      </c>
    </row>
    <row r="137" spans="1:5">
      <c r="A137" s="830">
        <v>2320</v>
      </c>
      <c r="B137" s="831" t="s">
        <v>1420</v>
      </c>
      <c r="C137" s="831" t="s">
        <v>1057</v>
      </c>
      <c r="D137" s="535">
        <v>-23778.23</v>
      </c>
      <c r="E137" s="831" t="b">
        <f>+ISERROR(MATCH(A137,'Linked TB'!$A$9:$A$722,0))</f>
        <v>0</v>
      </c>
    </row>
    <row r="138" spans="1:5">
      <c r="A138" s="830">
        <v>2325</v>
      </c>
      <c r="B138" s="831" t="s">
        <v>1421</v>
      </c>
      <c r="C138" s="831" t="s">
        <v>1057</v>
      </c>
      <c r="D138" s="535">
        <v>-83880.53</v>
      </c>
      <c r="E138" s="831" t="b">
        <f>+ISERROR(MATCH(A138,'Linked TB'!$A$9:$A$722,0))</f>
        <v>0</v>
      </c>
    </row>
    <row r="139" spans="1:5">
      <c r="A139" s="830">
        <v>2330</v>
      </c>
      <c r="B139" s="831" t="s">
        <v>1422</v>
      </c>
      <c r="C139" s="831" t="s">
        <v>1057</v>
      </c>
      <c r="D139" s="535">
        <v>-393536.99</v>
      </c>
      <c r="E139" s="831" t="b">
        <f>+ISERROR(MATCH(A139,'Linked TB'!$A$9:$A$722,0))</f>
        <v>0</v>
      </c>
    </row>
    <row r="140" spans="1:5">
      <c r="A140" s="830">
        <v>2335</v>
      </c>
      <c r="B140" s="831" t="s">
        <v>1423</v>
      </c>
      <c r="C140" s="831" t="s">
        <v>1057</v>
      </c>
      <c r="D140" s="535">
        <v>-18843.97</v>
      </c>
      <c r="E140" s="831" t="b">
        <f>+ISERROR(MATCH(A140,'Linked TB'!$A$9:$A$722,0))</f>
        <v>0</v>
      </c>
    </row>
    <row r="141" spans="1:5">
      <c r="A141" s="830">
        <v>2400</v>
      </c>
      <c r="B141" s="831" t="s">
        <v>1424</v>
      </c>
      <c r="C141" s="831" t="s">
        <v>1057</v>
      </c>
      <c r="D141" s="535">
        <v>-183024.56</v>
      </c>
      <c r="E141" s="831" t="b">
        <f>+ISERROR(MATCH(A141,'Linked TB'!$A$9:$A$722,0))</f>
        <v>0</v>
      </c>
    </row>
    <row r="142" spans="1:5">
      <c r="A142" s="830">
        <v>2420</v>
      </c>
      <c r="B142" s="831" t="s">
        <v>1425</v>
      </c>
      <c r="C142" s="831" t="s">
        <v>1057</v>
      </c>
      <c r="D142" s="535">
        <v>36604.82</v>
      </c>
      <c r="E142" s="831" t="b">
        <f>+ISERROR(MATCH(A142,'Linked TB'!$A$9:$A$722,0))</f>
        <v>0</v>
      </c>
    </row>
    <row r="143" spans="1:5">
      <c r="A143" s="830">
        <v>2640</v>
      </c>
      <c r="B143" s="831" t="s">
        <v>1426</v>
      </c>
      <c r="C143" s="831" t="s">
        <v>1057</v>
      </c>
      <c r="D143" s="535">
        <v>23077.73</v>
      </c>
      <c r="E143" s="831" t="b">
        <f>+ISERROR(MATCH(A143,'Linked TB'!$A$9:$A$722,0))</f>
        <v>0</v>
      </c>
    </row>
    <row r="144" spans="1:5">
      <c r="A144" s="830">
        <v>2665</v>
      </c>
      <c r="B144" s="831" t="s">
        <v>1427</v>
      </c>
      <c r="C144" s="831" t="s">
        <v>1057</v>
      </c>
      <c r="D144" s="535">
        <v>0</v>
      </c>
      <c r="E144" s="831" t="b">
        <f>+ISERROR(MATCH(A144,'Linked TB'!$A$9:$A$722,0))</f>
        <v>0</v>
      </c>
    </row>
    <row r="145" spans="1:5">
      <c r="A145" s="830">
        <v>2675</v>
      </c>
      <c r="B145" s="831" t="s">
        <v>1428</v>
      </c>
      <c r="C145" s="831" t="s">
        <v>1057</v>
      </c>
      <c r="D145" s="535">
        <v>346681.84</v>
      </c>
      <c r="E145" s="831" t="b">
        <f>+ISERROR(MATCH(A145,'Linked TB'!$A$9:$A$722,0))</f>
        <v>0</v>
      </c>
    </row>
    <row r="146" spans="1:5">
      <c r="A146" s="830">
        <v>2680</v>
      </c>
      <c r="B146" s="831" t="s">
        <v>1429</v>
      </c>
      <c r="C146" s="831" t="s">
        <v>1057</v>
      </c>
      <c r="D146" s="535">
        <v>120296.24</v>
      </c>
      <c r="E146" s="831" t="b">
        <f>+ISERROR(MATCH(A146,'Linked TB'!$A$9:$A$722,0))</f>
        <v>0</v>
      </c>
    </row>
    <row r="147" spans="1:5">
      <c r="A147" s="830">
        <v>2685</v>
      </c>
      <c r="B147" s="831" t="s">
        <v>1430</v>
      </c>
      <c r="C147" s="831" t="s">
        <v>1057</v>
      </c>
      <c r="D147" s="535">
        <v>0</v>
      </c>
      <c r="E147" s="831" t="b">
        <f>+ISERROR(MATCH(A147,'Linked TB'!$A$9:$A$722,0))</f>
        <v>0</v>
      </c>
    </row>
    <row r="148" spans="1:5">
      <c r="A148" s="830">
        <v>2690</v>
      </c>
      <c r="B148" s="831" t="s">
        <v>1431</v>
      </c>
      <c r="C148" s="831" t="s">
        <v>1057</v>
      </c>
      <c r="D148" s="535">
        <v>-30044.880000000001</v>
      </c>
      <c r="E148" s="831" t="b">
        <f>+ISERROR(MATCH(A148,'Linked TB'!$A$9:$A$722,0))</f>
        <v>0</v>
      </c>
    </row>
    <row r="149" spans="1:5">
      <c r="A149" s="830">
        <v>2700</v>
      </c>
      <c r="B149" s="831" t="s">
        <v>1432</v>
      </c>
      <c r="C149" s="831" t="s">
        <v>1057</v>
      </c>
      <c r="D149" s="535">
        <v>10500</v>
      </c>
      <c r="E149" s="831" t="b">
        <f>+ISERROR(MATCH(A149,'Linked TB'!$A$9:$A$722,0))</f>
        <v>0</v>
      </c>
    </row>
    <row r="150" spans="1:5">
      <c r="A150" s="830">
        <v>2710</v>
      </c>
      <c r="B150" s="831" t="s">
        <v>1433</v>
      </c>
      <c r="C150" s="831" t="s">
        <v>1057</v>
      </c>
      <c r="D150" s="535">
        <v>617693.28</v>
      </c>
      <c r="E150" s="831" t="b">
        <f>+ISERROR(MATCH(A150,'Linked TB'!$A$9:$A$722,0))</f>
        <v>0</v>
      </c>
    </row>
    <row r="151" spans="1:5">
      <c r="A151" s="830">
        <v>2755</v>
      </c>
      <c r="B151" s="831" t="s">
        <v>1434</v>
      </c>
      <c r="C151" s="831" t="s">
        <v>1057</v>
      </c>
      <c r="D151" s="535">
        <v>7919</v>
      </c>
      <c r="E151" s="831" t="b">
        <f>+ISERROR(MATCH(A151,'Linked TB'!$A$9:$A$722,0))</f>
        <v>0</v>
      </c>
    </row>
    <row r="152" spans="1:5">
      <c r="A152" s="830">
        <v>2775</v>
      </c>
      <c r="B152" s="831" t="s">
        <v>1435</v>
      </c>
      <c r="C152" s="831" t="s">
        <v>1057</v>
      </c>
      <c r="D152" s="535">
        <v>6100</v>
      </c>
      <c r="E152" s="831" t="b">
        <f>+ISERROR(MATCH(A152,'Linked TB'!$A$9:$A$722,0))</f>
        <v>0</v>
      </c>
    </row>
    <row r="153" spans="1:5">
      <c r="A153" s="830">
        <v>2795</v>
      </c>
      <c r="B153" s="831" t="s">
        <v>1436</v>
      </c>
      <c r="C153" s="831" t="s">
        <v>1057</v>
      </c>
      <c r="D153" s="535">
        <v>0</v>
      </c>
      <c r="E153" s="831" t="b">
        <f>+ISERROR(MATCH(A153,'Linked TB'!$A$9:$A$722,0))</f>
        <v>0</v>
      </c>
    </row>
    <row r="154" spans="1:5">
      <c r="A154" s="830">
        <v>2856</v>
      </c>
      <c r="B154" s="831" t="s">
        <v>1805</v>
      </c>
      <c r="C154" s="831" t="s">
        <v>1057</v>
      </c>
      <c r="D154" s="535">
        <v>0</v>
      </c>
      <c r="E154" s="831" t="b">
        <f>+ISERROR(MATCH(A154,'Linked TB'!$A$9:$A$722,0))</f>
        <v>0</v>
      </c>
    </row>
    <row r="155" spans="1:5">
      <c r="A155" s="835">
        <v>2906</v>
      </c>
      <c r="B155" s="834" t="s">
        <v>1804</v>
      </c>
      <c r="C155" s="834" t="s">
        <v>1057</v>
      </c>
      <c r="D155" s="1336">
        <v>127646.23999999999</v>
      </c>
      <c r="E155" s="831" t="b">
        <f>+ISERROR(MATCH(A155,'Linked TB'!$A$9:$A$722,0))</f>
        <v>0</v>
      </c>
    </row>
    <row r="156" spans="1:5">
      <c r="A156" s="835">
        <v>2907</v>
      </c>
      <c r="B156" s="834" t="s">
        <v>1806</v>
      </c>
      <c r="C156" s="834" t="s">
        <v>1057</v>
      </c>
      <c r="D156" s="1336">
        <v>133255.18000000002</v>
      </c>
      <c r="E156" s="831" t="b">
        <f>+ISERROR(MATCH(A156,'Linked TB'!$A$9:$A$722,0))</f>
        <v>0</v>
      </c>
    </row>
    <row r="157" spans="1:5">
      <c r="A157" s="835">
        <v>2908</v>
      </c>
      <c r="B157" s="834" t="s">
        <v>1807</v>
      </c>
      <c r="C157" s="834" t="s">
        <v>1057</v>
      </c>
      <c r="D157" s="1336">
        <v>1345.98</v>
      </c>
      <c r="E157" s="831" t="b">
        <f>+ISERROR(MATCH(A157,'Linked TB'!$A$9:$A$722,0))</f>
        <v>0</v>
      </c>
    </row>
    <row r="158" spans="1:5">
      <c r="A158" s="835">
        <v>2909</v>
      </c>
      <c r="B158" s="834" t="s">
        <v>1808</v>
      </c>
      <c r="C158" s="834" t="s">
        <v>1057</v>
      </c>
      <c r="D158" s="1336">
        <v>7467.48</v>
      </c>
      <c r="E158" s="831" t="b">
        <f>+ISERROR(MATCH(A158,'Linked TB'!$A$9:$A$722,0))</f>
        <v>0</v>
      </c>
    </row>
    <row r="159" spans="1:5">
      <c r="A159" s="835">
        <v>2910</v>
      </c>
      <c r="B159" s="834" t="s">
        <v>1809</v>
      </c>
      <c r="C159" s="834" t="s">
        <v>1057</v>
      </c>
      <c r="D159" s="1336">
        <v>31858.75</v>
      </c>
      <c r="E159" s="831" t="b">
        <f>+ISERROR(MATCH(A159,'Linked TB'!$A$9:$A$722,0))</f>
        <v>0</v>
      </c>
    </row>
    <row r="160" spans="1:5">
      <c r="A160" s="830">
        <v>2914</v>
      </c>
      <c r="B160" s="831" t="s">
        <v>1437</v>
      </c>
      <c r="C160" s="831" t="s">
        <v>1057</v>
      </c>
      <c r="D160" s="535">
        <v>-301573.63</v>
      </c>
      <c r="E160" s="831" t="b">
        <f>+ISERROR(MATCH(A160,'Linked TB'!$A$9:$A$722,0))</f>
        <v>0</v>
      </c>
    </row>
    <row r="161" spans="1:5">
      <c r="A161" s="830">
        <v>2920</v>
      </c>
      <c r="B161" s="831" t="s">
        <v>1438</v>
      </c>
      <c r="C161" s="831" t="s">
        <v>1057</v>
      </c>
      <c r="D161" s="535">
        <v>301988.84999999998</v>
      </c>
      <c r="E161" s="831" t="b">
        <f>+ISERROR(MATCH(A161,'Linked TB'!$A$9:$A$722,0))</f>
        <v>0</v>
      </c>
    </row>
    <row r="162" spans="1:5">
      <c r="A162" s="830">
        <v>2930</v>
      </c>
      <c r="B162" s="831" t="s">
        <v>1439</v>
      </c>
      <c r="C162" s="831" t="s">
        <v>1057</v>
      </c>
      <c r="D162" s="535">
        <v>-215594.37</v>
      </c>
      <c r="E162" s="831" t="b">
        <f>+ISERROR(MATCH(A162,'Linked TB'!$A$9:$A$722,0))</f>
        <v>0</v>
      </c>
    </row>
    <row r="163" spans="1:5">
      <c r="A163" s="830">
        <v>2960</v>
      </c>
      <c r="B163" s="831" t="s">
        <v>1440</v>
      </c>
      <c r="C163" s="831" t="s">
        <v>1057</v>
      </c>
      <c r="D163" s="535">
        <v>130113.47</v>
      </c>
      <c r="E163" s="831" t="b">
        <f>+ISERROR(MATCH(A163,'Linked TB'!$A$9:$A$722,0))</f>
        <v>0</v>
      </c>
    </row>
    <row r="164" spans="1:5">
      <c r="A164" s="830">
        <v>2965</v>
      </c>
      <c r="B164" s="831" t="s">
        <v>1441</v>
      </c>
      <c r="C164" s="831" t="s">
        <v>1057</v>
      </c>
      <c r="D164" s="535">
        <v>0</v>
      </c>
      <c r="E164" s="831" t="b">
        <f>+ISERROR(MATCH(A164,'Linked TB'!$A$9:$A$722,0))</f>
        <v>0</v>
      </c>
    </row>
    <row r="165" spans="1:5">
      <c r="A165" s="830">
        <v>2980</v>
      </c>
      <c r="B165" s="831" t="s">
        <v>1442</v>
      </c>
      <c r="C165" s="831" t="s">
        <v>1057</v>
      </c>
      <c r="D165" s="535">
        <v>0</v>
      </c>
      <c r="E165" s="831" t="b">
        <f>+ISERROR(MATCH(A165,'Linked TB'!$A$9:$A$722,0))</f>
        <v>0</v>
      </c>
    </row>
    <row r="166" spans="1:5">
      <c r="A166" s="830">
        <v>3005</v>
      </c>
      <c r="B166" s="831" t="s">
        <v>1443</v>
      </c>
      <c r="C166" s="831" t="s">
        <v>1057</v>
      </c>
      <c r="D166" s="535">
        <v>0</v>
      </c>
      <c r="E166" s="831" t="b">
        <f>+ISERROR(MATCH(A166,'Linked TB'!$A$9:$A$722,0))</f>
        <v>0</v>
      </c>
    </row>
    <row r="167" spans="1:5">
      <c r="A167" s="830">
        <v>3025</v>
      </c>
      <c r="B167" s="831" t="s">
        <v>1444</v>
      </c>
      <c r="C167" s="831" t="s">
        <v>1057</v>
      </c>
      <c r="D167" s="535">
        <v>350</v>
      </c>
      <c r="E167" s="831" t="b">
        <f>+ISERROR(MATCH(A167,'Linked TB'!$A$9:$A$722,0))</f>
        <v>0</v>
      </c>
    </row>
    <row r="168" spans="1:5">
      <c r="A168" s="830">
        <v>3040</v>
      </c>
      <c r="B168" s="831" t="s">
        <v>1445</v>
      </c>
      <c r="C168" s="831" t="s">
        <v>1057</v>
      </c>
      <c r="D168" s="535">
        <v>0</v>
      </c>
      <c r="E168" s="831" t="b">
        <f>+ISERROR(MATCH(A168,'Linked TB'!$A$9:$A$722,0))</f>
        <v>0</v>
      </c>
    </row>
    <row r="169" spans="1:5">
      <c r="A169" s="830">
        <v>3110</v>
      </c>
      <c r="B169" s="831" t="s">
        <v>1446</v>
      </c>
      <c r="C169" s="831" t="s">
        <v>1057</v>
      </c>
      <c r="D169" s="535">
        <v>-36453.379999999997</v>
      </c>
      <c r="E169" s="831" t="b">
        <f>+ISERROR(MATCH(A169,'Linked TB'!$A$9:$A$722,0))</f>
        <v>0</v>
      </c>
    </row>
    <row r="170" spans="1:5">
      <c r="A170" s="830">
        <v>3120</v>
      </c>
      <c r="B170" s="831" t="s">
        <v>1447</v>
      </c>
      <c r="C170" s="831" t="s">
        <v>1057</v>
      </c>
      <c r="D170" s="535">
        <v>0</v>
      </c>
      <c r="E170" s="831" t="b">
        <f>+ISERROR(MATCH(A170,'Linked TB'!$A$9:$A$722,0))</f>
        <v>0</v>
      </c>
    </row>
    <row r="171" spans="1:5">
      <c r="A171" s="830">
        <v>3135</v>
      </c>
      <c r="B171" s="831" t="s">
        <v>1448</v>
      </c>
      <c r="C171" s="831" t="s">
        <v>1057</v>
      </c>
      <c r="D171" s="535">
        <v>0</v>
      </c>
      <c r="E171" s="831" t="b">
        <f>+ISERROR(MATCH(A171,'Linked TB'!$A$9:$A$722,0))</f>
        <v>0</v>
      </c>
    </row>
    <row r="172" spans="1:5">
      <c r="A172" s="830">
        <v>3160</v>
      </c>
      <c r="B172" s="831" t="s">
        <v>1449</v>
      </c>
      <c r="C172" s="831" t="s">
        <v>1057</v>
      </c>
      <c r="D172" s="535">
        <v>0</v>
      </c>
      <c r="E172" s="831" t="b">
        <f>+ISERROR(MATCH(A172,'Linked TB'!$A$9:$A$722,0))</f>
        <v>0</v>
      </c>
    </row>
    <row r="173" spans="1:5">
      <c r="A173" s="830">
        <v>3180</v>
      </c>
      <c r="B173" s="831" t="s">
        <v>1450</v>
      </c>
      <c r="C173" s="831" t="s">
        <v>1057</v>
      </c>
      <c r="D173" s="535">
        <v>-338.64</v>
      </c>
      <c r="E173" s="831" t="b">
        <f>+ISERROR(MATCH(A173,'Linked TB'!$A$9:$A$722,0))</f>
        <v>0</v>
      </c>
    </row>
    <row r="174" spans="1:5">
      <c r="A174" s="830">
        <v>3195</v>
      </c>
      <c r="B174" s="831" t="s">
        <v>1451</v>
      </c>
      <c r="C174" s="831" t="s">
        <v>1057</v>
      </c>
      <c r="D174" s="535">
        <v>0</v>
      </c>
      <c r="E174" s="831" t="b">
        <f>+ISERROR(MATCH(A174,'Linked TB'!$A$9:$A$722,0))</f>
        <v>0</v>
      </c>
    </row>
    <row r="175" spans="1:5">
      <c r="A175" s="830">
        <v>3225</v>
      </c>
      <c r="B175" s="831" t="s">
        <v>1452</v>
      </c>
      <c r="C175" s="831" t="s">
        <v>1057</v>
      </c>
      <c r="D175" s="535">
        <v>-113080.53</v>
      </c>
      <c r="E175" s="831" t="b">
        <f>+ISERROR(MATCH(A175,'Linked TB'!$A$9:$A$722,0))</f>
        <v>0</v>
      </c>
    </row>
    <row r="176" spans="1:5">
      <c r="A176" s="835">
        <v>3350</v>
      </c>
      <c r="B176" s="834" t="s">
        <v>1810</v>
      </c>
      <c r="C176" s="834" t="s">
        <v>1057</v>
      </c>
      <c r="D176" s="1336">
        <v>-83141</v>
      </c>
      <c r="E176" s="831" t="b">
        <f>+ISERROR(MATCH(A176,'Linked TB'!$A$9:$A$722,0))</f>
        <v>0</v>
      </c>
    </row>
    <row r="177" spans="1:5">
      <c r="A177" s="830">
        <v>3430</v>
      </c>
      <c r="B177" s="831" t="s">
        <v>1453</v>
      </c>
      <c r="C177" s="831" t="s">
        <v>1057</v>
      </c>
      <c r="D177" s="535">
        <v>-74377.97</v>
      </c>
      <c r="E177" s="831" t="b">
        <f>+ISERROR(MATCH(A177,'Linked TB'!$A$9:$A$722,0))</f>
        <v>0</v>
      </c>
    </row>
    <row r="178" spans="1:5">
      <c r="A178" s="830">
        <v>3435</v>
      </c>
      <c r="B178" s="831" t="s">
        <v>1454</v>
      </c>
      <c r="C178" s="831" t="s">
        <v>1057</v>
      </c>
      <c r="D178" s="535">
        <v>-24160.5</v>
      </c>
      <c r="E178" s="831" t="b">
        <f>+ISERROR(MATCH(A178,'Linked TB'!$A$9:$A$722,0))</f>
        <v>0</v>
      </c>
    </row>
    <row r="179" spans="1:5">
      <c r="A179" s="830">
        <v>3455</v>
      </c>
      <c r="B179" s="831" t="s">
        <v>1455</v>
      </c>
      <c r="C179" s="831" t="s">
        <v>1057</v>
      </c>
      <c r="D179" s="535">
        <v>0</v>
      </c>
      <c r="E179" s="831" t="b">
        <f>+ISERROR(MATCH(A179,'Linked TB'!$A$9:$A$722,0))</f>
        <v>0</v>
      </c>
    </row>
    <row r="180" spans="1:5">
      <c r="A180" s="830">
        <v>3500</v>
      </c>
      <c r="B180" s="831" t="s">
        <v>1456</v>
      </c>
      <c r="C180" s="831" t="s">
        <v>1057</v>
      </c>
      <c r="D180" s="535">
        <v>0</v>
      </c>
      <c r="E180" s="831" t="b">
        <f>+ISERROR(MATCH(A180,'Linked TB'!$A$9:$A$722,0))</f>
        <v>0</v>
      </c>
    </row>
    <row r="181" spans="1:5">
      <c r="A181" s="830">
        <v>3520</v>
      </c>
      <c r="B181" s="831" t="s">
        <v>1457</v>
      </c>
      <c r="C181" s="831" t="s">
        <v>1057</v>
      </c>
      <c r="D181" s="535">
        <v>0</v>
      </c>
      <c r="E181" s="831" t="b">
        <f>+ISERROR(MATCH(A181,'Linked TB'!$A$9:$A$722,0))</f>
        <v>0</v>
      </c>
    </row>
    <row r="182" spans="1:5">
      <c r="A182" s="830">
        <v>3550</v>
      </c>
      <c r="B182" s="831" t="s">
        <v>1458</v>
      </c>
      <c r="C182" s="831" t="s">
        <v>1057</v>
      </c>
      <c r="D182" s="535">
        <v>0</v>
      </c>
      <c r="E182" s="831" t="b">
        <f>+ISERROR(MATCH(A182,'Linked TB'!$A$9:$A$722,0))</f>
        <v>0</v>
      </c>
    </row>
    <row r="183" spans="1:5">
      <c r="A183" s="830">
        <v>3555</v>
      </c>
      <c r="B183" s="831" t="s">
        <v>1459</v>
      </c>
      <c r="C183" s="831" t="s">
        <v>1057</v>
      </c>
      <c r="D183" s="535">
        <v>0</v>
      </c>
      <c r="E183" s="831" t="b">
        <f>+ISERROR(MATCH(A183,'Linked TB'!$A$9:$A$722,0))</f>
        <v>0</v>
      </c>
    </row>
    <row r="184" spans="1:5">
      <c r="A184" s="830">
        <v>3975</v>
      </c>
      <c r="B184" s="831" t="s">
        <v>1460</v>
      </c>
      <c r="C184" s="831" t="s">
        <v>1057</v>
      </c>
      <c r="D184" s="535">
        <v>15633.26</v>
      </c>
      <c r="E184" s="831" t="b">
        <f>+ISERROR(MATCH(A184,'Linked TB'!$A$9:$A$722,0))</f>
        <v>0</v>
      </c>
    </row>
    <row r="185" spans="1:5">
      <c r="A185" s="830">
        <v>3980</v>
      </c>
      <c r="B185" s="831" t="s">
        <v>1461</v>
      </c>
      <c r="C185" s="831" t="s">
        <v>1057</v>
      </c>
      <c r="D185" s="535">
        <v>830.4</v>
      </c>
      <c r="E185" s="831" t="b">
        <f>+ISERROR(MATCH(A185,'Linked TB'!$A$9:$A$722,0))</f>
        <v>0</v>
      </c>
    </row>
    <row r="186" spans="1:5">
      <c r="A186" s="830">
        <v>4005</v>
      </c>
      <c r="B186" s="831" t="s">
        <v>1462</v>
      </c>
      <c r="C186" s="831" t="s">
        <v>1057</v>
      </c>
      <c r="D186" s="535">
        <v>0</v>
      </c>
      <c r="E186" s="831" t="b">
        <f>+ISERROR(MATCH(A186,'Linked TB'!$A$9:$A$722,0))</f>
        <v>0</v>
      </c>
    </row>
    <row r="187" spans="1:5">
      <c r="A187" s="830">
        <v>4050</v>
      </c>
      <c r="B187" s="831" t="s">
        <v>1463</v>
      </c>
      <c r="C187" s="831" t="s">
        <v>1057</v>
      </c>
      <c r="D187" s="535">
        <v>0</v>
      </c>
      <c r="E187" s="831" t="b">
        <f>+ISERROR(MATCH(A187,'Linked TB'!$A$9:$A$722,0))</f>
        <v>0</v>
      </c>
    </row>
    <row r="188" spans="1:5">
      <c r="A188" s="830">
        <v>4070</v>
      </c>
      <c r="B188" s="831" t="s">
        <v>1464</v>
      </c>
      <c r="C188" s="831" t="s">
        <v>1057</v>
      </c>
      <c r="D188" s="535">
        <v>0</v>
      </c>
      <c r="E188" s="831" t="b">
        <f>+ISERROR(MATCH(A188,'Linked TB'!$A$9:$A$722,0))</f>
        <v>0</v>
      </c>
    </row>
    <row r="189" spans="1:5">
      <c r="A189" s="830">
        <v>4100</v>
      </c>
      <c r="B189" s="831" t="s">
        <v>1465</v>
      </c>
      <c r="C189" s="831" t="s">
        <v>1057</v>
      </c>
      <c r="D189" s="535">
        <v>0</v>
      </c>
      <c r="E189" s="831" t="b">
        <f>+ISERROR(MATCH(A189,'Linked TB'!$A$9:$A$722,0))</f>
        <v>0</v>
      </c>
    </row>
    <row r="190" spans="1:5">
      <c r="A190" s="830">
        <v>4105</v>
      </c>
      <c r="B190" s="831" t="s">
        <v>1466</v>
      </c>
      <c r="C190" s="831" t="s">
        <v>1057</v>
      </c>
      <c r="D190" s="535">
        <v>0</v>
      </c>
      <c r="E190" s="831" t="b">
        <f>+ISERROR(MATCH(A190,'Linked TB'!$A$9:$A$722,0))</f>
        <v>0</v>
      </c>
    </row>
    <row r="191" spans="1:5">
      <c r="A191" s="830">
        <v>4265</v>
      </c>
      <c r="B191" s="831" t="s">
        <v>1467</v>
      </c>
      <c r="C191" s="831" t="s">
        <v>1057</v>
      </c>
      <c r="D191" s="535">
        <v>0</v>
      </c>
      <c r="E191" s="831" t="b">
        <f>+ISERROR(MATCH(A191,'Linked TB'!$A$9:$A$722,0))</f>
        <v>0</v>
      </c>
    </row>
    <row r="192" spans="1:5">
      <c r="A192" s="830">
        <v>4371</v>
      </c>
      <c r="B192" s="831" t="s">
        <v>1468</v>
      </c>
      <c r="C192" s="831" t="s">
        <v>1057</v>
      </c>
      <c r="D192" s="535">
        <v>66.400000000000006</v>
      </c>
      <c r="E192" s="831" t="b">
        <f>+ISERROR(MATCH(A192,'Linked TB'!$A$9:$A$722,0))</f>
        <v>0</v>
      </c>
    </row>
    <row r="193" spans="1:5">
      <c r="A193" s="830">
        <v>4375</v>
      </c>
      <c r="B193" s="831" t="s">
        <v>1469</v>
      </c>
      <c r="C193" s="831" t="s">
        <v>1057</v>
      </c>
      <c r="D193" s="535">
        <v>-27013.29</v>
      </c>
      <c r="E193" s="831" t="b">
        <f>+ISERROR(MATCH(A193,'Linked TB'!$A$9:$A$722,0))</f>
        <v>0</v>
      </c>
    </row>
    <row r="194" spans="1:5">
      <c r="A194" s="830">
        <v>4377</v>
      </c>
      <c r="B194" s="831" t="s">
        <v>1470</v>
      </c>
      <c r="C194" s="831" t="s">
        <v>1057</v>
      </c>
      <c r="D194" s="535">
        <v>-29909.05</v>
      </c>
      <c r="E194" s="831" t="b">
        <f>+ISERROR(MATCH(A194,'Linked TB'!$A$9:$A$722,0))</f>
        <v>0</v>
      </c>
    </row>
    <row r="195" spans="1:5">
      <c r="A195" s="830">
        <v>4383</v>
      </c>
      <c r="B195" s="831" t="s">
        <v>1471</v>
      </c>
      <c r="C195" s="831" t="s">
        <v>1057</v>
      </c>
      <c r="D195" s="535">
        <v>-46677</v>
      </c>
      <c r="E195" s="831" t="b">
        <f>+ISERROR(MATCH(A195,'Linked TB'!$A$9:$A$722,0))</f>
        <v>0</v>
      </c>
    </row>
    <row r="196" spans="1:5">
      <c r="A196" s="830">
        <v>4385</v>
      </c>
      <c r="B196" s="831" t="s">
        <v>1472</v>
      </c>
      <c r="C196" s="831" t="s">
        <v>1057</v>
      </c>
      <c r="D196" s="535">
        <v>9480</v>
      </c>
      <c r="E196" s="831" t="b">
        <f>+ISERROR(MATCH(A196,'Linked TB'!$A$9:$A$722,0))</f>
        <v>0</v>
      </c>
    </row>
    <row r="197" spans="1:5">
      <c r="A197" s="830">
        <v>4387</v>
      </c>
      <c r="B197" s="831" t="s">
        <v>1473</v>
      </c>
      <c r="C197" s="831" t="s">
        <v>1057</v>
      </c>
      <c r="D197" s="535">
        <v>-504190.86</v>
      </c>
      <c r="E197" s="831" t="b">
        <f>+ISERROR(MATCH(A197,'Linked TB'!$A$9:$A$722,0))</f>
        <v>0</v>
      </c>
    </row>
    <row r="198" spans="1:5">
      <c r="A198" s="830">
        <v>4421</v>
      </c>
      <c r="B198" s="831" t="s">
        <v>1474</v>
      </c>
      <c r="C198" s="831" t="s">
        <v>1057</v>
      </c>
      <c r="D198" s="535">
        <v>13.6</v>
      </c>
      <c r="E198" s="831" t="b">
        <f>+ISERROR(MATCH(A198,'Linked TB'!$A$9:$A$722,0))</f>
        <v>0</v>
      </c>
    </row>
    <row r="199" spans="1:5">
      <c r="A199" s="830">
        <v>4425</v>
      </c>
      <c r="B199" s="831" t="s">
        <v>1475</v>
      </c>
      <c r="C199" s="831" t="s">
        <v>1057</v>
      </c>
      <c r="D199" s="535">
        <v>-7005.27</v>
      </c>
      <c r="E199" s="831" t="b">
        <f>+ISERROR(MATCH(A199,'Linked TB'!$A$9:$A$722,0))</f>
        <v>0</v>
      </c>
    </row>
    <row r="200" spans="1:5">
      <c r="A200" s="830">
        <v>4427</v>
      </c>
      <c r="B200" s="831" t="s">
        <v>1476</v>
      </c>
      <c r="C200" s="831" t="s">
        <v>1057</v>
      </c>
      <c r="D200" s="535">
        <v>-5666.38</v>
      </c>
      <c r="E200" s="831" t="b">
        <f>+ISERROR(MATCH(A200,'Linked TB'!$A$9:$A$722,0))</f>
        <v>0</v>
      </c>
    </row>
    <row r="201" spans="1:5">
      <c r="A201" s="830">
        <v>4433</v>
      </c>
      <c r="B201" s="831" t="s">
        <v>1477</v>
      </c>
      <c r="C201" s="831" t="s">
        <v>1057</v>
      </c>
      <c r="D201" s="535">
        <v>-5114</v>
      </c>
      <c r="E201" s="831" t="b">
        <f>+ISERROR(MATCH(A201,'Linked TB'!$A$9:$A$722,0))</f>
        <v>0</v>
      </c>
    </row>
    <row r="202" spans="1:5">
      <c r="A202" s="830">
        <v>4435</v>
      </c>
      <c r="B202" s="831" t="s">
        <v>1478</v>
      </c>
      <c r="C202" s="831" t="s">
        <v>1057</v>
      </c>
      <c r="D202" s="535">
        <v>2163</v>
      </c>
      <c r="E202" s="831" t="b">
        <f>+ISERROR(MATCH(A202,'Linked TB'!$A$9:$A$722,0))</f>
        <v>0</v>
      </c>
    </row>
    <row r="203" spans="1:5">
      <c r="A203" s="830">
        <v>4437</v>
      </c>
      <c r="B203" s="831" t="s">
        <v>1479</v>
      </c>
      <c r="C203" s="831" t="s">
        <v>1057</v>
      </c>
      <c r="D203" s="535">
        <v>-51729.07</v>
      </c>
      <c r="E203" s="831" t="b">
        <f>+ISERROR(MATCH(A203,'Linked TB'!$A$9:$A$722,0))</f>
        <v>0</v>
      </c>
    </row>
    <row r="204" spans="1:5">
      <c r="A204" s="830">
        <v>4515</v>
      </c>
      <c r="B204" s="831" t="s">
        <v>1480</v>
      </c>
      <c r="C204" s="831" t="s">
        <v>1057</v>
      </c>
      <c r="D204" s="535">
        <v>-56198.84</v>
      </c>
      <c r="E204" s="831" t="b">
        <f>+ISERROR(MATCH(A204,'Linked TB'!$A$9:$A$722,0))</f>
        <v>0</v>
      </c>
    </row>
    <row r="205" spans="1:5">
      <c r="A205" s="830">
        <v>4520</v>
      </c>
      <c r="B205" s="831" t="s">
        <v>1481</v>
      </c>
      <c r="C205" s="831" t="s">
        <v>1057</v>
      </c>
      <c r="D205" s="535">
        <v>0</v>
      </c>
      <c r="E205" s="831" t="b">
        <f>+ISERROR(MATCH(A205,'Linked TB'!$A$9:$A$722,0))</f>
        <v>0</v>
      </c>
    </row>
    <row r="206" spans="1:5">
      <c r="A206" s="830">
        <v>4525</v>
      </c>
      <c r="B206" s="831" t="s">
        <v>1482</v>
      </c>
      <c r="C206" s="831" t="s">
        <v>1057</v>
      </c>
      <c r="D206" s="535">
        <v>-216932.75</v>
      </c>
      <c r="E206" s="831" t="b">
        <f>+ISERROR(MATCH(A206,'Linked TB'!$A$9:$A$722,0))</f>
        <v>0</v>
      </c>
    </row>
    <row r="207" spans="1:5">
      <c r="A207" s="830">
        <v>4527</v>
      </c>
      <c r="B207" s="831" t="s">
        <v>1483</v>
      </c>
      <c r="C207" s="831" t="s">
        <v>1057</v>
      </c>
      <c r="D207" s="535">
        <v>-68038.14</v>
      </c>
      <c r="E207" s="831" t="b">
        <f>+ISERROR(MATCH(A207,'Linked TB'!$A$9:$A$722,0))</f>
        <v>0</v>
      </c>
    </row>
    <row r="208" spans="1:5">
      <c r="A208" s="830">
        <v>4535</v>
      </c>
      <c r="B208" s="831" t="s">
        <v>1484</v>
      </c>
      <c r="C208" s="831" t="s">
        <v>1057</v>
      </c>
      <c r="D208" s="535">
        <v>-1667632.54</v>
      </c>
      <c r="E208" s="831" t="b">
        <f>+ISERROR(MATCH(A208,'Linked TB'!$A$9:$A$722,0))</f>
        <v>0</v>
      </c>
    </row>
    <row r="209" spans="1:5">
      <c r="A209" s="830">
        <v>4545</v>
      </c>
      <c r="B209" s="831" t="s">
        <v>1485</v>
      </c>
      <c r="C209" s="831" t="s">
        <v>1057</v>
      </c>
      <c r="D209" s="535">
        <v>-2048.94</v>
      </c>
      <c r="E209" s="831" t="b">
        <f>+ISERROR(MATCH(A209,'Linked TB'!$A$9:$A$722,0))</f>
        <v>0</v>
      </c>
    </row>
    <row r="210" spans="1:5">
      <c r="A210" s="830">
        <v>4555</v>
      </c>
      <c r="B210" s="831" t="s">
        <v>1486</v>
      </c>
      <c r="C210" s="831" t="s">
        <v>1057</v>
      </c>
      <c r="D210" s="535">
        <v>0</v>
      </c>
      <c r="E210" s="831" t="b">
        <f>+ISERROR(MATCH(A210,'Linked TB'!$A$9:$A$722,0))</f>
        <v>0</v>
      </c>
    </row>
    <row r="211" spans="1:5">
      <c r="A211" s="830">
        <v>4565</v>
      </c>
      <c r="B211" s="831" t="s">
        <v>1487</v>
      </c>
      <c r="C211" s="831" t="s">
        <v>1057</v>
      </c>
      <c r="D211" s="535">
        <v>457635.31</v>
      </c>
      <c r="E211" s="831" t="b">
        <f>+ISERROR(MATCH(A211,'Linked TB'!$A$9:$A$722,0))</f>
        <v>0</v>
      </c>
    </row>
    <row r="212" spans="1:5">
      <c r="A212" s="830">
        <v>4595</v>
      </c>
      <c r="B212" s="831" t="s">
        <v>1488</v>
      </c>
      <c r="C212" s="831" t="s">
        <v>1057</v>
      </c>
      <c r="D212" s="535">
        <v>-56298.68</v>
      </c>
      <c r="E212" s="831" t="b">
        <f>+ISERROR(MATCH(A212,'Linked TB'!$A$9:$A$722,0))</f>
        <v>0</v>
      </c>
    </row>
    <row r="213" spans="1:5">
      <c r="A213" s="830">
        <v>4612</v>
      </c>
      <c r="B213" s="831" t="s">
        <v>1489</v>
      </c>
      <c r="C213" s="831" t="s">
        <v>1057</v>
      </c>
      <c r="D213" s="535">
        <v>0</v>
      </c>
      <c r="E213" s="831" t="b">
        <f>+ISERROR(MATCH(A213,'Linked TB'!$A$9:$A$722,0))</f>
        <v>0</v>
      </c>
    </row>
    <row r="214" spans="1:5">
      <c r="A214" s="830">
        <v>4614</v>
      </c>
      <c r="B214" s="831" t="s">
        <v>1490</v>
      </c>
      <c r="C214" s="831" t="s">
        <v>1057</v>
      </c>
      <c r="D214" s="535">
        <v>0</v>
      </c>
      <c r="E214" s="831" t="b">
        <f>+ISERROR(MATCH(A214,'Linked TB'!$A$9:$A$722,0))</f>
        <v>0</v>
      </c>
    </row>
    <row r="215" spans="1:5">
      <c r="A215" s="835">
        <v>4618</v>
      </c>
      <c r="B215" s="834" t="s">
        <v>1811</v>
      </c>
      <c r="C215" s="834" t="s">
        <v>1057</v>
      </c>
      <c r="D215" s="1336">
        <v>-843.12</v>
      </c>
      <c r="E215" s="831" t="b">
        <f>+ISERROR(MATCH(A215,'Linked TB'!$A$9:$A$722,0))</f>
        <v>0</v>
      </c>
    </row>
    <row r="216" spans="1:5">
      <c r="A216" s="830">
        <v>4628</v>
      </c>
      <c r="B216" s="831" t="s">
        <v>1491</v>
      </c>
      <c r="C216" s="831" t="s">
        <v>1057</v>
      </c>
      <c r="D216" s="535">
        <v>-1925.62</v>
      </c>
      <c r="E216" s="831" t="b">
        <f>+ISERROR(MATCH(A216,'Linked TB'!$A$9:$A$722,0))</f>
        <v>0</v>
      </c>
    </row>
    <row r="217" spans="1:5">
      <c r="A217" s="835">
        <v>4630</v>
      </c>
      <c r="B217" s="834" t="s">
        <v>1812</v>
      </c>
      <c r="C217" s="834" t="s">
        <v>1057</v>
      </c>
      <c r="D217" s="1336">
        <v>-21628.87</v>
      </c>
      <c r="E217" s="831" t="b">
        <f>+ISERROR(MATCH(A217,'Linked TB'!$A$9:$A$722,0))</f>
        <v>0</v>
      </c>
    </row>
    <row r="218" spans="1:5">
      <c r="A218" s="830">
        <v>4634</v>
      </c>
      <c r="B218" s="831" t="s">
        <v>1492</v>
      </c>
      <c r="C218" s="831" t="s">
        <v>1057</v>
      </c>
      <c r="D218" s="535">
        <v>-11515.08</v>
      </c>
      <c r="E218" s="831" t="b">
        <f>+ISERROR(MATCH(A218,'Linked TB'!$A$9:$A$722,0))</f>
        <v>0</v>
      </c>
    </row>
    <row r="219" spans="1:5">
      <c r="A219" s="830">
        <v>4635</v>
      </c>
      <c r="B219" s="831" t="s">
        <v>1493</v>
      </c>
      <c r="C219" s="831" t="s">
        <v>1057</v>
      </c>
      <c r="D219" s="535">
        <v>-21.55</v>
      </c>
      <c r="E219" s="831" t="b">
        <f>+ISERROR(MATCH(A219,'Linked TB'!$A$9:$A$722,0))</f>
        <v>0</v>
      </c>
    </row>
    <row r="220" spans="1:5">
      <c r="A220" s="830">
        <v>4636</v>
      </c>
      <c r="B220" s="831" t="s">
        <v>1494</v>
      </c>
      <c r="C220" s="831" t="s">
        <v>1057</v>
      </c>
      <c r="D220" s="535">
        <v>-3180.15</v>
      </c>
      <c r="E220" s="831" t="b">
        <f>+ISERROR(MATCH(A220,'Linked TB'!$A$9:$A$722,0))</f>
        <v>0</v>
      </c>
    </row>
    <row r="221" spans="1:5">
      <c r="A221" s="830">
        <v>4637</v>
      </c>
      <c r="B221" s="831" t="s">
        <v>1495</v>
      </c>
      <c r="C221" s="831" t="s">
        <v>1057</v>
      </c>
      <c r="D221" s="535">
        <v>-542.4</v>
      </c>
      <c r="E221" s="831" t="b">
        <f>+ISERROR(MATCH(A221,'Linked TB'!$A$9:$A$722,0))</f>
        <v>0</v>
      </c>
    </row>
    <row r="222" spans="1:5">
      <c r="A222" s="830">
        <v>4638</v>
      </c>
      <c r="B222" s="831" t="s">
        <v>1496</v>
      </c>
      <c r="C222" s="831" t="s">
        <v>1057</v>
      </c>
      <c r="D222" s="535">
        <v>-16436.96</v>
      </c>
      <c r="E222" s="831" t="b">
        <f>+ISERROR(MATCH(A222,'Linked TB'!$A$9:$A$722,0))</f>
        <v>0</v>
      </c>
    </row>
    <row r="223" spans="1:5">
      <c r="A223" s="830">
        <v>4639</v>
      </c>
      <c r="B223" s="831" t="s">
        <v>1497</v>
      </c>
      <c r="C223" s="831" t="s">
        <v>1057</v>
      </c>
      <c r="D223" s="535">
        <v>-433.96</v>
      </c>
      <c r="E223" s="831" t="b">
        <f>+ISERROR(MATCH(A223,'Linked TB'!$A$9:$A$722,0))</f>
        <v>0</v>
      </c>
    </row>
    <row r="224" spans="1:5">
      <c r="A224" s="835">
        <v>4659</v>
      </c>
      <c r="B224" s="834" t="s">
        <v>1813</v>
      </c>
      <c r="C224" s="834" t="s">
        <v>1057</v>
      </c>
      <c r="D224" s="1336">
        <v>78303</v>
      </c>
      <c r="E224" s="831" t="b">
        <f>+ISERROR(MATCH(A224,'Linked TB'!$A$9:$A$722,0))</f>
        <v>0</v>
      </c>
    </row>
    <row r="225" spans="1:6">
      <c r="A225" s="830">
        <v>4661</v>
      </c>
      <c r="B225" s="831" t="s">
        <v>1308</v>
      </c>
      <c r="C225" s="831" t="s">
        <v>1057</v>
      </c>
      <c r="D225" s="535">
        <v>177.09</v>
      </c>
      <c r="E225" s="831" t="b">
        <f>+ISERROR(MATCH(A225,'Linked TB'!$A$9:$A$722,0))</f>
        <v>0</v>
      </c>
    </row>
    <row r="226" spans="1:6">
      <c r="A226" s="832">
        <v>4685</v>
      </c>
      <c r="B226" s="831" t="s">
        <v>1498</v>
      </c>
      <c r="C226" s="833" t="s">
        <v>1057</v>
      </c>
      <c r="D226" s="535">
        <v>-5274.48</v>
      </c>
      <c r="E226" s="831" t="b">
        <f>+ISERROR(MATCH(A226,'Linked TB'!$A$9:$A$722,0))</f>
        <v>0</v>
      </c>
    </row>
    <row r="227" spans="1:6">
      <c r="A227" s="832">
        <v>4760</v>
      </c>
      <c r="B227" s="831" t="s">
        <v>1499</v>
      </c>
      <c r="C227" s="833" t="s">
        <v>1057</v>
      </c>
      <c r="D227" s="535">
        <v>-1000</v>
      </c>
      <c r="E227" s="831" t="b">
        <f>+ISERROR(MATCH(A227,'Linked TB'!$A$9:$A$722,0))</f>
        <v>0</v>
      </c>
    </row>
    <row r="228" spans="1:6">
      <c r="A228" s="832">
        <v>4780</v>
      </c>
      <c r="B228" s="831" t="s">
        <v>1500</v>
      </c>
      <c r="C228" s="833" t="s">
        <v>1057</v>
      </c>
      <c r="D228" s="535">
        <v>-2834076</v>
      </c>
      <c r="E228" s="831" t="b">
        <f>+ISERROR(MATCH(A228,'Linked TB'!$A$9:$A$722,0))</f>
        <v>0</v>
      </c>
    </row>
    <row r="229" spans="1:6">
      <c r="A229" s="832">
        <v>4785</v>
      </c>
      <c r="B229" s="831" t="s">
        <v>1501</v>
      </c>
      <c r="C229" s="833" t="s">
        <v>1057</v>
      </c>
      <c r="D229" s="535">
        <v>-2233865.41</v>
      </c>
      <c r="E229" s="831" t="b">
        <f>+ISERROR(MATCH(A229,'Linked TB'!$A$9:$A$722,0))</f>
        <v>0</v>
      </c>
    </row>
    <row r="230" spans="1:6">
      <c r="A230" s="832">
        <v>4998</v>
      </c>
      <c r="B230" s="831" t="s">
        <v>1502</v>
      </c>
      <c r="C230" s="833" t="s">
        <v>1057</v>
      </c>
      <c r="D230" s="535">
        <v>872372.55</v>
      </c>
      <c r="E230" s="831" t="b">
        <f>+ISERROR(MATCH(A230,'Linked TB'!$A$9:$A$722,0))</f>
        <v>0</v>
      </c>
      <c r="F230" s="1345"/>
    </row>
    <row r="231" spans="1:6">
      <c r="A231" s="832">
        <v>5025</v>
      </c>
      <c r="B231" s="833" t="s">
        <v>1503</v>
      </c>
      <c r="C231" s="833" t="s">
        <v>1146</v>
      </c>
      <c r="D231" s="535">
        <v>-1374241.23</v>
      </c>
      <c r="E231" s="831" t="b">
        <f>+ISERROR(MATCH(A231,'Linked TB'!$A$9:$A$722,0))</f>
        <v>0</v>
      </c>
      <c r="F231" s="1346"/>
    </row>
    <row r="232" spans="1:6">
      <c r="A232" s="832">
        <v>5030</v>
      </c>
      <c r="B232" s="833" t="s">
        <v>1504</v>
      </c>
      <c r="C232" s="833" t="s">
        <v>1146</v>
      </c>
      <c r="D232" s="535">
        <v>-632.45000000000005</v>
      </c>
      <c r="E232" s="831" t="b">
        <f>+ISERROR(MATCH(A232,'Linked TB'!$A$9:$A$722,0))</f>
        <v>0</v>
      </c>
    </row>
    <row r="233" spans="1:6">
      <c r="A233" s="832">
        <v>5035</v>
      </c>
      <c r="B233" s="833" t="s">
        <v>1505</v>
      </c>
      <c r="C233" s="831" t="s">
        <v>1146</v>
      </c>
      <c r="D233" s="535">
        <v>-388865.35000000003</v>
      </c>
      <c r="E233" s="831" t="b">
        <f>+ISERROR(MATCH(A233,'Linked TB'!$A$9:$A$722,0))</f>
        <v>0</v>
      </c>
    </row>
    <row r="234" spans="1:6">
      <c r="A234" s="832">
        <v>5040</v>
      </c>
      <c r="B234" s="833" t="s">
        <v>1506</v>
      </c>
      <c r="C234" s="831" t="s">
        <v>1146</v>
      </c>
      <c r="D234" s="535">
        <v>-145279.12</v>
      </c>
      <c r="E234" s="831" t="b">
        <f>+ISERROR(MATCH(A234,'Linked TB'!$A$9:$A$722,0))</f>
        <v>0</v>
      </c>
    </row>
    <row r="235" spans="1:6">
      <c r="A235" s="832">
        <v>5045</v>
      </c>
      <c r="B235" s="833" t="s">
        <v>1507</v>
      </c>
      <c r="C235" s="831" t="s">
        <v>1146</v>
      </c>
      <c r="D235" s="535">
        <v>-112853.73999999999</v>
      </c>
      <c r="E235" s="831" t="b">
        <f>+ISERROR(MATCH(A235,'Linked TB'!$A$9:$A$722,0))</f>
        <v>0</v>
      </c>
    </row>
    <row r="236" spans="1:6">
      <c r="A236" s="832">
        <v>5050</v>
      </c>
      <c r="B236" s="833" t="s">
        <v>1508</v>
      </c>
      <c r="C236" s="831" t="s">
        <v>1146</v>
      </c>
      <c r="D236" s="535">
        <v>-10467.65</v>
      </c>
      <c r="E236" s="831" t="b">
        <f>+ISERROR(MATCH(A236,'Linked TB'!$A$9:$A$722,0))</f>
        <v>0</v>
      </c>
    </row>
    <row r="237" spans="1:6">
      <c r="A237" s="832">
        <v>5060</v>
      </c>
      <c r="B237" s="833" t="s">
        <v>1509</v>
      </c>
      <c r="C237" s="831" t="s">
        <v>1146</v>
      </c>
      <c r="D237" s="535">
        <v>-34111.86</v>
      </c>
      <c r="E237" s="831" t="b">
        <f>+ISERROR(MATCH(A237,'Linked TB'!$A$9:$A$722,0))</f>
        <v>0</v>
      </c>
    </row>
    <row r="238" spans="1:6">
      <c r="A238" s="832">
        <v>5100</v>
      </c>
      <c r="B238" s="833" t="s">
        <v>1510</v>
      </c>
      <c r="C238" s="831" t="s">
        <v>1146</v>
      </c>
      <c r="D238" s="535">
        <v>0</v>
      </c>
      <c r="E238" s="831" t="b">
        <f>+ISERROR(MATCH(A238,'Linked TB'!$A$9:$A$722,0))</f>
        <v>0</v>
      </c>
    </row>
    <row r="239" spans="1:6">
      <c r="A239" s="832">
        <v>5105</v>
      </c>
      <c r="B239" s="833" t="s">
        <v>1511</v>
      </c>
      <c r="C239" s="831" t="s">
        <v>1146</v>
      </c>
      <c r="D239" s="535">
        <v>0</v>
      </c>
      <c r="E239" s="831" t="b">
        <f>+ISERROR(MATCH(A239,'Linked TB'!$A$9:$A$722,0))</f>
        <v>0</v>
      </c>
    </row>
    <row r="240" spans="1:6">
      <c r="A240" s="832">
        <v>5265</v>
      </c>
      <c r="B240" s="833" t="s">
        <v>1512</v>
      </c>
      <c r="C240" s="831" t="s">
        <v>1146</v>
      </c>
      <c r="D240" s="535">
        <v>0</v>
      </c>
      <c r="E240" s="831" t="b">
        <f>+ISERROR(MATCH(A240,'Linked TB'!$A$9:$A$722,0))</f>
        <v>0</v>
      </c>
    </row>
    <row r="241" spans="1:5">
      <c r="A241" s="832">
        <v>5270</v>
      </c>
      <c r="B241" s="833" t="s">
        <v>1513</v>
      </c>
      <c r="C241" s="831" t="s">
        <v>1146</v>
      </c>
      <c r="D241" s="535">
        <v>-2004.35</v>
      </c>
      <c r="E241" s="831" t="b">
        <f>+ISERROR(MATCH(A241,'Linked TB'!$A$9:$A$722,0))</f>
        <v>0</v>
      </c>
    </row>
    <row r="242" spans="1:5">
      <c r="A242" s="832">
        <v>5285</v>
      </c>
      <c r="B242" s="833" t="s">
        <v>1514</v>
      </c>
      <c r="C242" s="831" t="s">
        <v>1146</v>
      </c>
      <c r="D242" s="535">
        <v>-71190.5</v>
      </c>
      <c r="E242" s="831" t="b">
        <f>+ISERROR(MATCH(A242,'Linked TB'!$A$9:$A$722,0))</f>
        <v>0</v>
      </c>
    </row>
    <row r="243" spans="1:5">
      <c r="A243" s="832">
        <v>5390</v>
      </c>
      <c r="B243" s="833" t="s">
        <v>1515</v>
      </c>
      <c r="C243" s="831" t="s">
        <v>1146</v>
      </c>
      <c r="D243" s="535">
        <v>0</v>
      </c>
      <c r="E243" s="831" t="b">
        <f>+ISERROR(MATCH(A243,'Linked TB'!$A$9:$A$722,0))</f>
        <v>0</v>
      </c>
    </row>
    <row r="244" spans="1:5">
      <c r="A244" s="832">
        <v>5405</v>
      </c>
      <c r="B244" s="833" t="s">
        <v>1516</v>
      </c>
      <c r="C244" s="831" t="s">
        <v>1146</v>
      </c>
      <c r="D244" s="535">
        <v>-153284.51999999999</v>
      </c>
      <c r="E244" s="831" t="b">
        <f>+ISERROR(MATCH(A244,'Linked TB'!$A$9:$A$722,0))</f>
        <v>0</v>
      </c>
    </row>
    <row r="245" spans="1:5">
      <c r="A245" s="832">
        <v>5435</v>
      </c>
      <c r="B245" s="833" t="s">
        <v>938</v>
      </c>
      <c r="C245" s="831" t="s">
        <v>1146</v>
      </c>
      <c r="D245" s="535">
        <v>85200</v>
      </c>
      <c r="E245" s="831" t="b">
        <f>+ISERROR(MATCH(A245,'Linked TB'!$A$9:$A$722,0))</f>
        <v>0</v>
      </c>
    </row>
    <row r="246" spans="1:5">
      <c r="A246" s="832">
        <v>5460</v>
      </c>
      <c r="B246" s="833" t="s">
        <v>942</v>
      </c>
      <c r="C246" s="831" t="s">
        <v>1146</v>
      </c>
      <c r="D246" s="535">
        <v>0</v>
      </c>
      <c r="E246" s="831" t="b">
        <f>+ISERROR(MATCH(A246,'Linked TB'!$A$9:$A$722,0))</f>
        <v>0</v>
      </c>
    </row>
    <row r="247" spans="1:5">
      <c r="A247" s="832">
        <v>5465</v>
      </c>
      <c r="B247" s="833" t="s">
        <v>943</v>
      </c>
      <c r="C247" s="831" t="s">
        <v>1146</v>
      </c>
      <c r="D247" s="535">
        <v>82607.659999999989</v>
      </c>
      <c r="E247" s="831" t="b">
        <f>+ISERROR(MATCH(A247,'Linked TB'!$A$9:$A$722,0))</f>
        <v>0</v>
      </c>
    </row>
    <row r="248" spans="1:5">
      <c r="A248" s="832">
        <v>5470</v>
      </c>
      <c r="B248" s="833" t="s">
        <v>947</v>
      </c>
      <c r="C248" s="831" t="s">
        <v>1146</v>
      </c>
      <c r="D248" s="535">
        <v>12503.38</v>
      </c>
      <c r="E248" s="831" t="b">
        <f>+ISERROR(MATCH(A248,'Linked TB'!$A$9:$A$722,0))</f>
        <v>0</v>
      </c>
    </row>
    <row r="249" spans="1:5">
      <c r="A249" s="832">
        <v>5480</v>
      </c>
      <c r="B249" s="833" t="s">
        <v>952</v>
      </c>
      <c r="C249" s="831" t="s">
        <v>1146</v>
      </c>
      <c r="D249" s="535">
        <v>57148.34</v>
      </c>
      <c r="E249" s="831" t="b">
        <f>+ISERROR(MATCH(A249,'Linked TB'!$A$9:$A$722,0))</f>
        <v>0</v>
      </c>
    </row>
    <row r="250" spans="1:5">
      <c r="A250" s="832">
        <v>5490</v>
      </c>
      <c r="B250" s="833" t="s">
        <v>954</v>
      </c>
      <c r="C250" s="831" t="s">
        <v>1146</v>
      </c>
      <c r="D250" s="535">
        <v>88272.81</v>
      </c>
      <c r="E250" s="831" t="b">
        <f>+ISERROR(MATCH(A250,'Linked TB'!$A$9:$A$722,0))</f>
        <v>0</v>
      </c>
    </row>
    <row r="251" spans="1:5">
      <c r="A251" s="832">
        <v>5495</v>
      </c>
      <c r="B251" s="833" t="s">
        <v>955</v>
      </c>
      <c r="C251" s="831" t="s">
        <v>1146</v>
      </c>
      <c r="D251" s="535">
        <v>0</v>
      </c>
      <c r="E251" s="831" t="b">
        <f>+ISERROR(MATCH(A251,'Linked TB'!$A$9:$A$722,0))</f>
        <v>0</v>
      </c>
    </row>
    <row r="252" spans="1:5">
      <c r="A252" s="832">
        <v>5505</v>
      </c>
      <c r="B252" s="833" t="s">
        <v>956</v>
      </c>
      <c r="C252" s="831" t="s">
        <v>1146</v>
      </c>
      <c r="D252" s="535">
        <v>627.9</v>
      </c>
      <c r="E252" s="831" t="b">
        <f>+ISERROR(MATCH(A252,'Linked TB'!$A$9:$A$722,0))</f>
        <v>0</v>
      </c>
    </row>
    <row r="253" spans="1:5">
      <c r="A253" s="832">
        <v>5510</v>
      </c>
      <c r="B253" s="833" t="s">
        <v>957</v>
      </c>
      <c r="C253" s="831" t="s">
        <v>1146</v>
      </c>
      <c r="D253" s="535">
        <v>42594.63</v>
      </c>
      <c r="E253" s="831" t="b">
        <f>+ISERROR(MATCH(A253,'Linked TB'!$A$9:$A$722,0))</f>
        <v>0</v>
      </c>
    </row>
    <row r="254" spans="1:5">
      <c r="A254" s="832">
        <v>5515</v>
      </c>
      <c r="B254" s="833" t="s">
        <v>958</v>
      </c>
      <c r="C254" s="831" t="s">
        <v>1146</v>
      </c>
      <c r="D254" s="535">
        <v>-5869.4</v>
      </c>
      <c r="E254" s="831" t="b">
        <f>+ISERROR(MATCH(A254,'Linked TB'!$A$9:$A$722,0))</f>
        <v>0</v>
      </c>
    </row>
    <row r="255" spans="1:5">
      <c r="A255" s="832">
        <v>5525</v>
      </c>
      <c r="B255" s="833" t="s">
        <v>959</v>
      </c>
      <c r="C255" s="831" t="s">
        <v>1146</v>
      </c>
      <c r="D255" s="535">
        <v>746.88</v>
      </c>
      <c r="E255" s="831" t="b">
        <f>+ISERROR(MATCH(A255,'Linked TB'!$A$9:$A$722,0))</f>
        <v>0</v>
      </c>
    </row>
    <row r="256" spans="1:5">
      <c r="A256" s="832">
        <v>5530</v>
      </c>
      <c r="B256" s="833" t="s">
        <v>960</v>
      </c>
      <c r="C256" s="831" t="s">
        <v>1146</v>
      </c>
      <c r="D256" s="535">
        <v>0</v>
      </c>
      <c r="E256" s="831" t="b">
        <f>+ISERROR(MATCH(A256,'Linked TB'!$A$9:$A$722,0))</f>
        <v>0</v>
      </c>
    </row>
    <row r="257" spans="1:5">
      <c r="A257" s="832">
        <v>5535</v>
      </c>
      <c r="B257" s="833" t="s">
        <v>961</v>
      </c>
      <c r="C257" s="831" t="s">
        <v>1146</v>
      </c>
      <c r="D257" s="535">
        <v>1327.42</v>
      </c>
      <c r="E257" s="831" t="b">
        <f>+ISERROR(MATCH(A257,'Linked TB'!$A$9:$A$722,0))</f>
        <v>0</v>
      </c>
    </row>
    <row r="258" spans="1:5">
      <c r="A258" s="832">
        <v>5540</v>
      </c>
      <c r="B258" s="833" t="s">
        <v>962</v>
      </c>
      <c r="C258" s="831" t="s">
        <v>1146</v>
      </c>
      <c r="D258" s="535">
        <v>20542.280000000002</v>
      </c>
      <c r="E258" s="831" t="b">
        <f>+ISERROR(MATCH(A258,'Linked TB'!$A$9:$A$722,0))</f>
        <v>0</v>
      </c>
    </row>
    <row r="259" spans="1:5">
      <c r="A259" s="832">
        <v>5545</v>
      </c>
      <c r="B259" s="833" t="s">
        <v>963</v>
      </c>
      <c r="C259" s="833" t="s">
        <v>1146</v>
      </c>
      <c r="D259" s="535">
        <v>768.29000000000008</v>
      </c>
      <c r="E259" s="831" t="b">
        <f>+ISERROR(MATCH(A259,'Linked TB'!$A$9:$A$722,0))</f>
        <v>0</v>
      </c>
    </row>
    <row r="260" spans="1:5">
      <c r="A260" s="832">
        <v>5625</v>
      </c>
      <c r="B260" s="833" t="s">
        <v>1517</v>
      </c>
      <c r="C260" s="833" t="s">
        <v>1146</v>
      </c>
      <c r="D260" s="535">
        <v>21871.15</v>
      </c>
      <c r="E260" s="831" t="b">
        <f>+ISERROR(MATCH(A260,'Linked TB'!$A$9:$A$722,0))</f>
        <v>0</v>
      </c>
    </row>
    <row r="261" spans="1:5">
      <c r="A261" s="832">
        <v>5630</v>
      </c>
      <c r="B261" s="833" t="s">
        <v>1518</v>
      </c>
      <c r="C261" s="833" t="s">
        <v>1146</v>
      </c>
      <c r="D261" s="535">
        <v>16013.77</v>
      </c>
      <c r="E261" s="831" t="b">
        <f>+ISERROR(MATCH(A261,'Linked TB'!$A$9:$A$722,0))</f>
        <v>0</v>
      </c>
    </row>
    <row r="262" spans="1:5">
      <c r="A262" s="832">
        <v>5635</v>
      </c>
      <c r="B262" s="833" t="s">
        <v>966</v>
      </c>
      <c r="C262" s="833" t="s">
        <v>1146</v>
      </c>
      <c r="D262" s="535">
        <v>3666.57</v>
      </c>
      <c r="E262" s="831" t="b">
        <f>+ISERROR(MATCH(A262,'Linked TB'!$A$9:$A$722,0))</f>
        <v>0</v>
      </c>
    </row>
    <row r="263" spans="1:5">
      <c r="A263" s="832">
        <v>5645</v>
      </c>
      <c r="B263" s="833" t="s">
        <v>469</v>
      </c>
      <c r="C263" s="833" t="s">
        <v>1146</v>
      </c>
      <c r="D263" s="535">
        <v>-24112.959999999999</v>
      </c>
      <c r="E263" s="831" t="b">
        <f>+ISERROR(MATCH(A263,'Linked TB'!$A$9:$A$722,0))</f>
        <v>0</v>
      </c>
    </row>
    <row r="264" spans="1:5">
      <c r="A264" s="832">
        <v>5650</v>
      </c>
      <c r="B264" s="833" t="s">
        <v>470</v>
      </c>
      <c r="C264" s="833" t="s">
        <v>1146</v>
      </c>
      <c r="D264" s="535">
        <v>1672.29</v>
      </c>
      <c r="E264" s="831" t="b">
        <f>+ISERROR(MATCH(A264,'Linked TB'!$A$9:$A$722,0))</f>
        <v>0</v>
      </c>
    </row>
    <row r="265" spans="1:5">
      <c r="A265" s="832">
        <v>5655</v>
      </c>
      <c r="B265" s="833" t="s">
        <v>471</v>
      </c>
      <c r="C265" s="833" t="s">
        <v>1146</v>
      </c>
      <c r="D265" s="535">
        <v>90264.98</v>
      </c>
      <c r="E265" s="831" t="b">
        <f>+ISERROR(MATCH(A265,'Linked TB'!$A$9:$A$722,0))</f>
        <v>0</v>
      </c>
    </row>
    <row r="266" spans="1:5">
      <c r="A266" s="832">
        <v>5660</v>
      </c>
      <c r="B266" s="833" t="s">
        <v>472</v>
      </c>
      <c r="C266" s="833" t="s">
        <v>1146</v>
      </c>
      <c r="D266" s="535">
        <v>798.62</v>
      </c>
      <c r="E266" s="831" t="b">
        <f>+ISERROR(MATCH(A266,'Linked TB'!$A$9:$A$722,0))</f>
        <v>0</v>
      </c>
    </row>
    <row r="267" spans="1:5">
      <c r="A267" s="832">
        <v>5665</v>
      </c>
      <c r="B267" s="833" t="s">
        <v>1519</v>
      </c>
      <c r="C267" s="833" t="s">
        <v>1146</v>
      </c>
      <c r="D267" s="535">
        <v>7556.88</v>
      </c>
      <c r="E267" s="831" t="b">
        <f>+ISERROR(MATCH(A267,'Linked TB'!$A$9:$A$722,0))</f>
        <v>0</v>
      </c>
    </row>
    <row r="268" spans="1:5">
      <c r="A268" s="832">
        <v>5670</v>
      </c>
      <c r="B268" s="833" t="s">
        <v>474</v>
      </c>
      <c r="C268" s="833" t="s">
        <v>1146</v>
      </c>
      <c r="D268" s="535">
        <v>5226.7299999999996</v>
      </c>
      <c r="E268" s="831" t="b">
        <f>+ISERROR(MATCH(A268,'Linked TB'!$A$9:$A$722,0))</f>
        <v>0</v>
      </c>
    </row>
    <row r="269" spans="1:5">
      <c r="A269" s="832">
        <v>5675</v>
      </c>
      <c r="B269" s="833" t="s">
        <v>1080</v>
      </c>
      <c r="C269" s="833" t="s">
        <v>1146</v>
      </c>
      <c r="D269" s="535">
        <v>-636.65</v>
      </c>
      <c r="E269" s="831" t="b">
        <f>+ISERROR(MATCH(A269,'Linked TB'!$A$9:$A$722,0))</f>
        <v>0</v>
      </c>
    </row>
    <row r="270" spans="1:5">
      <c r="A270" s="832">
        <v>5680</v>
      </c>
      <c r="B270" s="833" t="s">
        <v>1081</v>
      </c>
      <c r="C270" s="833" t="s">
        <v>1146</v>
      </c>
      <c r="D270" s="535">
        <v>-403.07</v>
      </c>
      <c r="E270" s="831" t="b">
        <f>+ISERROR(MATCH(A270,'Linked TB'!$A$9:$A$722,0))</f>
        <v>0</v>
      </c>
    </row>
    <row r="271" spans="1:5">
      <c r="A271" s="832">
        <v>5690</v>
      </c>
      <c r="B271" s="833" t="s">
        <v>1083</v>
      </c>
      <c r="C271" s="833" t="s">
        <v>1146</v>
      </c>
      <c r="D271" s="535">
        <v>222.73</v>
      </c>
      <c r="E271" s="831" t="b">
        <f>+ISERROR(MATCH(A271,'Linked TB'!$A$9:$A$722,0))</f>
        <v>0</v>
      </c>
    </row>
    <row r="272" spans="1:5">
      <c r="A272" s="832">
        <v>5715</v>
      </c>
      <c r="B272" s="833" t="s">
        <v>1087</v>
      </c>
      <c r="C272" s="833" t="s">
        <v>1146</v>
      </c>
      <c r="D272" s="535">
        <v>63191.840000000004</v>
      </c>
      <c r="E272" s="831" t="b">
        <f>+ISERROR(MATCH(A272,'Linked TB'!$A$9:$A$722,0))</f>
        <v>0</v>
      </c>
    </row>
    <row r="273" spans="1:5">
      <c r="A273" s="832">
        <v>5735</v>
      </c>
      <c r="B273" s="833" t="s">
        <v>1088</v>
      </c>
      <c r="C273" s="833" t="s">
        <v>1146</v>
      </c>
      <c r="D273" s="535">
        <v>39418.639999999999</v>
      </c>
      <c r="E273" s="831" t="b">
        <f>+ISERROR(MATCH(A273,'Linked TB'!$A$9:$A$722,0))</f>
        <v>0</v>
      </c>
    </row>
    <row r="274" spans="1:5">
      <c r="A274" s="832">
        <v>5740</v>
      </c>
      <c r="B274" s="833" t="s">
        <v>1089</v>
      </c>
      <c r="C274" s="833" t="s">
        <v>1146</v>
      </c>
      <c r="D274" s="535">
        <v>852.64</v>
      </c>
      <c r="E274" s="831" t="b">
        <f>+ISERROR(MATCH(A274,'Linked TB'!$A$9:$A$722,0))</f>
        <v>0</v>
      </c>
    </row>
    <row r="275" spans="1:5">
      <c r="A275" s="832">
        <v>5745</v>
      </c>
      <c r="B275" s="833" t="s">
        <v>1090</v>
      </c>
      <c r="C275" s="833" t="s">
        <v>1146</v>
      </c>
      <c r="D275" s="535">
        <v>0</v>
      </c>
      <c r="E275" s="831" t="b">
        <f>+ISERROR(MATCH(A275,'Linked TB'!$A$9:$A$722,0))</f>
        <v>0</v>
      </c>
    </row>
    <row r="276" spans="1:5">
      <c r="A276" s="832">
        <v>5750</v>
      </c>
      <c r="B276" s="833" t="s">
        <v>1091</v>
      </c>
      <c r="C276" s="833" t="s">
        <v>1146</v>
      </c>
      <c r="D276" s="535">
        <v>3813.82</v>
      </c>
      <c r="E276" s="831" t="b">
        <f>+ISERROR(MATCH(A276,'Linked TB'!$A$9:$A$722,0))</f>
        <v>0</v>
      </c>
    </row>
    <row r="277" spans="1:5">
      <c r="A277" s="832">
        <v>5755</v>
      </c>
      <c r="B277" s="833" t="s">
        <v>1092</v>
      </c>
      <c r="C277" s="833" t="s">
        <v>1146</v>
      </c>
      <c r="D277" s="535">
        <v>0</v>
      </c>
      <c r="E277" s="831" t="b">
        <f>+ISERROR(MATCH(A277,'Linked TB'!$A$9:$A$722,0))</f>
        <v>0</v>
      </c>
    </row>
    <row r="278" spans="1:5">
      <c r="A278" s="830">
        <v>5785</v>
      </c>
      <c r="B278" s="831" t="s">
        <v>1094</v>
      </c>
      <c r="C278" s="831" t="s">
        <v>1146</v>
      </c>
      <c r="D278" s="535">
        <v>160.16</v>
      </c>
      <c r="E278" s="831" t="b">
        <f>+ISERROR(MATCH(A278,'Linked TB'!$A$9:$A$722,0))</f>
        <v>0</v>
      </c>
    </row>
    <row r="279" spans="1:5">
      <c r="A279" s="830">
        <v>5790</v>
      </c>
      <c r="B279" s="831" t="s">
        <v>1095</v>
      </c>
      <c r="C279" s="831" t="s">
        <v>1146</v>
      </c>
      <c r="D279" s="535">
        <v>2463.13</v>
      </c>
      <c r="E279" s="831" t="b">
        <f>+ISERROR(MATCH(A279,'Linked TB'!$A$9:$A$722,0))</f>
        <v>0</v>
      </c>
    </row>
    <row r="280" spans="1:5">
      <c r="A280" s="835">
        <v>5795</v>
      </c>
      <c r="B280" s="834" t="s">
        <v>1096</v>
      </c>
      <c r="C280" s="834" t="s">
        <v>1146</v>
      </c>
      <c r="D280" s="1336">
        <v>340.19</v>
      </c>
      <c r="E280" s="831" t="b">
        <f>+ISERROR(MATCH(A280,'Linked TB'!$A$9:$A$722,0))</f>
        <v>0</v>
      </c>
    </row>
    <row r="281" spans="1:5">
      <c r="A281" s="830">
        <v>5800</v>
      </c>
      <c r="B281" s="831" t="s">
        <v>1097</v>
      </c>
      <c r="C281" s="831" t="s">
        <v>1146</v>
      </c>
      <c r="D281" s="535">
        <v>0</v>
      </c>
      <c r="E281" s="831" t="b">
        <f>+ISERROR(MATCH(A281,'Linked TB'!$A$9:$A$722,0))</f>
        <v>0</v>
      </c>
    </row>
    <row r="282" spans="1:5">
      <c r="A282" s="830">
        <v>5805</v>
      </c>
      <c r="B282" s="831" t="s">
        <v>1098</v>
      </c>
      <c r="C282" s="831" t="s">
        <v>1146</v>
      </c>
      <c r="D282" s="535">
        <v>706.94999999999993</v>
      </c>
      <c r="E282" s="831" t="b">
        <f>+ISERROR(MATCH(A282,'Linked TB'!$A$9:$A$722,0))</f>
        <v>0</v>
      </c>
    </row>
    <row r="283" spans="1:5">
      <c r="A283" s="830">
        <v>5810</v>
      </c>
      <c r="B283" s="831" t="s">
        <v>1099</v>
      </c>
      <c r="C283" s="831" t="s">
        <v>1146</v>
      </c>
      <c r="D283" s="535">
        <v>5374.7000000000007</v>
      </c>
      <c r="E283" s="831" t="b">
        <f>+ISERROR(MATCH(A283,'Linked TB'!$A$9:$A$722,0))</f>
        <v>0</v>
      </c>
    </row>
    <row r="284" spans="1:5">
      <c r="A284" s="830">
        <v>5815</v>
      </c>
      <c r="B284" s="831" t="s">
        <v>1100</v>
      </c>
      <c r="C284" s="831" t="s">
        <v>1146</v>
      </c>
      <c r="D284" s="535">
        <v>3.22</v>
      </c>
      <c r="E284" s="831" t="b">
        <f>+ISERROR(MATCH(A284,'Linked TB'!$A$9:$A$722,0))</f>
        <v>0</v>
      </c>
    </row>
    <row r="285" spans="1:5">
      <c r="A285" s="830">
        <v>5820</v>
      </c>
      <c r="B285" s="831" t="s">
        <v>1101</v>
      </c>
      <c r="C285" s="831" t="s">
        <v>1146</v>
      </c>
      <c r="D285" s="535">
        <v>2225.9499999999998</v>
      </c>
      <c r="E285" s="831" t="b">
        <f>+ISERROR(MATCH(A285,'Linked TB'!$A$9:$A$722,0))</f>
        <v>0</v>
      </c>
    </row>
    <row r="286" spans="1:5">
      <c r="A286" s="830">
        <v>5825</v>
      </c>
      <c r="B286" s="831" t="s">
        <v>1102</v>
      </c>
      <c r="C286" s="831" t="s">
        <v>1146</v>
      </c>
      <c r="D286" s="535">
        <v>1208.8899999999999</v>
      </c>
      <c r="E286" s="831" t="b">
        <f>+ISERROR(MATCH(A286,'Linked TB'!$A$9:$A$722,0))</f>
        <v>0</v>
      </c>
    </row>
    <row r="287" spans="1:5">
      <c r="A287" s="830">
        <v>5855</v>
      </c>
      <c r="B287" s="831" t="s">
        <v>1103</v>
      </c>
      <c r="C287" s="831" t="s">
        <v>1146</v>
      </c>
      <c r="D287" s="535">
        <v>879.31999999999994</v>
      </c>
      <c r="E287" s="831" t="b">
        <f>+ISERROR(MATCH(A287,'Linked TB'!$A$9:$A$722,0))</f>
        <v>0</v>
      </c>
    </row>
    <row r="288" spans="1:5">
      <c r="A288" s="830">
        <v>5860</v>
      </c>
      <c r="B288" s="831" t="s">
        <v>1104</v>
      </c>
      <c r="C288" s="831" t="s">
        <v>1146</v>
      </c>
      <c r="D288" s="535">
        <v>896.5</v>
      </c>
      <c r="E288" s="831" t="b">
        <f>+ISERROR(MATCH(A288,'Linked TB'!$A$9:$A$722,0))</f>
        <v>0</v>
      </c>
    </row>
    <row r="289" spans="1:5">
      <c r="A289" s="830">
        <v>5865</v>
      </c>
      <c r="B289" s="831" t="s">
        <v>1105</v>
      </c>
      <c r="C289" s="831" t="s">
        <v>1146</v>
      </c>
      <c r="D289" s="535">
        <v>1500.49</v>
      </c>
      <c r="E289" s="831" t="b">
        <f>+ISERROR(MATCH(A289,'Linked TB'!$A$9:$A$722,0))</f>
        <v>0</v>
      </c>
    </row>
    <row r="290" spans="1:5">
      <c r="A290" s="830">
        <v>5870</v>
      </c>
      <c r="B290" s="831" t="s">
        <v>1106</v>
      </c>
      <c r="C290" s="831" t="s">
        <v>1146</v>
      </c>
      <c r="D290" s="535">
        <v>157.02999999999997</v>
      </c>
      <c r="E290" s="831" t="b">
        <f>+ISERROR(MATCH(A290,'Linked TB'!$A$9:$A$722,0))</f>
        <v>0</v>
      </c>
    </row>
    <row r="291" spans="1:5">
      <c r="A291" s="830">
        <v>5875</v>
      </c>
      <c r="B291" s="831" t="s">
        <v>1107</v>
      </c>
      <c r="C291" s="831" t="s">
        <v>1146</v>
      </c>
      <c r="D291" s="535">
        <v>114.72</v>
      </c>
      <c r="E291" s="831" t="b">
        <f>+ISERROR(MATCH(A291,'Linked TB'!$A$9:$A$722,0))</f>
        <v>0</v>
      </c>
    </row>
    <row r="292" spans="1:5">
      <c r="A292" s="830">
        <v>5880</v>
      </c>
      <c r="B292" s="831" t="s">
        <v>1108</v>
      </c>
      <c r="C292" s="831" t="s">
        <v>1146</v>
      </c>
      <c r="D292" s="535">
        <v>1015.3</v>
      </c>
      <c r="E292" s="831" t="b">
        <f>+ISERROR(MATCH(A292,'Linked TB'!$A$9:$A$722,0))</f>
        <v>0</v>
      </c>
    </row>
    <row r="293" spans="1:5">
      <c r="A293" s="830">
        <v>5885</v>
      </c>
      <c r="B293" s="831" t="s">
        <v>1109</v>
      </c>
      <c r="C293" s="831" t="s">
        <v>1146</v>
      </c>
      <c r="D293" s="535">
        <v>375.46</v>
      </c>
      <c r="E293" s="831" t="b">
        <f>+ISERROR(MATCH(A293,'Linked TB'!$A$9:$A$722,0))</f>
        <v>0</v>
      </c>
    </row>
    <row r="294" spans="1:5">
      <c r="A294" s="830">
        <v>5890</v>
      </c>
      <c r="B294" s="831" t="s">
        <v>1110</v>
      </c>
      <c r="C294" s="831" t="s">
        <v>1146</v>
      </c>
      <c r="D294" s="535">
        <v>134.04</v>
      </c>
      <c r="E294" s="831" t="b">
        <f>+ISERROR(MATCH(A294,'Linked TB'!$A$9:$A$722,0))</f>
        <v>0</v>
      </c>
    </row>
    <row r="295" spans="1:5">
      <c r="A295" s="830">
        <v>5895</v>
      </c>
      <c r="B295" s="831" t="s">
        <v>1111</v>
      </c>
      <c r="C295" s="831" t="s">
        <v>1146</v>
      </c>
      <c r="D295" s="535">
        <v>5799.16</v>
      </c>
      <c r="E295" s="831" t="b">
        <f>+ISERROR(MATCH(A295,'Linked TB'!$A$9:$A$722,0))</f>
        <v>0</v>
      </c>
    </row>
    <row r="296" spans="1:5">
      <c r="A296" s="830">
        <v>5900</v>
      </c>
      <c r="B296" s="831" t="s">
        <v>1112</v>
      </c>
      <c r="C296" s="831" t="s">
        <v>1146</v>
      </c>
      <c r="D296" s="535">
        <v>1268.44</v>
      </c>
      <c r="E296" s="831" t="b">
        <f>+ISERROR(MATCH(A296,'Linked TB'!$A$9:$A$722,0))</f>
        <v>0</v>
      </c>
    </row>
    <row r="297" spans="1:5">
      <c r="A297" s="830">
        <v>5930</v>
      </c>
      <c r="B297" s="831" t="s">
        <v>1113</v>
      </c>
      <c r="C297" s="831" t="s">
        <v>1146</v>
      </c>
      <c r="D297" s="535">
        <v>2118.54</v>
      </c>
      <c r="E297" s="831" t="b">
        <f>+ISERROR(MATCH(A297,'Linked TB'!$A$9:$A$722,0))</f>
        <v>0</v>
      </c>
    </row>
    <row r="298" spans="1:5">
      <c r="A298" s="830">
        <v>5935</v>
      </c>
      <c r="B298" s="831" t="s">
        <v>1114</v>
      </c>
      <c r="C298" s="831" t="s">
        <v>1146</v>
      </c>
      <c r="D298" s="535">
        <v>1066.32</v>
      </c>
      <c r="E298" s="831" t="b">
        <f>+ISERROR(MATCH(A298,'Linked TB'!$A$9:$A$722,0))</f>
        <v>0</v>
      </c>
    </row>
    <row r="299" spans="1:5">
      <c r="A299" s="830">
        <v>5940</v>
      </c>
      <c r="B299" s="831" t="s">
        <v>1115</v>
      </c>
      <c r="C299" s="831" t="s">
        <v>1146</v>
      </c>
      <c r="D299" s="535">
        <v>1476.79</v>
      </c>
      <c r="E299" s="831" t="b">
        <f>+ISERROR(MATCH(A299,'Linked TB'!$A$9:$A$722,0))</f>
        <v>0</v>
      </c>
    </row>
    <row r="300" spans="1:5">
      <c r="A300" s="830">
        <v>5945</v>
      </c>
      <c r="B300" s="831" t="s">
        <v>1116</v>
      </c>
      <c r="C300" s="831" t="s">
        <v>1146</v>
      </c>
      <c r="D300" s="535">
        <v>33237.160000000003</v>
      </c>
      <c r="E300" s="831" t="b">
        <f>+ISERROR(MATCH(A300,'Linked TB'!$A$9:$A$722,0))</f>
        <v>0</v>
      </c>
    </row>
    <row r="301" spans="1:5">
      <c r="A301" s="830">
        <v>5950</v>
      </c>
      <c r="B301" s="831" t="s">
        <v>1117</v>
      </c>
      <c r="C301" s="831" t="s">
        <v>1146</v>
      </c>
      <c r="D301" s="535">
        <v>862.05000000000007</v>
      </c>
      <c r="E301" s="831" t="b">
        <f>+ISERROR(MATCH(A301,'Linked TB'!$A$9:$A$722,0))</f>
        <v>0</v>
      </c>
    </row>
    <row r="302" spans="1:5">
      <c r="A302" s="830">
        <v>5955</v>
      </c>
      <c r="B302" s="831" t="s">
        <v>1118</v>
      </c>
      <c r="C302" s="831" t="s">
        <v>1146</v>
      </c>
      <c r="D302" s="535">
        <v>6204.42</v>
      </c>
      <c r="E302" s="831" t="b">
        <f>+ISERROR(MATCH(A302,'Linked TB'!$A$9:$A$722,0))</f>
        <v>0</v>
      </c>
    </row>
    <row r="303" spans="1:5">
      <c r="A303" s="830">
        <v>5960</v>
      </c>
      <c r="B303" s="831" t="s">
        <v>1119</v>
      </c>
      <c r="C303" s="831" t="s">
        <v>1146</v>
      </c>
      <c r="D303" s="535">
        <v>2552.5100000000002</v>
      </c>
      <c r="E303" s="831" t="b">
        <f>+ISERROR(MATCH(A303,'Linked TB'!$A$9:$A$722,0))</f>
        <v>0</v>
      </c>
    </row>
    <row r="304" spans="1:5">
      <c r="A304" s="830">
        <v>5965</v>
      </c>
      <c r="B304" s="831" t="s">
        <v>1120</v>
      </c>
      <c r="C304" s="831" t="s">
        <v>1146</v>
      </c>
      <c r="D304" s="535">
        <v>1776.94</v>
      </c>
      <c r="E304" s="831" t="b">
        <f>+ISERROR(MATCH(A304,'Linked TB'!$A$9:$A$722,0))</f>
        <v>0</v>
      </c>
    </row>
    <row r="305" spans="1:5">
      <c r="A305" s="830">
        <v>5970</v>
      </c>
      <c r="B305" s="831" t="s">
        <v>1121</v>
      </c>
      <c r="C305" s="831" t="s">
        <v>1146</v>
      </c>
      <c r="D305" s="535">
        <v>3753.06</v>
      </c>
      <c r="E305" s="831" t="b">
        <f>+ISERROR(MATCH(A305,'Linked TB'!$A$9:$A$722,0))</f>
        <v>0</v>
      </c>
    </row>
    <row r="306" spans="1:5">
      <c r="A306" s="830">
        <v>5975</v>
      </c>
      <c r="B306" s="831" t="s">
        <v>312</v>
      </c>
      <c r="C306" s="831" t="s">
        <v>1146</v>
      </c>
      <c r="D306" s="535">
        <v>1221.96</v>
      </c>
      <c r="E306" s="831" t="b">
        <f>+ISERROR(MATCH(A306,'Linked TB'!$A$9:$A$722,0))</f>
        <v>0</v>
      </c>
    </row>
    <row r="307" spans="1:5">
      <c r="A307" s="830">
        <v>5980</v>
      </c>
      <c r="B307" s="831" t="s">
        <v>313</v>
      </c>
      <c r="C307" s="831" t="s">
        <v>1146</v>
      </c>
      <c r="D307" s="535">
        <v>3.0799999999999996</v>
      </c>
      <c r="E307" s="831" t="b">
        <f>+ISERROR(MATCH(A307,'Linked TB'!$A$9:$A$722,0))</f>
        <v>0</v>
      </c>
    </row>
    <row r="308" spans="1:5">
      <c r="A308" s="830">
        <v>5985</v>
      </c>
      <c r="B308" s="831" t="s">
        <v>314</v>
      </c>
      <c r="C308" s="831" t="s">
        <v>1146</v>
      </c>
      <c r="D308" s="535">
        <v>0</v>
      </c>
      <c r="E308" s="831" t="b">
        <f>+ISERROR(MATCH(A308,'Linked TB'!$A$9:$A$722,0))</f>
        <v>0</v>
      </c>
    </row>
    <row r="309" spans="1:5">
      <c r="A309" s="830">
        <v>6010</v>
      </c>
      <c r="B309" s="831" t="s">
        <v>316</v>
      </c>
      <c r="C309" s="831" t="s">
        <v>1146</v>
      </c>
      <c r="D309" s="535">
        <v>10636.880000000001</v>
      </c>
      <c r="E309" s="831" t="b">
        <f>+ISERROR(MATCH(A309,'Linked TB'!$A$9:$A$722,0))</f>
        <v>0</v>
      </c>
    </row>
    <row r="310" spans="1:5">
      <c r="A310" s="830">
        <v>6015</v>
      </c>
      <c r="B310" s="831" t="s">
        <v>317</v>
      </c>
      <c r="C310" s="831" t="s">
        <v>1146</v>
      </c>
      <c r="D310" s="535">
        <v>941.54</v>
      </c>
      <c r="E310" s="831" t="b">
        <f>+ISERROR(MATCH(A310,'Linked TB'!$A$9:$A$722,0))</f>
        <v>0</v>
      </c>
    </row>
    <row r="311" spans="1:5">
      <c r="A311" s="830">
        <v>6020</v>
      </c>
      <c r="B311" s="831" t="s">
        <v>318</v>
      </c>
      <c r="C311" s="831" t="s">
        <v>1146</v>
      </c>
      <c r="D311" s="535">
        <v>102.87</v>
      </c>
      <c r="E311" s="831" t="b">
        <f>+ISERROR(MATCH(A311,'Linked TB'!$A$9:$A$722,0))</f>
        <v>0</v>
      </c>
    </row>
    <row r="312" spans="1:5">
      <c r="A312" s="830">
        <v>6025</v>
      </c>
      <c r="B312" s="831" t="s">
        <v>319</v>
      </c>
      <c r="C312" s="831" t="s">
        <v>1146</v>
      </c>
      <c r="D312" s="535">
        <v>347.92</v>
      </c>
      <c r="E312" s="831" t="b">
        <f>+ISERROR(MATCH(A312,'Linked TB'!$A$9:$A$722,0))</f>
        <v>0</v>
      </c>
    </row>
    <row r="313" spans="1:5">
      <c r="A313" s="830">
        <v>6035</v>
      </c>
      <c r="B313" s="831" t="s">
        <v>321</v>
      </c>
      <c r="C313" s="831" t="s">
        <v>1146</v>
      </c>
      <c r="D313" s="535">
        <v>2279.14</v>
      </c>
      <c r="E313" s="831" t="b">
        <f>+ISERROR(MATCH(A313,'Linked TB'!$A$9:$A$722,0))</f>
        <v>0</v>
      </c>
    </row>
    <row r="314" spans="1:5">
      <c r="A314" s="830">
        <v>6040</v>
      </c>
      <c r="B314" s="831" t="s">
        <v>322</v>
      </c>
      <c r="C314" s="831" t="s">
        <v>1146</v>
      </c>
      <c r="D314" s="535">
        <v>4333.54</v>
      </c>
      <c r="E314" s="831" t="b">
        <f>+ISERROR(MATCH(A314,'Linked TB'!$A$9:$A$722,0))</f>
        <v>0</v>
      </c>
    </row>
    <row r="315" spans="1:5">
      <c r="A315" s="830">
        <v>6045</v>
      </c>
      <c r="B315" s="831" t="s">
        <v>323</v>
      </c>
      <c r="C315" s="831" t="s">
        <v>1146</v>
      </c>
      <c r="D315" s="535">
        <v>1452.58</v>
      </c>
      <c r="E315" s="831" t="b">
        <f>+ISERROR(MATCH(A315,'Linked TB'!$A$9:$A$722,0))</f>
        <v>0</v>
      </c>
    </row>
    <row r="316" spans="1:5">
      <c r="A316" s="830">
        <v>6050</v>
      </c>
      <c r="B316" s="831" t="s">
        <v>324</v>
      </c>
      <c r="C316" s="831" t="s">
        <v>1146</v>
      </c>
      <c r="D316" s="535">
        <v>9906.369999999999</v>
      </c>
      <c r="E316" s="831" t="b">
        <f>+ISERROR(MATCH(A316,'Linked TB'!$A$9:$A$722,0))</f>
        <v>0</v>
      </c>
    </row>
    <row r="317" spans="1:5">
      <c r="A317" s="830">
        <v>6065</v>
      </c>
      <c r="B317" s="831" t="s">
        <v>325</v>
      </c>
      <c r="C317" s="831" t="s">
        <v>1146</v>
      </c>
      <c r="D317" s="535">
        <v>91717.35</v>
      </c>
      <c r="E317" s="831" t="b">
        <f>+ISERROR(MATCH(A317,'Linked TB'!$A$9:$A$722,0))</f>
        <v>0</v>
      </c>
    </row>
    <row r="318" spans="1:5">
      <c r="A318" s="835">
        <v>6070</v>
      </c>
      <c r="B318" s="834" t="s">
        <v>326</v>
      </c>
      <c r="C318" s="834" t="s">
        <v>1146</v>
      </c>
      <c r="D318" s="1336">
        <v>7845.54</v>
      </c>
      <c r="E318" s="831" t="b">
        <f>+ISERROR(MATCH(A318,'Linked TB'!$A$9:$A$722,0))</f>
        <v>0</v>
      </c>
    </row>
    <row r="319" spans="1:5">
      <c r="A319" s="830">
        <v>6090</v>
      </c>
      <c r="B319" s="831" t="s">
        <v>328</v>
      </c>
      <c r="C319" s="831" t="s">
        <v>1146</v>
      </c>
      <c r="D319" s="535">
        <v>6253.99</v>
      </c>
      <c r="E319" s="831" t="b">
        <f>+ISERROR(MATCH(A319,'Linked TB'!$A$9:$A$722,0))</f>
        <v>0</v>
      </c>
    </row>
    <row r="320" spans="1:5">
      <c r="A320" s="830">
        <v>6110</v>
      </c>
      <c r="B320" s="831" t="s">
        <v>745</v>
      </c>
      <c r="C320" s="831" t="s">
        <v>1146</v>
      </c>
      <c r="D320" s="535">
        <v>32509.98</v>
      </c>
      <c r="E320" s="831" t="b">
        <f>+ISERROR(MATCH(A320,'Linked TB'!$A$9:$A$722,0))</f>
        <v>0</v>
      </c>
    </row>
    <row r="321" spans="1:5">
      <c r="A321" s="835">
        <v>6115</v>
      </c>
      <c r="B321" s="834" t="s">
        <v>746</v>
      </c>
      <c r="C321" s="834" t="s">
        <v>1146</v>
      </c>
      <c r="D321" s="1336">
        <v>1763.75</v>
      </c>
      <c r="E321" s="831" t="b">
        <f>+ISERROR(MATCH(A321,'Linked TB'!$A$9:$A$722,0))</f>
        <v>0</v>
      </c>
    </row>
    <row r="322" spans="1:5">
      <c r="A322" s="830">
        <v>6120</v>
      </c>
      <c r="B322" s="831" t="s">
        <v>747</v>
      </c>
      <c r="C322" s="831" t="s">
        <v>1146</v>
      </c>
      <c r="D322" s="535">
        <v>46296.170000000006</v>
      </c>
      <c r="E322" s="831" t="b">
        <f>+ISERROR(MATCH(A322,'Linked TB'!$A$9:$A$722,0))</f>
        <v>0</v>
      </c>
    </row>
    <row r="323" spans="1:5">
      <c r="A323" s="830">
        <v>6125</v>
      </c>
      <c r="B323" s="831" t="s">
        <v>748</v>
      </c>
      <c r="C323" s="831" t="s">
        <v>1146</v>
      </c>
      <c r="D323" s="535">
        <v>8330.2900000000009</v>
      </c>
      <c r="E323" s="831" t="b">
        <f>+ISERROR(MATCH(A323,'Linked TB'!$A$9:$A$722,0))</f>
        <v>0</v>
      </c>
    </row>
    <row r="324" spans="1:5">
      <c r="A324" s="830">
        <v>6130</v>
      </c>
      <c r="B324" s="831" t="s">
        <v>749</v>
      </c>
      <c r="C324" s="831" t="s">
        <v>1146</v>
      </c>
      <c r="D324" s="535">
        <v>9544.1999999999989</v>
      </c>
      <c r="E324" s="831" t="b">
        <f>+ISERROR(MATCH(A324,'Linked TB'!$A$9:$A$722,0))</f>
        <v>0</v>
      </c>
    </row>
    <row r="325" spans="1:5">
      <c r="A325" s="830">
        <v>6135</v>
      </c>
      <c r="B325" s="831" t="s">
        <v>750</v>
      </c>
      <c r="C325" s="831" t="s">
        <v>1146</v>
      </c>
      <c r="D325" s="535">
        <v>31130.81</v>
      </c>
      <c r="E325" s="831" t="b">
        <f>+ISERROR(MATCH(A325,'Linked TB'!$A$9:$A$722,0))</f>
        <v>0</v>
      </c>
    </row>
    <row r="326" spans="1:5">
      <c r="A326" s="830">
        <v>6140</v>
      </c>
      <c r="B326" s="831" t="s">
        <v>751</v>
      </c>
      <c r="C326" s="831" t="s">
        <v>1146</v>
      </c>
      <c r="D326" s="535">
        <v>28995.030000000002</v>
      </c>
      <c r="E326" s="831" t="b">
        <f>+ISERROR(MATCH(A326,'Linked TB'!$A$9:$A$722,0))</f>
        <v>0</v>
      </c>
    </row>
    <row r="327" spans="1:5">
      <c r="A327" s="830">
        <v>6145</v>
      </c>
      <c r="B327" s="831" t="s">
        <v>752</v>
      </c>
      <c r="C327" s="831" t="s">
        <v>1146</v>
      </c>
      <c r="D327" s="535">
        <v>29937.719999999998</v>
      </c>
      <c r="E327" s="831" t="b">
        <f>+ISERROR(MATCH(A327,'Linked TB'!$A$9:$A$722,0))</f>
        <v>0</v>
      </c>
    </row>
    <row r="328" spans="1:5">
      <c r="A328" s="830">
        <v>6146</v>
      </c>
      <c r="B328" s="831" t="s">
        <v>1520</v>
      </c>
      <c r="C328" s="831" t="s">
        <v>1146</v>
      </c>
      <c r="D328" s="535">
        <v>5557.48</v>
      </c>
      <c r="E328" s="831" t="b">
        <f>+ISERROR(MATCH(A328,'Linked TB'!$A$9:$A$722,0))</f>
        <v>0</v>
      </c>
    </row>
    <row r="329" spans="1:5">
      <c r="A329" s="830">
        <v>6147</v>
      </c>
      <c r="B329" s="831" t="s">
        <v>1521</v>
      </c>
      <c r="C329" s="831" t="s">
        <v>1146</v>
      </c>
      <c r="D329" s="535">
        <v>6006.42</v>
      </c>
      <c r="E329" s="831" t="b">
        <f>+ISERROR(MATCH(A329,'Linked TB'!$A$9:$A$722,0))</f>
        <v>0</v>
      </c>
    </row>
    <row r="330" spans="1:5">
      <c r="A330" s="830">
        <v>6150</v>
      </c>
      <c r="B330" s="831" t="s">
        <v>753</v>
      </c>
      <c r="C330" s="831" t="s">
        <v>1146</v>
      </c>
      <c r="D330" s="535">
        <v>429206.82</v>
      </c>
      <c r="E330" s="831" t="b">
        <f>+ISERROR(MATCH(A330,'Linked TB'!$A$9:$A$722,0))</f>
        <v>0</v>
      </c>
    </row>
    <row r="331" spans="1:5">
      <c r="A331" s="830">
        <v>6155</v>
      </c>
      <c r="B331" s="831" t="s">
        <v>754</v>
      </c>
      <c r="C331" s="831" t="s">
        <v>1146</v>
      </c>
      <c r="D331" s="535">
        <v>60378.100000000006</v>
      </c>
      <c r="E331" s="831" t="b">
        <f>+ISERROR(MATCH(A331,'Linked TB'!$A$9:$A$722,0))</f>
        <v>0</v>
      </c>
    </row>
    <row r="332" spans="1:5">
      <c r="A332" s="830">
        <v>6165</v>
      </c>
      <c r="B332" s="831" t="s">
        <v>756</v>
      </c>
      <c r="C332" s="831" t="s">
        <v>1146</v>
      </c>
      <c r="D332" s="535">
        <v>-132209.91</v>
      </c>
      <c r="E332" s="831" t="b">
        <f>+ISERROR(MATCH(A332,'Linked TB'!$A$9:$A$722,0))</f>
        <v>0</v>
      </c>
    </row>
    <row r="333" spans="1:5">
      <c r="A333" s="830">
        <v>6185</v>
      </c>
      <c r="B333" s="831" t="s">
        <v>758</v>
      </c>
      <c r="C333" s="831" t="s">
        <v>1146</v>
      </c>
      <c r="D333" s="535">
        <v>5379.62</v>
      </c>
      <c r="E333" s="831" t="b">
        <f>+ISERROR(MATCH(A333,'Linked TB'!$A$9:$A$722,0))</f>
        <v>0</v>
      </c>
    </row>
    <row r="334" spans="1:5">
      <c r="A334" s="830">
        <v>6190</v>
      </c>
      <c r="B334" s="831" t="s">
        <v>759</v>
      </c>
      <c r="C334" s="831" t="s">
        <v>1146</v>
      </c>
      <c r="D334" s="535">
        <v>1417.01</v>
      </c>
      <c r="E334" s="831" t="b">
        <f>+ISERROR(MATCH(A334,'Linked TB'!$A$9:$A$722,0))</f>
        <v>0</v>
      </c>
    </row>
    <row r="335" spans="1:5">
      <c r="A335" s="830">
        <v>6195</v>
      </c>
      <c r="B335" s="831" t="s">
        <v>760</v>
      </c>
      <c r="C335" s="831" t="s">
        <v>1146</v>
      </c>
      <c r="D335" s="535">
        <v>1361.85</v>
      </c>
      <c r="E335" s="831" t="b">
        <f>+ISERROR(MATCH(A335,'Linked TB'!$A$9:$A$722,0))</f>
        <v>0</v>
      </c>
    </row>
    <row r="336" spans="1:5">
      <c r="A336" s="830">
        <v>6200</v>
      </c>
      <c r="B336" s="831" t="s">
        <v>761</v>
      </c>
      <c r="C336" s="831" t="s">
        <v>1146</v>
      </c>
      <c r="D336" s="535">
        <v>3749.22</v>
      </c>
      <c r="E336" s="831" t="b">
        <f>+ISERROR(MATCH(A336,'Linked TB'!$A$9:$A$722,0))</f>
        <v>0</v>
      </c>
    </row>
    <row r="337" spans="1:5">
      <c r="A337" s="830">
        <v>6205</v>
      </c>
      <c r="B337" s="831" t="s">
        <v>762</v>
      </c>
      <c r="C337" s="831" t="s">
        <v>1146</v>
      </c>
      <c r="D337" s="535">
        <v>558.39</v>
      </c>
      <c r="E337" s="831" t="b">
        <f>+ISERROR(MATCH(A337,'Linked TB'!$A$9:$A$722,0))</f>
        <v>0</v>
      </c>
    </row>
    <row r="338" spans="1:5">
      <c r="A338" s="830">
        <v>6207</v>
      </c>
      <c r="B338" s="831" t="s">
        <v>763</v>
      </c>
      <c r="C338" s="831" t="s">
        <v>1146</v>
      </c>
      <c r="D338" s="535">
        <v>169.27</v>
      </c>
      <c r="E338" s="831" t="b">
        <f>+ISERROR(MATCH(A338,'Linked TB'!$A$9:$A$722,0))</f>
        <v>0</v>
      </c>
    </row>
    <row r="339" spans="1:5">
      <c r="A339" s="830">
        <v>6215</v>
      </c>
      <c r="B339" s="831" t="s">
        <v>764</v>
      </c>
      <c r="C339" s="831" t="s">
        <v>1146</v>
      </c>
      <c r="D339" s="535">
        <v>33994.53</v>
      </c>
      <c r="E339" s="831" t="b">
        <f>+ISERROR(MATCH(A339,'Linked TB'!$A$9:$A$722,0))</f>
        <v>0</v>
      </c>
    </row>
    <row r="340" spans="1:5">
      <c r="A340" s="830">
        <v>6220</v>
      </c>
      <c r="B340" s="831" t="s">
        <v>765</v>
      </c>
      <c r="C340" s="831" t="s">
        <v>1146</v>
      </c>
      <c r="D340" s="535">
        <v>12777.08</v>
      </c>
      <c r="E340" s="831" t="b">
        <f>+ISERROR(MATCH(A340,'Linked TB'!$A$9:$A$722,0))</f>
        <v>0</v>
      </c>
    </row>
    <row r="341" spans="1:5">
      <c r="A341" s="830">
        <v>6225</v>
      </c>
      <c r="B341" s="831" t="s">
        <v>766</v>
      </c>
      <c r="C341" s="831" t="s">
        <v>1146</v>
      </c>
      <c r="D341" s="535">
        <v>0</v>
      </c>
      <c r="E341" s="831" t="b">
        <f>+ISERROR(MATCH(A341,'Linked TB'!$A$9:$A$722,0))</f>
        <v>0</v>
      </c>
    </row>
    <row r="342" spans="1:5">
      <c r="A342" s="830">
        <v>6230</v>
      </c>
      <c r="B342" s="831" t="s">
        <v>767</v>
      </c>
      <c r="C342" s="831" t="s">
        <v>1146</v>
      </c>
      <c r="D342" s="535">
        <v>15.96</v>
      </c>
      <c r="E342" s="831" t="b">
        <f>+ISERROR(MATCH(A342,'Linked TB'!$A$9:$A$722,0))</f>
        <v>0</v>
      </c>
    </row>
    <row r="343" spans="1:5">
      <c r="A343" s="830">
        <v>6255</v>
      </c>
      <c r="B343" s="831" t="s">
        <v>768</v>
      </c>
      <c r="C343" s="831" t="s">
        <v>1146</v>
      </c>
      <c r="D343" s="535">
        <v>19568.2</v>
      </c>
      <c r="E343" s="831" t="b">
        <f>+ISERROR(MATCH(A343,'Linked TB'!$A$9:$A$722,0))</f>
        <v>0</v>
      </c>
    </row>
    <row r="344" spans="1:5">
      <c r="A344" s="830">
        <v>6260</v>
      </c>
      <c r="B344" s="831" t="s">
        <v>769</v>
      </c>
      <c r="C344" s="831" t="s">
        <v>1146</v>
      </c>
      <c r="D344" s="535">
        <v>7474.6</v>
      </c>
      <c r="E344" s="831" t="b">
        <f>+ISERROR(MATCH(A344,'Linked TB'!$A$9:$A$722,0))</f>
        <v>0</v>
      </c>
    </row>
    <row r="345" spans="1:5">
      <c r="A345" s="830">
        <v>6265</v>
      </c>
      <c r="B345" s="831" t="s">
        <v>329</v>
      </c>
      <c r="C345" s="831" t="s">
        <v>1146</v>
      </c>
      <c r="D345" s="535">
        <v>0</v>
      </c>
      <c r="E345" s="831" t="b">
        <f>+ISERROR(MATCH(A345,'Linked TB'!$A$9:$A$722,0))</f>
        <v>0</v>
      </c>
    </row>
    <row r="346" spans="1:5">
      <c r="A346" s="830">
        <v>6270</v>
      </c>
      <c r="B346" s="831" t="s">
        <v>330</v>
      </c>
      <c r="C346" s="831" t="s">
        <v>1146</v>
      </c>
      <c r="D346" s="535">
        <v>7049.47</v>
      </c>
      <c r="E346" s="831" t="b">
        <f>+ISERROR(MATCH(A346,'Linked TB'!$A$9:$A$722,0))</f>
        <v>0</v>
      </c>
    </row>
    <row r="347" spans="1:5">
      <c r="A347" s="830">
        <v>6285</v>
      </c>
      <c r="B347" s="831" t="s">
        <v>331</v>
      </c>
      <c r="C347" s="831" t="s">
        <v>1146</v>
      </c>
      <c r="D347" s="535">
        <v>7387.3099999999995</v>
      </c>
      <c r="E347" s="831" t="b">
        <f>+ISERROR(MATCH(A347,'Linked TB'!$A$9:$A$722,0))</f>
        <v>0</v>
      </c>
    </row>
    <row r="348" spans="1:5">
      <c r="A348" s="830">
        <v>6290</v>
      </c>
      <c r="B348" s="831" t="s">
        <v>332</v>
      </c>
      <c r="C348" s="831" t="s">
        <v>1146</v>
      </c>
      <c r="D348" s="535">
        <v>14057.220000000001</v>
      </c>
      <c r="E348" s="831" t="b">
        <f>+ISERROR(MATCH(A348,'Linked TB'!$A$9:$A$722,0))</f>
        <v>0</v>
      </c>
    </row>
    <row r="349" spans="1:5">
      <c r="A349" s="830">
        <v>6295</v>
      </c>
      <c r="B349" s="831" t="s">
        <v>333</v>
      </c>
      <c r="C349" s="831" t="s">
        <v>1146</v>
      </c>
      <c r="D349" s="535">
        <v>10494.7</v>
      </c>
      <c r="E349" s="831" t="b">
        <f>+ISERROR(MATCH(A349,'Linked TB'!$A$9:$A$722,0))</f>
        <v>0</v>
      </c>
    </row>
    <row r="350" spans="1:5">
      <c r="A350" s="830">
        <v>6300</v>
      </c>
      <c r="B350" s="831" t="s">
        <v>334</v>
      </c>
      <c r="C350" s="831" t="s">
        <v>1146</v>
      </c>
      <c r="D350" s="535">
        <v>170.09</v>
      </c>
      <c r="E350" s="831" t="b">
        <f>+ISERROR(MATCH(A350,'Linked TB'!$A$9:$A$722,0))</f>
        <v>0</v>
      </c>
    </row>
    <row r="351" spans="1:5">
      <c r="A351" s="830">
        <v>6310</v>
      </c>
      <c r="B351" s="831" t="s">
        <v>336</v>
      </c>
      <c r="C351" s="831" t="s">
        <v>1146</v>
      </c>
      <c r="D351" s="535">
        <v>42183.380000000005</v>
      </c>
      <c r="E351" s="831" t="b">
        <f>+ISERROR(MATCH(A351,'Linked TB'!$A$9:$A$722,0))</f>
        <v>0</v>
      </c>
    </row>
    <row r="352" spans="1:5">
      <c r="A352" s="830">
        <v>6320</v>
      </c>
      <c r="B352" s="831" t="s">
        <v>337</v>
      </c>
      <c r="C352" s="831" t="s">
        <v>1146</v>
      </c>
      <c r="D352" s="535">
        <v>415.02</v>
      </c>
      <c r="E352" s="831" t="b">
        <f>+ISERROR(MATCH(A352,'Linked TB'!$A$9:$A$722,0))</f>
        <v>0</v>
      </c>
    </row>
    <row r="353" spans="1:5">
      <c r="A353" s="830">
        <v>6325</v>
      </c>
      <c r="B353" s="831" t="s">
        <v>338</v>
      </c>
      <c r="C353" s="831" t="s">
        <v>1146</v>
      </c>
      <c r="D353" s="535">
        <v>3971.44</v>
      </c>
      <c r="E353" s="831" t="b">
        <f>+ISERROR(MATCH(A353,'Linked TB'!$A$9:$A$722,0))</f>
        <v>0</v>
      </c>
    </row>
    <row r="354" spans="1:5">
      <c r="A354" s="830">
        <v>6330</v>
      </c>
      <c r="B354" s="831" t="s">
        <v>339</v>
      </c>
      <c r="C354" s="831" t="s">
        <v>1146</v>
      </c>
      <c r="D354" s="535">
        <v>0</v>
      </c>
      <c r="E354" s="831" t="b">
        <f>+ISERROR(MATCH(A354,'Linked TB'!$A$9:$A$722,0))</f>
        <v>0</v>
      </c>
    </row>
    <row r="355" spans="1:5">
      <c r="A355" s="830">
        <v>6335</v>
      </c>
      <c r="B355" s="831" t="s">
        <v>340</v>
      </c>
      <c r="C355" s="831" t="s">
        <v>1146</v>
      </c>
      <c r="D355" s="535">
        <v>2258.73</v>
      </c>
      <c r="E355" s="831" t="b">
        <f>+ISERROR(MATCH(A355,'Linked TB'!$A$9:$A$722,0))</f>
        <v>0</v>
      </c>
    </row>
    <row r="356" spans="1:5">
      <c r="A356" s="830">
        <v>6340</v>
      </c>
      <c r="B356" s="831" t="s">
        <v>341</v>
      </c>
      <c r="C356" s="831" t="s">
        <v>1146</v>
      </c>
      <c r="D356" s="535">
        <v>0</v>
      </c>
      <c r="E356" s="831" t="b">
        <f>+ISERROR(MATCH(A356,'Linked TB'!$A$9:$A$722,0))</f>
        <v>0</v>
      </c>
    </row>
    <row r="357" spans="1:5">
      <c r="A357" s="830">
        <v>6345</v>
      </c>
      <c r="B357" s="831" t="s">
        <v>342</v>
      </c>
      <c r="C357" s="831" t="s">
        <v>1146</v>
      </c>
      <c r="D357" s="535">
        <v>2492.54</v>
      </c>
      <c r="E357" s="831" t="b">
        <f>+ISERROR(MATCH(A357,'Linked TB'!$A$9:$A$722,0))</f>
        <v>0</v>
      </c>
    </row>
    <row r="358" spans="1:5">
      <c r="A358" s="830">
        <v>6355</v>
      </c>
      <c r="B358" s="831" t="s">
        <v>343</v>
      </c>
      <c r="C358" s="831" t="s">
        <v>1146</v>
      </c>
      <c r="D358" s="535">
        <v>7162.44</v>
      </c>
      <c r="E358" s="831" t="b">
        <f>+ISERROR(MATCH(A358,'Linked TB'!$A$9:$A$722,0))</f>
        <v>0</v>
      </c>
    </row>
    <row r="359" spans="1:5">
      <c r="A359" s="830">
        <v>6360</v>
      </c>
      <c r="B359" s="831" t="s">
        <v>344</v>
      </c>
      <c r="C359" s="831" t="s">
        <v>1146</v>
      </c>
      <c r="D359" s="535">
        <v>233.35</v>
      </c>
      <c r="E359" s="831" t="b">
        <f>+ISERROR(MATCH(A359,'Linked TB'!$A$9:$A$722,0))</f>
        <v>0</v>
      </c>
    </row>
    <row r="360" spans="1:5">
      <c r="A360" s="830">
        <v>6370</v>
      </c>
      <c r="B360" s="831" t="s">
        <v>346</v>
      </c>
      <c r="C360" s="831" t="s">
        <v>1146</v>
      </c>
      <c r="D360" s="535">
        <v>3600</v>
      </c>
      <c r="E360" s="831" t="b">
        <f>+ISERROR(MATCH(A360,'Linked TB'!$A$9:$A$722,0))</f>
        <v>0</v>
      </c>
    </row>
    <row r="361" spans="1:5">
      <c r="A361" s="830">
        <v>6380</v>
      </c>
      <c r="B361" s="831" t="s">
        <v>34</v>
      </c>
      <c r="C361" s="831" t="s">
        <v>1146</v>
      </c>
      <c r="D361" s="535">
        <v>0</v>
      </c>
      <c r="E361" s="831" t="b">
        <f>+ISERROR(MATCH(A361,'Linked TB'!$A$9:$A$722,0))</f>
        <v>0</v>
      </c>
    </row>
    <row r="362" spans="1:5">
      <c r="A362" s="830">
        <v>6385</v>
      </c>
      <c r="B362" s="831" t="s">
        <v>35</v>
      </c>
      <c r="C362" s="831" t="s">
        <v>1146</v>
      </c>
      <c r="D362" s="535">
        <v>-1392.19</v>
      </c>
      <c r="E362" s="831" t="b">
        <f>+ISERROR(MATCH(A362,'Linked TB'!$A$9:$A$722,0))</f>
        <v>0</v>
      </c>
    </row>
    <row r="363" spans="1:5">
      <c r="A363" s="830">
        <v>6390</v>
      </c>
      <c r="B363" s="831" t="s">
        <v>1522</v>
      </c>
      <c r="C363" s="831" t="s">
        <v>1146</v>
      </c>
      <c r="D363" s="535">
        <v>5128.62</v>
      </c>
      <c r="E363" s="831" t="b">
        <f>+ISERROR(MATCH(A363,'Linked TB'!$A$9:$A$722,0))</f>
        <v>0</v>
      </c>
    </row>
    <row r="364" spans="1:5">
      <c r="A364" s="830">
        <v>6400</v>
      </c>
      <c r="B364" s="831" t="s">
        <v>37</v>
      </c>
      <c r="C364" s="831" t="s">
        <v>1146</v>
      </c>
      <c r="D364" s="535">
        <v>0</v>
      </c>
      <c r="E364" s="831" t="b">
        <f>+ISERROR(MATCH(A364,'Linked TB'!$A$9:$A$722,0))</f>
        <v>0</v>
      </c>
    </row>
    <row r="365" spans="1:5">
      <c r="A365" s="830">
        <v>6410</v>
      </c>
      <c r="B365" s="831" t="s">
        <v>38</v>
      </c>
      <c r="C365" s="831" t="s">
        <v>1146</v>
      </c>
      <c r="D365" s="535">
        <v>0</v>
      </c>
      <c r="E365" s="831" t="b">
        <f>+ISERROR(MATCH(A365,'Linked TB'!$A$9:$A$722,0))</f>
        <v>0</v>
      </c>
    </row>
    <row r="366" spans="1:5">
      <c r="A366" s="830">
        <v>6445</v>
      </c>
      <c r="B366" s="831" t="s">
        <v>39</v>
      </c>
      <c r="C366" s="831" t="s">
        <v>1146</v>
      </c>
      <c r="D366" s="535">
        <v>2562.2399999999998</v>
      </c>
      <c r="E366" s="831" t="b">
        <f>+ISERROR(MATCH(A366,'Linked TB'!$A$9:$A$722,0))</f>
        <v>0</v>
      </c>
    </row>
    <row r="367" spans="1:5">
      <c r="A367" s="830">
        <v>6455</v>
      </c>
      <c r="B367" s="831" t="s">
        <v>41</v>
      </c>
      <c r="C367" s="831" t="s">
        <v>1146</v>
      </c>
      <c r="D367" s="535">
        <v>2271.54</v>
      </c>
      <c r="E367" s="831" t="b">
        <f>+ISERROR(MATCH(A367,'Linked TB'!$A$9:$A$722,0))</f>
        <v>0</v>
      </c>
    </row>
    <row r="368" spans="1:5">
      <c r="A368" s="830">
        <v>6460</v>
      </c>
      <c r="B368" s="831" t="s">
        <v>42</v>
      </c>
      <c r="C368" s="831" t="s">
        <v>1146</v>
      </c>
      <c r="D368" s="535">
        <v>9102.64</v>
      </c>
      <c r="E368" s="831" t="b">
        <f>+ISERROR(MATCH(A368,'Linked TB'!$A$9:$A$722,0))</f>
        <v>0</v>
      </c>
    </row>
    <row r="369" spans="1:5">
      <c r="A369" s="830">
        <v>6465</v>
      </c>
      <c r="B369" s="831" t="s">
        <v>43</v>
      </c>
      <c r="C369" s="831" t="s">
        <v>1146</v>
      </c>
      <c r="D369" s="535">
        <v>0</v>
      </c>
      <c r="E369" s="831" t="b">
        <f>+ISERROR(MATCH(A369,'Linked TB'!$A$9:$A$722,0))</f>
        <v>0</v>
      </c>
    </row>
    <row r="370" spans="1:5">
      <c r="A370" s="830">
        <v>6470</v>
      </c>
      <c r="B370" s="831" t="s">
        <v>44</v>
      </c>
      <c r="C370" s="831" t="s">
        <v>1146</v>
      </c>
      <c r="D370" s="535">
        <v>2592</v>
      </c>
      <c r="E370" s="831" t="b">
        <f>+ISERROR(MATCH(A370,'Linked TB'!$A$9:$A$722,0))</f>
        <v>0</v>
      </c>
    </row>
    <row r="371" spans="1:5">
      <c r="A371" s="830">
        <v>6485</v>
      </c>
      <c r="B371" s="831" t="s">
        <v>47</v>
      </c>
      <c r="C371" s="831" t="s">
        <v>1146</v>
      </c>
      <c r="D371" s="535">
        <v>9517.56</v>
      </c>
      <c r="E371" s="831" t="b">
        <f>+ISERROR(MATCH(A371,'Linked TB'!$A$9:$A$722,0))</f>
        <v>0</v>
      </c>
    </row>
    <row r="372" spans="1:5">
      <c r="A372" s="830">
        <v>6495</v>
      </c>
      <c r="B372" s="831" t="s">
        <v>49</v>
      </c>
      <c r="C372" s="831" t="s">
        <v>1146</v>
      </c>
      <c r="D372" s="535">
        <v>132.36000000000001</v>
      </c>
      <c r="E372" s="831" t="b">
        <f>+ISERROR(MATCH(A372,'Linked TB'!$A$9:$A$722,0))</f>
        <v>0</v>
      </c>
    </row>
    <row r="373" spans="1:5">
      <c r="A373" s="830">
        <v>6505</v>
      </c>
      <c r="B373" s="831" t="s">
        <v>51</v>
      </c>
      <c r="C373" s="831" t="s">
        <v>1146</v>
      </c>
      <c r="D373" s="535">
        <v>127.78</v>
      </c>
      <c r="E373" s="831" t="b">
        <f>+ISERROR(MATCH(A373,'Linked TB'!$A$9:$A$722,0))</f>
        <v>0</v>
      </c>
    </row>
    <row r="374" spans="1:5">
      <c r="A374" s="830">
        <v>6510</v>
      </c>
      <c r="B374" s="831" t="s">
        <v>52</v>
      </c>
      <c r="C374" s="831" t="s">
        <v>1146</v>
      </c>
      <c r="D374" s="535">
        <v>12179.82</v>
      </c>
      <c r="E374" s="831" t="b">
        <f>+ISERROR(MATCH(A374,'Linked TB'!$A$9:$A$722,0))</f>
        <v>0</v>
      </c>
    </row>
    <row r="375" spans="1:5">
      <c r="A375" s="830">
        <v>6515</v>
      </c>
      <c r="B375" s="831" t="s">
        <v>53</v>
      </c>
      <c r="C375" s="831" t="s">
        <v>1146</v>
      </c>
      <c r="D375" s="535">
        <v>134.1</v>
      </c>
      <c r="E375" s="831" t="b">
        <f>+ISERROR(MATCH(A375,'Linked TB'!$A$9:$A$722,0))</f>
        <v>0</v>
      </c>
    </row>
    <row r="376" spans="1:5">
      <c r="A376" s="830">
        <v>6520</v>
      </c>
      <c r="B376" s="831" t="s">
        <v>54</v>
      </c>
      <c r="C376" s="831" t="s">
        <v>1146</v>
      </c>
      <c r="D376" s="535">
        <v>11851.1</v>
      </c>
      <c r="E376" s="831" t="b">
        <f>+ISERROR(MATCH(A376,'Linked TB'!$A$9:$A$722,0))</f>
        <v>0</v>
      </c>
    </row>
    <row r="377" spans="1:5">
      <c r="A377" s="830">
        <v>6525</v>
      </c>
      <c r="B377" s="831" t="s">
        <v>55</v>
      </c>
      <c r="C377" s="831" t="s">
        <v>1146</v>
      </c>
      <c r="D377" s="535">
        <v>10485</v>
      </c>
      <c r="E377" s="831" t="b">
        <f>+ISERROR(MATCH(A377,'Linked TB'!$A$9:$A$722,0))</f>
        <v>0</v>
      </c>
    </row>
    <row r="378" spans="1:5">
      <c r="A378" s="830">
        <v>6530</v>
      </c>
      <c r="B378" s="831" t="s">
        <v>56</v>
      </c>
      <c r="C378" s="831" t="s">
        <v>1146</v>
      </c>
      <c r="D378" s="535">
        <v>61011.289999999994</v>
      </c>
      <c r="E378" s="831" t="b">
        <f>+ISERROR(MATCH(A378,'Linked TB'!$A$9:$A$722,0))</f>
        <v>0</v>
      </c>
    </row>
    <row r="379" spans="1:5">
      <c r="A379" s="830">
        <v>6535</v>
      </c>
      <c r="B379" s="831" t="s">
        <v>57</v>
      </c>
      <c r="C379" s="831" t="s">
        <v>1146</v>
      </c>
      <c r="D379" s="535">
        <v>14097.18</v>
      </c>
      <c r="E379" s="831" t="b">
        <f>+ISERROR(MATCH(A379,'Linked TB'!$A$9:$A$722,0))</f>
        <v>0</v>
      </c>
    </row>
    <row r="380" spans="1:5">
      <c r="A380" s="830">
        <v>6540</v>
      </c>
      <c r="B380" s="831" t="s">
        <v>58</v>
      </c>
      <c r="C380" s="831" t="s">
        <v>1146</v>
      </c>
      <c r="D380" s="535">
        <v>14340.81</v>
      </c>
      <c r="E380" s="831" t="b">
        <f>+ISERROR(MATCH(A380,'Linked TB'!$A$9:$A$722,0))</f>
        <v>0</v>
      </c>
    </row>
    <row r="381" spans="1:5">
      <c r="A381" s="830">
        <v>6545</v>
      </c>
      <c r="B381" s="831" t="s">
        <v>59</v>
      </c>
      <c r="C381" s="831" t="s">
        <v>1146</v>
      </c>
      <c r="D381" s="535">
        <v>8680.82</v>
      </c>
      <c r="E381" s="831" t="b">
        <f>+ISERROR(MATCH(A381,'Linked TB'!$A$9:$A$722,0))</f>
        <v>0</v>
      </c>
    </row>
    <row r="382" spans="1:5">
      <c r="A382" s="830">
        <v>6550</v>
      </c>
      <c r="B382" s="831" t="s">
        <v>680</v>
      </c>
      <c r="C382" s="831" t="s">
        <v>1146</v>
      </c>
      <c r="D382" s="535">
        <v>7724.84</v>
      </c>
      <c r="E382" s="831" t="b">
        <f>+ISERROR(MATCH(A382,'Linked TB'!$A$9:$A$722,0))</f>
        <v>0</v>
      </c>
    </row>
    <row r="383" spans="1:5">
      <c r="A383" s="830">
        <v>6555</v>
      </c>
      <c r="B383" s="831" t="s">
        <v>681</v>
      </c>
      <c r="C383" s="831" t="s">
        <v>1146</v>
      </c>
      <c r="D383" s="535">
        <v>0</v>
      </c>
      <c r="E383" s="831" t="b">
        <f>+ISERROR(MATCH(A383,'Linked TB'!$A$9:$A$722,0))</f>
        <v>0</v>
      </c>
    </row>
    <row r="384" spans="1:5">
      <c r="A384" s="830">
        <v>6575</v>
      </c>
      <c r="B384" s="831" t="s">
        <v>685</v>
      </c>
      <c r="C384" s="831" t="s">
        <v>1146</v>
      </c>
      <c r="D384" s="535">
        <v>0</v>
      </c>
      <c r="E384" s="831" t="b">
        <f>+ISERROR(MATCH(A384,'Linked TB'!$A$9:$A$722,0))</f>
        <v>0</v>
      </c>
    </row>
    <row r="385" spans="1:5">
      <c r="A385" s="830">
        <v>6580</v>
      </c>
      <c r="B385" s="831" t="s">
        <v>686</v>
      </c>
      <c r="C385" s="831" t="s">
        <v>1146</v>
      </c>
      <c r="D385" s="535">
        <v>3350.93</v>
      </c>
      <c r="E385" s="831" t="b">
        <f>+ISERROR(MATCH(A385,'Linked TB'!$A$9:$A$722,0))</f>
        <v>0</v>
      </c>
    </row>
    <row r="386" spans="1:5">
      <c r="A386" s="830">
        <v>6585</v>
      </c>
      <c r="B386" s="831" t="s">
        <v>687</v>
      </c>
      <c r="C386" s="831" t="s">
        <v>1146</v>
      </c>
      <c r="D386" s="535">
        <v>2376.1</v>
      </c>
      <c r="E386" s="831" t="b">
        <f>+ISERROR(MATCH(A386,'Linked TB'!$A$9:$A$722,0))</f>
        <v>0</v>
      </c>
    </row>
    <row r="387" spans="1:5">
      <c r="A387" s="830">
        <v>6595</v>
      </c>
      <c r="B387" s="831" t="s">
        <v>689</v>
      </c>
      <c r="C387" s="831" t="s">
        <v>1146</v>
      </c>
      <c r="D387" s="535">
        <v>5275.43</v>
      </c>
      <c r="E387" s="831" t="b">
        <f>+ISERROR(MATCH(A387,'Linked TB'!$A$9:$A$722,0))</f>
        <v>0</v>
      </c>
    </row>
    <row r="388" spans="1:5">
      <c r="A388" s="830">
        <v>6600</v>
      </c>
      <c r="B388" s="831" t="s">
        <v>690</v>
      </c>
      <c r="C388" s="831" t="s">
        <v>1146</v>
      </c>
      <c r="D388" s="535">
        <v>972.84</v>
      </c>
      <c r="E388" s="831" t="b">
        <f>+ISERROR(MATCH(A388,'Linked TB'!$A$9:$A$722,0))</f>
        <v>0</v>
      </c>
    </row>
    <row r="389" spans="1:5">
      <c r="A389" s="835">
        <v>6605</v>
      </c>
      <c r="B389" s="834" t="s">
        <v>1814</v>
      </c>
      <c r="C389" s="834" t="s">
        <v>1146</v>
      </c>
      <c r="D389" s="1336">
        <v>214.2</v>
      </c>
      <c r="E389" s="831" t="b">
        <f>+ISERROR(MATCH(A389,'Linked TB'!$A$9:$A$722,0))</f>
        <v>0</v>
      </c>
    </row>
    <row r="390" spans="1:5">
      <c r="A390" s="830">
        <v>6610</v>
      </c>
      <c r="B390" s="831" t="s">
        <v>692</v>
      </c>
      <c r="C390" s="831" t="s">
        <v>1146</v>
      </c>
      <c r="D390" s="535">
        <v>2669.05</v>
      </c>
      <c r="E390" s="831" t="b">
        <f>+ISERROR(MATCH(A390,'Linked TB'!$A$9:$A$722,0))</f>
        <v>0</v>
      </c>
    </row>
    <row r="391" spans="1:5">
      <c r="A391" s="830">
        <v>6615</v>
      </c>
      <c r="B391" s="831" t="s">
        <v>693</v>
      </c>
      <c r="C391" s="831" t="s">
        <v>1146</v>
      </c>
      <c r="D391" s="535">
        <v>0</v>
      </c>
      <c r="E391" s="831" t="b">
        <f>+ISERROR(MATCH(A391,'Linked TB'!$A$9:$A$722,0))</f>
        <v>0</v>
      </c>
    </row>
    <row r="392" spans="1:5">
      <c r="A392" s="830">
        <v>6620</v>
      </c>
      <c r="B392" s="831" t="s">
        <v>694</v>
      </c>
      <c r="C392" s="831" t="s">
        <v>1146</v>
      </c>
      <c r="D392" s="535">
        <v>1399.56</v>
      </c>
      <c r="E392" s="831" t="b">
        <f>+ISERROR(MATCH(A392,'Linked TB'!$A$9:$A$722,0))</f>
        <v>0</v>
      </c>
    </row>
    <row r="393" spans="1:5">
      <c r="A393" s="830">
        <v>6655</v>
      </c>
      <c r="B393" s="831" t="s">
        <v>697</v>
      </c>
      <c r="C393" s="831" t="s">
        <v>1146</v>
      </c>
      <c r="D393" s="535">
        <v>0</v>
      </c>
      <c r="E393" s="831" t="b">
        <f>+ISERROR(MATCH(A393,'Linked TB'!$A$9:$A$722,0))</f>
        <v>0</v>
      </c>
    </row>
    <row r="394" spans="1:5">
      <c r="A394" s="830">
        <v>6660</v>
      </c>
      <c r="B394" s="831" t="s">
        <v>698</v>
      </c>
      <c r="C394" s="831" t="s">
        <v>1146</v>
      </c>
      <c r="D394" s="535">
        <v>0</v>
      </c>
      <c r="E394" s="831" t="b">
        <f>+ISERROR(MATCH(A394,'Linked TB'!$A$9:$A$722,0))</f>
        <v>0</v>
      </c>
    </row>
    <row r="395" spans="1:5">
      <c r="A395" s="830">
        <v>6670</v>
      </c>
      <c r="B395" s="831" t="s">
        <v>700</v>
      </c>
      <c r="C395" s="831" t="s">
        <v>1146</v>
      </c>
      <c r="D395" s="535">
        <v>0</v>
      </c>
      <c r="E395" s="831" t="b">
        <f>+ISERROR(MATCH(A395,'Linked TB'!$A$9:$A$722,0))</f>
        <v>0</v>
      </c>
    </row>
    <row r="396" spans="1:5">
      <c r="A396" s="830">
        <v>6680</v>
      </c>
      <c r="B396" s="831" t="s">
        <v>702</v>
      </c>
      <c r="C396" s="831" t="s">
        <v>1146</v>
      </c>
      <c r="D396" s="535">
        <v>2.64</v>
      </c>
      <c r="E396" s="831" t="b">
        <f>+ISERROR(MATCH(A396,'Linked TB'!$A$9:$A$722,0))</f>
        <v>0</v>
      </c>
    </row>
    <row r="397" spans="1:5">
      <c r="A397" s="830">
        <v>6695</v>
      </c>
      <c r="B397" s="831" t="s">
        <v>705</v>
      </c>
      <c r="C397" s="831" t="s">
        <v>1146</v>
      </c>
      <c r="D397" s="535">
        <v>0</v>
      </c>
      <c r="E397" s="831" t="b">
        <f>+ISERROR(MATCH(A397,'Linked TB'!$A$9:$A$722,0))</f>
        <v>0</v>
      </c>
    </row>
    <row r="398" spans="1:5">
      <c r="A398" s="830">
        <v>6710</v>
      </c>
      <c r="B398" s="831" t="s">
        <v>707</v>
      </c>
      <c r="C398" s="831" t="s">
        <v>1146</v>
      </c>
      <c r="D398" s="535">
        <v>9.98</v>
      </c>
      <c r="E398" s="831" t="b">
        <f>+ISERROR(MATCH(A398,'Linked TB'!$A$9:$A$722,0))</f>
        <v>0</v>
      </c>
    </row>
    <row r="399" spans="1:5">
      <c r="A399" s="830">
        <v>6715</v>
      </c>
      <c r="B399" s="831" t="s">
        <v>708</v>
      </c>
      <c r="C399" s="831" t="s">
        <v>1146</v>
      </c>
      <c r="D399" s="535">
        <v>34.71</v>
      </c>
      <c r="E399" s="831" t="b">
        <f>+ISERROR(MATCH(A399,'Linked TB'!$A$9:$A$722,0))</f>
        <v>0</v>
      </c>
    </row>
    <row r="400" spans="1:5">
      <c r="A400" s="830">
        <v>6725</v>
      </c>
      <c r="B400" s="831" t="s">
        <v>710</v>
      </c>
      <c r="C400" s="831" t="s">
        <v>1146</v>
      </c>
      <c r="D400" s="535">
        <v>3.66</v>
      </c>
      <c r="E400" s="831" t="b">
        <f>+ISERROR(MATCH(A400,'Linked TB'!$A$9:$A$722,0))</f>
        <v>0</v>
      </c>
    </row>
    <row r="401" spans="1:5">
      <c r="A401" s="830">
        <v>6730</v>
      </c>
      <c r="B401" s="831" t="s">
        <v>711</v>
      </c>
      <c r="C401" s="831" t="s">
        <v>1146</v>
      </c>
      <c r="D401" s="535">
        <v>46.63</v>
      </c>
      <c r="E401" s="831" t="b">
        <f>+ISERROR(MATCH(A401,'Linked TB'!$A$9:$A$722,0))</f>
        <v>0</v>
      </c>
    </row>
    <row r="402" spans="1:5">
      <c r="A402" s="830">
        <v>6735</v>
      </c>
      <c r="B402" s="831" t="s">
        <v>712</v>
      </c>
      <c r="C402" s="831" t="s">
        <v>1146</v>
      </c>
      <c r="D402" s="535">
        <v>0</v>
      </c>
      <c r="E402" s="831" t="b">
        <f>+ISERROR(MATCH(A402,'Linked TB'!$A$9:$A$722,0))</f>
        <v>0</v>
      </c>
    </row>
    <row r="403" spans="1:5">
      <c r="A403" s="830">
        <v>6745</v>
      </c>
      <c r="B403" s="831" t="s">
        <v>714</v>
      </c>
      <c r="C403" s="831" t="s">
        <v>1146</v>
      </c>
      <c r="D403" s="535">
        <v>76.569999999999993</v>
      </c>
      <c r="E403" s="831" t="b">
        <f>+ISERROR(MATCH(A403,'Linked TB'!$A$9:$A$722,0))</f>
        <v>0</v>
      </c>
    </row>
    <row r="404" spans="1:5">
      <c r="A404" s="830">
        <v>6750</v>
      </c>
      <c r="B404" s="831" t="s">
        <v>715</v>
      </c>
      <c r="C404" s="831" t="s">
        <v>1146</v>
      </c>
      <c r="D404" s="535">
        <v>0</v>
      </c>
      <c r="E404" s="831" t="b">
        <f>+ISERROR(MATCH(A404,'Linked TB'!$A$9:$A$722,0))</f>
        <v>0</v>
      </c>
    </row>
    <row r="405" spans="1:5">
      <c r="A405" s="830">
        <v>6760</v>
      </c>
      <c r="B405" s="831" t="s">
        <v>717</v>
      </c>
      <c r="C405" s="831" t="s">
        <v>1146</v>
      </c>
      <c r="D405" s="535">
        <v>4.68</v>
      </c>
      <c r="E405" s="831" t="b">
        <f>+ISERROR(MATCH(A405,'Linked TB'!$A$9:$A$722,0))</f>
        <v>0</v>
      </c>
    </row>
    <row r="406" spans="1:5">
      <c r="A406" s="830">
        <v>6765</v>
      </c>
      <c r="B406" s="831" t="s">
        <v>718</v>
      </c>
      <c r="C406" s="831" t="s">
        <v>1146</v>
      </c>
      <c r="D406" s="535">
        <v>163.04</v>
      </c>
      <c r="E406" s="831" t="b">
        <f>+ISERROR(MATCH(A406,'Linked TB'!$A$9:$A$722,0))</f>
        <v>0</v>
      </c>
    </row>
    <row r="407" spans="1:5">
      <c r="A407" s="830">
        <v>6775</v>
      </c>
      <c r="B407" s="831" t="s">
        <v>720</v>
      </c>
      <c r="C407" s="831" t="s">
        <v>1146</v>
      </c>
      <c r="D407" s="535">
        <v>0</v>
      </c>
      <c r="E407" s="831" t="b">
        <f>+ISERROR(MATCH(A407,'Linked TB'!$A$9:$A$722,0))</f>
        <v>0</v>
      </c>
    </row>
    <row r="408" spans="1:5">
      <c r="A408" s="830">
        <v>6800</v>
      </c>
      <c r="B408" s="831" t="s">
        <v>996</v>
      </c>
      <c r="C408" s="831" t="s">
        <v>1146</v>
      </c>
      <c r="D408" s="535">
        <v>0</v>
      </c>
      <c r="E408" s="831" t="b">
        <f>+ISERROR(MATCH(A408,'Linked TB'!$A$9:$A$722,0))</f>
        <v>0</v>
      </c>
    </row>
    <row r="409" spans="1:5">
      <c r="A409" s="830">
        <v>6830</v>
      </c>
      <c r="B409" s="831" t="s">
        <v>688</v>
      </c>
      <c r="C409" s="831" t="s">
        <v>1146</v>
      </c>
      <c r="D409" s="535">
        <v>0</v>
      </c>
      <c r="E409" s="831" t="b">
        <f>+ISERROR(MATCH(A409,'Linked TB'!$A$9:$A$722,0))</f>
        <v>0</v>
      </c>
    </row>
    <row r="410" spans="1:5">
      <c r="A410" s="830">
        <v>6835</v>
      </c>
      <c r="B410" s="831" t="s">
        <v>689</v>
      </c>
      <c r="C410" s="831" t="s">
        <v>1146</v>
      </c>
      <c r="D410" s="535">
        <v>1.26</v>
      </c>
      <c r="E410" s="831" t="b">
        <f>+ISERROR(MATCH(A410,'Linked TB'!$A$9:$A$722,0))</f>
        <v>0</v>
      </c>
    </row>
    <row r="411" spans="1:5">
      <c r="A411" s="830">
        <v>6840</v>
      </c>
      <c r="B411" s="831" t="s">
        <v>999</v>
      </c>
      <c r="C411" s="831" t="s">
        <v>1146</v>
      </c>
      <c r="D411" s="535">
        <v>2.89</v>
      </c>
      <c r="E411" s="831" t="b">
        <f>+ISERROR(MATCH(A411,'Linked TB'!$A$9:$A$722,0))</f>
        <v>0</v>
      </c>
    </row>
    <row r="412" spans="1:5">
      <c r="A412" s="830">
        <v>6845</v>
      </c>
      <c r="B412" s="831" t="s">
        <v>691</v>
      </c>
      <c r="C412" s="831" t="s">
        <v>1146</v>
      </c>
      <c r="D412" s="535">
        <v>0</v>
      </c>
      <c r="E412" s="831" t="b">
        <f>+ISERROR(MATCH(A412,'Linked TB'!$A$9:$A$722,0))</f>
        <v>0</v>
      </c>
    </row>
    <row r="413" spans="1:5">
      <c r="A413" s="830">
        <v>6850</v>
      </c>
      <c r="B413" s="831" t="s">
        <v>692</v>
      </c>
      <c r="C413" s="831" t="s">
        <v>1146</v>
      </c>
      <c r="D413" s="535">
        <v>0</v>
      </c>
      <c r="E413" s="831" t="b">
        <f>+ISERROR(MATCH(A413,'Linked TB'!$A$9:$A$722,0))</f>
        <v>0</v>
      </c>
    </row>
    <row r="414" spans="1:5">
      <c r="A414" s="830">
        <v>6855</v>
      </c>
      <c r="B414" s="831" t="s">
        <v>1000</v>
      </c>
      <c r="C414" s="831" t="s">
        <v>1146</v>
      </c>
      <c r="D414" s="535">
        <v>0</v>
      </c>
      <c r="E414" s="831" t="b">
        <f>+ISERROR(MATCH(A414,'Linked TB'!$A$9:$A$722,0))</f>
        <v>0</v>
      </c>
    </row>
    <row r="415" spans="1:5">
      <c r="A415" s="830">
        <v>6885</v>
      </c>
      <c r="B415" s="831" t="s">
        <v>1004</v>
      </c>
      <c r="C415" s="831" t="s">
        <v>1146</v>
      </c>
      <c r="D415" s="535">
        <v>0</v>
      </c>
      <c r="E415" s="831" t="b">
        <f>+ISERROR(MATCH(A415,'Linked TB'!$A$9:$A$722,0))</f>
        <v>0</v>
      </c>
    </row>
    <row r="416" spans="1:5">
      <c r="A416" s="830">
        <v>6890</v>
      </c>
      <c r="B416" s="831" t="s">
        <v>1005</v>
      </c>
      <c r="C416" s="831" t="s">
        <v>1146</v>
      </c>
      <c r="D416" s="535">
        <v>7.2</v>
      </c>
      <c r="E416" s="831" t="b">
        <f>+ISERROR(MATCH(A416,'Linked TB'!$A$9:$A$722,0))</f>
        <v>0</v>
      </c>
    </row>
    <row r="417" spans="1:5">
      <c r="A417" s="830">
        <v>6905</v>
      </c>
      <c r="B417" s="831" t="s">
        <v>1006</v>
      </c>
      <c r="C417" s="831" t="s">
        <v>1146</v>
      </c>
      <c r="D417" s="535">
        <v>44620.58</v>
      </c>
      <c r="E417" s="831" t="b">
        <f>+ISERROR(MATCH(A417,'Linked TB'!$A$9:$A$722,0))</f>
        <v>0</v>
      </c>
    </row>
    <row r="418" spans="1:5">
      <c r="A418" s="830">
        <v>6920</v>
      </c>
      <c r="B418" s="831" t="s">
        <v>1007</v>
      </c>
      <c r="C418" s="831" t="s">
        <v>1146</v>
      </c>
      <c r="D418" s="535">
        <v>88027.36</v>
      </c>
      <c r="E418" s="831" t="b">
        <f>+ISERROR(MATCH(A418,'Linked TB'!$A$9:$A$722,0))</f>
        <v>0</v>
      </c>
    </row>
    <row r="419" spans="1:5">
      <c r="A419" s="830">
        <v>6960</v>
      </c>
      <c r="B419" s="831" t="s">
        <v>1012</v>
      </c>
      <c r="C419" s="831" t="s">
        <v>1146</v>
      </c>
      <c r="D419" s="535">
        <v>-3660.48</v>
      </c>
      <c r="E419" s="831" t="b">
        <f>+ISERROR(MATCH(A419,'Linked TB'!$A$9:$A$722,0))</f>
        <v>0</v>
      </c>
    </row>
    <row r="420" spans="1:5">
      <c r="A420" s="830">
        <v>7160</v>
      </c>
      <c r="B420" s="831" t="s">
        <v>108</v>
      </c>
      <c r="C420" s="831" t="s">
        <v>1146</v>
      </c>
      <c r="D420" s="535">
        <v>-1490.52</v>
      </c>
      <c r="E420" s="831" t="b">
        <f>+ISERROR(MATCH(A420,'Linked TB'!$A$9:$A$722,0))</f>
        <v>0</v>
      </c>
    </row>
    <row r="421" spans="1:5">
      <c r="A421" s="830">
        <v>7165</v>
      </c>
      <c r="B421" s="831" t="s">
        <v>109</v>
      </c>
      <c r="C421" s="831" t="s">
        <v>1146</v>
      </c>
      <c r="D421" s="535">
        <v>-427.17</v>
      </c>
      <c r="E421" s="831" t="b">
        <f>+ISERROR(MATCH(A421,'Linked TB'!$A$9:$A$722,0))</f>
        <v>0</v>
      </c>
    </row>
    <row r="422" spans="1:5">
      <c r="A422" s="830">
        <v>7185</v>
      </c>
      <c r="B422" s="831" t="s">
        <v>991</v>
      </c>
      <c r="C422" s="831" t="s">
        <v>1146</v>
      </c>
      <c r="D422" s="535">
        <v>0</v>
      </c>
      <c r="E422" s="831" t="b">
        <f>+ISERROR(MATCH(A422,'Linked TB'!$A$9:$A$722,0))</f>
        <v>0</v>
      </c>
    </row>
    <row r="423" spans="1:5">
      <c r="A423" s="830">
        <v>7225</v>
      </c>
      <c r="B423" s="831" t="s">
        <v>995</v>
      </c>
      <c r="C423" s="831" t="s">
        <v>1146</v>
      </c>
      <c r="D423" s="535">
        <v>0</v>
      </c>
      <c r="E423" s="831" t="b">
        <f>+ISERROR(MATCH(A423,'Linked TB'!$A$9:$A$722,0))</f>
        <v>0</v>
      </c>
    </row>
    <row r="424" spans="1:5">
      <c r="A424" s="830">
        <v>7245</v>
      </c>
      <c r="B424" s="831" t="s">
        <v>410</v>
      </c>
      <c r="C424" s="831" t="s">
        <v>1146</v>
      </c>
      <c r="D424" s="535">
        <v>0</v>
      </c>
      <c r="E424" s="831" t="b">
        <f>+ISERROR(MATCH(A424,'Linked TB'!$A$9:$A$722,0))</f>
        <v>0</v>
      </c>
    </row>
    <row r="425" spans="1:5">
      <c r="A425" s="830">
        <v>7275</v>
      </c>
      <c r="B425" s="831" t="s">
        <v>415</v>
      </c>
      <c r="C425" s="831" t="s">
        <v>1146</v>
      </c>
      <c r="D425" s="535">
        <v>0</v>
      </c>
      <c r="E425" s="831" t="b">
        <f>+ISERROR(MATCH(A425,'Linked TB'!$A$9:$A$722,0))</f>
        <v>0</v>
      </c>
    </row>
    <row r="426" spans="1:5">
      <c r="A426" s="830">
        <v>7280</v>
      </c>
      <c r="B426" s="831" t="s">
        <v>1523</v>
      </c>
      <c r="C426" s="831" t="s">
        <v>1146</v>
      </c>
      <c r="D426" s="535">
        <v>0</v>
      </c>
      <c r="E426" s="831" t="b">
        <f>+ISERROR(MATCH(A426,'Linked TB'!$A$9:$A$722,0))</f>
        <v>0</v>
      </c>
    </row>
    <row r="427" spans="1:5">
      <c r="A427" s="830">
        <v>7510</v>
      </c>
      <c r="B427" s="831" t="s">
        <v>450</v>
      </c>
      <c r="C427" s="831" t="s">
        <v>1146</v>
      </c>
      <c r="D427" s="535">
        <v>42157.369999999995</v>
      </c>
      <c r="E427" s="831" t="b">
        <f>+ISERROR(MATCH(A427,'Linked TB'!$A$9:$A$722,0))</f>
        <v>0</v>
      </c>
    </row>
    <row r="428" spans="1:5">
      <c r="A428" s="830">
        <v>7515</v>
      </c>
      <c r="B428" s="831" t="s">
        <v>451</v>
      </c>
      <c r="C428" s="831" t="s">
        <v>1146</v>
      </c>
      <c r="D428" s="535">
        <v>792.34</v>
      </c>
      <c r="E428" s="831" t="b">
        <f>+ISERROR(MATCH(A428,'Linked TB'!$A$9:$A$722,0))</f>
        <v>0</v>
      </c>
    </row>
    <row r="429" spans="1:5">
      <c r="A429" s="830">
        <v>7520</v>
      </c>
      <c r="B429" s="831" t="s">
        <v>452</v>
      </c>
      <c r="C429" s="831" t="s">
        <v>1146</v>
      </c>
      <c r="D429" s="535">
        <v>6504.2000000000007</v>
      </c>
      <c r="E429" s="831" t="b">
        <f>+ISERROR(MATCH(A429,'Linked TB'!$A$9:$A$722,0))</f>
        <v>0</v>
      </c>
    </row>
    <row r="430" spans="1:5">
      <c r="A430" s="830">
        <v>7535</v>
      </c>
      <c r="B430" s="831" t="s">
        <v>453</v>
      </c>
      <c r="C430" s="831" t="s">
        <v>1146</v>
      </c>
      <c r="D430" s="535">
        <v>7782.6900000000005</v>
      </c>
      <c r="E430" s="831" t="b">
        <f>+ISERROR(MATCH(A430,'Linked TB'!$A$9:$A$722,0))</f>
        <v>0</v>
      </c>
    </row>
    <row r="431" spans="1:5">
      <c r="A431" s="830">
        <v>7540</v>
      </c>
      <c r="B431" s="831" t="s">
        <v>454</v>
      </c>
      <c r="C431" s="831" t="s">
        <v>1146</v>
      </c>
      <c r="D431" s="535">
        <v>0</v>
      </c>
      <c r="E431" s="831" t="b">
        <f>+ISERROR(MATCH(A431,'Linked TB'!$A$9:$A$722,0))</f>
        <v>0</v>
      </c>
    </row>
    <row r="432" spans="1:5">
      <c r="A432" s="830">
        <v>7545</v>
      </c>
      <c r="B432" s="831" t="s">
        <v>455</v>
      </c>
      <c r="C432" s="831" t="s">
        <v>1146</v>
      </c>
      <c r="D432" s="535">
        <v>23070.71</v>
      </c>
      <c r="E432" s="831" t="b">
        <f>+ISERROR(MATCH(A432,'Linked TB'!$A$9:$A$722,0))</f>
        <v>0</v>
      </c>
    </row>
    <row r="433" spans="1:5">
      <c r="A433" s="830">
        <v>7550</v>
      </c>
      <c r="B433" s="831" t="s">
        <v>456</v>
      </c>
      <c r="C433" s="831" t="s">
        <v>1146</v>
      </c>
      <c r="D433" s="535">
        <v>-1.0900000000000001</v>
      </c>
      <c r="E433" s="831" t="b">
        <f>+ISERROR(MATCH(A433,'Linked TB'!$A$9:$A$722,0))</f>
        <v>0</v>
      </c>
    </row>
    <row r="434" spans="1:5">
      <c r="A434" s="830">
        <v>7555</v>
      </c>
      <c r="B434" s="831" t="s">
        <v>457</v>
      </c>
      <c r="C434" s="831" t="s">
        <v>1146</v>
      </c>
      <c r="D434" s="535">
        <v>51539.39</v>
      </c>
      <c r="E434" s="831" t="b">
        <f>+ISERROR(MATCH(A434,'Linked TB'!$A$9:$A$722,0))</f>
        <v>0</v>
      </c>
    </row>
    <row r="435" spans="1:5">
      <c r="A435" s="830">
        <v>7570</v>
      </c>
      <c r="B435" s="831" t="s">
        <v>460</v>
      </c>
      <c r="C435" s="831" t="s">
        <v>1146</v>
      </c>
      <c r="D435" s="535">
        <v>3919.74</v>
      </c>
      <c r="E435" s="831" t="b">
        <f>+ISERROR(MATCH(A435,'Linked TB'!$A$9:$A$722,0))</f>
        <v>0</v>
      </c>
    </row>
    <row r="436" spans="1:5">
      <c r="A436" s="830">
        <v>7595</v>
      </c>
      <c r="B436" s="831" t="s">
        <v>463</v>
      </c>
      <c r="C436" s="831" t="s">
        <v>1146</v>
      </c>
      <c r="D436" s="535">
        <v>103426.57</v>
      </c>
      <c r="E436" s="831" t="b">
        <f>+ISERROR(MATCH(A436,'Linked TB'!$A$9:$A$722,0))</f>
        <v>0</v>
      </c>
    </row>
    <row r="437" spans="1:5">
      <c r="A437" s="830">
        <v>7600</v>
      </c>
      <c r="B437" s="831" t="s">
        <v>464</v>
      </c>
      <c r="C437" s="831" t="s">
        <v>1146</v>
      </c>
      <c r="D437" s="535">
        <v>19382.5</v>
      </c>
      <c r="E437" s="831" t="b">
        <f>+ISERROR(MATCH(A437,'Linked TB'!$A$9:$A$722,0))</f>
        <v>0</v>
      </c>
    </row>
    <row r="438" spans="1:5">
      <c r="A438" s="830">
        <v>7605</v>
      </c>
      <c r="B438" s="831" t="s">
        <v>465</v>
      </c>
      <c r="C438" s="831" t="s">
        <v>1146</v>
      </c>
      <c r="D438" s="535">
        <v>-79976.960000000006</v>
      </c>
      <c r="E438" s="831" t="b">
        <f>+ISERROR(MATCH(A438,'Linked TB'!$A$9:$A$722,0))</f>
        <v>0</v>
      </c>
    </row>
    <row r="439" spans="1:5">
      <c r="A439" s="830">
        <v>7610</v>
      </c>
      <c r="B439" s="831" t="s">
        <v>466</v>
      </c>
      <c r="C439" s="831" t="s">
        <v>1146</v>
      </c>
      <c r="D439" s="535">
        <v>0</v>
      </c>
      <c r="E439" s="831" t="b">
        <f>+ISERROR(MATCH(A439,'Linked TB'!$A$9:$A$722,0))</f>
        <v>0</v>
      </c>
    </row>
    <row r="440" spans="1:5">
      <c r="A440" s="830">
        <v>7655</v>
      </c>
      <c r="B440" s="831" t="s">
        <v>600</v>
      </c>
      <c r="C440" s="831" t="s">
        <v>1146</v>
      </c>
      <c r="D440" s="535">
        <v>0</v>
      </c>
      <c r="E440" s="831" t="b">
        <f>+ISERROR(MATCH(A440,'Linked TB'!$A$9:$A$722,0))</f>
        <v>0</v>
      </c>
    </row>
    <row r="441" spans="1:5">
      <c r="A441" s="830">
        <v>7660</v>
      </c>
      <c r="B441" s="831" t="s">
        <v>601</v>
      </c>
      <c r="C441" s="831" t="s">
        <v>1146</v>
      </c>
      <c r="D441" s="535">
        <v>0</v>
      </c>
      <c r="E441" s="831" t="b">
        <f>+ISERROR(MATCH(A441,'Linked TB'!$A$9:$A$722,0))</f>
        <v>0</v>
      </c>
    </row>
    <row r="442" spans="1:5">
      <c r="A442" s="830">
        <v>7680</v>
      </c>
      <c r="B442" s="831" t="s">
        <v>604</v>
      </c>
      <c r="C442" s="831" t="s">
        <v>1146</v>
      </c>
      <c r="D442" s="535">
        <v>-1300</v>
      </c>
      <c r="E442" s="831" t="b">
        <f>+ISERROR(MATCH(A442,'Linked TB'!$A$9:$A$722,0))</f>
        <v>0</v>
      </c>
    </row>
    <row r="443" spans="1:5">
      <c r="A443" s="830">
        <v>7685</v>
      </c>
      <c r="B443" s="831" t="s">
        <v>605</v>
      </c>
      <c r="C443" s="831" t="s">
        <v>1146</v>
      </c>
      <c r="D443" s="535">
        <v>0</v>
      </c>
      <c r="E443" s="831" t="b">
        <f>+ISERROR(MATCH(A443,'Linked TB'!$A$9:$A$722,0))</f>
        <v>0</v>
      </c>
    </row>
    <row r="444" spans="1:5">
      <c r="A444" s="830">
        <v>7691</v>
      </c>
      <c r="B444" s="831" t="s">
        <v>607</v>
      </c>
      <c r="C444" s="831" t="s">
        <v>1146</v>
      </c>
      <c r="D444" s="535">
        <v>0</v>
      </c>
      <c r="E444" s="831" t="b">
        <f>+ISERROR(MATCH(A444,'Linked TB'!$A$9:$A$722,0))</f>
        <v>1</v>
      </c>
    </row>
    <row r="445" spans="1:5">
      <c r="A445" s="832">
        <v>7710</v>
      </c>
      <c r="B445" s="833" t="s">
        <v>611</v>
      </c>
      <c r="C445" s="831" t="s">
        <v>1146</v>
      </c>
      <c r="D445" s="535">
        <v>178792.78999999998</v>
      </c>
      <c r="E445" s="831" t="b">
        <f>+ISERROR(MATCH(A445,'Linked TB'!$A$9:$A$722,0))</f>
        <v>0</v>
      </c>
    </row>
    <row r="446" spans="1:5">
      <c r="A446" s="832">
        <v>7735</v>
      </c>
      <c r="B446" s="833" t="s">
        <v>134</v>
      </c>
      <c r="C446" s="833" t="s">
        <v>1146</v>
      </c>
      <c r="D446" s="535">
        <v>1327.9</v>
      </c>
      <c r="E446" s="831" t="b">
        <f>+ISERROR(MATCH(A446,'Linked TB'!$A$9:$A$722,0))</f>
        <v>0</v>
      </c>
    </row>
    <row r="447" spans="1:5">
      <c r="A447" s="832">
        <v>7750</v>
      </c>
      <c r="B447" s="833" t="s">
        <v>144</v>
      </c>
      <c r="C447" s="833" t="s">
        <v>1146</v>
      </c>
      <c r="D447" s="535">
        <v>-1730.25</v>
      </c>
      <c r="E447" s="831" t="b">
        <f>+ISERROR(MATCH(A447,'Linked TB'!$A$9:$A$722,0))</f>
        <v>0</v>
      </c>
    </row>
    <row r="448" spans="1:5">
      <c r="A448" s="835">
        <v>7765</v>
      </c>
      <c r="B448" s="834" t="s">
        <v>145</v>
      </c>
      <c r="C448" s="834" t="s">
        <v>1146</v>
      </c>
      <c r="D448" s="1336">
        <v>-4500</v>
      </c>
      <c r="E448" s="831" t="b">
        <f>+ISERROR(MATCH(A448,'Linked TB'!$A$9:$A$722,0))</f>
        <v>0</v>
      </c>
    </row>
    <row r="449" spans="1:5">
      <c r="A449" s="835">
        <v>7775</v>
      </c>
      <c r="B449" s="834" t="s">
        <v>1827</v>
      </c>
      <c r="C449" s="834" t="s">
        <v>1146</v>
      </c>
      <c r="D449" s="1336">
        <v>1530</v>
      </c>
      <c r="E449" s="831" t="b">
        <f>+ISERROR(MATCH(A449,'Linked TB'!$A$9:$A$722,0))</f>
        <v>0</v>
      </c>
    </row>
    <row r="450" spans="1:5" ht="5.0999999999999996" customHeight="1">
      <c r="C450" s="841"/>
      <c r="D450" s="842">
        <v>0</v>
      </c>
    </row>
    <row r="451" spans="1:5" ht="15">
      <c r="A451" s="843" t="s">
        <v>1149</v>
      </c>
      <c r="B451" s="843"/>
      <c r="C451" s="843"/>
      <c r="D451" s="844">
        <f>SUM(D2:D450)</f>
        <v>1.3151293387636542E-9</v>
      </c>
    </row>
    <row r="452" spans="1:5" ht="15.75" thickBot="1">
      <c r="A452" s="843"/>
      <c r="B452" s="845"/>
      <c r="C452" s="846"/>
      <c r="D452" s="844"/>
    </row>
    <row r="453" spans="1:5" ht="15">
      <c r="A453" s="847" t="s">
        <v>814</v>
      </c>
      <c r="B453" s="848"/>
      <c r="C453" s="849" t="s">
        <v>1057</v>
      </c>
      <c r="D453" s="850">
        <f>+SUMIF($C$2:$C$450,C453,$D$2:$D$450)</f>
        <v>49993.570000002393</v>
      </c>
    </row>
    <row r="454" spans="1:5" ht="15">
      <c r="A454" s="851" t="s">
        <v>167</v>
      </c>
      <c r="B454" s="852"/>
      <c r="C454" s="853" t="s">
        <v>1146</v>
      </c>
      <c r="D454" s="854">
        <f>+SUMIF($C$2:$C$450,C454,$D$2:$D$450)</f>
        <v>-49993.570000000553</v>
      </c>
    </row>
    <row r="455" spans="1:5" ht="15.75" thickBot="1">
      <c r="A455" s="855" t="s">
        <v>1149</v>
      </c>
      <c r="B455" s="856"/>
      <c r="C455" s="856"/>
      <c r="D455" s="857">
        <f>SUM(D453:D454)</f>
        <v>1.8408172763884068E-9</v>
      </c>
    </row>
  </sheetData>
  <pageMargins left="0.7" right="0.7" top="0.75" bottom="0.75" header="0.3" footer="0.3"/>
  <pageSetup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V379"/>
  <sheetViews>
    <sheetView view="pageBreakPreview" zoomScaleNormal="100" zoomScaleSheetLayoutView="100" workbookViewId="0">
      <pane xSplit="1" ySplit="9" topLeftCell="K278" activePane="bottomRight" state="frozen"/>
      <selection activeCell="C22" sqref="C22"/>
      <selection pane="topRight" activeCell="C22" sqref="C22"/>
      <selection pane="bottomLeft" activeCell="C22" sqref="C22"/>
      <selection pane="bottomRight" activeCell="C22" sqref="C22"/>
    </sheetView>
  </sheetViews>
  <sheetFormatPr defaultRowHeight="12"/>
  <cols>
    <col min="1" max="1" width="36.75" style="1040" bestFit="1" customWidth="1"/>
    <col min="2" max="2" width="9.75" style="1075" customWidth="1"/>
    <col min="3" max="3" width="0.625" style="1040" customWidth="1"/>
    <col min="4" max="4" width="7.125" style="1075" customWidth="1"/>
    <col min="5" max="5" width="0.625" style="1040" customWidth="1"/>
    <col min="6" max="6" width="8.5" style="1075" customWidth="1"/>
    <col min="7" max="7" width="0.625" style="1075" customWidth="1"/>
    <col min="8" max="8" width="7.5" style="1110" customWidth="1"/>
    <col min="9" max="9" width="0.625" style="1040" customWidth="1"/>
    <col min="10" max="10" width="9.625" style="1099" bestFit="1" customWidth="1"/>
    <col min="11" max="11" width="0.625" style="1075" customWidth="1"/>
    <col min="12" max="12" width="10.75" style="1099" bestFit="1" customWidth="1"/>
    <col min="13" max="13" width="0.625" style="1075" customWidth="1"/>
    <col min="14" max="14" width="10.75" style="1042" customWidth="1"/>
    <col min="15" max="15" width="0.625" style="1100" customWidth="1"/>
    <col min="16" max="16" width="10.75" style="1042" customWidth="1"/>
    <col min="17" max="17" width="0.625" style="1075" customWidth="1"/>
    <col min="18" max="18" width="8.375" style="1101" customWidth="1"/>
    <col min="19" max="19" width="0.625" style="1040" customWidth="1"/>
    <col min="20" max="20" width="8.75" style="1126" customWidth="1"/>
    <col min="21" max="21" width="8.75" style="1040" customWidth="1"/>
    <col min="22" max="22" width="4.875" style="1040" bestFit="1" customWidth="1"/>
    <col min="23" max="23" width="15.625" style="1133" bestFit="1" customWidth="1"/>
    <col min="24" max="24" width="18.625" style="1133" bestFit="1" customWidth="1"/>
    <col min="25" max="25" width="9.375" style="1040" bestFit="1" customWidth="1"/>
    <col min="26" max="16384" width="9" style="1040"/>
  </cols>
  <sheetData>
    <row r="1" spans="1:48">
      <c r="A1" s="1034" t="s">
        <v>350</v>
      </c>
      <c r="B1" s="1035"/>
      <c r="C1" s="1036"/>
      <c r="D1" s="1035"/>
      <c r="E1" s="1036"/>
      <c r="F1" s="1035"/>
      <c r="G1" s="1035"/>
      <c r="H1" s="1037"/>
      <c r="I1" s="1036"/>
      <c r="J1" s="1038"/>
      <c r="K1" s="1035"/>
      <c r="L1" s="1040"/>
      <c r="M1" s="1035"/>
      <c r="N1" s="1041"/>
      <c r="O1" s="1039"/>
      <c r="Q1" s="1043"/>
      <c r="R1" s="1045"/>
      <c r="S1" s="1036"/>
      <c r="T1" s="1044" t="s">
        <v>361</v>
      </c>
      <c r="U1" s="1036"/>
      <c r="V1" s="1036"/>
      <c r="W1" s="1046"/>
      <c r="X1" s="1046"/>
      <c r="Y1" s="1036"/>
      <c r="Z1" s="1036"/>
      <c r="AA1" s="1036"/>
      <c r="AB1" s="1036"/>
      <c r="AC1" s="1036"/>
      <c r="AD1" s="1036"/>
      <c r="AE1" s="1036"/>
      <c r="AF1" s="1036"/>
      <c r="AG1" s="1036"/>
      <c r="AH1" s="1036"/>
      <c r="AI1" s="1036"/>
      <c r="AJ1" s="1036"/>
      <c r="AK1" s="1036"/>
      <c r="AL1" s="1036"/>
      <c r="AM1" s="1036"/>
      <c r="AN1" s="1036"/>
      <c r="AO1" s="1036"/>
      <c r="AP1" s="1036"/>
      <c r="AQ1" s="1036"/>
      <c r="AR1" s="1036"/>
      <c r="AS1" s="1036"/>
      <c r="AT1" s="1036"/>
      <c r="AU1" s="1036"/>
      <c r="AV1" s="1036"/>
    </row>
    <row r="2" spans="1:48">
      <c r="A2" s="1034" t="str">
        <f>'Sch.A-B.S'!F2</f>
        <v>Case No. 2013 - 00237</v>
      </c>
      <c r="B2" s="1035"/>
      <c r="C2" s="1036"/>
      <c r="D2" s="1035"/>
      <c r="E2" s="1036"/>
      <c r="F2" s="1035"/>
      <c r="G2" s="1035"/>
      <c r="H2" s="1037"/>
      <c r="I2" s="1036"/>
      <c r="J2" s="1038"/>
      <c r="K2" s="1035"/>
      <c r="L2" s="1040"/>
      <c r="M2" s="1035"/>
      <c r="N2" s="1041"/>
      <c r="O2" s="1039"/>
      <c r="Q2" s="1043"/>
      <c r="R2" s="1045"/>
      <c r="S2" s="1036"/>
      <c r="T2" s="1044"/>
      <c r="U2" s="1036"/>
      <c r="V2" s="1036"/>
      <c r="W2" s="1046"/>
      <c r="X2" s="1046"/>
      <c r="Y2" s="1036"/>
      <c r="Z2" s="1036"/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6"/>
      <c r="AO2" s="1036"/>
      <c r="AP2" s="1036"/>
      <c r="AQ2" s="1036"/>
      <c r="AR2" s="1036"/>
      <c r="AS2" s="1036"/>
      <c r="AT2" s="1036"/>
      <c r="AU2" s="1036"/>
      <c r="AV2" s="1036"/>
    </row>
    <row r="3" spans="1:48">
      <c r="A3" s="1047" t="s">
        <v>1782</v>
      </c>
      <c r="B3" s="1035"/>
      <c r="C3" s="1036"/>
      <c r="D3" s="1035"/>
      <c r="E3" s="1036"/>
      <c r="F3" s="1035"/>
      <c r="G3" s="1035"/>
      <c r="H3" s="1037"/>
      <c r="I3" s="1036"/>
      <c r="J3" s="1038"/>
      <c r="K3" s="1035"/>
      <c r="L3" s="1038"/>
      <c r="M3" s="1035"/>
      <c r="N3" s="1041"/>
      <c r="O3" s="1039"/>
      <c r="P3" s="1041"/>
      <c r="Q3" s="1035"/>
      <c r="R3" s="1048"/>
      <c r="S3" s="1036"/>
      <c r="T3" s="1049"/>
      <c r="U3" s="1036"/>
      <c r="V3" s="1036"/>
      <c r="W3" s="1050" t="s">
        <v>644</v>
      </c>
      <c r="X3" s="1046"/>
      <c r="Y3" s="1036"/>
      <c r="Z3" s="1036"/>
      <c r="AA3" s="1036"/>
      <c r="AB3" s="1036"/>
      <c r="AC3" s="1036"/>
      <c r="AD3" s="1036"/>
      <c r="AE3" s="1036"/>
      <c r="AF3" s="1036"/>
      <c r="AG3" s="1036"/>
      <c r="AH3" s="1036"/>
      <c r="AI3" s="1036"/>
      <c r="AJ3" s="1036"/>
      <c r="AK3" s="1036"/>
      <c r="AL3" s="1036"/>
      <c r="AM3" s="1036"/>
      <c r="AN3" s="1036"/>
      <c r="AO3" s="1036"/>
      <c r="AP3" s="1036"/>
      <c r="AQ3" s="1036"/>
      <c r="AR3" s="1051"/>
      <c r="AS3" s="1392"/>
      <c r="AT3" s="1051"/>
      <c r="AU3" s="1392"/>
      <c r="AV3" s="1051"/>
    </row>
    <row r="4" spans="1:48" ht="12.75" thickBot="1">
      <c r="A4" s="1052" t="s">
        <v>1963</v>
      </c>
      <c r="B4" s="1035"/>
      <c r="C4" s="1053"/>
      <c r="D4" s="1035"/>
      <c r="E4" s="1036"/>
      <c r="F4" s="1035"/>
      <c r="G4" s="1035"/>
      <c r="H4" s="1037"/>
      <c r="I4" s="1036"/>
      <c r="J4" s="1038"/>
      <c r="K4" s="1035"/>
      <c r="L4" s="1038"/>
      <c r="M4" s="1035"/>
      <c r="N4" s="1041"/>
      <c r="O4" s="1039"/>
      <c r="P4" s="1041"/>
      <c r="Q4" s="1035"/>
      <c r="R4" s="1048"/>
      <c r="S4" s="1036"/>
      <c r="T4" s="1049"/>
      <c r="U4" s="1036"/>
      <c r="V4" s="1036"/>
      <c r="W4" s="1050" t="s">
        <v>1720</v>
      </c>
      <c r="X4" s="104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51"/>
      <c r="AS4" s="1392"/>
      <c r="AT4" s="1051"/>
      <c r="AU4" s="1392"/>
      <c r="AV4" s="1051"/>
    </row>
    <row r="5" spans="1:48" ht="12.75" thickBot="1">
      <c r="A5" s="1054"/>
      <c r="B5" s="1035"/>
      <c r="C5" s="1053"/>
      <c r="D5" s="1035"/>
      <c r="E5" s="1036"/>
      <c r="F5" s="1035"/>
      <c r="G5" s="1035"/>
      <c r="H5" s="1037"/>
      <c r="I5" s="1036"/>
      <c r="J5" s="1038"/>
      <c r="K5" s="1035"/>
      <c r="L5" s="1038"/>
      <c r="M5" s="1035"/>
      <c r="N5" s="1041"/>
      <c r="O5" s="1039"/>
      <c r="P5" s="1041"/>
      <c r="Q5" s="1035"/>
      <c r="R5" s="1048"/>
      <c r="S5" s="1036"/>
      <c r="T5" s="1049"/>
      <c r="U5" s="1036"/>
      <c r="V5" s="1036"/>
      <c r="W5" s="1055">
        <v>0.10874975418507139</v>
      </c>
      <c r="X5" s="1478">
        <v>1222.45</v>
      </c>
      <c r="Y5" s="1036"/>
      <c r="Z5" s="1036"/>
      <c r="AA5" s="1036"/>
      <c r="AB5" s="1036"/>
      <c r="AC5" s="1036"/>
      <c r="AD5" s="1036"/>
      <c r="AE5" s="1036"/>
      <c r="AF5" s="1036"/>
      <c r="AG5" s="1036"/>
      <c r="AH5" s="1036"/>
      <c r="AI5" s="1036"/>
      <c r="AJ5" s="1036"/>
      <c r="AK5" s="1036"/>
      <c r="AL5" s="1036"/>
      <c r="AM5" s="1036"/>
      <c r="AN5" s="1036"/>
      <c r="AO5" s="1036"/>
      <c r="AP5" s="1036"/>
      <c r="AQ5" s="1036"/>
      <c r="AR5" s="1051"/>
      <c r="AS5" s="1392"/>
      <c r="AT5" s="1051"/>
      <c r="AU5" s="1392"/>
      <c r="AV5" s="1051"/>
    </row>
    <row r="6" spans="1:48">
      <c r="A6" s="1036"/>
      <c r="B6" s="1035"/>
      <c r="C6" s="1036"/>
      <c r="D6" s="1035"/>
      <c r="E6" s="1036"/>
      <c r="F6" s="1035"/>
      <c r="G6" s="1035"/>
      <c r="H6" s="1037"/>
      <c r="I6" s="1036"/>
      <c r="J6" s="1038"/>
      <c r="K6" s="1035"/>
      <c r="L6" s="1038"/>
      <c r="M6" s="1035"/>
      <c r="N6" s="1041"/>
      <c r="O6" s="1039"/>
      <c r="P6" s="1041"/>
      <c r="Q6" s="1035"/>
      <c r="R6" s="1048"/>
      <c r="S6" s="1036"/>
      <c r="T6" s="1049"/>
      <c r="U6" s="1036"/>
      <c r="V6" s="1036"/>
      <c r="W6" s="1046"/>
      <c r="X6" s="1478">
        <f>+X5*(1+W5)</f>
        <v>1355.3911370035407</v>
      </c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51"/>
      <c r="AS6" s="1392"/>
      <c r="AT6" s="1051"/>
      <c r="AU6" s="1392"/>
      <c r="AV6" s="1051"/>
    </row>
    <row r="7" spans="1:48">
      <c r="A7" s="1056"/>
      <c r="B7" s="1431"/>
      <c r="C7" s="1057"/>
      <c r="D7" s="1431"/>
      <c r="E7" s="1057"/>
      <c r="F7" s="1431"/>
      <c r="G7" s="1431"/>
      <c r="H7" s="1432"/>
      <c r="I7" s="1057"/>
      <c r="J7" s="1433"/>
      <c r="K7" s="1431"/>
      <c r="L7" s="1433"/>
      <c r="M7" s="1431"/>
      <c r="N7" s="1058"/>
      <c r="O7" s="1434"/>
      <c r="P7" s="1058"/>
      <c r="Q7" s="1431"/>
      <c r="R7" s="1436"/>
      <c r="S7" s="1057"/>
      <c r="T7" s="1393"/>
      <c r="U7" s="1057"/>
      <c r="V7" s="1057"/>
      <c r="W7" s="1325">
        <f>'Sch.B-I.S'!N8</f>
        <v>2332602</v>
      </c>
      <c r="X7" s="1046"/>
      <c r="Y7" s="1036"/>
      <c r="Z7" s="1036"/>
      <c r="AA7" s="1036"/>
      <c r="AB7" s="1036"/>
      <c r="AC7" s="1036"/>
      <c r="AD7" s="1036"/>
      <c r="AE7" s="1036"/>
      <c r="AF7" s="1036"/>
      <c r="AG7" s="1036"/>
      <c r="AH7" s="1036"/>
      <c r="AI7" s="1036"/>
      <c r="AJ7" s="1036"/>
      <c r="AK7" s="1036"/>
      <c r="AL7" s="1036"/>
      <c r="AM7" s="1036"/>
      <c r="AN7" s="1036"/>
      <c r="AO7" s="1036"/>
      <c r="AP7" s="1036"/>
      <c r="AQ7" s="1036"/>
      <c r="AR7" s="1051"/>
      <c r="AS7" s="1392"/>
      <c r="AT7" s="1051"/>
      <c r="AU7" s="1392"/>
      <c r="AV7" s="1051"/>
    </row>
    <row r="8" spans="1:48">
      <c r="A8" s="1060"/>
      <c r="B8" s="1061"/>
      <c r="C8" s="1062"/>
      <c r="D8" s="1061"/>
      <c r="E8" s="1062"/>
      <c r="F8" s="1061"/>
      <c r="G8" s="1061"/>
      <c r="H8" s="1063"/>
      <c r="I8" s="1062"/>
      <c r="J8" s="1064"/>
      <c r="K8" s="1061"/>
      <c r="L8" s="1065"/>
      <c r="M8" s="1061"/>
      <c r="N8" s="1059"/>
      <c r="O8" s="1061"/>
      <c r="P8" s="1059"/>
      <c r="Q8" s="1066"/>
      <c r="R8" s="1063"/>
      <c r="S8" s="1060"/>
      <c r="T8" s="1067"/>
      <c r="U8" s="1060"/>
      <c r="V8" s="1060"/>
      <c r="W8" s="1481"/>
      <c r="X8" s="1069"/>
      <c r="Y8" s="1070"/>
      <c r="Z8" s="1068"/>
      <c r="AA8" s="1068"/>
      <c r="AB8" s="1068"/>
      <c r="AC8" s="1070"/>
      <c r="AD8" s="1036"/>
      <c r="AE8" s="1036"/>
      <c r="AF8" s="1036"/>
      <c r="AG8" s="1036"/>
      <c r="AH8" s="1036"/>
      <c r="AI8" s="1036"/>
      <c r="AJ8" s="1036"/>
      <c r="AK8" s="1036"/>
      <c r="AL8" s="1036"/>
      <c r="AM8" s="1036"/>
      <c r="AN8" s="1036"/>
      <c r="AO8" s="1036"/>
      <c r="AP8" s="1036"/>
      <c r="AQ8" s="1036"/>
      <c r="AR8" s="1051"/>
      <c r="AS8" s="1394"/>
      <c r="AT8" s="1051"/>
      <c r="AU8" s="1392"/>
      <c r="AV8" s="1051"/>
    </row>
    <row r="9" spans="1:48" ht="48">
      <c r="A9" s="1060"/>
      <c r="B9" s="1071" t="s">
        <v>1996</v>
      </c>
      <c r="C9" s="1072"/>
      <c r="D9" s="1071" t="s">
        <v>1997</v>
      </c>
      <c r="F9" s="1071" t="s">
        <v>1998</v>
      </c>
      <c r="G9" s="1073"/>
      <c r="H9" s="1390" t="s">
        <v>1999</v>
      </c>
      <c r="I9" s="1060"/>
      <c r="J9" s="1074" t="s">
        <v>935</v>
      </c>
      <c r="K9" s="1073"/>
      <c r="L9" s="1074" t="s">
        <v>1719</v>
      </c>
      <c r="M9" s="1060"/>
      <c r="N9" s="1323" t="s">
        <v>1721</v>
      </c>
      <c r="O9" s="1073"/>
      <c r="P9" s="1323" t="s">
        <v>1722</v>
      </c>
      <c r="Q9" s="1073"/>
      <c r="R9" s="1390" t="s">
        <v>1718</v>
      </c>
      <c r="S9" s="1060"/>
      <c r="T9" s="1078" t="s">
        <v>1069</v>
      </c>
      <c r="U9" s="1060"/>
      <c r="V9" s="1060"/>
      <c r="W9" s="1326"/>
      <c r="X9" s="1069"/>
      <c r="Y9" s="1070"/>
      <c r="Z9" s="1068"/>
      <c r="AA9" s="1068"/>
      <c r="AB9" s="1068"/>
      <c r="AC9" s="1070"/>
      <c r="AD9" s="1036"/>
      <c r="AE9" s="1036"/>
      <c r="AF9" s="1036"/>
      <c r="AG9" s="1036"/>
      <c r="AH9" s="1036"/>
      <c r="AI9" s="1036"/>
      <c r="AJ9" s="1036"/>
      <c r="AK9" s="1036"/>
      <c r="AL9" s="1036"/>
      <c r="AM9" s="1036"/>
      <c r="AN9" s="1036"/>
      <c r="AO9" s="1036"/>
      <c r="AP9" s="1036"/>
      <c r="AQ9" s="1036"/>
      <c r="AR9" s="1051"/>
      <c r="AS9" s="1394"/>
      <c r="AT9" s="1051"/>
      <c r="AU9" s="1392"/>
      <c r="AV9" s="1051"/>
    </row>
    <row r="10" spans="1:48">
      <c r="A10" s="1060"/>
      <c r="B10" s="1073"/>
      <c r="C10" s="1072"/>
      <c r="D10" s="1073"/>
      <c r="F10" s="1073"/>
      <c r="G10" s="1073"/>
      <c r="H10" s="1077"/>
      <c r="I10" s="1060"/>
      <c r="J10" s="1211"/>
      <c r="K10" s="1073"/>
      <c r="L10" s="1211"/>
      <c r="M10" s="1060"/>
      <c r="N10" s="1076"/>
      <c r="O10" s="1073"/>
      <c r="P10" s="1076"/>
      <c r="Q10" s="1073"/>
      <c r="R10" s="1077"/>
      <c r="S10" s="1060"/>
      <c r="T10" s="1212"/>
      <c r="U10" s="1060"/>
      <c r="V10" s="1060"/>
      <c r="W10" s="1326"/>
      <c r="X10" s="1069"/>
      <c r="Y10" s="1070"/>
      <c r="Z10" s="1068"/>
      <c r="AA10" s="1068"/>
      <c r="AB10" s="1068"/>
      <c r="AC10" s="1070"/>
      <c r="AD10" s="1036"/>
      <c r="AE10" s="1036"/>
      <c r="AF10" s="1036"/>
      <c r="AG10" s="1036"/>
      <c r="AH10" s="1036"/>
      <c r="AI10" s="1036"/>
      <c r="AJ10" s="1036"/>
      <c r="AK10" s="1036"/>
      <c r="AL10" s="1036"/>
      <c r="AM10" s="1036"/>
      <c r="AN10" s="1036"/>
      <c r="AO10" s="1036"/>
      <c r="AP10" s="1036"/>
      <c r="AQ10" s="1036"/>
      <c r="AR10" s="1051"/>
      <c r="AS10" s="1394"/>
      <c r="AT10" s="1051"/>
      <c r="AU10" s="1392"/>
      <c r="AV10" s="1051"/>
    </row>
    <row r="11" spans="1:48">
      <c r="A11" s="1395" t="s">
        <v>989</v>
      </c>
      <c r="B11" s="1396"/>
      <c r="C11" s="1397"/>
      <c r="D11" s="1396"/>
      <c r="E11" s="1397"/>
      <c r="F11" s="1396"/>
      <c r="G11" s="1396"/>
      <c r="H11" s="1398"/>
      <c r="I11" s="1397"/>
      <c r="J11" s="1399"/>
      <c r="K11" s="1396"/>
      <c r="L11" s="1399"/>
      <c r="M11" s="1396"/>
      <c r="N11" s="1401"/>
      <c r="O11" s="1400"/>
      <c r="P11" s="1401"/>
      <c r="Q11" s="1396"/>
      <c r="R11" s="1402"/>
      <c r="S11" s="1397"/>
      <c r="T11" s="1403"/>
      <c r="U11" s="1397"/>
      <c r="V11" s="1397"/>
      <c r="W11" s="1326"/>
      <c r="X11" s="1069"/>
      <c r="Y11" s="1070"/>
      <c r="Z11" s="1068"/>
      <c r="AA11" s="1068"/>
      <c r="AB11" s="1068"/>
      <c r="AC11" s="1070"/>
      <c r="AD11" s="1036"/>
      <c r="AE11" s="1036"/>
      <c r="AF11" s="1036"/>
      <c r="AG11" s="1036"/>
      <c r="AH11" s="1036"/>
      <c r="AI11" s="1036"/>
      <c r="AJ11" s="1036"/>
      <c r="AK11" s="1036"/>
      <c r="AL11" s="1036"/>
      <c r="AM11" s="1036"/>
      <c r="AN11" s="1036"/>
      <c r="AO11" s="1036"/>
      <c r="AP11" s="1036"/>
      <c r="AQ11" s="1036"/>
      <c r="AR11" s="1051"/>
      <c r="AS11" s="1394"/>
      <c r="AT11" s="1051"/>
      <c r="AU11" s="1392"/>
      <c r="AV11" s="1051"/>
    </row>
    <row r="12" spans="1:48">
      <c r="A12" s="1404"/>
      <c r="B12" s="1405"/>
      <c r="C12" s="1406"/>
      <c r="D12" s="1405"/>
      <c r="E12" s="1397"/>
      <c r="F12" s="1396"/>
      <c r="G12" s="1396"/>
      <c r="H12" s="1398"/>
      <c r="I12" s="1397"/>
      <c r="J12" s="1399"/>
      <c r="K12" s="1396"/>
      <c r="L12" s="1399"/>
      <c r="M12" s="1396"/>
      <c r="N12" s="1401"/>
      <c r="O12" s="1400"/>
      <c r="P12" s="1401"/>
      <c r="Q12" s="1396"/>
      <c r="R12" s="1402"/>
      <c r="S12" s="1397"/>
      <c r="T12" s="1403"/>
      <c r="U12" s="1397"/>
      <c r="V12" s="1397"/>
      <c r="W12" s="1326"/>
      <c r="X12" s="1069"/>
      <c r="Y12" s="1070"/>
      <c r="Z12" s="1070"/>
      <c r="AA12" s="1070"/>
      <c r="AB12" s="1070"/>
      <c r="AC12" s="1070"/>
      <c r="AD12" s="1036"/>
      <c r="AE12" s="1036"/>
      <c r="AF12" s="1036"/>
      <c r="AG12" s="1036"/>
      <c r="AH12" s="1036"/>
      <c r="AI12" s="1036"/>
      <c r="AJ12" s="1036"/>
      <c r="AK12" s="1036"/>
      <c r="AL12" s="1036"/>
      <c r="AM12" s="1036"/>
      <c r="AN12" s="1036"/>
      <c r="AO12" s="1036"/>
      <c r="AP12" s="1036"/>
      <c r="AQ12" s="1036"/>
      <c r="AR12" s="1051"/>
      <c r="AS12" s="1394"/>
      <c r="AT12" s="1051"/>
      <c r="AU12" s="1051"/>
      <c r="AV12" s="1051"/>
    </row>
    <row r="13" spans="1:48">
      <c r="A13" s="1407" t="s">
        <v>1665</v>
      </c>
      <c r="B13" s="1431">
        <v>240397</v>
      </c>
      <c r="C13" s="1437"/>
      <c r="D13" s="1431"/>
      <c r="E13" s="1437"/>
      <c r="F13" s="1431"/>
      <c r="G13" s="1431"/>
      <c r="H13" s="1432"/>
      <c r="I13" s="1438"/>
      <c r="J13" s="1433"/>
      <c r="K13" s="1431"/>
      <c r="L13" s="1433"/>
      <c r="M13" s="1431"/>
      <c r="N13" s="1435"/>
      <c r="O13" s="1434"/>
      <c r="P13" s="1435"/>
      <c r="Q13" s="1431"/>
      <c r="R13" s="1436"/>
      <c r="S13" s="1437"/>
      <c r="T13" s="1439"/>
      <c r="U13" s="1437"/>
      <c r="V13" s="1437"/>
      <c r="W13" s="1326"/>
      <c r="X13" s="1069"/>
      <c r="Y13" s="1070"/>
      <c r="Z13" s="1070"/>
      <c r="AA13" s="1070"/>
      <c r="AB13" s="1070"/>
      <c r="AC13" s="1070"/>
      <c r="AD13" s="1036"/>
      <c r="AE13" s="1036"/>
      <c r="AF13" s="1036"/>
      <c r="AG13" s="1036"/>
      <c r="AH13" s="1036"/>
      <c r="AI13" s="1036"/>
      <c r="AJ13" s="1036"/>
      <c r="AK13" s="1036"/>
      <c r="AL13" s="1036"/>
      <c r="AM13" s="1036"/>
      <c r="AN13" s="1036"/>
      <c r="AO13" s="1036"/>
      <c r="AP13" s="1036"/>
      <c r="AQ13" s="1036"/>
      <c r="AR13" s="1394"/>
      <c r="AS13" s="1394"/>
      <c r="AT13" s="1394"/>
      <c r="AU13" s="1394"/>
      <c r="AV13" s="1394"/>
    </row>
    <row r="14" spans="1:48">
      <c r="A14" s="1450" t="s">
        <v>582</v>
      </c>
      <c r="B14" s="1440"/>
      <c r="C14" s="1441"/>
      <c r="D14" s="1440">
        <v>60589.999999999913</v>
      </c>
      <c r="E14" s="1437"/>
      <c r="F14" s="1431"/>
      <c r="G14" s="1431"/>
      <c r="H14" s="1451">
        <v>8.9600000000000009</v>
      </c>
      <c r="I14" s="1438"/>
      <c r="J14" s="1433">
        <f>+D14*H14</f>
        <v>542886.39999999932</v>
      </c>
      <c r="K14" s="1431"/>
      <c r="L14" s="1433">
        <f>+J14</f>
        <v>542886.39999999932</v>
      </c>
      <c r="M14" s="1431"/>
      <c r="N14" s="1435">
        <f>+D14</f>
        <v>60589.999999999913</v>
      </c>
      <c r="O14" s="1434"/>
      <c r="P14" s="1435"/>
      <c r="Q14" s="1431"/>
      <c r="R14" s="1452">
        <f>+H14*(1+$W$5)</f>
        <v>9.9343977974982423</v>
      </c>
      <c r="S14" s="1438"/>
      <c r="T14" s="1453">
        <f>+N14*R14</f>
        <v>601925.16255041759</v>
      </c>
      <c r="U14" s="1438"/>
      <c r="V14" s="1438"/>
      <c r="W14" s="1325"/>
      <c r="X14" s="1069"/>
      <c r="Y14" s="1070"/>
      <c r="Z14" s="1070"/>
      <c r="AA14" s="1070"/>
      <c r="AB14" s="1070"/>
      <c r="AC14" s="1070"/>
      <c r="AD14" s="1036"/>
      <c r="AE14" s="1036"/>
      <c r="AF14" s="1036"/>
      <c r="AG14" s="1036"/>
      <c r="AH14" s="1036"/>
      <c r="AI14" s="1036"/>
      <c r="AJ14" s="1036"/>
      <c r="AK14" s="1036"/>
      <c r="AL14" s="1036"/>
      <c r="AM14" s="1036"/>
      <c r="AN14" s="1036"/>
      <c r="AO14" s="1036"/>
      <c r="AP14" s="1036"/>
      <c r="AQ14" s="1036"/>
      <c r="AR14" s="1051"/>
      <c r="AS14" s="1051"/>
      <c r="AT14" s="1051"/>
      <c r="AU14" s="1392"/>
      <c r="AV14" s="1051"/>
    </row>
    <row r="15" spans="1:48">
      <c r="A15" s="1450" t="s">
        <v>642</v>
      </c>
      <c r="B15" s="1440"/>
      <c r="C15" s="1441"/>
      <c r="D15" s="1440"/>
      <c r="E15" s="1437"/>
      <c r="F15" s="1431">
        <v>167609.99999999985</v>
      </c>
      <c r="G15" s="1431"/>
      <c r="H15" s="1454">
        <v>3.61</v>
      </c>
      <c r="I15" s="1455"/>
      <c r="J15" s="1435">
        <f>+F15*H15</f>
        <v>605072.09999999951</v>
      </c>
      <c r="K15" s="1431"/>
      <c r="L15" s="1433">
        <f t="shared" ref="L15:L19" si="0">+J15</f>
        <v>605072.09999999951</v>
      </c>
      <c r="M15" s="1431"/>
      <c r="N15" s="1435"/>
      <c r="O15" s="1434"/>
      <c r="P15" s="1435">
        <f>+F15</f>
        <v>167609.99999999985</v>
      </c>
      <c r="Q15" s="1431"/>
      <c r="R15" s="1452">
        <f t="shared" ref="R15:R19" si="1">+H15*(1+$W$5)</f>
        <v>4.0025866126081082</v>
      </c>
      <c r="S15" s="1410"/>
      <c r="T15" s="1453">
        <f>+P15*R15</f>
        <v>670873.54213924438</v>
      </c>
      <c r="U15" s="1438"/>
      <c r="V15" s="1438"/>
      <c r="W15" s="1325"/>
      <c r="X15" s="1069"/>
      <c r="Y15" s="1070"/>
      <c r="Z15" s="1070"/>
      <c r="AA15" s="1070"/>
      <c r="AB15" s="1070"/>
      <c r="AC15" s="1070"/>
      <c r="AD15" s="1036"/>
      <c r="AE15" s="1036"/>
      <c r="AF15" s="1036"/>
      <c r="AG15" s="1036"/>
      <c r="AH15" s="1036"/>
      <c r="AI15" s="1036"/>
      <c r="AJ15" s="1036"/>
      <c r="AK15" s="1036"/>
      <c r="AL15" s="1036"/>
      <c r="AM15" s="1036"/>
      <c r="AN15" s="1036"/>
      <c r="AO15" s="1036"/>
      <c r="AP15" s="1036"/>
      <c r="AQ15" s="1036"/>
      <c r="AR15" s="1051"/>
      <c r="AS15" s="1051"/>
      <c r="AT15" s="1051"/>
      <c r="AU15" s="1392"/>
      <c r="AV15" s="1051"/>
    </row>
    <row r="16" spans="1:48">
      <c r="A16" s="1450" t="s">
        <v>862</v>
      </c>
      <c r="B16" s="1440"/>
      <c r="C16" s="1441"/>
      <c r="D16" s="1440"/>
      <c r="E16" s="1437"/>
      <c r="F16" s="1431">
        <v>12591.999999999984</v>
      </c>
      <c r="G16" s="1431"/>
      <c r="H16" s="1454">
        <v>3.29</v>
      </c>
      <c r="I16" s="1455"/>
      <c r="J16" s="1435">
        <f t="shared" ref="J16:J19" si="2">+F16*H16</f>
        <v>41427.679999999949</v>
      </c>
      <c r="K16" s="1431"/>
      <c r="L16" s="1433">
        <f t="shared" si="0"/>
        <v>41427.679999999949</v>
      </c>
      <c r="M16" s="1431"/>
      <c r="N16" s="1435"/>
      <c r="O16" s="1434"/>
      <c r="P16" s="1435">
        <f t="shared" ref="P16:P19" si="3">+F16</f>
        <v>12591.999999999984</v>
      </c>
      <c r="Q16" s="1431"/>
      <c r="R16" s="1452">
        <f t="shared" si="1"/>
        <v>3.6477866912688852</v>
      </c>
      <c r="S16" s="1410"/>
      <c r="T16" s="1453">
        <f t="shared" ref="T16:T19" si="4">+P16*R16</f>
        <v>45932.930016457743</v>
      </c>
      <c r="U16" s="1438"/>
      <c r="V16" s="1438"/>
      <c r="W16" s="1326"/>
      <c r="X16" s="1069"/>
      <c r="Y16" s="1070"/>
      <c r="Z16" s="1070"/>
      <c r="AA16" s="1070"/>
      <c r="AB16" s="1070"/>
      <c r="AC16" s="1070"/>
      <c r="AD16" s="1036"/>
      <c r="AE16" s="1036"/>
      <c r="AF16" s="1036"/>
      <c r="AG16" s="1036"/>
      <c r="AH16" s="1036"/>
      <c r="AI16" s="1036"/>
      <c r="AJ16" s="1036"/>
      <c r="AK16" s="1036"/>
      <c r="AL16" s="1036"/>
      <c r="AM16" s="1036"/>
      <c r="AN16" s="1036"/>
      <c r="AO16" s="1036"/>
      <c r="AP16" s="1036"/>
      <c r="AQ16" s="1036"/>
      <c r="AR16" s="1051"/>
      <c r="AS16" s="1051"/>
      <c r="AT16" s="1051"/>
      <c r="AU16" s="1392"/>
      <c r="AV16" s="1051"/>
    </row>
    <row r="17" spans="1:48">
      <c r="A17" s="1450" t="s">
        <v>863</v>
      </c>
      <c r="B17" s="1440"/>
      <c r="C17" s="1441"/>
      <c r="D17" s="1440"/>
      <c r="E17" s="1437"/>
      <c r="F17" s="1431">
        <v>2584</v>
      </c>
      <c r="G17" s="1431"/>
      <c r="H17" s="1454">
        <v>3.12</v>
      </c>
      <c r="I17" s="1455"/>
      <c r="J17" s="1435">
        <f t="shared" si="2"/>
        <v>8062.08</v>
      </c>
      <c r="K17" s="1431"/>
      <c r="L17" s="1433">
        <f t="shared" si="0"/>
        <v>8062.08</v>
      </c>
      <c r="M17" s="1431"/>
      <c r="N17" s="1435"/>
      <c r="O17" s="1434"/>
      <c r="P17" s="1435">
        <f t="shared" si="3"/>
        <v>2584</v>
      </c>
      <c r="Q17" s="1431"/>
      <c r="R17" s="1452">
        <f t="shared" si="1"/>
        <v>3.4592992330574233</v>
      </c>
      <c r="S17" s="1410"/>
      <c r="T17" s="1453">
        <f t="shared" si="4"/>
        <v>8938.8292182203822</v>
      </c>
      <c r="U17" s="1438"/>
      <c r="V17" s="1438"/>
      <c r="W17" s="1326"/>
      <c r="X17" s="1069"/>
      <c r="Y17" s="1070"/>
      <c r="Z17" s="1070"/>
      <c r="AA17" s="1070"/>
      <c r="AB17" s="1070"/>
      <c r="AC17" s="1070"/>
      <c r="AD17" s="1036"/>
      <c r="AE17" s="1036"/>
      <c r="AF17" s="1036"/>
      <c r="AG17" s="1036"/>
      <c r="AH17" s="1036"/>
      <c r="AI17" s="1036"/>
      <c r="AJ17" s="1036"/>
      <c r="AK17" s="1036"/>
      <c r="AL17" s="1036"/>
      <c r="AM17" s="1036"/>
      <c r="AN17" s="1036"/>
      <c r="AO17" s="1036"/>
      <c r="AP17" s="1036"/>
      <c r="AQ17" s="1036"/>
      <c r="AR17" s="1051"/>
      <c r="AS17" s="1394"/>
      <c r="AT17" s="1051"/>
      <c r="AU17" s="1392"/>
      <c r="AV17" s="1051"/>
    </row>
    <row r="18" spans="1:48">
      <c r="A18" s="1450" t="s">
        <v>864</v>
      </c>
      <c r="B18" s="1440"/>
      <c r="C18" s="1441"/>
      <c r="D18" s="1440"/>
      <c r="E18" s="1437"/>
      <c r="F18" s="1431">
        <v>1118</v>
      </c>
      <c r="G18" s="1431"/>
      <c r="H18" s="1454">
        <v>2.79</v>
      </c>
      <c r="I18" s="1455"/>
      <c r="J18" s="1435">
        <f t="shared" si="2"/>
        <v>3119.2200000000003</v>
      </c>
      <c r="K18" s="1431"/>
      <c r="L18" s="1433">
        <f t="shared" si="0"/>
        <v>3119.2200000000003</v>
      </c>
      <c r="M18" s="1431"/>
      <c r="N18" s="1435"/>
      <c r="O18" s="1434"/>
      <c r="P18" s="1435">
        <f t="shared" si="3"/>
        <v>1118</v>
      </c>
      <c r="Q18" s="1431"/>
      <c r="R18" s="1452">
        <f t="shared" si="1"/>
        <v>3.0934118141763496</v>
      </c>
      <c r="S18" s="1410"/>
      <c r="T18" s="1453">
        <f t="shared" si="4"/>
        <v>3458.4344082491589</v>
      </c>
      <c r="U18" s="1438"/>
      <c r="V18" s="1438"/>
      <c r="W18" s="1326"/>
      <c r="X18" s="1069"/>
      <c r="Y18" s="1070"/>
      <c r="Z18" s="1070"/>
      <c r="AA18" s="1070"/>
      <c r="AB18" s="1070"/>
      <c r="AC18" s="1036"/>
      <c r="AD18" s="1036"/>
      <c r="AE18" s="1036"/>
      <c r="AF18" s="1036"/>
      <c r="AG18" s="1036"/>
      <c r="AH18" s="1036"/>
      <c r="AI18" s="1036"/>
      <c r="AJ18" s="1036"/>
      <c r="AK18" s="1036"/>
      <c r="AL18" s="1036"/>
      <c r="AM18" s="1036"/>
      <c r="AN18" s="1036"/>
      <c r="AO18" s="1036"/>
      <c r="AP18" s="1036"/>
      <c r="AQ18" s="1036"/>
      <c r="AR18" s="1051"/>
      <c r="AS18" s="1394"/>
      <c r="AT18" s="1051"/>
      <c r="AU18" s="1392"/>
      <c r="AV18" s="1051"/>
    </row>
    <row r="19" spans="1:48">
      <c r="A19" s="1450" t="s">
        <v>876</v>
      </c>
      <c r="B19" s="1440"/>
      <c r="C19" s="1441"/>
      <c r="D19" s="1440"/>
      <c r="E19" s="1437"/>
      <c r="F19" s="1431">
        <v>508.99999999999994</v>
      </c>
      <c r="G19" s="1431"/>
      <c r="H19" s="1454">
        <v>2.5499999999999998</v>
      </c>
      <c r="I19" s="1455"/>
      <c r="J19" s="1435">
        <f t="shared" si="2"/>
        <v>1297.9499999999998</v>
      </c>
      <c r="K19" s="1431"/>
      <c r="L19" s="1433">
        <f t="shared" si="0"/>
        <v>1297.9499999999998</v>
      </c>
      <c r="M19" s="1431"/>
      <c r="N19" s="1435"/>
      <c r="O19" s="1434"/>
      <c r="P19" s="1435">
        <f t="shared" si="3"/>
        <v>508.99999999999994</v>
      </c>
      <c r="Q19" s="1431"/>
      <c r="R19" s="1452">
        <f t="shared" si="1"/>
        <v>2.827311873171932</v>
      </c>
      <c r="S19" s="1410"/>
      <c r="T19" s="1453">
        <f t="shared" si="4"/>
        <v>1439.1017434445132</v>
      </c>
      <c r="U19" s="1438"/>
      <c r="V19" s="1438"/>
      <c r="W19" s="1210">
        <f>SUM(N20,N30,N40,N50,N60)</f>
        <v>67284.999999999898</v>
      </c>
      <c r="X19" s="1069"/>
      <c r="Y19" s="1070"/>
      <c r="Z19" s="1070"/>
      <c r="AA19" s="1070"/>
      <c r="AB19" s="1070"/>
      <c r="AC19" s="1036"/>
      <c r="AD19" s="1036"/>
      <c r="AE19" s="1036"/>
      <c r="AF19" s="1036"/>
      <c r="AG19" s="1036"/>
      <c r="AH19" s="1036"/>
      <c r="AI19" s="1036"/>
      <c r="AJ19" s="1036"/>
      <c r="AK19" s="1036"/>
      <c r="AL19" s="1036"/>
      <c r="AM19" s="1036"/>
      <c r="AN19" s="1036"/>
      <c r="AO19" s="1036"/>
      <c r="AP19" s="1036"/>
      <c r="AQ19" s="1036"/>
      <c r="AR19" s="1051"/>
      <c r="AS19" s="1394"/>
      <c r="AT19" s="1051"/>
      <c r="AU19" s="1392"/>
      <c r="AV19" s="1051"/>
    </row>
    <row r="20" spans="1:48" s="1412" customFormat="1" ht="12.75" thickBot="1">
      <c r="A20" s="1411" t="s">
        <v>1664</v>
      </c>
      <c r="B20" s="1456">
        <f>SUM(B13:B19)</f>
        <v>240397</v>
      </c>
      <c r="C20" s="1443"/>
      <c r="D20" s="1456">
        <f>SUM(D13:D19)</f>
        <v>60589.999999999913</v>
      </c>
      <c r="E20" s="1443"/>
      <c r="F20" s="1456">
        <f>SUM(F13:F19)</f>
        <v>184412.99999999983</v>
      </c>
      <c r="G20" s="1396"/>
      <c r="H20" s="1398"/>
      <c r="I20" s="1397"/>
      <c r="J20" s="1444">
        <f>SUM(J13:J19)</f>
        <v>1201865.4299999988</v>
      </c>
      <c r="K20" s="1396"/>
      <c r="L20" s="1444">
        <f>SUM(L13:L19)</f>
        <v>1201865.4299999988</v>
      </c>
      <c r="M20" s="1396"/>
      <c r="N20" s="1456">
        <f>SUM(N13:N19)</f>
        <v>60589.999999999913</v>
      </c>
      <c r="O20" s="1400"/>
      <c r="P20" s="1456">
        <f>SUM(P13:P19)</f>
        <v>184412.99999999983</v>
      </c>
      <c r="Q20" s="1396"/>
      <c r="R20" s="1436"/>
      <c r="S20" s="1443"/>
      <c r="T20" s="1444">
        <f>SUM(T13:T19)</f>
        <v>1332568.0000760339</v>
      </c>
      <c r="U20" s="1443"/>
      <c r="V20" s="1443"/>
      <c r="W20" s="1327" t="e">
        <f>SUM(#REF!,#REF!,#REF!,#REF!,#REF!)</f>
        <v>#REF!</v>
      </c>
      <c r="X20" s="1084"/>
      <c r="Y20" s="1085"/>
      <c r="Z20" s="1085"/>
      <c r="AA20" s="1085"/>
      <c r="AB20" s="1085"/>
      <c r="AC20" s="1085"/>
      <c r="AD20" s="1085" t="s">
        <v>501</v>
      </c>
      <c r="AE20" s="1404"/>
      <c r="AF20" s="1397"/>
      <c r="AG20" s="1443"/>
      <c r="AH20" s="1443"/>
      <c r="AI20" s="1443"/>
      <c r="AJ20" s="1397"/>
      <c r="AK20" s="1086"/>
      <c r="AL20" s="1397"/>
      <c r="AM20" s="1086"/>
      <c r="AN20" s="1397"/>
      <c r="AO20" s="1086"/>
      <c r="AP20" s="1397"/>
      <c r="AQ20" s="1086"/>
      <c r="AR20" s="1087"/>
      <c r="AS20" s="1087"/>
      <c r="AT20" s="1087"/>
      <c r="AU20" s="1087"/>
      <c r="AV20" s="1087"/>
    </row>
    <row r="21" spans="1:48" ht="12.75" thickTop="1">
      <c r="A21" s="1411"/>
      <c r="B21" s="1440"/>
      <c r="C21" s="1441"/>
      <c r="D21" s="1440"/>
      <c r="E21" s="1437"/>
      <c r="F21" s="1431"/>
      <c r="G21" s="1431"/>
      <c r="H21" s="1432"/>
      <c r="I21" s="1438"/>
      <c r="J21" s="1433"/>
      <c r="K21" s="1431"/>
      <c r="L21" s="1433"/>
      <c r="M21" s="1431"/>
      <c r="N21" s="1435"/>
      <c r="O21" s="1434"/>
      <c r="P21" s="1435"/>
      <c r="Q21" s="1431"/>
      <c r="R21" s="1436"/>
      <c r="S21" s="1438"/>
      <c r="T21" s="1393"/>
      <c r="U21" s="1438"/>
      <c r="V21" s="1438"/>
      <c r="W21" s="1325">
        <f>SUM(T20,T30,T40,T50,T60)</f>
        <v>1490371.1192903554</v>
      </c>
      <c r="X21" s="1069"/>
      <c r="Y21" s="1070"/>
      <c r="Z21" s="1070"/>
      <c r="AA21" s="1070"/>
      <c r="AB21" s="1070"/>
      <c r="AC21" s="1070"/>
      <c r="AD21" s="1036"/>
      <c r="AE21" s="1036"/>
      <c r="AF21" s="1036"/>
      <c r="AG21" s="1036"/>
      <c r="AH21" s="1036"/>
      <c r="AI21" s="1036"/>
      <c r="AJ21" s="1036"/>
      <c r="AK21" s="1036"/>
      <c r="AL21" s="1036"/>
      <c r="AM21" s="1036"/>
      <c r="AN21" s="1036"/>
      <c r="AO21" s="1036"/>
      <c r="AP21" s="1036"/>
      <c r="AQ21" s="1036"/>
      <c r="AR21" s="1051"/>
      <c r="AS21" s="1051"/>
      <c r="AT21" s="1051"/>
      <c r="AU21" s="1392"/>
      <c r="AV21" s="1051"/>
    </row>
    <row r="22" spans="1:48" ht="12.75" thickBot="1">
      <c r="A22" s="1413" t="s">
        <v>1663</v>
      </c>
      <c r="B22" s="1440"/>
      <c r="C22" s="1441"/>
      <c r="D22" s="1440"/>
      <c r="E22" s="1437"/>
      <c r="F22" s="1431"/>
      <c r="G22" s="1431"/>
      <c r="H22" s="1432"/>
      <c r="I22" s="1438"/>
      <c r="J22" s="1433"/>
      <c r="K22" s="1431"/>
      <c r="L22" s="1446">
        <f>+L20/$D20</f>
        <v>19.836036144578323</v>
      </c>
      <c r="M22" s="1431"/>
      <c r="N22" s="1435"/>
      <c r="O22" s="1434"/>
      <c r="P22" s="1435"/>
      <c r="Q22" s="1431"/>
      <c r="R22" s="1436"/>
      <c r="S22" s="1438"/>
      <c r="T22" s="1446">
        <f>+T20/$D20</f>
        <v>21.993200199307406</v>
      </c>
      <c r="U22" s="1438">
        <f>+T22-L22</f>
        <v>2.1571640547290833</v>
      </c>
      <c r="V22" s="1438">
        <f>U22/L22</f>
        <v>0.10874975418507137</v>
      </c>
      <c r="W22" s="1325">
        <f>W21/W19</f>
        <v>22.1501243856782</v>
      </c>
      <c r="X22" s="1069"/>
      <c r="Y22" s="1070"/>
      <c r="Z22" s="1070"/>
      <c r="AA22" s="1070"/>
      <c r="AB22" s="1070"/>
      <c r="AC22" s="1070"/>
      <c r="AD22" s="1036"/>
      <c r="AE22" s="1036"/>
      <c r="AF22" s="1036"/>
      <c r="AG22" s="1036"/>
      <c r="AH22" s="1036"/>
      <c r="AI22" s="1036"/>
      <c r="AJ22" s="1036"/>
      <c r="AK22" s="1036"/>
      <c r="AL22" s="1036"/>
      <c r="AM22" s="1036"/>
      <c r="AN22" s="1036"/>
      <c r="AO22" s="1036"/>
      <c r="AP22" s="1036"/>
      <c r="AQ22" s="1036"/>
      <c r="AR22" s="1051"/>
      <c r="AS22" s="1051"/>
      <c r="AT22" s="1051"/>
      <c r="AU22" s="1392"/>
      <c r="AV22" s="1051"/>
    </row>
    <row r="23" spans="1:48" ht="12.75" thickTop="1">
      <c r="A23" s="1407" t="s">
        <v>1662</v>
      </c>
      <c r="B23" s="1431">
        <v>26042</v>
      </c>
      <c r="C23" s="1437"/>
      <c r="D23" s="1431"/>
      <c r="E23" s="1437"/>
      <c r="F23" s="1431"/>
      <c r="G23" s="1431"/>
      <c r="H23" s="1432"/>
      <c r="I23" s="1438"/>
      <c r="J23" s="1433"/>
      <c r="K23" s="1431"/>
      <c r="L23" s="1433"/>
      <c r="M23" s="1431"/>
      <c r="N23" s="1435"/>
      <c r="O23" s="1434"/>
      <c r="P23" s="1435"/>
      <c r="Q23" s="1431"/>
      <c r="R23" s="1436"/>
      <c r="S23" s="1437"/>
      <c r="T23" s="1439"/>
      <c r="U23" s="1437"/>
      <c r="V23" s="1437"/>
      <c r="W23" s="1326" t="e">
        <f>W20/W19</f>
        <v>#REF!</v>
      </c>
      <c r="X23" s="1330" t="e">
        <f>W22-W23</f>
        <v>#REF!</v>
      </c>
      <c r="Y23" s="1070"/>
      <c r="Z23" s="1070"/>
      <c r="AA23" s="1070"/>
      <c r="AB23" s="1070"/>
      <c r="AC23" s="1070"/>
      <c r="AD23" s="1036"/>
      <c r="AE23" s="1036"/>
      <c r="AF23" s="1036"/>
      <c r="AG23" s="1036"/>
      <c r="AH23" s="1036"/>
      <c r="AI23" s="1036"/>
      <c r="AJ23" s="1036"/>
      <c r="AK23" s="1036"/>
      <c r="AL23" s="1036"/>
      <c r="AM23" s="1036"/>
      <c r="AN23" s="1036"/>
      <c r="AO23" s="1036"/>
      <c r="AP23" s="1036"/>
      <c r="AQ23" s="1036"/>
      <c r="AR23" s="1394"/>
      <c r="AS23" s="1394"/>
      <c r="AT23" s="1394"/>
      <c r="AU23" s="1394"/>
      <c r="AV23" s="1394"/>
    </row>
    <row r="24" spans="1:48">
      <c r="A24" s="1450" t="s">
        <v>582</v>
      </c>
      <c r="B24" s="1440"/>
      <c r="C24" s="1441"/>
      <c r="D24" s="1440">
        <v>6429.9999999999918</v>
      </c>
      <c r="E24" s="1437"/>
      <c r="F24" s="1431"/>
      <c r="G24" s="1431"/>
      <c r="H24" s="1451">
        <v>8.9600000000000009</v>
      </c>
      <c r="I24" s="1438"/>
      <c r="J24" s="1433">
        <f>+D24*H24</f>
        <v>57612.79999999993</v>
      </c>
      <c r="K24" s="1431"/>
      <c r="L24" s="1433">
        <f>+J24</f>
        <v>57612.79999999993</v>
      </c>
      <c r="M24" s="1431"/>
      <c r="N24" s="1435">
        <f>+D24</f>
        <v>6429.9999999999918</v>
      </c>
      <c r="O24" s="1434"/>
      <c r="P24" s="1435"/>
      <c r="Q24" s="1431"/>
      <c r="R24" s="1452">
        <f>+H24*(1+$W$5)</f>
        <v>9.9343977974982423</v>
      </c>
      <c r="S24" s="1438"/>
      <c r="T24" s="1453">
        <f>+N24*R24</f>
        <v>63878.177837913616</v>
      </c>
      <c r="U24" s="1438"/>
      <c r="V24" s="1438"/>
      <c r="W24" s="1325"/>
      <c r="X24" s="1069"/>
      <c r="Y24" s="1070"/>
      <c r="Z24" s="1070"/>
      <c r="AA24" s="1070"/>
      <c r="AB24" s="1070"/>
      <c r="AC24" s="1070"/>
      <c r="AD24" s="1036"/>
      <c r="AE24" s="1036"/>
      <c r="AF24" s="1036"/>
      <c r="AG24" s="1036"/>
      <c r="AH24" s="1036"/>
      <c r="AI24" s="1036"/>
      <c r="AJ24" s="1036"/>
      <c r="AK24" s="1036"/>
      <c r="AL24" s="1036"/>
      <c r="AM24" s="1036"/>
      <c r="AN24" s="1036"/>
      <c r="AO24" s="1036"/>
      <c r="AP24" s="1036"/>
      <c r="AQ24" s="1036"/>
      <c r="AR24" s="1051"/>
      <c r="AS24" s="1051"/>
      <c r="AT24" s="1051"/>
      <c r="AU24" s="1392"/>
      <c r="AV24" s="1051"/>
    </row>
    <row r="25" spans="1:48">
      <c r="A25" s="1450" t="s">
        <v>642</v>
      </c>
      <c r="B25" s="1440"/>
      <c r="C25" s="1441"/>
      <c r="D25" s="1440"/>
      <c r="E25" s="1437"/>
      <c r="F25" s="1431">
        <v>13082.999999999998</v>
      </c>
      <c r="G25" s="1431"/>
      <c r="H25" s="1454">
        <v>3.61</v>
      </c>
      <c r="I25" s="1410"/>
      <c r="J25" s="1435">
        <f>+F25*H25</f>
        <v>47229.62999999999</v>
      </c>
      <c r="K25" s="1431"/>
      <c r="L25" s="1433">
        <f t="shared" ref="L25:L29" si="5">+J25</f>
        <v>47229.62999999999</v>
      </c>
      <c r="M25" s="1431"/>
      <c r="N25" s="1435"/>
      <c r="O25" s="1434"/>
      <c r="P25" s="1435">
        <f>+F25</f>
        <v>13082.999999999998</v>
      </c>
      <c r="Q25" s="1431"/>
      <c r="R25" s="1452">
        <f t="shared" ref="R25:R29" si="6">+H25*(1+$W$5)</f>
        <v>4.0025866126081082</v>
      </c>
      <c r="S25" s="1438"/>
      <c r="T25" s="1453">
        <f>+P25*R25</f>
        <v>52365.840652751875</v>
      </c>
      <c r="U25" s="1438"/>
      <c r="V25" s="1438"/>
      <c r="W25" s="1325"/>
      <c r="X25" s="1069"/>
      <c r="Y25" s="1070"/>
      <c r="Z25" s="1070"/>
      <c r="AA25" s="1070"/>
      <c r="AB25" s="1070"/>
      <c r="AC25" s="1070"/>
      <c r="AD25" s="1036"/>
      <c r="AE25" s="1036"/>
      <c r="AF25" s="1036"/>
      <c r="AG25" s="1036"/>
      <c r="AH25" s="1036"/>
      <c r="AI25" s="1036"/>
      <c r="AJ25" s="1036"/>
      <c r="AK25" s="1036"/>
      <c r="AL25" s="1036"/>
      <c r="AM25" s="1036"/>
      <c r="AN25" s="1036"/>
      <c r="AO25" s="1036"/>
      <c r="AP25" s="1036"/>
      <c r="AQ25" s="1036"/>
      <c r="AR25" s="1051"/>
      <c r="AS25" s="1051"/>
      <c r="AT25" s="1051"/>
      <c r="AU25" s="1392"/>
      <c r="AV25" s="1051"/>
    </row>
    <row r="26" spans="1:48">
      <c r="A26" s="1450" t="s">
        <v>862</v>
      </c>
      <c r="B26" s="1440"/>
      <c r="C26" s="1441"/>
      <c r="D26" s="1440"/>
      <c r="E26" s="1437"/>
      <c r="F26" s="1431">
        <v>4017.0000000000055</v>
      </c>
      <c r="G26" s="1431"/>
      <c r="H26" s="1454">
        <v>3.29</v>
      </c>
      <c r="I26" s="1410"/>
      <c r="J26" s="1435">
        <f t="shared" ref="J26:J29" si="7">+F26*H26</f>
        <v>13215.930000000018</v>
      </c>
      <c r="K26" s="1431"/>
      <c r="L26" s="1433">
        <f t="shared" si="5"/>
        <v>13215.930000000018</v>
      </c>
      <c r="M26" s="1431"/>
      <c r="N26" s="1435"/>
      <c r="O26" s="1434"/>
      <c r="P26" s="1435">
        <f t="shared" ref="P26:P29" si="8">+F26</f>
        <v>4017.0000000000055</v>
      </c>
      <c r="Q26" s="1431"/>
      <c r="R26" s="1452">
        <f t="shared" si="6"/>
        <v>3.6477866912688852</v>
      </c>
      <c r="S26" s="1438"/>
      <c r="T26" s="1453">
        <f t="shared" ref="T26:T29" si="9">+P26*R26</f>
        <v>14653.159138827132</v>
      </c>
      <c r="U26" s="1438"/>
      <c r="V26" s="1438"/>
      <c r="W26" s="1326"/>
      <c r="X26" s="1069"/>
      <c r="Y26" s="1070"/>
      <c r="Z26" s="1070"/>
      <c r="AA26" s="1070"/>
      <c r="AB26" s="1070"/>
      <c r="AC26" s="1070"/>
      <c r="AD26" s="1036"/>
      <c r="AE26" s="1036"/>
      <c r="AF26" s="1036"/>
      <c r="AG26" s="1036"/>
      <c r="AH26" s="1036"/>
      <c r="AI26" s="1036"/>
      <c r="AJ26" s="1036"/>
      <c r="AK26" s="1036"/>
      <c r="AL26" s="1036"/>
      <c r="AM26" s="1036"/>
      <c r="AN26" s="1036"/>
      <c r="AO26" s="1036"/>
      <c r="AP26" s="1036"/>
      <c r="AQ26" s="1036"/>
      <c r="AR26" s="1051"/>
      <c r="AS26" s="1051"/>
      <c r="AT26" s="1051"/>
      <c r="AU26" s="1392"/>
      <c r="AV26" s="1051"/>
    </row>
    <row r="27" spans="1:48">
      <c r="A27" s="1450" t="s">
        <v>863</v>
      </c>
      <c r="B27" s="1440"/>
      <c r="C27" s="1441"/>
      <c r="D27" s="1440"/>
      <c r="E27" s="1437"/>
      <c r="F27" s="1431">
        <v>2280</v>
      </c>
      <c r="G27" s="1431"/>
      <c r="H27" s="1454">
        <v>3.12</v>
      </c>
      <c r="I27" s="1410"/>
      <c r="J27" s="1435">
        <f t="shared" si="7"/>
        <v>7113.6</v>
      </c>
      <c r="K27" s="1431"/>
      <c r="L27" s="1433">
        <f t="shared" si="5"/>
        <v>7113.6</v>
      </c>
      <c r="M27" s="1431"/>
      <c r="N27" s="1435"/>
      <c r="O27" s="1434"/>
      <c r="P27" s="1435">
        <f t="shared" si="8"/>
        <v>2280</v>
      </c>
      <c r="Q27" s="1431"/>
      <c r="R27" s="1452">
        <f t="shared" si="6"/>
        <v>3.4592992330574233</v>
      </c>
      <c r="S27" s="1438"/>
      <c r="T27" s="1453">
        <f t="shared" si="9"/>
        <v>7887.2022513709253</v>
      </c>
      <c r="U27" s="1438"/>
      <c r="V27" s="1438"/>
      <c r="W27" s="1326"/>
      <c r="X27" s="1069"/>
      <c r="Y27" s="1070"/>
      <c r="Z27" s="1070"/>
      <c r="AA27" s="1070"/>
      <c r="AB27" s="1070"/>
      <c r="AC27" s="1070"/>
      <c r="AD27" s="1036"/>
      <c r="AE27" s="1036"/>
      <c r="AF27" s="1036"/>
      <c r="AG27" s="1036"/>
      <c r="AH27" s="1036"/>
      <c r="AI27" s="1036"/>
      <c r="AJ27" s="1036"/>
      <c r="AK27" s="1036"/>
      <c r="AL27" s="1036"/>
      <c r="AM27" s="1036"/>
      <c r="AN27" s="1036"/>
      <c r="AO27" s="1036"/>
      <c r="AP27" s="1036"/>
      <c r="AQ27" s="1036"/>
      <c r="AR27" s="1051"/>
      <c r="AS27" s="1394"/>
      <c r="AT27" s="1051"/>
      <c r="AU27" s="1392"/>
      <c r="AV27" s="1051"/>
    </row>
    <row r="28" spans="1:48">
      <c r="A28" s="1450" t="s">
        <v>864</v>
      </c>
      <c r="B28" s="1440"/>
      <c r="C28" s="1441"/>
      <c r="D28" s="1440"/>
      <c r="E28" s="1437"/>
      <c r="F28" s="1431">
        <v>1588.9999999999998</v>
      </c>
      <c r="G28" s="1431"/>
      <c r="H28" s="1454">
        <v>2.79</v>
      </c>
      <c r="I28" s="1410"/>
      <c r="J28" s="1435">
        <f t="shared" si="7"/>
        <v>4433.3099999999995</v>
      </c>
      <c r="K28" s="1431"/>
      <c r="L28" s="1433">
        <f t="shared" si="5"/>
        <v>4433.3099999999995</v>
      </c>
      <c r="M28" s="1431"/>
      <c r="N28" s="1435"/>
      <c r="O28" s="1434"/>
      <c r="P28" s="1435">
        <f t="shared" si="8"/>
        <v>1588.9999999999998</v>
      </c>
      <c r="Q28" s="1431"/>
      <c r="R28" s="1452">
        <f t="shared" si="6"/>
        <v>3.0934118141763496</v>
      </c>
      <c r="S28" s="1438"/>
      <c r="T28" s="1453">
        <f t="shared" si="9"/>
        <v>4915.4313727262188</v>
      </c>
      <c r="U28" s="1438"/>
      <c r="V28" s="1438"/>
      <c r="W28" s="1326"/>
      <c r="X28" s="1069"/>
      <c r="Y28" s="1070"/>
      <c r="Z28" s="1070"/>
      <c r="AA28" s="1070"/>
      <c r="AB28" s="1070"/>
      <c r="AC28" s="1036"/>
      <c r="AD28" s="1036"/>
      <c r="AE28" s="1036"/>
      <c r="AF28" s="1036"/>
      <c r="AG28" s="1036"/>
      <c r="AH28" s="1036"/>
      <c r="AI28" s="1036"/>
      <c r="AJ28" s="1036"/>
      <c r="AK28" s="1036"/>
      <c r="AL28" s="1036"/>
      <c r="AM28" s="1036"/>
      <c r="AN28" s="1036"/>
      <c r="AO28" s="1036"/>
      <c r="AP28" s="1036"/>
      <c r="AQ28" s="1036"/>
      <c r="AR28" s="1051"/>
      <c r="AS28" s="1394"/>
      <c r="AT28" s="1051"/>
      <c r="AU28" s="1392"/>
      <c r="AV28" s="1051"/>
    </row>
    <row r="29" spans="1:48">
      <c r="A29" s="1450" t="s">
        <v>876</v>
      </c>
      <c r="B29" s="1440"/>
      <c r="C29" s="1441"/>
      <c r="D29" s="1440"/>
      <c r="E29" s="1437"/>
      <c r="F29" s="1431">
        <v>267</v>
      </c>
      <c r="G29" s="1431"/>
      <c r="H29" s="1454">
        <v>2.5499999999999998</v>
      </c>
      <c r="I29" s="1410"/>
      <c r="J29" s="1435">
        <f t="shared" si="7"/>
        <v>680.84999999999991</v>
      </c>
      <c r="K29" s="1431"/>
      <c r="L29" s="1433">
        <f t="shared" si="5"/>
        <v>680.84999999999991</v>
      </c>
      <c r="M29" s="1431"/>
      <c r="N29" s="1435"/>
      <c r="O29" s="1434"/>
      <c r="P29" s="1435">
        <f t="shared" si="8"/>
        <v>267</v>
      </c>
      <c r="Q29" s="1431"/>
      <c r="R29" s="1452">
        <f t="shared" si="6"/>
        <v>2.827311873171932</v>
      </c>
      <c r="S29" s="1438"/>
      <c r="T29" s="1453">
        <f t="shared" si="9"/>
        <v>754.89227013690584</v>
      </c>
      <c r="U29" s="1438"/>
      <c r="V29" s="1438"/>
      <c r="W29" s="1326"/>
      <c r="X29" s="1069"/>
      <c r="Y29" s="1070"/>
      <c r="Z29" s="1070"/>
      <c r="AA29" s="1070"/>
      <c r="AB29" s="1070"/>
      <c r="AC29" s="1036"/>
      <c r="AD29" s="1036"/>
      <c r="AE29" s="1036"/>
      <c r="AF29" s="1036"/>
      <c r="AG29" s="1036"/>
      <c r="AH29" s="1036"/>
      <c r="AI29" s="1036"/>
      <c r="AJ29" s="1036"/>
      <c r="AK29" s="1036"/>
      <c r="AL29" s="1036"/>
      <c r="AM29" s="1036"/>
      <c r="AN29" s="1036"/>
      <c r="AO29" s="1036"/>
      <c r="AP29" s="1036"/>
      <c r="AQ29" s="1036"/>
      <c r="AR29" s="1051"/>
      <c r="AS29" s="1394"/>
      <c r="AT29" s="1051"/>
      <c r="AU29" s="1392"/>
      <c r="AV29" s="1051"/>
    </row>
    <row r="30" spans="1:48" s="1412" customFormat="1" ht="12.75" thickBot="1">
      <c r="A30" s="1411" t="s">
        <v>1661</v>
      </c>
      <c r="B30" s="1456">
        <f>SUM(B23:B29)</f>
        <v>26042</v>
      </c>
      <c r="C30" s="1443"/>
      <c r="D30" s="1456">
        <f>SUM(D23:D29)</f>
        <v>6429.9999999999918</v>
      </c>
      <c r="E30" s="1443"/>
      <c r="F30" s="1456">
        <f>SUM(F23:F29)</f>
        <v>21236.000000000004</v>
      </c>
      <c r="G30" s="1396"/>
      <c r="H30" s="1398"/>
      <c r="I30" s="1397"/>
      <c r="J30" s="1444">
        <f>SUM(J23:J29)</f>
        <v>130286.11999999995</v>
      </c>
      <c r="K30" s="1396"/>
      <c r="L30" s="1444">
        <f>SUM(L23:L29)</f>
        <v>130286.11999999995</v>
      </c>
      <c r="M30" s="1396"/>
      <c r="N30" s="1456">
        <f>SUM(N23:N29)</f>
        <v>6429.9999999999918</v>
      </c>
      <c r="O30" s="1400"/>
      <c r="P30" s="1456">
        <f>SUM(P23:P29)</f>
        <v>21236.000000000004</v>
      </c>
      <c r="Q30" s="1396"/>
      <c r="R30" s="1436"/>
      <c r="S30" s="1443"/>
      <c r="T30" s="1444">
        <f>SUM(T23:T29)</f>
        <v>144454.7035237267</v>
      </c>
      <c r="U30" s="1443"/>
      <c r="V30" s="1443"/>
      <c r="W30" s="1210"/>
      <c r="X30" s="1084"/>
      <c r="Y30" s="1085"/>
      <c r="Z30" s="1085"/>
      <c r="AA30" s="1085"/>
      <c r="AB30" s="1085"/>
      <c r="AC30" s="1085"/>
      <c r="AD30" s="1085" t="s">
        <v>501</v>
      </c>
      <c r="AE30" s="1404"/>
      <c r="AF30" s="1397"/>
      <c r="AG30" s="1443"/>
      <c r="AH30" s="1443"/>
      <c r="AI30" s="1443"/>
      <c r="AJ30" s="1397"/>
      <c r="AK30" s="1086"/>
      <c r="AL30" s="1397"/>
      <c r="AM30" s="1086"/>
      <c r="AN30" s="1397"/>
      <c r="AO30" s="1086"/>
      <c r="AP30" s="1397"/>
      <c r="AQ30" s="1086"/>
      <c r="AR30" s="1087"/>
      <c r="AS30" s="1087"/>
      <c r="AT30" s="1087"/>
      <c r="AU30" s="1087"/>
      <c r="AV30" s="1087"/>
    </row>
    <row r="31" spans="1:48" ht="12.75" thickTop="1">
      <c r="A31" s="1411"/>
      <c r="B31" s="1440"/>
      <c r="C31" s="1441"/>
      <c r="D31" s="1440"/>
      <c r="E31" s="1437"/>
      <c r="F31" s="1431"/>
      <c r="G31" s="1431"/>
      <c r="H31" s="1432"/>
      <c r="I31" s="1438"/>
      <c r="J31" s="1433"/>
      <c r="K31" s="1431"/>
      <c r="L31" s="1433"/>
      <c r="M31" s="1431"/>
      <c r="N31" s="1435"/>
      <c r="O31" s="1434"/>
      <c r="P31" s="1435"/>
      <c r="Q31" s="1431"/>
      <c r="R31" s="1436"/>
      <c r="S31" s="1438"/>
      <c r="T31" s="1393"/>
      <c r="U31" s="1438"/>
      <c r="V31" s="1438"/>
      <c r="W31" s="1325"/>
      <c r="X31" s="1069"/>
      <c r="Y31" s="1070"/>
      <c r="Z31" s="1070"/>
      <c r="AA31" s="1070"/>
      <c r="AB31" s="1070"/>
      <c r="AC31" s="1070"/>
      <c r="AD31" s="1036"/>
      <c r="AE31" s="1036"/>
      <c r="AF31" s="1036"/>
      <c r="AG31" s="1036"/>
      <c r="AH31" s="1036"/>
      <c r="AI31" s="1036"/>
      <c r="AJ31" s="1036"/>
      <c r="AK31" s="1036"/>
      <c r="AL31" s="1036"/>
      <c r="AM31" s="1036"/>
      <c r="AN31" s="1036"/>
      <c r="AO31" s="1036"/>
      <c r="AP31" s="1036"/>
      <c r="AQ31" s="1036"/>
      <c r="AR31" s="1051"/>
      <c r="AS31" s="1051"/>
      <c r="AT31" s="1051"/>
      <c r="AU31" s="1392"/>
      <c r="AV31" s="1051"/>
    </row>
    <row r="32" spans="1:48" ht="12.75" thickBot="1">
      <c r="A32" s="1413" t="s">
        <v>1660</v>
      </c>
      <c r="B32" s="1440"/>
      <c r="C32" s="1441"/>
      <c r="D32" s="1440"/>
      <c r="E32" s="1437"/>
      <c r="F32" s="1431"/>
      <c r="G32" s="1431"/>
      <c r="H32" s="1432"/>
      <c r="I32" s="1438"/>
      <c r="J32" s="1433"/>
      <c r="K32" s="1431"/>
      <c r="L32" s="1446">
        <f>+L30/$D30</f>
        <v>20.262227060653206</v>
      </c>
      <c r="M32" s="1431"/>
      <c r="N32" s="1435"/>
      <c r="O32" s="1434"/>
      <c r="P32" s="1435"/>
      <c r="Q32" s="1431"/>
      <c r="R32" s="1436"/>
      <c r="S32" s="1438"/>
      <c r="T32" s="1446">
        <f>+T30/$D30</f>
        <v>22.465739272741349</v>
      </c>
      <c r="U32" s="1438">
        <f>+T32-L32</f>
        <v>2.2035122120881425</v>
      </c>
      <c r="V32" s="1438">
        <f>U32/L32</f>
        <v>0.10874975418507163</v>
      </c>
      <c r="W32" s="1325"/>
      <c r="X32" s="1069"/>
      <c r="Y32" s="1070"/>
      <c r="Z32" s="1070"/>
      <c r="AA32" s="1070"/>
      <c r="AB32" s="1070"/>
      <c r="AC32" s="1070"/>
      <c r="AD32" s="1036"/>
      <c r="AE32" s="1036"/>
      <c r="AF32" s="1036"/>
      <c r="AG32" s="1036"/>
      <c r="AH32" s="1036"/>
      <c r="AI32" s="1036"/>
      <c r="AJ32" s="1036"/>
      <c r="AK32" s="1036"/>
      <c r="AL32" s="1036"/>
      <c r="AM32" s="1036"/>
      <c r="AN32" s="1036"/>
      <c r="AO32" s="1036"/>
      <c r="AP32" s="1036"/>
      <c r="AQ32" s="1036"/>
      <c r="AR32" s="1051"/>
      <c r="AS32" s="1051"/>
      <c r="AT32" s="1051"/>
      <c r="AU32" s="1392"/>
      <c r="AV32" s="1051"/>
    </row>
    <row r="33" spans="1:48" ht="12.75" thickTop="1">
      <c r="A33" s="1407" t="s">
        <v>1717</v>
      </c>
      <c r="B33" s="1431">
        <v>1877</v>
      </c>
      <c r="C33" s="1437"/>
      <c r="D33" s="1431"/>
      <c r="E33" s="1437"/>
      <c r="F33" s="1431"/>
      <c r="G33" s="1431"/>
      <c r="H33" s="1432"/>
      <c r="I33" s="1438"/>
      <c r="J33" s="1433"/>
      <c r="K33" s="1431"/>
      <c r="L33" s="1433"/>
      <c r="M33" s="1431"/>
      <c r="N33" s="1435"/>
      <c r="O33" s="1434"/>
      <c r="P33" s="1435"/>
      <c r="Q33" s="1431"/>
      <c r="R33" s="1436"/>
      <c r="S33" s="1437"/>
      <c r="T33" s="1439"/>
      <c r="U33" s="1437"/>
      <c r="V33" s="1437"/>
      <c r="W33" s="1326"/>
      <c r="X33" s="1069"/>
      <c r="Y33" s="1070"/>
      <c r="Z33" s="1070"/>
      <c r="AA33" s="1070"/>
      <c r="AB33" s="1070"/>
      <c r="AC33" s="1070"/>
      <c r="AD33" s="1036"/>
      <c r="AE33" s="1036"/>
      <c r="AF33" s="1036"/>
      <c r="AG33" s="1036"/>
      <c r="AH33" s="1036"/>
      <c r="AI33" s="1036"/>
      <c r="AJ33" s="1036"/>
      <c r="AK33" s="1036"/>
      <c r="AL33" s="1036"/>
      <c r="AM33" s="1036"/>
      <c r="AN33" s="1036"/>
      <c r="AO33" s="1036"/>
      <c r="AP33" s="1036"/>
      <c r="AQ33" s="1036"/>
      <c r="AR33" s="1394"/>
      <c r="AS33" s="1394"/>
      <c r="AT33" s="1394"/>
      <c r="AU33" s="1394"/>
      <c r="AV33" s="1394"/>
    </row>
    <row r="34" spans="1:48">
      <c r="A34" s="1450" t="s">
        <v>582</v>
      </c>
      <c r="B34" s="1440"/>
      <c r="C34" s="1441"/>
      <c r="D34" s="1440">
        <v>160.00000000000011</v>
      </c>
      <c r="E34" s="1437"/>
      <c r="F34" s="1431"/>
      <c r="G34" s="1431"/>
      <c r="H34" s="1451">
        <v>8.9600000000000009</v>
      </c>
      <c r="I34" s="1438"/>
      <c r="J34" s="1433">
        <f>+D34*H34</f>
        <v>1433.600000000001</v>
      </c>
      <c r="K34" s="1431"/>
      <c r="L34" s="1433">
        <f>+J34</f>
        <v>1433.600000000001</v>
      </c>
      <c r="M34" s="1431"/>
      <c r="N34" s="1435">
        <f>+D34</f>
        <v>160.00000000000011</v>
      </c>
      <c r="O34" s="1434"/>
      <c r="P34" s="1435"/>
      <c r="Q34" s="1431"/>
      <c r="R34" s="1452">
        <f>+H34*(1+$W$5)</f>
        <v>9.9343977974982423</v>
      </c>
      <c r="S34" s="1438"/>
      <c r="T34" s="1453">
        <f>+N34*R34</f>
        <v>1589.5036475997199</v>
      </c>
      <c r="U34" s="1438"/>
      <c r="V34" s="1438"/>
      <c r="W34" s="1325"/>
      <c r="X34" s="1069"/>
      <c r="Y34" s="1070"/>
      <c r="Z34" s="1070"/>
      <c r="AA34" s="1070"/>
      <c r="AB34" s="1070"/>
      <c r="AC34" s="1070"/>
      <c r="AD34" s="1036"/>
      <c r="AE34" s="1036"/>
      <c r="AF34" s="1036"/>
      <c r="AG34" s="1036"/>
      <c r="AH34" s="1036"/>
      <c r="AI34" s="1036"/>
      <c r="AJ34" s="1036"/>
      <c r="AK34" s="1036"/>
      <c r="AL34" s="1036"/>
      <c r="AM34" s="1036"/>
      <c r="AN34" s="1036"/>
      <c r="AO34" s="1036"/>
      <c r="AP34" s="1036"/>
      <c r="AQ34" s="1036"/>
      <c r="AR34" s="1051"/>
      <c r="AS34" s="1051"/>
      <c r="AT34" s="1051"/>
      <c r="AU34" s="1392"/>
      <c r="AV34" s="1051"/>
    </row>
    <row r="35" spans="1:48">
      <c r="A35" s="1450" t="s">
        <v>642</v>
      </c>
      <c r="B35" s="1440"/>
      <c r="C35" s="1441"/>
      <c r="D35" s="1440"/>
      <c r="E35" s="1437"/>
      <c r="F35" s="1431">
        <v>405.00000000000006</v>
      </c>
      <c r="G35" s="1431"/>
      <c r="H35" s="1454">
        <v>3.61</v>
      </c>
      <c r="I35" s="1438"/>
      <c r="J35" s="1435">
        <f>+F35*H35</f>
        <v>1462.0500000000002</v>
      </c>
      <c r="K35" s="1431"/>
      <c r="L35" s="1433">
        <f t="shared" ref="L35:L39" si="10">+J35</f>
        <v>1462.0500000000002</v>
      </c>
      <c r="M35" s="1431"/>
      <c r="N35" s="1435"/>
      <c r="O35" s="1434"/>
      <c r="P35" s="1435">
        <f>+F35</f>
        <v>405.00000000000006</v>
      </c>
      <c r="Q35" s="1431"/>
      <c r="R35" s="1452">
        <f t="shared" ref="R35:R39" si="11">+H35*(1+$W$5)</f>
        <v>4.0025866126081082</v>
      </c>
      <c r="S35" s="1438"/>
      <c r="T35" s="1453">
        <f>+P35*R35</f>
        <v>1621.0475781062842</v>
      </c>
      <c r="U35" s="1438"/>
      <c r="V35" s="1438"/>
      <c r="W35" s="1325"/>
      <c r="X35" s="1069"/>
      <c r="Y35" s="1070"/>
      <c r="Z35" s="1070"/>
      <c r="AA35" s="1070"/>
      <c r="AB35" s="1070"/>
      <c r="AC35" s="1070"/>
      <c r="AD35" s="1036"/>
      <c r="AE35" s="1036"/>
      <c r="AF35" s="1036"/>
      <c r="AG35" s="1036"/>
      <c r="AH35" s="1036"/>
      <c r="AI35" s="1036"/>
      <c r="AJ35" s="1036"/>
      <c r="AK35" s="1036"/>
      <c r="AL35" s="1036"/>
      <c r="AM35" s="1036"/>
      <c r="AN35" s="1036"/>
      <c r="AO35" s="1036"/>
      <c r="AP35" s="1036"/>
      <c r="AQ35" s="1036"/>
      <c r="AR35" s="1051"/>
      <c r="AS35" s="1051"/>
      <c r="AT35" s="1051"/>
      <c r="AU35" s="1392"/>
      <c r="AV35" s="1051"/>
    </row>
    <row r="36" spans="1:48">
      <c r="A36" s="1450" t="s">
        <v>862</v>
      </c>
      <c r="B36" s="1440"/>
      <c r="C36" s="1441"/>
      <c r="D36" s="1440"/>
      <c r="E36" s="1437"/>
      <c r="F36" s="1431">
        <v>291.00000000000006</v>
      </c>
      <c r="G36" s="1431"/>
      <c r="H36" s="1454">
        <v>3.29</v>
      </c>
      <c r="I36" s="1438"/>
      <c r="J36" s="1435">
        <f t="shared" ref="J36:J39" si="12">+F36*H36</f>
        <v>957.39000000000021</v>
      </c>
      <c r="K36" s="1431"/>
      <c r="L36" s="1433">
        <f t="shared" si="10"/>
        <v>957.39000000000021</v>
      </c>
      <c r="M36" s="1431"/>
      <c r="N36" s="1435"/>
      <c r="O36" s="1434"/>
      <c r="P36" s="1435">
        <f t="shared" ref="P36:P39" si="13">+F36</f>
        <v>291.00000000000006</v>
      </c>
      <c r="Q36" s="1431"/>
      <c r="R36" s="1452">
        <f t="shared" si="11"/>
        <v>3.6477866912688852</v>
      </c>
      <c r="S36" s="1438"/>
      <c r="T36" s="1453">
        <f t="shared" ref="T36:T39" si="14">+P36*R36</f>
        <v>1061.5059271592459</v>
      </c>
      <c r="U36" s="1438"/>
      <c r="V36" s="1438"/>
      <c r="W36" s="1326"/>
      <c r="X36" s="1069"/>
      <c r="Y36" s="1070"/>
      <c r="Z36" s="1070"/>
      <c r="AA36" s="1070"/>
      <c r="AB36" s="1070"/>
      <c r="AC36" s="1070"/>
      <c r="AD36" s="1036"/>
      <c r="AE36" s="1036"/>
      <c r="AF36" s="1036"/>
      <c r="AG36" s="1036"/>
      <c r="AH36" s="1036"/>
      <c r="AI36" s="1036"/>
      <c r="AJ36" s="1036"/>
      <c r="AK36" s="1036"/>
      <c r="AL36" s="1036"/>
      <c r="AM36" s="1036"/>
      <c r="AN36" s="1036"/>
      <c r="AO36" s="1036"/>
      <c r="AP36" s="1036"/>
      <c r="AQ36" s="1036"/>
      <c r="AR36" s="1051"/>
      <c r="AS36" s="1051"/>
      <c r="AT36" s="1051"/>
      <c r="AU36" s="1392"/>
      <c r="AV36" s="1051"/>
    </row>
    <row r="37" spans="1:48">
      <c r="A37" s="1450" t="s">
        <v>863</v>
      </c>
      <c r="B37" s="1440"/>
      <c r="C37" s="1441"/>
      <c r="D37" s="1440"/>
      <c r="E37" s="1437"/>
      <c r="F37" s="1431">
        <v>375</v>
      </c>
      <c r="G37" s="1431"/>
      <c r="H37" s="1454">
        <v>3.12</v>
      </c>
      <c r="I37" s="1438"/>
      <c r="J37" s="1435">
        <f t="shared" si="12"/>
        <v>1170</v>
      </c>
      <c r="K37" s="1431"/>
      <c r="L37" s="1433">
        <f t="shared" si="10"/>
        <v>1170</v>
      </c>
      <c r="M37" s="1431"/>
      <c r="N37" s="1435"/>
      <c r="O37" s="1434"/>
      <c r="P37" s="1435">
        <f t="shared" si="13"/>
        <v>375</v>
      </c>
      <c r="Q37" s="1431"/>
      <c r="R37" s="1452">
        <f t="shared" si="11"/>
        <v>3.4592992330574233</v>
      </c>
      <c r="S37" s="1438"/>
      <c r="T37" s="1453">
        <f t="shared" si="14"/>
        <v>1297.2372123965338</v>
      </c>
      <c r="U37" s="1438"/>
      <c r="V37" s="1438"/>
      <c r="W37" s="1326"/>
      <c r="X37" s="1069"/>
      <c r="Y37" s="1070"/>
      <c r="Z37" s="1070"/>
      <c r="AA37" s="1070"/>
      <c r="AB37" s="1070"/>
      <c r="AC37" s="1070"/>
      <c r="AD37" s="1036"/>
      <c r="AE37" s="1036"/>
      <c r="AF37" s="1036"/>
      <c r="AG37" s="1036"/>
      <c r="AH37" s="1036"/>
      <c r="AI37" s="1036"/>
      <c r="AJ37" s="1036"/>
      <c r="AK37" s="1036"/>
      <c r="AL37" s="1036"/>
      <c r="AM37" s="1036"/>
      <c r="AN37" s="1036"/>
      <c r="AO37" s="1036"/>
      <c r="AP37" s="1036"/>
      <c r="AQ37" s="1036"/>
      <c r="AR37" s="1051"/>
      <c r="AS37" s="1394"/>
      <c r="AT37" s="1051"/>
      <c r="AU37" s="1392"/>
      <c r="AV37" s="1051"/>
    </row>
    <row r="38" spans="1:48">
      <c r="A38" s="1450" t="s">
        <v>864</v>
      </c>
      <c r="B38" s="1440"/>
      <c r="C38" s="1441"/>
      <c r="D38" s="1440"/>
      <c r="E38" s="1437"/>
      <c r="F38" s="1431">
        <v>580</v>
      </c>
      <c r="G38" s="1431"/>
      <c r="H38" s="1454">
        <v>2.79</v>
      </c>
      <c r="I38" s="1438"/>
      <c r="J38" s="1435">
        <f t="shared" si="12"/>
        <v>1618.2</v>
      </c>
      <c r="K38" s="1431"/>
      <c r="L38" s="1433">
        <f t="shared" si="10"/>
        <v>1618.2</v>
      </c>
      <c r="M38" s="1431"/>
      <c r="N38" s="1435"/>
      <c r="O38" s="1434"/>
      <c r="P38" s="1435">
        <f t="shared" si="13"/>
        <v>580</v>
      </c>
      <c r="Q38" s="1431"/>
      <c r="R38" s="1452">
        <f t="shared" si="11"/>
        <v>3.0934118141763496</v>
      </c>
      <c r="S38" s="1438"/>
      <c r="T38" s="1453">
        <f t="shared" si="14"/>
        <v>1794.1788522222828</v>
      </c>
      <c r="U38" s="1438"/>
      <c r="V38" s="1438"/>
      <c r="W38" s="1326"/>
      <c r="X38" s="1069"/>
      <c r="Y38" s="1070"/>
      <c r="Z38" s="1070"/>
      <c r="AA38" s="1070"/>
      <c r="AB38" s="1070"/>
      <c r="AC38" s="1036"/>
      <c r="AD38" s="1036"/>
      <c r="AE38" s="1036"/>
      <c r="AF38" s="1036"/>
      <c r="AG38" s="1036"/>
      <c r="AH38" s="1036"/>
      <c r="AI38" s="1036"/>
      <c r="AJ38" s="1036"/>
      <c r="AK38" s="1036"/>
      <c r="AL38" s="1036"/>
      <c r="AM38" s="1036"/>
      <c r="AN38" s="1036"/>
      <c r="AO38" s="1036"/>
      <c r="AP38" s="1036"/>
      <c r="AQ38" s="1036"/>
      <c r="AR38" s="1051"/>
      <c r="AS38" s="1394"/>
      <c r="AT38" s="1051"/>
      <c r="AU38" s="1392"/>
      <c r="AV38" s="1051"/>
    </row>
    <row r="39" spans="1:48">
      <c r="A39" s="1450" t="s">
        <v>876</v>
      </c>
      <c r="B39" s="1440"/>
      <c r="C39" s="1441"/>
      <c r="D39" s="1440"/>
      <c r="E39" s="1437"/>
      <c r="F39" s="1431">
        <v>119</v>
      </c>
      <c r="G39" s="1431"/>
      <c r="H39" s="1454">
        <v>2.5499999999999998</v>
      </c>
      <c r="I39" s="1438"/>
      <c r="J39" s="1435">
        <f t="shared" si="12"/>
        <v>303.45</v>
      </c>
      <c r="K39" s="1431"/>
      <c r="L39" s="1433">
        <f t="shared" si="10"/>
        <v>303.45</v>
      </c>
      <c r="M39" s="1431"/>
      <c r="N39" s="1435"/>
      <c r="O39" s="1434"/>
      <c r="P39" s="1435">
        <f t="shared" si="13"/>
        <v>119</v>
      </c>
      <c r="Q39" s="1431"/>
      <c r="R39" s="1452">
        <f t="shared" si="11"/>
        <v>2.827311873171932</v>
      </c>
      <c r="S39" s="1438"/>
      <c r="T39" s="1453">
        <f t="shared" si="14"/>
        <v>336.45011290745992</v>
      </c>
      <c r="U39" s="1438"/>
      <c r="V39" s="1438"/>
      <c r="W39" s="1326"/>
      <c r="X39" s="1069"/>
      <c r="Y39" s="1070"/>
      <c r="Z39" s="1070"/>
      <c r="AA39" s="1070"/>
      <c r="AB39" s="1070"/>
      <c r="AC39" s="1036"/>
      <c r="AD39" s="1036"/>
      <c r="AE39" s="1036"/>
      <c r="AF39" s="1036"/>
      <c r="AG39" s="1036"/>
      <c r="AH39" s="1036"/>
      <c r="AI39" s="1036"/>
      <c r="AJ39" s="1036"/>
      <c r="AK39" s="1036"/>
      <c r="AL39" s="1036"/>
      <c r="AM39" s="1036"/>
      <c r="AN39" s="1036"/>
      <c r="AO39" s="1036"/>
      <c r="AP39" s="1036"/>
      <c r="AQ39" s="1036"/>
      <c r="AR39" s="1051"/>
      <c r="AS39" s="1394"/>
      <c r="AT39" s="1051"/>
      <c r="AU39" s="1392"/>
      <c r="AV39" s="1051"/>
    </row>
    <row r="40" spans="1:48" s="1412" customFormat="1" ht="12.75" thickBot="1">
      <c r="A40" s="1411" t="s">
        <v>1716</v>
      </c>
      <c r="B40" s="1456">
        <f>SUM(B33:B39)</f>
        <v>1877</v>
      </c>
      <c r="C40" s="1443"/>
      <c r="D40" s="1456">
        <f>SUM(D33:D39)</f>
        <v>160.00000000000011</v>
      </c>
      <c r="E40" s="1443"/>
      <c r="F40" s="1456">
        <f>SUM(F33:F39)</f>
        <v>1770</v>
      </c>
      <c r="G40" s="1396"/>
      <c r="H40" s="1398"/>
      <c r="I40" s="1397"/>
      <c r="J40" s="1444">
        <f>SUM(J33:J39)</f>
        <v>6944.6900000000014</v>
      </c>
      <c r="K40" s="1396"/>
      <c r="L40" s="1444">
        <f>SUM(L33:L39)</f>
        <v>6944.6900000000014</v>
      </c>
      <c r="M40" s="1396"/>
      <c r="N40" s="1456">
        <f>SUM(N33:N39)</f>
        <v>160.00000000000011</v>
      </c>
      <c r="O40" s="1400"/>
      <c r="P40" s="1456">
        <f>SUM(P33:P39)</f>
        <v>1770</v>
      </c>
      <c r="Q40" s="1396"/>
      <c r="R40" s="1436"/>
      <c r="S40" s="1443"/>
      <c r="T40" s="1444">
        <f>SUM(T33:T39)</f>
        <v>7699.9233303915262</v>
      </c>
      <c r="U40" s="1443"/>
      <c r="V40" s="1443"/>
      <c r="W40" s="1210"/>
      <c r="X40" s="1084"/>
      <c r="Y40" s="1085"/>
      <c r="Z40" s="1085"/>
      <c r="AA40" s="1085"/>
      <c r="AB40" s="1085"/>
      <c r="AC40" s="1085"/>
      <c r="AD40" s="1085" t="s">
        <v>501</v>
      </c>
      <c r="AE40" s="1404"/>
      <c r="AF40" s="1397"/>
      <c r="AG40" s="1443"/>
      <c r="AH40" s="1443"/>
      <c r="AI40" s="1443"/>
      <c r="AJ40" s="1397"/>
      <c r="AK40" s="1086"/>
      <c r="AL40" s="1397"/>
      <c r="AM40" s="1086"/>
      <c r="AN40" s="1397"/>
      <c r="AO40" s="1086"/>
      <c r="AP40" s="1397"/>
      <c r="AQ40" s="1086"/>
      <c r="AR40" s="1087"/>
      <c r="AS40" s="1087"/>
      <c r="AT40" s="1087"/>
      <c r="AU40" s="1087"/>
      <c r="AV40" s="1087"/>
    </row>
    <row r="41" spans="1:48" ht="12.75" thickTop="1">
      <c r="A41" s="1411"/>
      <c r="B41" s="1440"/>
      <c r="C41" s="1441"/>
      <c r="D41" s="1440"/>
      <c r="E41" s="1437"/>
      <c r="F41" s="1431"/>
      <c r="G41" s="1431"/>
      <c r="H41" s="1432"/>
      <c r="I41" s="1438"/>
      <c r="J41" s="1433"/>
      <c r="K41" s="1431"/>
      <c r="L41" s="1433"/>
      <c r="M41" s="1431"/>
      <c r="N41" s="1435"/>
      <c r="O41" s="1434"/>
      <c r="P41" s="1435"/>
      <c r="Q41" s="1431"/>
      <c r="R41" s="1436"/>
      <c r="S41" s="1438"/>
      <c r="T41" s="1393"/>
      <c r="U41" s="1438"/>
      <c r="V41" s="1438"/>
      <c r="W41" s="1325"/>
      <c r="X41" s="1069"/>
      <c r="Y41" s="1070"/>
      <c r="Z41" s="1070"/>
      <c r="AA41" s="1070"/>
      <c r="AB41" s="1070"/>
      <c r="AC41" s="1070"/>
      <c r="AD41" s="1036"/>
      <c r="AE41" s="1036"/>
      <c r="AF41" s="1036"/>
      <c r="AG41" s="1036"/>
      <c r="AH41" s="1036"/>
      <c r="AI41" s="1036"/>
      <c r="AJ41" s="1036"/>
      <c r="AK41" s="1036"/>
      <c r="AL41" s="1036"/>
      <c r="AM41" s="1036"/>
      <c r="AN41" s="1036"/>
      <c r="AO41" s="1036"/>
      <c r="AP41" s="1036"/>
      <c r="AQ41" s="1036"/>
      <c r="AR41" s="1051"/>
      <c r="AS41" s="1051"/>
      <c r="AT41" s="1051"/>
      <c r="AU41" s="1392"/>
      <c r="AV41" s="1051"/>
    </row>
    <row r="42" spans="1:48" ht="12.75" thickBot="1">
      <c r="A42" s="1413" t="s">
        <v>1715</v>
      </c>
      <c r="B42" s="1440"/>
      <c r="C42" s="1441"/>
      <c r="D42" s="1440"/>
      <c r="E42" s="1437"/>
      <c r="F42" s="1431"/>
      <c r="G42" s="1431"/>
      <c r="H42" s="1432"/>
      <c r="I42" s="1438"/>
      <c r="J42" s="1433"/>
      <c r="K42" s="1431"/>
      <c r="L42" s="1446">
        <f>+L40/$D40</f>
        <v>43.404312499999975</v>
      </c>
      <c r="M42" s="1431"/>
      <c r="N42" s="1435"/>
      <c r="O42" s="1434"/>
      <c r="P42" s="1435"/>
      <c r="Q42" s="1431"/>
      <c r="R42" s="1436"/>
      <c r="S42" s="1438"/>
      <c r="T42" s="1446">
        <f>+T40/$D40</f>
        <v>48.124520814947005</v>
      </c>
      <c r="U42" s="1438">
        <f>+T42-L42</f>
        <v>4.7202083149470297</v>
      </c>
      <c r="V42" s="1438">
        <f>U42/L42</f>
        <v>0.10874975418507164</v>
      </c>
      <c r="W42" s="1325"/>
      <c r="X42" s="1069"/>
      <c r="Y42" s="1070"/>
      <c r="Z42" s="1070"/>
      <c r="AA42" s="1070"/>
      <c r="AB42" s="1070"/>
      <c r="AC42" s="1070"/>
      <c r="AD42" s="1036"/>
      <c r="AE42" s="1036"/>
      <c r="AF42" s="1036"/>
      <c r="AG42" s="1036"/>
      <c r="AH42" s="1036"/>
      <c r="AI42" s="1036"/>
      <c r="AJ42" s="1036"/>
      <c r="AK42" s="1036"/>
      <c r="AL42" s="1036"/>
      <c r="AM42" s="1036"/>
      <c r="AN42" s="1036"/>
      <c r="AO42" s="1036"/>
      <c r="AP42" s="1036"/>
      <c r="AQ42" s="1036"/>
      <c r="AR42" s="1051"/>
      <c r="AS42" s="1051"/>
      <c r="AT42" s="1051"/>
      <c r="AU42" s="1392"/>
      <c r="AV42" s="1051"/>
    </row>
    <row r="43" spans="1:48" ht="12.75" thickTop="1">
      <c r="A43" s="1407" t="s">
        <v>1714</v>
      </c>
      <c r="B43" s="1431">
        <v>1414</v>
      </c>
      <c r="C43" s="1437"/>
      <c r="D43" s="1431"/>
      <c r="E43" s="1437"/>
      <c r="F43" s="1431"/>
      <c r="G43" s="1431"/>
      <c r="H43" s="1432"/>
      <c r="I43" s="1438"/>
      <c r="J43" s="1433"/>
      <c r="K43" s="1431"/>
      <c r="L43" s="1433"/>
      <c r="M43" s="1431"/>
      <c r="N43" s="1435"/>
      <c r="O43" s="1434"/>
      <c r="P43" s="1435"/>
      <c r="Q43" s="1431"/>
      <c r="R43" s="1436"/>
      <c r="S43" s="1437"/>
      <c r="T43" s="1439"/>
      <c r="U43" s="1437"/>
      <c r="V43" s="1437"/>
      <c r="W43" s="1326"/>
      <c r="X43" s="1069"/>
      <c r="Y43" s="1070"/>
      <c r="Z43" s="1070"/>
      <c r="AA43" s="1070"/>
      <c r="AB43" s="1070"/>
      <c r="AC43" s="1070"/>
      <c r="AD43" s="1036"/>
      <c r="AE43" s="1036"/>
      <c r="AF43" s="1036"/>
      <c r="AG43" s="1036"/>
      <c r="AH43" s="1036"/>
      <c r="AI43" s="1036"/>
      <c r="AJ43" s="1036"/>
      <c r="AK43" s="1036"/>
      <c r="AL43" s="1036"/>
      <c r="AM43" s="1036"/>
      <c r="AN43" s="1036"/>
      <c r="AO43" s="1036"/>
      <c r="AP43" s="1036"/>
      <c r="AQ43" s="1036"/>
      <c r="AR43" s="1394"/>
      <c r="AS43" s="1394"/>
      <c r="AT43" s="1394"/>
      <c r="AU43" s="1394"/>
      <c r="AV43" s="1394"/>
    </row>
    <row r="44" spans="1:48">
      <c r="A44" s="1450" t="s">
        <v>582</v>
      </c>
      <c r="B44" s="1440"/>
      <c r="C44" s="1441"/>
      <c r="D44" s="1440">
        <v>93.000000000000057</v>
      </c>
      <c r="E44" s="1437"/>
      <c r="F44" s="1431"/>
      <c r="G44" s="1431"/>
      <c r="H44" s="1451">
        <v>8.9600000000000009</v>
      </c>
      <c r="I44" s="1438"/>
      <c r="J44" s="1433">
        <f>+D44*H44</f>
        <v>833.28000000000054</v>
      </c>
      <c r="K44" s="1431"/>
      <c r="L44" s="1433">
        <f>+J44</f>
        <v>833.28000000000054</v>
      </c>
      <c r="M44" s="1431"/>
      <c r="N44" s="1435">
        <f>+D44</f>
        <v>93.000000000000057</v>
      </c>
      <c r="O44" s="1434"/>
      <c r="P44" s="1435"/>
      <c r="Q44" s="1431"/>
      <c r="R44" s="1452">
        <f>+H44*(1+$W$5)</f>
        <v>9.9343977974982423</v>
      </c>
      <c r="S44" s="1438"/>
      <c r="T44" s="1453">
        <f>+N44*R44</f>
        <v>923.89899516733715</v>
      </c>
      <c r="U44" s="1438"/>
      <c r="V44" s="1438"/>
      <c r="W44" s="1325"/>
      <c r="X44" s="1069"/>
      <c r="Y44" s="1070"/>
      <c r="Z44" s="1070"/>
      <c r="AA44" s="1070"/>
      <c r="AB44" s="1070"/>
      <c r="AC44" s="1070"/>
      <c r="AD44" s="1036"/>
      <c r="AE44" s="1036"/>
      <c r="AF44" s="1036"/>
      <c r="AG44" s="1036"/>
      <c r="AH44" s="1036"/>
      <c r="AI44" s="1036"/>
      <c r="AJ44" s="1036"/>
      <c r="AK44" s="1036"/>
      <c r="AL44" s="1036"/>
      <c r="AM44" s="1036"/>
      <c r="AN44" s="1036"/>
      <c r="AO44" s="1036"/>
      <c r="AP44" s="1036"/>
      <c r="AQ44" s="1036"/>
      <c r="AR44" s="1051"/>
      <c r="AS44" s="1051"/>
      <c r="AT44" s="1051"/>
      <c r="AU44" s="1392"/>
      <c r="AV44" s="1051"/>
    </row>
    <row r="45" spans="1:48">
      <c r="A45" s="1450" t="s">
        <v>642</v>
      </c>
      <c r="B45" s="1440"/>
      <c r="C45" s="1441"/>
      <c r="D45" s="1440"/>
      <c r="E45" s="1437"/>
      <c r="F45" s="1431">
        <v>317.00000000000006</v>
      </c>
      <c r="G45" s="1431"/>
      <c r="H45" s="1454">
        <v>3.61</v>
      </c>
      <c r="I45" s="1438"/>
      <c r="J45" s="1435">
        <f>+F45*H45</f>
        <v>1144.3700000000001</v>
      </c>
      <c r="K45" s="1431"/>
      <c r="L45" s="1433">
        <f t="shared" ref="L45:L49" si="15">+J45</f>
        <v>1144.3700000000001</v>
      </c>
      <c r="M45" s="1431"/>
      <c r="N45" s="1435"/>
      <c r="O45" s="1434"/>
      <c r="P45" s="1435">
        <f>+F45</f>
        <v>317.00000000000006</v>
      </c>
      <c r="Q45" s="1431"/>
      <c r="R45" s="1452">
        <f t="shared" ref="R45:R49" si="16">+H45*(1+$W$5)</f>
        <v>4.0025866126081082</v>
      </c>
      <c r="S45" s="1438"/>
      <c r="T45" s="1453">
        <f>+P45*R45</f>
        <v>1268.8199561967706</v>
      </c>
      <c r="U45" s="1438"/>
      <c r="V45" s="1438"/>
      <c r="W45" s="1325"/>
      <c r="X45" s="1069"/>
      <c r="Y45" s="1070"/>
      <c r="Z45" s="1070"/>
      <c r="AA45" s="1070"/>
      <c r="AB45" s="1070"/>
      <c r="AC45" s="1070"/>
      <c r="AD45" s="1036"/>
      <c r="AE45" s="1036"/>
      <c r="AF45" s="1036"/>
      <c r="AG45" s="1036"/>
      <c r="AH45" s="1036"/>
      <c r="AI45" s="1036"/>
      <c r="AJ45" s="1036"/>
      <c r="AK45" s="1036"/>
      <c r="AL45" s="1036"/>
      <c r="AM45" s="1036"/>
      <c r="AN45" s="1036"/>
      <c r="AO45" s="1036"/>
      <c r="AP45" s="1036"/>
      <c r="AQ45" s="1036"/>
      <c r="AR45" s="1051"/>
      <c r="AS45" s="1051"/>
      <c r="AT45" s="1051"/>
      <c r="AU45" s="1392"/>
      <c r="AV45" s="1051"/>
    </row>
    <row r="46" spans="1:48">
      <c r="A46" s="1450" t="s">
        <v>862</v>
      </c>
      <c r="B46" s="1440"/>
      <c r="C46" s="1441"/>
      <c r="D46" s="1440"/>
      <c r="E46" s="1437"/>
      <c r="F46" s="1431">
        <v>195.00000000000003</v>
      </c>
      <c r="G46" s="1431"/>
      <c r="H46" s="1454">
        <v>3.29</v>
      </c>
      <c r="I46" s="1438"/>
      <c r="J46" s="1435">
        <f t="shared" ref="J46:J49" si="17">+F46*H46</f>
        <v>641.55000000000007</v>
      </c>
      <c r="K46" s="1431"/>
      <c r="L46" s="1433">
        <f t="shared" si="15"/>
        <v>641.55000000000007</v>
      </c>
      <c r="M46" s="1431"/>
      <c r="N46" s="1435"/>
      <c r="O46" s="1434"/>
      <c r="P46" s="1435">
        <f t="shared" ref="P46:P49" si="18">+F46</f>
        <v>195.00000000000003</v>
      </c>
      <c r="Q46" s="1431"/>
      <c r="R46" s="1452">
        <f t="shared" si="16"/>
        <v>3.6477866912688852</v>
      </c>
      <c r="S46" s="1438"/>
      <c r="T46" s="1453">
        <f t="shared" ref="T46:T49" si="19">+P46*R46</f>
        <v>711.31840479743278</v>
      </c>
      <c r="U46" s="1438"/>
      <c r="V46" s="1438"/>
      <c r="W46" s="1326"/>
      <c r="X46" s="1069"/>
      <c r="Y46" s="1070"/>
      <c r="Z46" s="1070"/>
      <c r="AA46" s="1070"/>
      <c r="AB46" s="1070"/>
      <c r="AC46" s="1070"/>
      <c r="AD46" s="1036"/>
      <c r="AE46" s="1036"/>
      <c r="AF46" s="1036"/>
      <c r="AG46" s="1036"/>
      <c r="AH46" s="1036"/>
      <c r="AI46" s="1036"/>
      <c r="AJ46" s="1036"/>
      <c r="AK46" s="1036"/>
      <c r="AL46" s="1036"/>
      <c r="AM46" s="1036"/>
      <c r="AN46" s="1036"/>
      <c r="AO46" s="1036"/>
      <c r="AP46" s="1036"/>
      <c r="AQ46" s="1036"/>
      <c r="AR46" s="1051"/>
      <c r="AS46" s="1051"/>
      <c r="AT46" s="1051"/>
      <c r="AU46" s="1392"/>
      <c r="AV46" s="1051"/>
    </row>
    <row r="47" spans="1:48">
      <c r="A47" s="1450" t="s">
        <v>863</v>
      </c>
      <c r="B47" s="1440"/>
      <c r="C47" s="1441"/>
      <c r="D47" s="1440"/>
      <c r="E47" s="1437"/>
      <c r="F47" s="1431">
        <v>300</v>
      </c>
      <c r="G47" s="1431"/>
      <c r="H47" s="1454">
        <v>3.12</v>
      </c>
      <c r="I47" s="1438"/>
      <c r="J47" s="1435">
        <f t="shared" si="17"/>
        <v>936</v>
      </c>
      <c r="K47" s="1431"/>
      <c r="L47" s="1433">
        <f t="shared" si="15"/>
        <v>936</v>
      </c>
      <c r="M47" s="1431"/>
      <c r="N47" s="1435"/>
      <c r="O47" s="1434"/>
      <c r="P47" s="1435">
        <f t="shared" si="18"/>
        <v>300</v>
      </c>
      <c r="Q47" s="1431"/>
      <c r="R47" s="1452">
        <f t="shared" si="16"/>
        <v>3.4592992330574233</v>
      </c>
      <c r="S47" s="1438"/>
      <c r="T47" s="1453">
        <f t="shared" si="19"/>
        <v>1037.789769917227</v>
      </c>
      <c r="U47" s="1438"/>
      <c r="V47" s="1438"/>
      <c r="W47" s="1326"/>
      <c r="X47" s="1069"/>
      <c r="Y47" s="1070"/>
      <c r="Z47" s="1070"/>
      <c r="AA47" s="1070"/>
      <c r="AB47" s="1070"/>
      <c r="AC47" s="1070"/>
      <c r="AD47" s="1036"/>
      <c r="AE47" s="1036"/>
      <c r="AF47" s="1036"/>
      <c r="AG47" s="1036"/>
      <c r="AH47" s="1036"/>
      <c r="AI47" s="1036"/>
      <c r="AJ47" s="1036"/>
      <c r="AK47" s="1036"/>
      <c r="AL47" s="1036"/>
      <c r="AM47" s="1036"/>
      <c r="AN47" s="1036"/>
      <c r="AO47" s="1036"/>
      <c r="AP47" s="1036"/>
      <c r="AQ47" s="1036"/>
      <c r="AR47" s="1051"/>
      <c r="AS47" s="1394"/>
      <c r="AT47" s="1051"/>
      <c r="AU47" s="1392"/>
      <c r="AV47" s="1051"/>
    </row>
    <row r="48" spans="1:48">
      <c r="A48" s="1450" t="s">
        <v>864</v>
      </c>
      <c r="B48" s="1440"/>
      <c r="C48" s="1441"/>
      <c r="D48" s="1440"/>
      <c r="E48" s="1437"/>
      <c r="F48" s="1431">
        <v>430</v>
      </c>
      <c r="G48" s="1431"/>
      <c r="H48" s="1454">
        <v>2.79</v>
      </c>
      <c r="I48" s="1438"/>
      <c r="J48" s="1435">
        <f t="shared" si="17"/>
        <v>1199.7</v>
      </c>
      <c r="K48" s="1431"/>
      <c r="L48" s="1433">
        <f t="shared" si="15"/>
        <v>1199.7</v>
      </c>
      <c r="M48" s="1431"/>
      <c r="N48" s="1435"/>
      <c r="O48" s="1434"/>
      <c r="P48" s="1435">
        <f t="shared" si="18"/>
        <v>430</v>
      </c>
      <c r="Q48" s="1431"/>
      <c r="R48" s="1452">
        <f t="shared" si="16"/>
        <v>3.0934118141763496</v>
      </c>
      <c r="S48" s="1438"/>
      <c r="T48" s="1453">
        <f t="shared" si="19"/>
        <v>1330.1670800958302</v>
      </c>
      <c r="U48" s="1438"/>
      <c r="V48" s="1438"/>
      <c r="W48" s="1326"/>
      <c r="X48" s="1069"/>
      <c r="Y48" s="1070"/>
      <c r="Z48" s="1070"/>
      <c r="AA48" s="1070"/>
      <c r="AB48" s="1070"/>
      <c r="AC48" s="1036"/>
      <c r="AD48" s="1036"/>
      <c r="AE48" s="1036"/>
      <c r="AF48" s="1036"/>
      <c r="AG48" s="1036"/>
      <c r="AH48" s="1036"/>
      <c r="AI48" s="1036"/>
      <c r="AJ48" s="1036"/>
      <c r="AK48" s="1036"/>
      <c r="AL48" s="1036"/>
      <c r="AM48" s="1036"/>
      <c r="AN48" s="1036"/>
      <c r="AO48" s="1036"/>
      <c r="AP48" s="1036"/>
      <c r="AQ48" s="1036"/>
      <c r="AR48" s="1051"/>
      <c r="AS48" s="1394"/>
      <c r="AT48" s="1051"/>
      <c r="AU48" s="1392"/>
      <c r="AV48" s="1051"/>
    </row>
    <row r="49" spans="1:48">
      <c r="A49" s="1450" t="s">
        <v>876</v>
      </c>
      <c r="B49" s="1440"/>
      <c r="C49" s="1441"/>
      <c r="D49" s="1440"/>
      <c r="E49" s="1437"/>
      <c r="F49" s="1431">
        <v>91</v>
      </c>
      <c r="G49" s="1431"/>
      <c r="H49" s="1454">
        <v>2.5499999999999998</v>
      </c>
      <c r="I49" s="1438"/>
      <c r="J49" s="1435">
        <f t="shared" si="17"/>
        <v>232.04999999999998</v>
      </c>
      <c r="K49" s="1431"/>
      <c r="L49" s="1433">
        <f t="shared" si="15"/>
        <v>232.04999999999998</v>
      </c>
      <c r="M49" s="1431"/>
      <c r="N49" s="1435"/>
      <c r="O49" s="1434"/>
      <c r="P49" s="1435">
        <f t="shared" si="18"/>
        <v>91</v>
      </c>
      <c r="Q49" s="1431"/>
      <c r="R49" s="1452">
        <f t="shared" si="16"/>
        <v>2.827311873171932</v>
      </c>
      <c r="S49" s="1438"/>
      <c r="T49" s="1453">
        <f t="shared" si="19"/>
        <v>257.28538045864582</v>
      </c>
      <c r="U49" s="1438"/>
      <c r="V49" s="1438"/>
      <c r="W49" s="1326"/>
      <c r="X49" s="1069"/>
      <c r="Y49" s="1070"/>
      <c r="Z49" s="1070"/>
      <c r="AA49" s="1070"/>
      <c r="AB49" s="1070"/>
      <c r="AC49" s="1036"/>
      <c r="AD49" s="1036"/>
      <c r="AE49" s="1036"/>
      <c r="AF49" s="1036"/>
      <c r="AG49" s="1036"/>
      <c r="AH49" s="1036"/>
      <c r="AI49" s="1036"/>
      <c r="AJ49" s="1036"/>
      <c r="AK49" s="1036"/>
      <c r="AL49" s="1036"/>
      <c r="AM49" s="1036"/>
      <c r="AN49" s="1036"/>
      <c r="AO49" s="1036"/>
      <c r="AP49" s="1036"/>
      <c r="AQ49" s="1036"/>
      <c r="AR49" s="1051"/>
      <c r="AS49" s="1394"/>
      <c r="AT49" s="1051"/>
      <c r="AU49" s="1392"/>
      <c r="AV49" s="1051"/>
    </row>
    <row r="50" spans="1:48" s="1412" customFormat="1" ht="12.75" thickBot="1">
      <c r="A50" s="1411" t="s">
        <v>1713</v>
      </c>
      <c r="B50" s="1456">
        <f>SUM(B43:B49)</f>
        <v>1414</v>
      </c>
      <c r="C50" s="1443"/>
      <c r="D50" s="1456">
        <f>SUM(D43:D49)</f>
        <v>93.000000000000057</v>
      </c>
      <c r="E50" s="1443"/>
      <c r="F50" s="1456">
        <f>SUM(F43:F49)</f>
        <v>1333</v>
      </c>
      <c r="G50" s="1396"/>
      <c r="H50" s="1398"/>
      <c r="I50" s="1397"/>
      <c r="J50" s="1444">
        <f>SUM(J43:J49)</f>
        <v>4986.9500000000007</v>
      </c>
      <c r="K50" s="1396"/>
      <c r="L50" s="1444">
        <f>SUM(L43:L49)</f>
        <v>4986.9500000000007</v>
      </c>
      <c r="M50" s="1396"/>
      <c r="N50" s="1456">
        <f>SUM(N43:N49)</f>
        <v>93.000000000000057</v>
      </c>
      <c r="O50" s="1400"/>
      <c r="P50" s="1456">
        <f>SUM(P43:P49)</f>
        <v>1333</v>
      </c>
      <c r="Q50" s="1396"/>
      <c r="R50" s="1436"/>
      <c r="S50" s="1443"/>
      <c r="T50" s="1444">
        <f>SUM(T43:T49)</f>
        <v>5529.2795866332435</v>
      </c>
      <c r="U50" s="1443"/>
      <c r="V50" s="1443"/>
      <c r="W50" s="1210"/>
      <c r="X50" s="1084"/>
      <c r="Y50" s="1085"/>
      <c r="Z50" s="1085"/>
      <c r="AA50" s="1085"/>
      <c r="AB50" s="1085"/>
      <c r="AC50" s="1085"/>
      <c r="AD50" s="1085" t="s">
        <v>501</v>
      </c>
      <c r="AE50" s="1404"/>
      <c r="AF50" s="1397"/>
      <c r="AG50" s="1443"/>
      <c r="AH50" s="1443"/>
      <c r="AI50" s="1443"/>
      <c r="AJ50" s="1397"/>
      <c r="AK50" s="1086"/>
      <c r="AL50" s="1397"/>
      <c r="AM50" s="1086"/>
      <c r="AN50" s="1397"/>
      <c r="AO50" s="1086"/>
      <c r="AP50" s="1397"/>
      <c r="AQ50" s="1086"/>
      <c r="AR50" s="1087"/>
      <c r="AS50" s="1087"/>
      <c r="AT50" s="1087"/>
      <c r="AU50" s="1087"/>
      <c r="AV50" s="1087"/>
    </row>
    <row r="51" spans="1:48" ht="12.75" thickTop="1">
      <c r="A51" s="1411"/>
      <c r="B51" s="1440"/>
      <c r="C51" s="1441"/>
      <c r="D51" s="1440"/>
      <c r="E51" s="1437"/>
      <c r="F51" s="1431"/>
      <c r="G51" s="1431"/>
      <c r="H51" s="1432"/>
      <c r="I51" s="1438"/>
      <c r="J51" s="1433"/>
      <c r="K51" s="1431"/>
      <c r="L51" s="1433"/>
      <c r="M51" s="1431"/>
      <c r="N51" s="1435"/>
      <c r="O51" s="1434"/>
      <c r="P51" s="1435"/>
      <c r="Q51" s="1431"/>
      <c r="R51" s="1436"/>
      <c r="S51" s="1438"/>
      <c r="T51" s="1393"/>
      <c r="U51" s="1438"/>
      <c r="V51" s="1438"/>
      <c r="W51" s="1325"/>
      <c r="X51" s="1069"/>
      <c r="Y51" s="1070"/>
      <c r="Z51" s="1070"/>
      <c r="AA51" s="1070"/>
      <c r="AB51" s="1070"/>
      <c r="AC51" s="1070"/>
      <c r="AD51" s="1036"/>
      <c r="AE51" s="1036"/>
      <c r="AF51" s="1036"/>
      <c r="AG51" s="1036"/>
      <c r="AH51" s="1036"/>
      <c r="AI51" s="1036"/>
      <c r="AJ51" s="1036"/>
      <c r="AK51" s="1036"/>
      <c r="AL51" s="1036"/>
      <c r="AM51" s="1036"/>
      <c r="AN51" s="1036"/>
      <c r="AO51" s="1036"/>
      <c r="AP51" s="1036"/>
      <c r="AQ51" s="1036"/>
      <c r="AR51" s="1051"/>
      <c r="AS51" s="1051"/>
      <c r="AT51" s="1051"/>
      <c r="AU51" s="1392"/>
      <c r="AV51" s="1051"/>
    </row>
    <row r="52" spans="1:48" ht="12.75" thickBot="1">
      <c r="A52" s="1413" t="s">
        <v>1712</v>
      </c>
      <c r="B52" s="1440"/>
      <c r="C52" s="1441"/>
      <c r="D52" s="1440"/>
      <c r="E52" s="1437"/>
      <c r="F52" s="1431"/>
      <c r="G52" s="1431"/>
      <c r="H52" s="1432"/>
      <c r="I52" s="1438"/>
      <c r="J52" s="1433"/>
      <c r="K52" s="1431"/>
      <c r="L52" s="1446">
        <f>+L50/$D50</f>
        <v>53.623118279569866</v>
      </c>
      <c r="M52" s="1431"/>
      <c r="N52" s="1435"/>
      <c r="O52" s="1434"/>
      <c r="P52" s="1435"/>
      <c r="Q52" s="1431"/>
      <c r="R52" s="1436"/>
      <c r="S52" s="1438"/>
      <c r="T52" s="1446">
        <f>+T50/$D50</f>
        <v>59.454619211110106</v>
      </c>
      <c r="U52" s="1438">
        <f>+T52-L52</f>
        <v>5.8315009315402406</v>
      </c>
      <c r="V52" s="1438">
        <f>U52/L52</f>
        <v>0.10874975418507157</v>
      </c>
      <c r="W52" s="1325"/>
      <c r="X52" s="1069"/>
      <c r="Y52" s="1070"/>
      <c r="Z52" s="1070"/>
      <c r="AA52" s="1070"/>
      <c r="AB52" s="1070"/>
      <c r="AC52" s="1070"/>
      <c r="AD52" s="1036"/>
      <c r="AE52" s="1036"/>
      <c r="AF52" s="1036"/>
      <c r="AG52" s="1036"/>
      <c r="AH52" s="1036"/>
      <c r="AI52" s="1036"/>
      <c r="AJ52" s="1036"/>
      <c r="AK52" s="1036"/>
      <c r="AL52" s="1036"/>
      <c r="AM52" s="1036"/>
      <c r="AN52" s="1036"/>
      <c r="AO52" s="1036"/>
      <c r="AP52" s="1036"/>
      <c r="AQ52" s="1036"/>
      <c r="AR52" s="1051"/>
      <c r="AS52" s="1051"/>
      <c r="AT52" s="1051"/>
      <c r="AU52" s="1392"/>
      <c r="AV52" s="1051"/>
    </row>
    <row r="53" spans="1:48" ht="12.75" thickTop="1">
      <c r="A53" s="1407" t="s">
        <v>1653</v>
      </c>
      <c r="B53" s="1457">
        <v>0.14399999999999999</v>
      </c>
      <c r="C53" s="1437"/>
      <c r="D53" s="1431"/>
      <c r="E53" s="1437"/>
      <c r="F53" s="1431"/>
      <c r="G53" s="1431"/>
      <c r="H53" s="1432"/>
      <c r="I53" s="1438"/>
      <c r="J53" s="1433"/>
      <c r="K53" s="1431"/>
      <c r="L53" s="1433"/>
      <c r="M53" s="1431"/>
      <c r="N53" s="1435"/>
      <c r="O53" s="1434"/>
      <c r="P53" s="1435"/>
      <c r="Q53" s="1431"/>
      <c r="R53" s="1436"/>
      <c r="S53" s="1437"/>
      <c r="T53" s="1439"/>
      <c r="U53" s="1437"/>
      <c r="V53" s="1437"/>
      <c r="W53" s="1326"/>
      <c r="X53" s="1069"/>
      <c r="Y53" s="1070"/>
      <c r="Z53" s="1070"/>
      <c r="AA53" s="1070"/>
      <c r="AB53" s="1070"/>
      <c r="AC53" s="1070"/>
      <c r="AD53" s="1036"/>
      <c r="AE53" s="1036"/>
      <c r="AF53" s="1036"/>
      <c r="AG53" s="1036"/>
      <c r="AH53" s="1036"/>
      <c r="AI53" s="1036"/>
      <c r="AJ53" s="1036"/>
      <c r="AK53" s="1036"/>
      <c r="AL53" s="1036"/>
      <c r="AM53" s="1036"/>
      <c r="AN53" s="1036"/>
      <c r="AO53" s="1036"/>
      <c r="AP53" s="1036"/>
      <c r="AQ53" s="1036"/>
      <c r="AR53" s="1394"/>
      <c r="AS53" s="1394"/>
      <c r="AT53" s="1394"/>
      <c r="AU53" s="1394"/>
      <c r="AV53" s="1394"/>
    </row>
    <row r="54" spans="1:48">
      <c r="A54" s="1450" t="s">
        <v>582</v>
      </c>
      <c r="B54" s="1440"/>
      <c r="C54" s="1441"/>
      <c r="D54" s="1440">
        <v>12</v>
      </c>
      <c r="E54" s="1437"/>
      <c r="F54" s="1431"/>
      <c r="G54" s="1431"/>
      <c r="H54" s="1451">
        <v>8.9600000000000009</v>
      </c>
      <c r="I54" s="1438"/>
      <c r="J54" s="1433">
        <f>+D54*H54</f>
        <v>107.52000000000001</v>
      </c>
      <c r="K54" s="1431"/>
      <c r="L54" s="1433">
        <f>+J54</f>
        <v>107.52000000000001</v>
      </c>
      <c r="M54" s="1431"/>
      <c r="N54" s="1435">
        <f>+D54</f>
        <v>12</v>
      </c>
      <c r="O54" s="1434"/>
      <c r="P54" s="1435"/>
      <c r="Q54" s="1431"/>
      <c r="R54" s="1452">
        <f>+H54*(1+$W$5)</f>
        <v>9.9343977974982423</v>
      </c>
      <c r="S54" s="1438"/>
      <c r="T54" s="1453">
        <f>+N54*R54</f>
        <v>119.21277356997891</v>
      </c>
      <c r="U54" s="1438"/>
      <c r="V54" s="1438"/>
      <c r="W54" s="1325"/>
      <c r="X54" s="1069"/>
      <c r="Y54" s="1070"/>
      <c r="Z54" s="1070"/>
      <c r="AA54" s="1070"/>
      <c r="AB54" s="1070"/>
      <c r="AC54" s="1070"/>
      <c r="AD54" s="1036"/>
      <c r="AE54" s="1036"/>
      <c r="AF54" s="1036"/>
      <c r="AG54" s="1036"/>
      <c r="AH54" s="1036"/>
      <c r="AI54" s="1036"/>
      <c r="AJ54" s="1036"/>
      <c r="AK54" s="1036"/>
      <c r="AL54" s="1036"/>
      <c r="AM54" s="1036"/>
      <c r="AN54" s="1036"/>
      <c r="AO54" s="1036"/>
      <c r="AP54" s="1036"/>
      <c r="AQ54" s="1036"/>
      <c r="AR54" s="1051"/>
      <c r="AS54" s="1051"/>
      <c r="AT54" s="1051"/>
      <c r="AU54" s="1392"/>
      <c r="AV54" s="1051"/>
    </row>
    <row r="55" spans="1:48">
      <c r="A55" s="1450" t="s">
        <v>642</v>
      </c>
      <c r="B55" s="1440"/>
      <c r="C55" s="1441"/>
      <c r="D55" s="1440"/>
      <c r="E55" s="1437"/>
      <c r="F55" s="1431">
        <v>0</v>
      </c>
      <c r="G55" s="1431"/>
      <c r="H55" s="1454">
        <v>3.61</v>
      </c>
      <c r="I55" s="1438"/>
      <c r="J55" s="1435">
        <f>+F55*H55</f>
        <v>0</v>
      </c>
      <c r="K55" s="1431"/>
      <c r="L55" s="1433">
        <f t="shared" ref="L55:L59" si="20">+J55</f>
        <v>0</v>
      </c>
      <c r="M55" s="1431"/>
      <c r="N55" s="1435"/>
      <c r="O55" s="1434"/>
      <c r="P55" s="1435">
        <f>+F55</f>
        <v>0</v>
      </c>
      <c r="Q55" s="1431"/>
      <c r="R55" s="1452">
        <f t="shared" ref="R55:R59" si="21">+H55*(1+$W$5)</f>
        <v>4.0025866126081082</v>
      </c>
      <c r="S55" s="1438"/>
      <c r="T55" s="1453">
        <f>+P55*R55</f>
        <v>0</v>
      </c>
      <c r="U55" s="1438"/>
      <c r="V55" s="1438"/>
      <c r="W55" s="1325"/>
      <c r="X55" s="1069"/>
      <c r="Y55" s="1070"/>
      <c r="Z55" s="1070"/>
      <c r="AA55" s="1070"/>
      <c r="AB55" s="1070"/>
      <c r="AC55" s="1070"/>
      <c r="AD55" s="1036"/>
      <c r="AE55" s="1036"/>
      <c r="AF55" s="1036"/>
      <c r="AG55" s="1036"/>
      <c r="AH55" s="1036"/>
      <c r="AI55" s="1036"/>
      <c r="AJ55" s="1036"/>
      <c r="AK55" s="1036"/>
      <c r="AL55" s="1036"/>
      <c r="AM55" s="1036"/>
      <c r="AN55" s="1036"/>
      <c r="AO55" s="1036"/>
      <c r="AP55" s="1036"/>
      <c r="AQ55" s="1036"/>
      <c r="AR55" s="1051"/>
      <c r="AS55" s="1051"/>
      <c r="AT55" s="1051"/>
      <c r="AU55" s="1392"/>
      <c r="AV55" s="1051"/>
    </row>
    <row r="56" spans="1:48">
      <c r="A56" s="1450" t="s">
        <v>862</v>
      </c>
      <c r="B56" s="1440"/>
      <c r="C56" s="1441"/>
      <c r="D56" s="1440"/>
      <c r="E56" s="1437"/>
      <c r="F56" s="1431">
        <v>0</v>
      </c>
      <c r="G56" s="1431"/>
      <c r="H56" s="1454">
        <v>3.29</v>
      </c>
      <c r="I56" s="1438"/>
      <c r="J56" s="1435">
        <f t="shared" ref="J56:J59" si="22">+F56*H56</f>
        <v>0</v>
      </c>
      <c r="K56" s="1431"/>
      <c r="L56" s="1433">
        <f t="shared" si="20"/>
        <v>0</v>
      </c>
      <c r="M56" s="1431"/>
      <c r="N56" s="1435"/>
      <c r="O56" s="1434"/>
      <c r="P56" s="1435">
        <f t="shared" ref="P56:P59" si="23">+F56</f>
        <v>0</v>
      </c>
      <c r="Q56" s="1431"/>
      <c r="R56" s="1452">
        <f t="shared" si="21"/>
        <v>3.6477866912688852</v>
      </c>
      <c r="S56" s="1438"/>
      <c r="T56" s="1453">
        <f t="shared" ref="T56:T59" si="24">+P56*R56</f>
        <v>0</v>
      </c>
      <c r="U56" s="1438"/>
      <c r="V56" s="1438"/>
      <c r="W56" s="1326"/>
      <c r="X56" s="1069"/>
      <c r="Y56" s="1070"/>
      <c r="Z56" s="1070"/>
      <c r="AA56" s="1070"/>
      <c r="AB56" s="1070"/>
      <c r="AC56" s="1070"/>
      <c r="AD56" s="1036"/>
      <c r="AE56" s="1036"/>
      <c r="AF56" s="1036"/>
      <c r="AG56" s="1036"/>
      <c r="AH56" s="1036"/>
      <c r="AI56" s="1036"/>
      <c r="AJ56" s="1036"/>
      <c r="AK56" s="1036"/>
      <c r="AL56" s="1036"/>
      <c r="AM56" s="1036"/>
      <c r="AN56" s="1036"/>
      <c r="AO56" s="1036"/>
      <c r="AP56" s="1036"/>
      <c r="AQ56" s="1036"/>
      <c r="AR56" s="1051"/>
      <c r="AS56" s="1051"/>
      <c r="AT56" s="1051"/>
      <c r="AU56" s="1392"/>
      <c r="AV56" s="1051"/>
    </row>
    <row r="57" spans="1:48">
      <c r="A57" s="1450" t="s">
        <v>863</v>
      </c>
      <c r="B57" s="1440"/>
      <c r="C57" s="1441"/>
      <c r="D57" s="1440"/>
      <c r="E57" s="1437"/>
      <c r="F57" s="1431">
        <v>0</v>
      </c>
      <c r="G57" s="1431"/>
      <c r="H57" s="1454">
        <v>3.12</v>
      </c>
      <c r="I57" s="1438"/>
      <c r="J57" s="1435">
        <f t="shared" si="22"/>
        <v>0</v>
      </c>
      <c r="K57" s="1431"/>
      <c r="L57" s="1433">
        <f t="shared" si="20"/>
        <v>0</v>
      </c>
      <c r="M57" s="1431"/>
      <c r="N57" s="1435"/>
      <c r="O57" s="1434"/>
      <c r="P57" s="1435">
        <f t="shared" si="23"/>
        <v>0</v>
      </c>
      <c r="Q57" s="1431"/>
      <c r="R57" s="1452">
        <f t="shared" si="21"/>
        <v>3.4592992330574233</v>
      </c>
      <c r="S57" s="1438"/>
      <c r="T57" s="1453">
        <f t="shared" si="24"/>
        <v>0</v>
      </c>
      <c r="U57" s="1438"/>
      <c r="V57" s="1438"/>
      <c r="W57" s="1326"/>
      <c r="X57" s="1069"/>
      <c r="Y57" s="1070"/>
      <c r="Z57" s="1070"/>
      <c r="AA57" s="1070"/>
      <c r="AB57" s="1070"/>
      <c r="AC57" s="1070"/>
      <c r="AD57" s="1036"/>
      <c r="AE57" s="1036"/>
      <c r="AF57" s="1036"/>
      <c r="AG57" s="1036"/>
      <c r="AH57" s="1036"/>
      <c r="AI57" s="1036"/>
      <c r="AJ57" s="1036"/>
      <c r="AK57" s="1036"/>
      <c r="AL57" s="1036"/>
      <c r="AM57" s="1036"/>
      <c r="AN57" s="1036"/>
      <c r="AO57" s="1036"/>
      <c r="AP57" s="1036"/>
      <c r="AQ57" s="1036"/>
      <c r="AR57" s="1051"/>
      <c r="AS57" s="1394"/>
      <c r="AT57" s="1051"/>
      <c r="AU57" s="1392"/>
      <c r="AV57" s="1051"/>
    </row>
    <row r="58" spans="1:48">
      <c r="A58" s="1450" t="s">
        <v>864</v>
      </c>
      <c r="B58" s="1440"/>
      <c r="C58" s="1441"/>
      <c r="D58" s="1440"/>
      <c r="E58" s="1437"/>
      <c r="F58" s="1431">
        <v>0</v>
      </c>
      <c r="G58" s="1431"/>
      <c r="H58" s="1454">
        <v>2.79</v>
      </c>
      <c r="I58" s="1438"/>
      <c r="J58" s="1435">
        <f t="shared" si="22"/>
        <v>0</v>
      </c>
      <c r="K58" s="1431"/>
      <c r="L58" s="1433">
        <f t="shared" si="20"/>
        <v>0</v>
      </c>
      <c r="M58" s="1431"/>
      <c r="N58" s="1435"/>
      <c r="O58" s="1434"/>
      <c r="P58" s="1435">
        <f t="shared" si="23"/>
        <v>0</v>
      </c>
      <c r="Q58" s="1431"/>
      <c r="R58" s="1452">
        <f t="shared" si="21"/>
        <v>3.0934118141763496</v>
      </c>
      <c r="S58" s="1438"/>
      <c r="T58" s="1453">
        <f t="shared" si="24"/>
        <v>0</v>
      </c>
      <c r="U58" s="1438"/>
      <c r="V58" s="1438"/>
      <c r="W58" s="1326"/>
      <c r="X58" s="1069"/>
      <c r="Y58" s="1070"/>
      <c r="Z58" s="1070"/>
      <c r="AA58" s="1070"/>
      <c r="AB58" s="1070"/>
      <c r="AC58" s="1036"/>
      <c r="AD58" s="1036"/>
      <c r="AE58" s="1036"/>
      <c r="AF58" s="1036"/>
      <c r="AG58" s="1036"/>
      <c r="AH58" s="1036"/>
      <c r="AI58" s="1036"/>
      <c r="AJ58" s="1036"/>
      <c r="AK58" s="1036"/>
      <c r="AL58" s="1036"/>
      <c r="AM58" s="1036"/>
      <c r="AN58" s="1036"/>
      <c r="AO58" s="1036"/>
      <c r="AP58" s="1036"/>
      <c r="AQ58" s="1036"/>
      <c r="AR58" s="1051"/>
      <c r="AS58" s="1394"/>
      <c r="AT58" s="1051"/>
      <c r="AU58" s="1392"/>
      <c r="AV58" s="1051"/>
    </row>
    <row r="59" spans="1:48">
      <c r="A59" s="1450" t="s">
        <v>876</v>
      </c>
      <c r="B59" s="1440"/>
      <c r="C59" s="1441"/>
      <c r="D59" s="1440"/>
      <c r="E59" s="1437"/>
      <c r="F59" s="1431">
        <v>0</v>
      </c>
      <c r="G59" s="1431"/>
      <c r="H59" s="1454">
        <v>2.5499999999999998</v>
      </c>
      <c r="I59" s="1438"/>
      <c r="J59" s="1435">
        <f t="shared" si="22"/>
        <v>0</v>
      </c>
      <c r="K59" s="1431"/>
      <c r="L59" s="1433">
        <f t="shared" si="20"/>
        <v>0</v>
      </c>
      <c r="M59" s="1431"/>
      <c r="N59" s="1435"/>
      <c r="O59" s="1434"/>
      <c r="P59" s="1435">
        <f t="shared" si="23"/>
        <v>0</v>
      </c>
      <c r="Q59" s="1431"/>
      <c r="R59" s="1452">
        <f t="shared" si="21"/>
        <v>2.827311873171932</v>
      </c>
      <c r="S59" s="1438"/>
      <c r="T59" s="1453">
        <f t="shared" si="24"/>
        <v>0</v>
      </c>
      <c r="U59" s="1438"/>
      <c r="V59" s="1438"/>
      <c r="W59" s="1326"/>
      <c r="X59" s="1069"/>
      <c r="Y59" s="1070"/>
      <c r="Z59" s="1070"/>
      <c r="AA59" s="1070"/>
      <c r="AB59" s="1070"/>
      <c r="AC59" s="1036"/>
      <c r="AD59" s="1036"/>
      <c r="AE59" s="1036"/>
      <c r="AF59" s="1036"/>
      <c r="AG59" s="1036"/>
      <c r="AH59" s="1036"/>
      <c r="AI59" s="1036"/>
      <c r="AJ59" s="1036"/>
      <c r="AK59" s="1036"/>
      <c r="AL59" s="1036"/>
      <c r="AM59" s="1036"/>
      <c r="AN59" s="1036"/>
      <c r="AO59" s="1036"/>
      <c r="AP59" s="1036"/>
      <c r="AQ59" s="1036"/>
      <c r="AR59" s="1051"/>
      <c r="AS59" s="1394"/>
      <c r="AT59" s="1051"/>
      <c r="AU59" s="1392"/>
      <c r="AV59" s="1051"/>
    </row>
    <row r="60" spans="1:48" s="1412" customFormat="1" ht="12.75" thickBot="1">
      <c r="A60" s="1411" t="s">
        <v>1652</v>
      </c>
      <c r="B60" s="1456">
        <f>SUM(B53:B59)</f>
        <v>0.14399999999999999</v>
      </c>
      <c r="C60" s="1443"/>
      <c r="D60" s="1456">
        <f>SUM(D53:D59)</f>
        <v>12</v>
      </c>
      <c r="E60" s="1443"/>
      <c r="F60" s="1456">
        <f>SUM(F53:F59)</f>
        <v>0</v>
      </c>
      <c r="G60" s="1396"/>
      <c r="H60" s="1398"/>
      <c r="I60" s="1397"/>
      <c r="J60" s="1444">
        <f>SUM(J53:J59)</f>
        <v>107.52000000000001</v>
      </c>
      <c r="K60" s="1396"/>
      <c r="L60" s="1444">
        <f>SUM(L53:L59)</f>
        <v>107.52000000000001</v>
      </c>
      <c r="M60" s="1396"/>
      <c r="N60" s="1456">
        <f>SUM(N53:N59)</f>
        <v>12</v>
      </c>
      <c r="O60" s="1400"/>
      <c r="P60" s="1456">
        <f>SUM(P53:P59)</f>
        <v>0</v>
      </c>
      <c r="Q60" s="1396"/>
      <c r="R60" s="1436"/>
      <c r="S60" s="1443"/>
      <c r="T60" s="1444">
        <f>SUM(T53:T59)</f>
        <v>119.21277356997891</v>
      </c>
      <c r="U60" s="1443"/>
      <c r="V60" s="1443"/>
      <c r="W60" s="1210"/>
      <c r="X60" s="1084"/>
      <c r="Y60" s="1085"/>
      <c r="Z60" s="1085"/>
      <c r="AA60" s="1085"/>
      <c r="AB60" s="1085"/>
      <c r="AC60" s="1085"/>
      <c r="AD60" s="1085" t="s">
        <v>501</v>
      </c>
      <c r="AE60" s="1404"/>
      <c r="AF60" s="1397"/>
      <c r="AG60" s="1443"/>
      <c r="AH60" s="1443"/>
      <c r="AI60" s="1443"/>
      <c r="AJ60" s="1397"/>
      <c r="AK60" s="1086"/>
      <c r="AL60" s="1397"/>
      <c r="AM60" s="1086"/>
      <c r="AN60" s="1397"/>
      <c r="AO60" s="1086"/>
      <c r="AP60" s="1397"/>
      <c r="AQ60" s="1086"/>
      <c r="AR60" s="1087"/>
      <c r="AS60" s="1087"/>
      <c r="AT60" s="1087"/>
      <c r="AU60" s="1087"/>
      <c r="AV60" s="1087"/>
    </row>
    <row r="61" spans="1:48" ht="12.75" thickTop="1">
      <c r="A61" s="1411"/>
      <c r="B61" s="1440"/>
      <c r="C61" s="1441"/>
      <c r="D61" s="1440"/>
      <c r="E61" s="1437"/>
      <c r="F61" s="1431"/>
      <c r="G61" s="1431"/>
      <c r="H61" s="1432"/>
      <c r="I61" s="1438"/>
      <c r="J61" s="1433"/>
      <c r="K61" s="1431"/>
      <c r="L61" s="1433"/>
      <c r="M61" s="1431"/>
      <c r="N61" s="1435"/>
      <c r="O61" s="1434"/>
      <c r="P61" s="1435"/>
      <c r="Q61" s="1431"/>
      <c r="R61" s="1436"/>
      <c r="S61" s="1438"/>
      <c r="T61" s="1393"/>
      <c r="U61" s="1438"/>
      <c r="V61" s="1438"/>
      <c r="W61" s="1325"/>
      <c r="X61" s="1069"/>
      <c r="Y61" s="1070"/>
      <c r="Z61" s="1070"/>
      <c r="AA61" s="1070"/>
      <c r="AB61" s="1070"/>
      <c r="AC61" s="1070"/>
      <c r="AD61" s="1036"/>
      <c r="AE61" s="1036"/>
      <c r="AF61" s="1036"/>
      <c r="AG61" s="1036"/>
      <c r="AH61" s="1036"/>
      <c r="AI61" s="1036"/>
      <c r="AJ61" s="1036"/>
      <c r="AK61" s="1036"/>
      <c r="AL61" s="1036"/>
      <c r="AM61" s="1036"/>
      <c r="AN61" s="1036"/>
      <c r="AO61" s="1036"/>
      <c r="AP61" s="1036"/>
      <c r="AQ61" s="1036"/>
      <c r="AR61" s="1051"/>
      <c r="AS61" s="1051"/>
      <c r="AT61" s="1051"/>
      <c r="AU61" s="1392"/>
      <c r="AV61" s="1051"/>
    </row>
    <row r="62" spans="1:48" ht="12.75" thickBot="1">
      <c r="A62" s="1413" t="s">
        <v>1651</v>
      </c>
      <c r="B62" s="1440"/>
      <c r="C62" s="1441"/>
      <c r="D62" s="1440"/>
      <c r="E62" s="1437"/>
      <c r="F62" s="1431"/>
      <c r="G62" s="1431"/>
      <c r="H62" s="1432"/>
      <c r="I62" s="1438"/>
      <c r="J62" s="1433"/>
      <c r="K62" s="1431"/>
      <c r="L62" s="1446">
        <f>+L60/$D60</f>
        <v>8.9600000000000009</v>
      </c>
      <c r="M62" s="1431"/>
      <c r="N62" s="1435"/>
      <c r="O62" s="1434"/>
      <c r="P62" s="1435"/>
      <c r="Q62" s="1431"/>
      <c r="R62" s="1436"/>
      <c r="S62" s="1438"/>
      <c r="T62" s="1446">
        <f>+T60/$D60</f>
        <v>9.9343977974982423</v>
      </c>
      <c r="U62" s="1438">
        <f>+T62-L62</f>
        <v>0.9743977974982414</v>
      </c>
      <c r="V62" s="1438">
        <f>U62/L62</f>
        <v>0.10874975418507157</v>
      </c>
      <c r="W62" s="1325"/>
      <c r="X62" s="1069"/>
      <c r="Y62" s="1070"/>
      <c r="Z62" s="1070"/>
      <c r="AA62" s="1070"/>
      <c r="AB62" s="1070"/>
      <c r="AC62" s="1070"/>
      <c r="AD62" s="1036"/>
      <c r="AE62" s="1036"/>
      <c r="AF62" s="1036"/>
      <c r="AG62" s="1036"/>
      <c r="AH62" s="1036"/>
      <c r="AI62" s="1036"/>
      <c r="AJ62" s="1036"/>
      <c r="AK62" s="1036"/>
      <c r="AL62" s="1036"/>
      <c r="AM62" s="1036"/>
      <c r="AN62" s="1036"/>
      <c r="AO62" s="1036"/>
      <c r="AP62" s="1036"/>
      <c r="AQ62" s="1036"/>
      <c r="AR62" s="1051"/>
      <c r="AS62" s="1051"/>
      <c r="AT62" s="1051"/>
      <c r="AU62" s="1392"/>
      <c r="AV62" s="1051"/>
    </row>
    <row r="63" spans="1:48" ht="12.75" thickTop="1">
      <c r="A63" s="1407" t="s">
        <v>1644</v>
      </c>
      <c r="B63" s="1431">
        <v>12954</v>
      </c>
      <c r="C63" s="1437"/>
      <c r="D63" s="1431"/>
      <c r="E63" s="1437"/>
      <c r="F63" s="1431"/>
      <c r="G63" s="1431"/>
      <c r="H63" s="1432"/>
      <c r="I63" s="1438"/>
      <c r="J63" s="1433"/>
      <c r="K63" s="1431"/>
      <c r="L63" s="1433"/>
      <c r="M63" s="1431"/>
      <c r="N63" s="1435"/>
      <c r="O63" s="1434"/>
      <c r="P63" s="1435"/>
      <c r="Q63" s="1431"/>
      <c r="R63" s="1436"/>
      <c r="S63" s="1437"/>
      <c r="T63" s="1439"/>
      <c r="U63" s="1437"/>
      <c r="V63" s="1437"/>
      <c r="W63" s="1326"/>
      <c r="X63" s="1069"/>
      <c r="Y63" s="1070"/>
      <c r="Z63" s="1070"/>
      <c r="AA63" s="1070"/>
      <c r="AB63" s="1070"/>
      <c r="AC63" s="1070"/>
      <c r="AD63" s="1036"/>
      <c r="AE63" s="1036"/>
      <c r="AF63" s="1036"/>
      <c r="AG63" s="1036"/>
      <c r="AH63" s="1036"/>
      <c r="AI63" s="1036"/>
      <c r="AJ63" s="1036"/>
      <c r="AK63" s="1036"/>
      <c r="AL63" s="1036"/>
      <c r="AM63" s="1036"/>
      <c r="AN63" s="1036"/>
      <c r="AO63" s="1036"/>
      <c r="AP63" s="1036"/>
      <c r="AQ63" s="1036"/>
      <c r="AR63" s="1394"/>
      <c r="AS63" s="1394"/>
      <c r="AT63" s="1394"/>
      <c r="AU63" s="1394"/>
      <c r="AV63" s="1394"/>
    </row>
    <row r="64" spans="1:48">
      <c r="A64" s="1450" t="s">
        <v>803</v>
      </c>
      <c r="B64" s="1440"/>
      <c r="C64" s="1441"/>
      <c r="D64" s="1440">
        <v>814.00000000000034</v>
      </c>
      <c r="E64" s="1437"/>
      <c r="F64" s="1431"/>
      <c r="G64" s="1431"/>
      <c r="H64" s="1451">
        <v>26.97</v>
      </c>
      <c r="I64" s="1438"/>
      <c r="J64" s="1433">
        <f>+D64*H64</f>
        <v>21953.580000000009</v>
      </c>
      <c r="K64" s="1431"/>
      <c r="L64" s="1433">
        <f>+J64</f>
        <v>21953.580000000009</v>
      </c>
      <c r="M64" s="1431"/>
      <c r="N64" s="1435">
        <f>+D64</f>
        <v>814.00000000000034</v>
      </c>
      <c r="O64" s="1434"/>
      <c r="P64" s="1435"/>
      <c r="Q64" s="1431"/>
      <c r="R64" s="1452">
        <f>+H64*(1+$W$5)</f>
        <v>29.902980870371376</v>
      </c>
      <c r="S64" s="1438"/>
      <c r="T64" s="1453">
        <f>+N64*R64</f>
        <v>24341.02642848231</v>
      </c>
      <c r="U64" s="1438"/>
      <c r="V64" s="1438"/>
      <c r="W64" s="1325"/>
      <c r="X64" s="1069"/>
      <c r="Y64" s="1070"/>
      <c r="Z64" s="1070"/>
      <c r="AA64" s="1070"/>
      <c r="AB64" s="1070"/>
      <c r="AC64" s="1070"/>
      <c r="AD64" s="1036"/>
      <c r="AE64" s="1036"/>
      <c r="AF64" s="1036"/>
      <c r="AG64" s="1036"/>
      <c r="AH64" s="1036"/>
      <c r="AI64" s="1036"/>
      <c r="AJ64" s="1036"/>
      <c r="AK64" s="1036"/>
      <c r="AL64" s="1036"/>
      <c r="AM64" s="1036"/>
      <c r="AN64" s="1036"/>
      <c r="AO64" s="1036"/>
      <c r="AP64" s="1036"/>
      <c r="AQ64" s="1036"/>
      <c r="AR64" s="1051"/>
      <c r="AS64" s="1051"/>
      <c r="AT64" s="1051"/>
      <c r="AU64" s="1392"/>
      <c r="AV64" s="1051"/>
    </row>
    <row r="65" spans="1:48">
      <c r="A65" s="1450" t="s">
        <v>804</v>
      </c>
      <c r="B65" s="1440"/>
      <c r="C65" s="1441"/>
      <c r="D65" s="1440"/>
      <c r="E65" s="1437"/>
      <c r="F65" s="1431">
        <v>1735.9999999999984</v>
      </c>
      <c r="G65" s="1431"/>
      <c r="H65" s="1454">
        <v>3.61</v>
      </c>
      <c r="I65" s="1438"/>
      <c r="J65" s="1435">
        <f>+F65*H65</f>
        <v>6266.9599999999937</v>
      </c>
      <c r="K65" s="1431"/>
      <c r="L65" s="1433">
        <f t="shared" ref="L65:L69" si="25">+J65</f>
        <v>6266.9599999999937</v>
      </c>
      <c r="M65" s="1431"/>
      <c r="N65" s="1435"/>
      <c r="O65" s="1434"/>
      <c r="P65" s="1435">
        <f>+F65</f>
        <v>1735.9999999999984</v>
      </c>
      <c r="Q65" s="1431"/>
      <c r="R65" s="1452">
        <f t="shared" ref="R65:R69" si="26">+H65*(1+$W$5)</f>
        <v>4.0025866126081082</v>
      </c>
      <c r="S65" s="1438"/>
      <c r="T65" s="1453">
        <f>+P65*R65</f>
        <v>6948.4903594876696</v>
      </c>
      <c r="U65" s="1438"/>
      <c r="V65" s="1438"/>
      <c r="W65" s="1325"/>
      <c r="X65" s="1069"/>
      <c r="Y65" s="1070"/>
      <c r="Z65" s="1070"/>
      <c r="AA65" s="1070"/>
      <c r="AB65" s="1070"/>
      <c r="AC65" s="1070"/>
      <c r="AD65" s="1036"/>
      <c r="AE65" s="1036"/>
      <c r="AF65" s="1036"/>
      <c r="AG65" s="1036"/>
      <c r="AH65" s="1036"/>
      <c r="AI65" s="1036"/>
      <c r="AJ65" s="1036"/>
      <c r="AK65" s="1036"/>
      <c r="AL65" s="1036"/>
      <c r="AM65" s="1036"/>
      <c r="AN65" s="1036"/>
      <c r="AO65" s="1036"/>
      <c r="AP65" s="1036"/>
      <c r="AQ65" s="1036"/>
      <c r="AR65" s="1051"/>
      <c r="AS65" s="1051"/>
      <c r="AT65" s="1051"/>
      <c r="AU65" s="1392"/>
      <c r="AV65" s="1051"/>
    </row>
    <row r="66" spans="1:48">
      <c r="A66" s="1450" t="s">
        <v>862</v>
      </c>
      <c r="B66" s="1440"/>
      <c r="C66" s="1441"/>
      <c r="D66" s="1440"/>
      <c r="E66" s="1437"/>
      <c r="F66" s="1431">
        <v>3900.0000000000014</v>
      </c>
      <c r="G66" s="1431"/>
      <c r="H66" s="1454">
        <v>3.29</v>
      </c>
      <c r="I66" s="1438"/>
      <c r="J66" s="1435">
        <f t="shared" ref="J66:J69" si="27">+F66*H66</f>
        <v>12831.000000000005</v>
      </c>
      <c r="K66" s="1431"/>
      <c r="L66" s="1433">
        <f t="shared" si="25"/>
        <v>12831.000000000005</v>
      </c>
      <c r="M66" s="1431"/>
      <c r="N66" s="1435"/>
      <c r="O66" s="1434"/>
      <c r="P66" s="1435">
        <f t="shared" ref="P66:P69" si="28">+F66</f>
        <v>3900.0000000000014</v>
      </c>
      <c r="Q66" s="1431"/>
      <c r="R66" s="1452">
        <f t="shared" si="26"/>
        <v>3.6477866912688852</v>
      </c>
      <c r="S66" s="1438"/>
      <c r="T66" s="1453">
        <f t="shared" ref="T66:T69" si="29">+P66*R66</f>
        <v>14226.368095948657</v>
      </c>
      <c r="U66" s="1438"/>
      <c r="V66" s="1438"/>
      <c r="W66" s="1326"/>
      <c r="X66" s="1069"/>
      <c r="Y66" s="1070"/>
      <c r="Z66" s="1070"/>
      <c r="AA66" s="1070"/>
      <c r="AB66" s="1070"/>
      <c r="AC66" s="1070"/>
      <c r="AD66" s="1036"/>
      <c r="AE66" s="1036"/>
      <c r="AF66" s="1036"/>
      <c r="AG66" s="1036"/>
      <c r="AH66" s="1036"/>
      <c r="AI66" s="1036"/>
      <c r="AJ66" s="1036"/>
      <c r="AK66" s="1036"/>
      <c r="AL66" s="1036"/>
      <c r="AM66" s="1036"/>
      <c r="AN66" s="1036"/>
      <c r="AO66" s="1036"/>
      <c r="AP66" s="1036"/>
      <c r="AQ66" s="1036"/>
      <c r="AR66" s="1051"/>
      <c r="AS66" s="1051"/>
      <c r="AT66" s="1051"/>
      <c r="AU66" s="1392"/>
      <c r="AV66" s="1051"/>
    </row>
    <row r="67" spans="1:48">
      <c r="A67" s="1450" t="s">
        <v>863</v>
      </c>
      <c r="B67" s="1440"/>
      <c r="C67" s="1441"/>
      <c r="D67" s="1440"/>
      <c r="E67" s="1437"/>
      <c r="F67" s="1431">
        <v>2481.2692307692309</v>
      </c>
      <c r="G67" s="1431"/>
      <c r="H67" s="1454">
        <v>3.12</v>
      </c>
      <c r="I67" s="1438"/>
      <c r="J67" s="1435">
        <f t="shared" si="27"/>
        <v>7741.56</v>
      </c>
      <c r="K67" s="1431"/>
      <c r="L67" s="1433">
        <f t="shared" si="25"/>
        <v>7741.56</v>
      </c>
      <c r="M67" s="1431"/>
      <c r="N67" s="1435"/>
      <c r="O67" s="1434"/>
      <c r="P67" s="1435">
        <f t="shared" si="28"/>
        <v>2481.2692307692309</v>
      </c>
      <c r="Q67" s="1431"/>
      <c r="R67" s="1452">
        <f t="shared" si="26"/>
        <v>3.4592992330574233</v>
      </c>
      <c r="S67" s="1438"/>
      <c r="T67" s="1453">
        <f t="shared" si="29"/>
        <v>8583.4527470089834</v>
      </c>
      <c r="U67" s="1438"/>
      <c r="V67" s="1438"/>
      <c r="W67" s="1326"/>
      <c r="X67" s="1069"/>
      <c r="Y67" s="1070"/>
      <c r="Z67" s="1070"/>
      <c r="AA67" s="1070"/>
      <c r="AB67" s="1070"/>
      <c r="AC67" s="1070"/>
      <c r="AD67" s="1036"/>
      <c r="AE67" s="1036"/>
      <c r="AF67" s="1036"/>
      <c r="AG67" s="1036"/>
      <c r="AH67" s="1036"/>
      <c r="AI67" s="1036"/>
      <c r="AJ67" s="1036"/>
      <c r="AK67" s="1036"/>
      <c r="AL67" s="1036"/>
      <c r="AM67" s="1036"/>
      <c r="AN67" s="1036"/>
      <c r="AO67" s="1036"/>
      <c r="AP67" s="1036"/>
      <c r="AQ67" s="1036"/>
      <c r="AR67" s="1051"/>
      <c r="AS67" s="1394"/>
      <c r="AT67" s="1051"/>
      <c r="AU67" s="1392"/>
      <c r="AV67" s="1051"/>
    </row>
    <row r="68" spans="1:48">
      <c r="A68" s="1450" t="s">
        <v>864</v>
      </c>
      <c r="B68" s="1440"/>
      <c r="C68" s="1441"/>
      <c r="D68" s="1440"/>
      <c r="E68" s="1437"/>
      <c r="F68" s="1431">
        <v>915</v>
      </c>
      <c r="G68" s="1431"/>
      <c r="H68" s="1454">
        <v>2.79</v>
      </c>
      <c r="I68" s="1438"/>
      <c r="J68" s="1435">
        <f t="shared" si="27"/>
        <v>2552.85</v>
      </c>
      <c r="K68" s="1431"/>
      <c r="L68" s="1433">
        <f t="shared" si="25"/>
        <v>2552.85</v>
      </c>
      <c r="M68" s="1431"/>
      <c r="N68" s="1435"/>
      <c r="O68" s="1434"/>
      <c r="P68" s="1435">
        <f t="shared" si="28"/>
        <v>915</v>
      </c>
      <c r="Q68" s="1431"/>
      <c r="R68" s="1452">
        <f t="shared" si="26"/>
        <v>3.0934118141763496</v>
      </c>
      <c r="S68" s="1438"/>
      <c r="T68" s="1453">
        <f t="shared" si="29"/>
        <v>2830.47180997136</v>
      </c>
      <c r="U68" s="1438"/>
      <c r="V68" s="1438"/>
      <c r="W68" s="1326"/>
      <c r="X68" s="1069"/>
      <c r="Y68" s="1070"/>
      <c r="Z68" s="1070"/>
      <c r="AA68" s="1070"/>
      <c r="AB68" s="1070"/>
      <c r="AC68" s="1036"/>
      <c r="AD68" s="1036"/>
      <c r="AE68" s="1036"/>
      <c r="AF68" s="1036"/>
      <c r="AG68" s="1036"/>
      <c r="AH68" s="1036"/>
      <c r="AI68" s="1036"/>
      <c r="AJ68" s="1036"/>
      <c r="AK68" s="1036"/>
      <c r="AL68" s="1036"/>
      <c r="AM68" s="1036"/>
      <c r="AN68" s="1036"/>
      <c r="AO68" s="1036"/>
      <c r="AP68" s="1036"/>
      <c r="AQ68" s="1036"/>
      <c r="AR68" s="1051"/>
      <c r="AS68" s="1394"/>
      <c r="AT68" s="1051"/>
      <c r="AU68" s="1392"/>
      <c r="AV68" s="1051"/>
    </row>
    <row r="69" spans="1:48">
      <c r="A69" s="1450" t="s">
        <v>876</v>
      </c>
      <c r="B69" s="1440"/>
      <c r="C69" s="1441"/>
      <c r="D69" s="1440"/>
      <c r="E69" s="1437"/>
      <c r="F69" s="1431">
        <v>23</v>
      </c>
      <c r="G69" s="1431"/>
      <c r="H69" s="1454">
        <v>2.5499999999999998</v>
      </c>
      <c r="I69" s="1438"/>
      <c r="J69" s="1435">
        <f t="shared" si="27"/>
        <v>58.65</v>
      </c>
      <c r="K69" s="1431"/>
      <c r="L69" s="1433">
        <f t="shared" si="25"/>
        <v>58.65</v>
      </c>
      <c r="M69" s="1431"/>
      <c r="N69" s="1435"/>
      <c r="O69" s="1434"/>
      <c r="P69" s="1435">
        <f t="shared" si="28"/>
        <v>23</v>
      </c>
      <c r="Q69" s="1431"/>
      <c r="R69" s="1452">
        <f t="shared" si="26"/>
        <v>2.827311873171932</v>
      </c>
      <c r="S69" s="1438"/>
      <c r="T69" s="1453">
        <f t="shared" si="29"/>
        <v>65.028173082954439</v>
      </c>
      <c r="U69" s="1438"/>
      <c r="V69" s="1438"/>
      <c r="W69" s="1326"/>
      <c r="X69" s="1069"/>
      <c r="Y69" s="1070"/>
      <c r="Z69" s="1070"/>
      <c r="AA69" s="1070"/>
      <c r="AB69" s="1070"/>
      <c r="AC69" s="1036"/>
      <c r="AD69" s="1036"/>
      <c r="AE69" s="1036"/>
      <c r="AF69" s="1036"/>
      <c r="AG69" s="1036"/>
      <c r="AH69" s="1036"/>
      <c r="AI69" s="1036"/>
      <c r="AJ69" s="1036"/>
      <c r="AK69" s="1036"/>
      <c r="AL69" s="1036"/>
      <c r="AM69" s="1036"/>
      <c r="AN69" s="1036"/>
      <c r="AO69" s="1036"/>
      <c r="AP69" s="1036"/>
      <c r="AQ69" s="1036"/>
      <c r="AR69" s="1051"/>
      <c r="AS69" s="1394"/>
      <c r="AT69" s="1051"/>
      <c r="AU69" s="1392"/>
      <c r="AV69" s="1051"/>
    </row>
    <row r="70" spans="1:48" s="1412" customFormat="1" ht="12.75" thickBot="1">
      <c r="A70" s="1411" t="s">
        <v>1711</v>
      </c>
      <c r="B70" s="1456">
        <f>SUM(B63:B69)</f>
        <v>12954</v>
      </c>
      <c r="C70" s="1443"/>
      <c r="D70" s="1456">
        <f>SUM(D63:D69)</f>
        <v>814.00000000000034</v>
      </c>
      <c r="E70" s="1443"/>
      <c r="F70" s="1456">
        <f>SUM(F63:F69)</f>
        <v>9055.2692307692305</v>
      </c>
      <c r="G70" s="1396"/>
      <c r="H70" s="1398"/>
      <c r="I70" s="1397"/>
      <c r="J70" s="1444">
        <f>SUM(J63:J69)</f>
        <v>51404.600000000006</v>
      </c>
      <c r="K70" s="1396"/>
      <c r="L70" s="1444">
        <f>SUM(L63:L69)</f>
        <v>51404.600000000006</v>
      </c>
      <c r="M70" s="1396"/>
      <c r="N70" s="1456">
        <f>SUM(N63:N69)</f>
        <v>814.00000000000034</v>
      </c>
      <c r="O70" s="1400"/>
      <c r="P70" s="1456">
        <f>SUM(P63:P69)</f>
        <v>9055.2692307692305</v>
      </c>
      <c r="Q70" s="1396"/>
      <c r="R70" s="1436"/>
      <c r="S70" s="1443"/>
      <c r="T70" s="1444">
        <f>SUM(T63:T69)</f>
        <v>56994.83761398193</v>
      </c>
      <c r="U70" s="1443"/>
      <c r="V70" s="1443"/>
      <c r="W70" s="1210"/>
      <c r="X70" s="1084"/>
      <c r="Y70" s="1085"/>
      <c r="Z70" s="1085"/>
      <c r="AA70" s="1085"/>
      <c r="AB70" s="1085"/>
      <c r="AC70" s="1085"/>
      <c r="AD70" s="1085" t="s">
        <v>501</v>
      </c>
      <c r="AE70" s="1404"/>
      <c r="AF70" s="1397"/>
      <c r="AG70" s="1443"/>
      <c r="AH70" s="1443"/>
      <c r="AI70" s="1443"/>
      <c r="AJ70" s="1397"/>
      <c r="AK70" s="1086"/>
      <c r="AL70" s="1397"/>
      <c r="AM70" s="1086"/>
      <c r="AN70" s="1397"/>
      <c r="AO70" s="1086"/>
      <c r="AP70" s="1397"/>
      <c r="AQ70" s="1086"/>
      <c r="AR70" s="1087"/>
      <c r="AS70" s="1087"/>
      <c r="AT70" s="1087"/>
      <c r="AU70" s="1087"/>
      <c r="AV70" s="1087"/>
    </row>
    <row r="71" spans="1:48" ht="12.75" thickTop="1">
      <c r="A71" s="1411"/>
      <c r="B71" s="1440"/>
      <c r="C71" s="1441"/>
      <c r="D71" s="1440"/>
      <c r="E71" s="1437"/>
      <c r="F71" s="1431"/>
      <c r="G71" s="1431"/>
      <c r="H71" s="1432"/>
      <c r="I71" s="1438"/>
      <c r="J71" s="1433"/>
      <c r="K71" s="1431"/>
      <c r="L71" s="1433"/>
      <c r="M71" s="1431"/>
      <c r="N71" s="1435"/>
      <c r="O71" s="1434"/>
      <c r="P71" s="1435"/>
      <c r="Q71" s="1431"/>
      <c r="R71" s="1436"/>
      <c r="S71" s="1438"/>
      <c r="T71" s="1393"/>
      <c r="U71" s="1438"/>
      <c r="V71" s="1438"/>
      <c r="W71" s="1325"/>
      <c r="X71" s="1069"/>
      <c r="Y71" s="1070"/>
      <c r="Z71" s="1070"/>
      <c r="AA71" s="1070"/>
      <c r="AB71" s="1070"/>
      <c r="AC71" s="1070"/>
      <c r="AD71" s="1036"/>
      <c r="AE71" s="1036"/>
      <c r="AF71" s="1036"/>
      <c r="AG71" s="1036"/>
      <c r="AH71" s="1036"/>
      <c r="AI71" s="1036"/>
      <c r="AJ71" s="1036"/>
      <c r="AK71" s="1036"/>
      <c r="AL71" s="1036"/>
      <c r="AM71" s="1036"/>
      <c r="AN71" s="1036"/>
      <c r="AO71" s="1036"/>
      <c r="AP71" s="1036"/>
      <c r="AQ71" s="1036"/>
      <c r="AR71" s="1051"/>
      <c r="AS71" s="1051"/>
      <c r="AT71" s="1051"/>
      <c r="AU71" s="1392"/>
      <c r="AV71" s="1051"/>
    </row>
    <row r="72" spans="1:48" ht="12.75" thickBot="1">
      <c r="A72" s="1413" t="s">
        <v>1710</v>
      </c>
      <c r="B72" s="1440"/>
      <c r="C72" s="1441"/>
      <c r="D72" s="1440"/>
      <c r="E72" s="1437"/>
      <c r="F72" s="1431"/>
      <c r="G72" s="1431"/>
      <c r="H72" s="1432"/>
      <c r="I72" s="1438"/>
      <c r="J72" s="1433"/>
      <c r="K72" s="1431"/>
      <c r="L72" s="1446">
        <f>+L70/$D70</f>
        <v>63.150614250614233</v>
      </c>
      <c r="M72" s="1431"/>
      <c r="N72" s="1435"/>
      <c r="O72" s="1434"/>
      <c r="P72" s="1435"/>
      <c r="Q72" s="1431"/>
      <c r="R72" s="1436"/>
      <c r="S72" s="1438"/>
      <c r="T72" s="1446">
        <f>+T70/$D70</f>
        <v>70.018228027004795</v>
      </c>
      <c r="U72" s="1438">
        <f>+T72-L72</f>
        <v>6.8676137763905629</v>
      </c>
      <c r="V72" s="1438">
        <f>U72/L72</f>
        <v>0.10874975418507137</v>
      </c>
      <c r="W72" s="1325"/>
      <c r="X72" s="1069"/>
      <c r="Y72" s="1070"/>
      <c r="Z72" s="1070"/>
      <c r="AA72" s="1070"/>
      <c r="AB72" s="1070"/>
      <c r="AC72" s="1070"/>
      <c r="AD72" s="1036"/>
      <c r="AE72" s="1036"/>
      <c r="AF72" s="1036"/>
      <c r="AG72" s="1036"/>
      <c r="AH72" s="1036"/>
      <c r="AI72" s="1036"/>
      <c r="AJ72" s="1036"/>
      <c r="AK72" s="1036"/>
      <c r="AL72" s="1036"/>
      <c r="AM72" s="1036"/>
      <c r="AN72" s="1036"/>
      <c r="AO72" s="1036"/>
      <c r="AP72" s="1036"/>
      <c r="AQ72" s="1036"/>
      <c r="AR72" s="1051"/>
      <c r="AS72" s="1051"/>
      <c r="AT72" s="1051"/>
      <c r="AU72" s="1392"/>
      <c r="AV72" s="1051"/>
    </row>
    <row r="73" spans="1:48" ht="12.75" thickTop="1">
      <c r="A73" s="1407" t="s">
        <v>1647</v>
      </c>
      <c r="B73" s="1431">
        <v>3118</v>
      </c>
      <c r="C73" s="1437"/>
      <c r="D73" s="1431"/>
      <c r="E73" s="1437"/>
      <c r="F73" s="1431"/>
      <c r="G73" s="1431"/>
      <c r="H73" s="1432"/>
      <c r="I73" s="1438"/>
      <c r="J73" s="1433"/>
      <c r="K73" s="1431"/>
      <c r="L73" s="1433"/>
      <c r="M73" s="1431"/>
      <c r="N73" s="1435"/>
      <c r="O73" s="1434"/>
      <c r="P73" s="1435"/>
      <c r="Q73" s="1431"/>
      <c r="R73" s="1436"/>
      <c r="S73" s="1437"/>
      <c r="T73" s="1439"/>
      <c r="U73" s="1437"/>
      <c r="V73" s="1437"/>
      <c r="W73" s="1326"/>
      <c r="X73" s="1069"/>
      <c r="Y73" s="1070"/>
      <c r="Z73" s="1070"/>
      <c r="AA73" s="1070"/>
      <c r="AB73" s="1070"/>
      <c r="AC73" s="1070"/>
      <c r="AD73" s="1036"/>
      <c r="AE73" s="1036"/>
      <c r="AF73" s="1036"/>
      <c r="AG73" s="1036"/>
      <c r="AH73" s="1036"/>
      <c r="AI73" s="1036"/>
      <c r="AJ73" s="1036"/>
      <c r="AK73" s="1036"/>
      <c r="AL73" s="1036"/>
      <c r="AM73" s="1036"/>
      <c r="AN73" s="1036"/>
      <c r="AO73" s="1036"/>
      <c r="AP73" s="1036"/>
      <c r="AQ73" s="1036"/>
      <c r="AR73" s="1394"/>
      <c r="AS73" s="1394"/>
      <c r="AT73" s="1394"/>
      <c r="AU73" s="1394"/>
      <c r="AV73" s="1394"/>
    </row>
    <row r="74" spans="1:48">
      <c r="A74" s="1450" t="s">
        <v>803</v>
      </c>
      <c r="B74" s="1440"/>
      <c r="C74" s="1441"/>
      <c r="D74" s="1440">
        <v>276.00000000000006</v>
      </c>
      <c r="E74" s="1437"/>
      <c r="F74" s="1431"/>
      <c r="G74" s="1431"/>
      <c r="H74" s="1451">
        <v>26.97</v>
      </c>
      <c r="I74" s="1438"/>
      <c r="J74" s="1433">
        <f>+D74*H74</f>
        <v>7443.7200000000012</v>
      </c>
      <c r="K74" s="1431"/>
      <c r="L74" s="1433">
        <f>+J74</f>
        <v>7443.7200000000012</v>
      </c>
      <c r="M74" s="1431"/>
      <c r="N74" s="1435">
        <f>+D74</f>
        <v>276.00000000000006</v>
      </c>
      <c r="O74" s="1434"/>
      <c r="P74" s="1435"/>
      <c r="Q74" s="1431"/>
      <c r="R74" s="1452">
        <f>+H74*(1+$W$5)</f>
        <v>29.902980870371376</v>
      </c>
      <c r="S74" s="1438"/>
      <c r="T74" s="1453">
        <f>+N74*R74</f>
        <v>8253.2227202225022</v>
      </c>
      <c r="U74" s="1438"/>
      <c r="V74" s="1438"/>
      <c r="W74" s="1325"/>
      <c r="X74" s="1069"/>
      <c r="Y74" s="1070"/>
      <c r="Z74" s="1070"/>
      <c r="AA74" s="1070"/>
      <c r="AB74" s="1070"/>
      <c r="AC74" s="1070"/>
      <c r="AD74" s="1036"/>
      <c r="AE74" s="1036"/>
      <c r="AF74" s="1036"/>
      <c r="AG74" s="1036"/>
      <c r="AH74" s="1036"/>
      <c r="AI74" s="1036"/>
      <c r="AJ74" s="1036"/>
      <c r="AK74" s="1036"/>
      <c r="AL74" s="1036"/>
      <c r="AM74" s="1036"/>
      <c r="AN74" s="1036"/>
      <c r="AO74" s="1036"/>
      <c r="AP74" s="1036"/>
      <c r="AQ74" s="1036"/>
      <c r="AR74" s="1051"/>
      <c r="AS74" s="1051"/>
      <c r="AT74" s="1051"/>
      <c r="AU74" s="1392"/>
      <c r="AV74" s="1051"/>
    </row>
    <row r="75" spans="1:48">
      <c r="A75" s="1450" t="s">
        <v>804</v>
      </c>
      <c r="B75" s="1440"/>
      <c r="C75" s="1441"/>
      <c r="D75" s="1440"/>
      <c r="E75" s="1437"/>
      <c r="F75" s="1431">
        <v>404.00000000000023</v>
      </c>
      <c r="G75" s="1431"/>
      <c r="H75" s="1454">
        <v>3.61</v>
      </c>
      <c r="I75" s="1438"/>
      <c r="J75" s="1435">
        <f>+F75*H75</f>
        <v>1458.4400000000007</v>
      </c>
      <c r="K75" s="1431"/>
      <c r="L75" s="1433">
        <f t="shared" ref="L75:L79" si="30">+J75</f>
        <v>1458.4400000000007</v>
      </c>
      <c r="M75" s="1431"/>
      <c r="N75" s="1435"/>
      <c r="O75" s="1434"/>
      <c r="P75" s="1435">
        <f>+F75</f>
        <v>404.00000000000023</v>
      </c>
      <c r="Q75" s="1431"/>
      <c r="R75" s="1452">
        <f t="shared" ref="R75:R79" si="31">+H75*(1+$W$5)</f>
        <v>4.0025866126081082</v>
      </c>
      <c r="S75" s="1438"/>
      <c r="T75" s="1453">
        <f>+P75*R75</f>
        <v>1617.0449914936767</v>
      </c>
      <c r="U75" s="1438"/>
      <c r="V75" s="1438"/>
      <c r="W75" s="1325"/>
      <c r="X75" s="1069"/>
      <c r="Y75" s="1070"/>
      <c r="Z75" s="1070"/>
      <c r="AA75" s="1070"/>
      <c r="AB75" s="1070"/>
      <c r="AC75" s="1070"/>
      <c r="AD75" s="1036"/>
      <c r="AE75" s="1036"/>
      <c r="AF75" s="1036"/>
      <c r="AG75" s="1036"/>
      <c r="AH75" s="1036"/>
      <c r="AI75" s="1036"/>
      <c r="AJ75" s="1036"/>
      <c r="AK75" s="1036"/>
      <c r="AL75" s="1036"/>
      <c r="AM75" s="1036"/>
      <c r="AN75" s="1036"/>
      <c r="AO75" s="1036"/>
      <c r="AP75" s="1036"/>
      <c r="AQ75" s="1036"/>
      <c r="AR75" s="1051"/>
      <c r="AS75" s="1051"/>
      <c r="AT75" s="1051"/>
      <c r="AU75" s="1392"/>
      <c r="AV75" s="1051"/>
    </row>
    <row r="76" spans="1:48">
      <c r="A76" s="1450" t="s">
        <v>862</v>
      </c>
      <c r="B76" s="1440"/>
      <c r="C76" s="1441"/>
      <c r="D76" s="1440"/>
      <c r="E76" s="1437"/>
      <c r="F76" s="1431">
        <v>424.99999999999983</v>
      </c>
      <c r="G76" s="1431"/>
      <c r="H76" s="1454">
        <v>3.29</v>
      </c>
      <c r="I76" s="1438"/>
      <c r="J76" s="1435">
        <f t="shared" ref="J76:J79" si="32">+F76*H76</f>
        <v>1398.2499999999995</v>
      </c>
      <c r="K76" s="1431"/>
      <c r="L76" s="1433">
        <f t="shared" si="30"/>
        <v>1398.2499999999995</v>
      </c>
      <c r="M76" s="1431"/>
      <c r="N76" s="1435"/>
      <c r="O76" s="1434"/>
      <c r="P76" s="1435">
        <f t="shared" ref="P76:P79" si="33">+F76</f>
        <v>424.99999999999983</v>
      </c>
      <c r="Q76" s="1431"/>
      <c r="R76" s="1452">
        <f t="shared" si="31"/>
        <v>3.6477866912688852</v>
      </c>
      <c r="S76" s="1438"/>
      <c r="T76" s="1453">
        <f t="shared" ref="T76:T79" si="34">+P76*R76</f>
        <v>1550.3093437892755</v>
      </c>
      <c r="U76" s="1438"/>
      <c r="V76" s="1438"/>
      <c r="W76" s="1326"/>
      <c r="X76" s="1069"/>
      <c r="Y76" s="1070"/>
      <c r="Z76" s="1070"/>
      <c r="AA76" s="1070"/>
      <c r="AB76" s="1070"/>
      <c r="AC76" s="1070"/>
      <c r="AD76" s="1036"/>
      <c r="AE76" s="1036"/>
      <c r="AF76" s="1036"/>
      <c r="AG76" s="1036"/>
      <c r="AH76" s="1036"/>
      <c r="AI76" s="1036"/>
      <c r="AJ76" s="1036"/>
      <c r="AK76" s="1036"/>
      <c r="AL76" s="1036"/>
      <c r="AM76" s="1036"/>
      <c r="AN76" s="1036"/>
      <c r="AO76" s="1036"/>
      <c r="AP76" s="1036"/>
      <c r="AQ76" s="1036"/>
      <c r="AR76" s="1051"/>
      <c r="AS76" s="1051"/>
      <c r="AT76" s="1051"/>
      <c r="AU76" s="1392"/>
      <c r="AV76" s="1051"/>
    </row>
    <row r="77" spans="1:48">
      <c r="A77" s="1450" t="s">
        <v>863</v>
      </c>
      <c r="B77" s="1440"/>
      <c r="C77" s="1441"/>
      <c r="D77" s="1440"/>
      <c r="E77" s="1437"/>
      <c r="F77" s="1431">
        <v>209</v>
      </c>
      <c r="G77" s="1431"/>
      <c r="H77" s="1454">
        <v>3.12</v>
      </c>
      <c r="I77" s="1438"/>
      <c r="J77" s="1435">
        <f t="shared" si="32"/>
        <v>652.08000000000004</v>
      </c>
      <c r="K77" s="1431"/>
      <c r="L77" s="1433">
        <f t="shared" si="30"/>
        <v>652.08000000000004</v>
      </c>
      <c r="M77" s="1431"/>
      <c r="N77" s="1435"/>
      <c r="O77" s="1434"/>
      <c r="P77" s="1435">
        <f t="shared" si="33"/>
        <v>209</v>
      </c>
      <c r="Q77" s="1431"/>
      <c r="R77" s="1452">
        <f t="shared" si="31"/>
        <v>3.4592992330574233</v>
      </c>
      <c r="S77" s="1438"/>
      <c r="T77" s="1453">
        <f t="shared" si="34"/>
        <v>722.99353970900142</v>
      </c>
      <c r="U77" s="1438"/>
      <c r="V77" s="1438"/>
      <c r="W77" s="1326"/>
      <c r="X77" s="1069"/>
      <c r="Y77" s="1070"/>
      <c r="Z77" s="1070"/>
      <c r="AA77" s="1070"/>
      <c r="AB77" s="1070"/>
      <c r="AC77" s="1070"/>
      <c r="AD77" s="1036"/>
      <c r="AE77" s="1036"/>
      <c r="AF77" s="1036"/>
      <c r="AG77" s="1036"/>
      <c r="AH77" s="1036"/>
      <c r="AI77" s="1036"/>
      <c r="AJ77" s="1036"/>
      <c r="AK77" s="1036"/>
      <c r="AL77" s="1036"/>
      <c r="AM77" s="1036"/>
      <c r="AN77" s="1036"/>
      <c r="AO77" s="1036"/>
      <c r="AP77" s="1036"/>
      <c r="AQ77" s="1036"/>
      <c r="AR77" s="1051"/>
      <c r="AS77" s="1394"/>
      <c r="AT77" s="1051"/>
      <c r="AU77" s="1392"/>
      <c r="AV77" s="1051"/>
    </row>
    <row r="78" spans="1:48">
      <c r="A78" s="1450" t="s">
        <v>864</v>
      </c>
      <c r="B78" s="1440"/>
      <c r="C78" s="1441"/>
      <c r="D78" s="1440"/>
      <c r="E78" s="1437"/>
      <c r="F78" s="1431">
        <v>232.99999999999997</v>
      </c>
      <c r="G78" s="1431"/>
      <c r="H78" s="1454">
        <v>2.79</v>
      </c>
      <c r="I78" s="1438"/>
      <c r="J78" s="1435">
        <f t="shared" si="32"/>
        <v>650.06999999999994</v>
      </c>
      <c r="K78" s="1431"/>
      <c r="L78" s="1433">
        <f t="shared" si="30"/>
        <v>650.06999999999994</v>
      </c>
      <c r="M78" s="1431"/>
      <c r="N78" s="1435"/>
      <c r="O78" s="1434"/>
      <c r="P78" s="1435">
        <f t="shared" si="33"/>
        <v>232.99999999999997</v>
      </c>
      <c r="Q78" s="1431"/>
      <c r="R78" s="1452">
        <f t="shared" si="31"/>
        <v>3.0934118141763496</v>
      </c>
      <c r="S78" s="1438"/>
      <c r="T78" s="1453">
        <f t="shared" si="34"/>
        <v>720.76495270308942</v>
      </c>
      <c r="U78" s="1438"/>
      <c r="V78" s="1438"/>
      <c r="W78" s="1326"/>
      <c r="X78" s="1069"/>
      <c r="Y78" s="1070"/>
      <c r="Z78" s="1070"/>
      <c r="AA78" s="1070"/>
      <c r="AB78" s="1070"/>
      <c r="AC78" s="1036"/>
      <c r="AD78" s="1036"/>
      <c r="AE78" s="1036"/>
      <c r="AF78" s="1036"/>
      <c r="AG78" s="1036"/>
      <c r="AH78" s="1036"/>
      <c r="AI78" s="1036"/>
      <c r="AJ78" s="1036"/>
      <c r="AK78" s="1036"/>
      <c r="AL78" s="1036"/>
      <c r="AM78" s="1036"/>
      <c r="AN78" s="1036"/>
      <c r="AO78" s="1036"/>
      <c r="AP78" s="1036"/>
      <c r="AQ78" s="1036"/>
      <c r="AR78" s="1051"/>
      <c r="AS78" s="1394"/>
      <c r="AT78" s="1051"/>
      <c r="AU78" s="1392"/>
      <c r="AV78" s="1051"/>
    </row>
    <row r="79" spans="1:48">
      <c r="A79" s="1450" t="s">
        <v>876</v>
      </c>
      <c r="B79" s="1440"/>
      <c r="C79" s="1441"/>
      <c r="D79" s="1440"/>
      <c r="E79" s="1437"/>
      <c r="F79" s="1431">
        <v>643</v>
      </c>
      <c r="G79" s="1431"/>
      <c r="H79" s="1454">
        <v>2.5499999999999998</v>
      </c>
      <c r="I79" s="1438"/>
      <c r="J79" s="1435">
        <f t="shared" si="32"/>
        <v>1639.6499999999999</v>
      </c>
      <c r="K79" s="1431"/>
      <c r="L79" s="1433">
        <f t="shared" si="30"/>
        <v>1639.6499999999999</v>
      </c>
      <c r="M79" s="1431"/>
      <c r="N79" s="1435"/>
      <c r="O79" s="1434"/>
      <c r="P79" s="1435">
        <f t="shared" si="33"/>
        <v>643</v>
      </c>
      <c r="Q79" s="1431"/>
      <c r="R79" s="1452">
        <f t="shared" si="31"/>
        <v>2.827311873171932</v>
      </c>
      <c r="S79" s="1438"/>
      <c r="T79" s="1453">
        <f t="shared" si="34"/>
        <v>1817.9615344495523</v>
      </c>
      <c r="U79" s="1438"/>
      <c r="V79" s="1438"/>
      <c r="W79" s="1326"/>
      <c r="X79" s="1069"/>
      <c r="Y79" s="1070"/>
      <c r="Z79" s="1070"/>
      <c r="AA79" s="1070"/>
      <c r="AB79" s="1070"/>
      <c r="AC79" s="1036"/>
      <c r="AD79" s="1036"/>
      <c r="AE79" s="1036"/>
      <c r="AF79" s="1036"/>
      <c r="AG79" s="1036"/>
      <c r="AH79" s="1036"/>
      <c r="AI79" s="1036"/>
      <c r="AJ79" s="1036"/>
      <c r="AK79" s="1036"/>
      <c r="AL79" s="1036"/>
      <c r="AM79" s="1036"/>
      <c r="AN79" s="1036"/>
      <c r="AO79" s="1036"/>
      <c r="AP79" s="1036"/>
      <c r="AQ79" s="1036"/>
      <c r="AR79" s="1051"/>
      <c r="AS79" s="1394"/>
      <c r="AT79" s="1051"/>
      <c r="AU79" s="1392"/>
      <c r="AV79" s="1051"/>
    </row>
    <row r="80" spans="1:48" s="1412" customFormat="1" ht="12.75" thickBot="1">
      <c r="A80" s="1411" t="s">
        <v>1646</v>
      </c>
      <c r="B80" s="1456">
        <f>SUM(B73:B79)</f>
        <v>3118</v>
      </c>
      <c r="C80" s="1443"/>
      <c r="D80" s="1456">
        <f>SUM(D73:D79)</f>
        <v>276.00000000000006</v>
      </c>
      <c r="E80" s="1443"/>
      <c r="F80" s="1456">
        <f>SUM(F73:F79)</f>
        <v>1914</v>
      </c>
      <c r="G80" s="1396"/>
      <c r="H80" s="1398"/>
      <c r="I80" s="1397"/>
      <c r="J80" s="1444">
        <f>SUM(J73:J79)</f>
        <v>13242.210000000001</v>
      </c>
      <c r="K80" s="1396"/>
      <c r="L80" s="1444">
        <f>SUM(L73:L79)</f>
        <v>13242.210000000001</v>
      </c>
      <c r="M80" s="1396"/>
      <c r="N80" s="1456">
        <f>SUM(N73:N79)</f>
        <v>276.00000000000006</v>
      </c>
      <c r="O80" s="1400"/>
      <c r="P80" s="1456">
        <f>SUM(P73:P79)</f>
        <v>1914</v>
      </c>
      <c r="Q80" s="1396"/>
      <c r="R80" s="1436"/>
      <c r="S80" s="1443"/>
      <c r="T80" s="1444">
        <f>SUM(T73:T79)</f>
        <v>14682.297082367097</v>
      </c>
      <c r="U80" s="1443"/>
      <c r="V80" s="1324"/>
      <c r="W80" s="1210"/>
      <c r="X80" s="1084"/>
      <c r="Y80" s="1085"/>
      <c r="Z80" s="1085"/>
      <c r="AA80" s="1085"/>
      <c r="AB80" s="1085"/>
      <c r="AC80" s="1085"/>
      <c r="AD80" s="1085" t="s">
        <v>501</v>
      </c>
      <c r="AE80" s="1404"/>
      <c r="AF80" s="1397"/>
      <c r="AG80" s="1443"/>
      <c r="AH80" s="1443"/>
      <c r="AI80" s="1443"/>
      <c r="AJ80" s="1397"/>
      <c r="AK80" s="1086"/>
      <c r="AL80" s="1397"/>
      <c r="AM80" s="1086"/>
      <c r="AN80" s="1397"/>
      <c r="AO80" s="1086"/>
      <c r="AP80" s="1397"/>
      <c r="AQ80" s="1086"/>
      <c r="AR80" s="1087"/>
      <c r="AS80" s="1087"/>
      <c r="AT80" s="1087"/>
      <c r="AU80" s="1087"/>
      <c r="AV80" s="1087"/>
    </row>
    <row r="81" spans="1:48" ht="12.75" thickTop="1">
      <c r="A81" s="1411"/>
      <c r="B81" s="1440"/>
      <c r="C81" s="1441"/>
      <c r="D81" s="1440"/>
      <c r="E81" s="1437"/>
      <c r="F81" s="1431"/>
      <c r="G81" s="1431"/>
      <c r="H81" s="1432"/>
      <c r="I81" s="1438"/>
      <c r="J81" s="1433"/>
      <c r="K81" s="1431"/>
      <c r="L81" s="1433"/>
      <c r="M81" s="1431"/>
      <c r="N81" s="1435"/>
      <c r="O81" s="1434"/>
      <c r="P81" s="1435"/>
      <c r="Q81" s="1431"/>
      <c r="R81" s="1436"/>
      <c r="S81" s="1438"/>
      <c r="T81" s="1393"/>
      <c r="U81" s="1438"/>
      <c r="V81" s="1438"/>
      <c r="W81" s="1325"/>
      <c r="X81" s="1069"/>
      <c r="Y81" s="1070"/>
      <c r="Z81" s="1070"/>
      <c r="AA81" s="1070"/>
      <c r="AB81" s="1070"/>
      <c r="AC81" s="1070"/>
      <c r="AD81" s="1036"/>
      <c r="AE81" s="1036"/>
      <c r="AF81" s="1036"/>
      <c r="AG81" s="1036"/>
      <c r="AH81" s="1036"/>
      <c r="AI81" s="1036"/>
      <c r="AJ81" s="1036"/>
      <c r="AK81" s="1036"/>
      <c r="AL81" s="1036"/>
      <c r="AM81" s="1036"/>
      <c r="AN81" s="1036"/>
      <c r="AO81" s="1036"/>
      <c r="AP81" s="1036"/>
      <c r="AQ81" s="1036"/>
      <c r="AR81" s="1051"/>
      <c r="AS81" s="1051"/>
      <c r="AT81" s="1051"/>
      <c r="AU81" s="1392"/>
      <c r="AV81" s="1051"/>
    </row>
    <row r="82" spans="1:48" ht="12.75" thickBot="1">
      <c r="A82" s="1413" t="s">
        <v>1645</v>
      </c>
      <c r="B82" s="1440"/>
      <c r="C82" s="1441"/>
      <c r="D82" s="1440"/>
      <c r="E82" s="1437"/>
      <c r="F82" s="1431"/>
      <c r="G82" s="1431"/>
      <c r="H82" s="1432"/>
      <c r="I82" s="1438"/>
      <c r="J82" s="1433"/>
      <c r="K82" s="1431"/>
      <c r="L82" s="1446">
        <f>+L80/$D80</f>
        <v>47.979021739130431</v>
      </c>
      <c r="M82" s="1431"/>
      <c r="N82" s="1435"/>
      <c r="O82" s="1434"/>
      <c r="P82" s="1435"/>
      <c r="Q82" s="1431"/>
      <c r="R82" s="1436"/>
      <c r="S82" s="1438"/>
      <c r="T82" s="1446">
        <f>+T80/$D80</f>
        <v>53.196728559301064</v>
      </c>
      <c r="U82" s="1438">
        <f>+T82-L82</f>
        <v>5.2177068201706334</v>
      </c>
      <c r="V82" s="1438">
        <f>U82/L82</f>
        <v>0.10874975418507145</v>
      </c>
      <c r="W82" s="1325"/>
      <c r="X82" s="1069"/>
      <c r="Y82" s="1070"/>
      <c r="Z82" s="1070"/>
      <c r="AA82" s="1070"/>
      <c r="AB82" s="1070"/>
      <c r="AC82" s="1070"/>
      <c r="AD82" s="1036"/>
      <c r="AE82" s="1036"/>
      <c r="AF82" s="1036"/>
      <c r="AG82" s="1036"/>
      <c r="AH82" s="1036"/>
      <c r="AI82" s="1036"/>
      <c r="AJ82" s="1036"/>
      <c r="AK82" s="1036"/>
      <c r="AL82" s="1036"/>
      <c r="AM82" s="1036"/>
      <c r="AN82" s="1036"/>
      <c r="AO82" s="1036"/>
      <c r="AP82" s="1036"/>
      <c r="AQ82" s="1036"/>
      <c r="AR82" s="1051"/>
      <c r="AS82" s="1051"/>
      <c r="AT82" s="1051"/>
      <c r="AU82" s="1392"/>
      <c r="AV82" s="1051"/>
    </row>
    <row r="83" spans="1:48" ht="12.75" thickTop="1">
      <c r="A83" s="1407" t="s">
        <v>1641</v>
      </c>
      <c r="B83" s="1431">
        <v>541</v>
      </c>
      <c r="C83" s="1437"/>
      <c r="D83" s="1431"/>
      <c r="E83" s="1437"/>
      <c r="F83" s="1431"/>
      <c r="G83" s="1431"/>
      <c r="H83" s="1432"/>
      <c r="I83" s="1438"/>
      <c r="J83" s="1433"/>
      <c r="K83" s="1431"/>
      <c r="L83" s="1433"/>
      <c r="M83" s="1431"/>
      <c r="N83" s="1435"/>
      <c r="O83" s="1434"/>
      <c r="P83" s="1435"/>
      <c r="Q83" s="1431"/>
      <c r="R83" s="1436"/>
      <c r="S83" s="1437"/>
      <c r="T83" s="1439"/>
      <c r="U83" s="1437"/>
      <c r="V83" s="1437"/>
      <c r="W83" s="1326"/>
      <c r="X83" s="1069"/>
      <c r="Y83" s="1070"/>
      <c r="Z83" s="1070"/>
      <c r="AA83" s="1070"/>
      <c r="AB83" s="1070"/>
      <c r="AC83" s="1070"/>
      <c r="AD83" s="1036"/>
      <c r="AE83" s="1036"/>
      <c r="AF83" s="1036"/>
      <c r="AG83" s="1036"/>
      <c r="AH83" s="1036"/>
      <c r="AI83" s="1036"/>
      <c r="AJ83" s="1036"/>
      <c r="AK83" s="1036"/>
      <c r="AL83" s="1036"/>
      <c r="AM83" s="1036"/>
      <c r="AN83" s="1036"/>
      <c r="AO83" s="1036"/>
      <c r="AP83" s="1036"/>
      <c r="AQ83" s="1036"/>
      <c r="AR83" s="1394"/>
      <c r="AS83" s="1394"/>
      <c r="AT83" s="1394"/>
      <c r="AU83" s="1394"/>
      <c r="AV83" s="1394"/>
    </row>
    <row r="84" spans="1:48">
      <c r="A84" s="1450" t="s">
        <v>803</v>
      </c>
      <c r="B84" s="1440"/>
      <c r="C84" s="1441"/>
      <c r="D84" s="1440">
        <v>36.000000000000007</v>
      </c>
      <c r="E84" s="1437"/>
      <c r="F84" s="1431"/>
      <c r="G84" s="1431"/>
      <c r="H84" s="1451">
        <v>26.97</v>
      </c>
      <c r="I84" s="1438"/>
      <c r="J84" s="1433">
        <f>+D84*H84</f>
        <v>970.92000000000019</v>
      </c>
      <c r="K84" s="1431"/>
      <c r="L84" s="1433">
        <f>+J84</f>
        <v>970.92000000000019</v>
      </c>
      <c r="M84" s="1431"/>
      <c r="N84" s="1435">
        <f>+D84</f>
        <v>36.000000000000007</v>
      </c>
      <c r="O84" s="1434"/>
      <c r="P84" s="1435"/>
      <c r="Q84" s="1431"/>
      <c r="R84" s="1452">
        <f>+H84*(1+$W$5)</f>
        <v>29.902980870371376</v>
      </c>
      <c r="S84" s="1438"/>
      <c r="T84" s="1453">
        <f>+N84*R84</f>
        <v>1076.5073113333697</v>
      </c>
      <c r="U84" s="1438"/>
      <c r="V84" s="1438"/>
      <c r="W84" s="1325"/>
      <c r="X84" s="1069"/>
      <c r="Y84" s="1070"/>
      <c r="Z84" s="1070"/>
      <c r="AA84" s="1070"/>
      <c r="AB84" s="1070"/>
      <c r="AC84" s="1070"/>
      <c r="AD84" s="1036"/>
      <c r="AE84" s="1036"/>
      <c r="AF84" s="1036"/>
      <c r="AG84" s="1036"/>
      <c r="AH84" s="1036"/>
      <c r="AI84" s="1036"/>
      <c r="AJ84" s="1036"/>
      <c r="AK84" s="1036"/>
      <c r="AL84" s="1036"/>
      <c r="AM84" s="1036"/>
      <c r="AN84" s="1036"/>
      <c r="AO84" s="1036"/>
      <c r="AP84" s="1036"/>
      <c r="AQ84" s="1036"/>
      <c r="AR84" s="1051"/>
      <c r="AS84" s="1051"/>
      <c r="AT84" s="1051"/>
      <c r="AU84" s="1392"/>
      <c r="AV84" s="1051"/>
    </row>
    <row r="85" spans="1:48">
      <c r="A85" s="1450" t="s">
        <v>804</v>
      </c>
      <c r="B85" s="1440"/>
      <c r="C85" s="1441"/>
      <c r="D85" s="1440"/>
      <c r="E85" s="1437"/>
      <c r="F85" s="1431">
        <v>92.999999999999986</v>
      </c>
      <c r="G85" s="1431"/>
      <c r="H85" s="1454">
        <v>3.61</v>
      </c>
      <c r="I85" s="1438"/>
      <c r="J85" s="1435">
        <f>+F85*H85</f>
        <v>335.72999999999996</v>
      </c>
      <c r="K85" s="1431"/>
      <c r="L85" s="1433">
        <f t="shared" ref="L85:L89" si="35">+J85</f>
        <v>335.72999999999996</v>
      </c>
      <c r="M85" s="1431"/>
      <c r="N85" s="1435"/>
      <c r="O85" s="1434"/>
      <c r="P85" s="1435">
        <f>+F85</f>
        <v>92.999999999999986</v>
      </c>
      <c r="Q85" s="1431"/>
      <c r="R85" s="1452">
        <f t="shared" ref="R85:R89" si="36">+H85*(1+$W$5)</f>
        <v>4.0025866126081082</v>
      </c>
      <c r="S85" s="1438"/>
      <c r="T85" s="1453">
        <f>+P85*R85</f>
        <v>372.24055497255398</v>
      </c>
      <c r="U85" s="1438"/>
      <c r="V85" s="1438"/>
      <c r="W85" s="1325"/>
      <c r="X85" s="1069"/>
      <c r="Y85" s="1070"/>
      <c r="Z85" s="1070"/>
      <c r="AA85" s="1070"/>
      <c r="AB85" s="1070"/>
      <c r="AC85" s="1070"/>
      <c r="AD85" s="1036"/>
      <c r="AE85" s="1036"/>
      <c r="AF85" s="1036"/>
      <c r="AG85" s="1036"/>
      <c r="AH85" s="1036"/>
      <c r="AI85" s="1036"/>
      <c r="AJ85" s="1036"/>
      <c r="AK85" s="1036"/>
      <c r="AL85" s="1036"/>
      <c r="AM85" s="1036"/>
      <c r="AN85" s="1036"/>
      <c r="AO85" s="1036"/>
      <c r="AP85" s="1036"/>
      <c r="AQ85" s="1036"/>
      <c r="AR85" s="1051"/>
      <c r="AS85" s="1051"/>
      <c r="AT85" s="1051"/>
      <c r="AU85" s="1392"/>
      <c r="AV85" s="1051"/>
    </row>
    <row r="86" spans="1:48">
      <c r="A86" s="1450" t="s">
        <v>862</v>
      </c>
      <c r="B86" s="1440"/>
      <c r="C86" s="1441"/>
      <c r="D86" s="1440"/>
      <c r="E86" s="1437"/>
      <c r="F86" s="1431">
        <v>217.00000000000006</v>
      </c>
      <c r="G86" s="1431"/>
      <c r="H86" s="1454">
        <v>3.29</v>
      </c>
      <c r="I86" s="1438"/>
      <c r="J86" s="1435">
        <f t="shared" ref="J86:J89" si="37">+F86*H86</f>
        <v>713.93000000000018</v>
      </c>
      <c r="K86" s="1431"/>
      <c r="L86" s="1433">
        <f t="shared" si="35"/>
        <v>713.93000000000018</v>
      </c>
      <c r="M86" s="1431"/>
      <c r="N86" s="1435"/>
      <c r="O86" s="1434"/>
      <c r="P86" s="1435">
        <f t="shared" ref="P86:P89" si="38">+F86</f>
        <v>217.00000000000006</v>
      </c>
      <c r="Q86" s="1431"/>
      <c r="R86" s="1452">
        <f t="shared" si="36"/>
        <v>3.6477866912688852</v>
      </c>
      <c r="S86" s="1438"/>
      <c r="T86" s="1453">
        <f t="shared" ref="T86:T89" si="39">+P86*R86</f>
        <v>791.56971200534826</v>
      </c>
      <c r="U86" s="1438"/>
      <c r="V86" s="1438"/>
      <c r="W86" s="1326"/>
      <c r="X86" s="1069"/>
      <c r="Y86" s="1070"/>
      <c r="Z86" s="1070"/>
      <c r="AA86" s="1070"/>
      <c r="AB86" s="1070"/>
      <c r="AC86" s="1070"/>
      <c r="AD86" s="1036"/>
      <c r="AE86" s="1036"/>
      <c r="AF86" s="1036"/>
      <c r="AG86" s="1036"/>
      <c r="AH86" s="1036"/>
      <c r="AI86" s="1036"/>
      <c r="AJ86" s="1036"/>
      <c r="AK86" s="1036"/>
      <c r="AL86" s="1036"/>
      <c r="AM86" s="1036"/>
      <c r="AN86" s="1036"/>
      <c r="AO86" s="1036"/>
      <c r="AP86" s="1036"/>
      <c r="AQ86" s="1036"/>
      <c r="AR86" s="1051"/>
      <c r="AS86" s="1051"/>
      <c r="AT86" s="1051"/>
      <c r="AU86" s="1392"/>
      <c r="AV86" s="1051"/>
    </row>
    <row r="87" spans="1:48">
      <c r="A87" s="1450" t="s">
        <v>863</v>
      </c>
      <c r="B87" s="1440"/>
      <c r="C87" s="1441"/>
      <c r="D87" s="1440"/>
      <c r="E87" s="1437"/>
      <c r="F87" s="1431">
        <v>50</v>
      </c>
      <c r="G87" s="1431"/>
      <c r="H87" s="1454">
        <v>3.12</v>
      </c>
      <c r="I87" s="1438"/>
      <c r="J87" s="1435">
        <f t="shared" si="37"/>
        <v>156</v>
      </c>
      <c r="K87" s="1431"/>
      <c r="L87" s="1433">
        <f t="shared" si="35"/>
        <v>156</v>
      </c>
      <c r="M87" s="1431"/>
      <c r="N87" s="1435"/>
      <c r="O87" s="1434"/>
      <c r="P87" s="1435">
        <f t="shared" si="38"/>
        <v>50</v>
      </c>
      <c r="Q87" s="1431"/>
      <c r="R87" s="1452">
        <f t="shared" si="36"/>
        <v>3.4592992330574233</v>
      </c>
      <c r="S87" s="1438"/>
      <c r="T87" s="1453">
        <f t="shared" si="39"/>
        <v>172.96496165287115</v>
      </c>
      <c r="U87" s="1438"/>
      <c r="V87" s="1438"/>
      <c r="W87" s="1326"/>
      <c r="X87" s="1069"/>
      <c r="Y87" s="1070"/>
      <c r="Z87" s="1070"/>
      <c r="AA87" s="1070"/>
      <c r="AB87" s="1070"/>
      <c r="AC87" s="1070"/>
      <c r="AD87" s="1036"/>
      <c r="AE87" s="1036"/>
      <c r="AF87" s="1036"/>
      <c r="AG87" s="1036"/>
      <c r="AH87" s="1036"/>
      <c r="AI87" s="1036"/>
      <c r="AJ87" s="1036"/>
      <c r="AK87" s="1036"/>
      <c r="AL87" s="1036"/>
      <c r="AM87" s="1036"/>
      <c r="AN87" s="1036"/>
      <c r="AO87" s="1036"/>
      <c r="AP87" s="1036"/>
      <c r="AQ87" s="1036"/>
      <c r="AR87" s="1051"/>
      <c r="AS87" s="1394"/>
      <c r="AT87" s="1051"/>
      <c r="AU87" s="1392"/>
      <c r="AV87" s="1051"/>
    </row>
    <row r="88" spans="1:48">
      <c r="A88" s="1450" t="s">
        <v>864</v>
      </c>
      <c r="B88" s="1440"/>
      <c r="C88" s="1441"/>
      <c r="D88" s="1440"/>
      <c r="E88" s="1437"/>
      <c r="F88" s="1431">
        <v>0</v>
      </c>
      <c r="G88" s="1431"/>
      <c r="H88" s="1454">
        <v>2.79</v>
      </c>
      <c r="I88" s="1438"/>
      <c r="J88" s="1435">
        <f t="shared" si="37"/>
        <v>0</v>
      </c>
      <c r="K88" s="1431"/>
      <c r="L88" s="1433">
        <f t="shared" si="35"/>
        <v>0</v>
      </c>
      <c r="M88" s="1431"/>
      <c r="N88" s="1435"/>
      <c r="O88" s="1434"/>
      <c r="P88" s="1435">
        <f t="shared" si="38"/>
        <v>0</v>
      </c>
      <c r="Q88" s="1431"/>
      <c r="R88" s="1452">
        <f t="shared" si="36"/>
        <v>3.0934118141763496</v>
      </c>
      <c r="S88" s="1438"/>
      <c r="T88" s="1453">
        <f t="shared" si="39"/>
        <v>0</v>
      </c>
      <c r="U88" s="1438"/>
      <c r="V88" s="1438"/>
      <c r="W88" s="1326"/>
      <c r="X88" s="1069"/>
      <c r="Y88" s="1070"/>
      <c r="Z88" s="1070"/>
      <c r="AA88" s="1070"/>
      <c r="AB88" s="1070"/>
      <c r="AC88" s="1036"/>
      <c r="AD88" s="1036"/>
      <c r="AE88" s="1036"/>
      <c r="AF88" s="1036"/>
      <c r="AG88" s="1036"/>
      <c r="AH88" s="1036"/>
      <c r="AI88" s="1036"/>
      <c r="AJ88" s="1036"/>
      <c r="AK88" s="1036"/>
      <c r="AL88" s="1036"/>
      <c r="AM88" s="1036"/>
      <c r="AN88" s="1036"/>
      <c r="AO88" s="1036"/>
      <c r="AP88" s="1036"/>
      <c r="AQ88" s="1036"/>
      <c r="AR88" s="1051"/>
      <c r="AS88" s="1394"/>
      <c r="AT88" s="1051"/>
      <c r="AU88" s="1392"/>
      <c r="AV88" s="1051"/>
    </row>
    <row r="89" spans="1:48">
      <c r="A89" s="1450" t="s">
        <v>876</v>
      </c>
      <c r="B89" s="1440"/>
      <c r="C89" s="1441"/>
      <c r="D89" s="1440"/>
      <c r="E89" s="1437"/>
      <c r="F89" s="1431">
        <v>0</v>
      </c>
      <c r="G89" s="1431"/>
      <c r="H89" s="1454">
        <v>2.5499999999999998</v>
      </c>
      <c r="I89" s="1438"/>
      <c r="J89" s="1435">
        <f t="shared" si="37"/>
        <v>0</v>
      </c>
      <c r="K89" s="1431"/>
      <c r="L89" s="1433">
        <f t="shared" si="35"/>
        <v>0</v>
      </c>
      <c r="M89" s="1431"/>
      <c r="N89" s="1435"/>
      <c r="O89" s="1434"/>
      <c r="P89" s="1435">
        <f t="shared" si="38"/>
        <v>0</v>
      </c>
      <c r="Q89" s="1431"/>
      <c r="R89" s="1452">
        <f t="shared" si="36"/>
        <v>2.827311873171932</v>
      </c>
      <c r="S89" s="1438"/>
      <c r="T89" s="1453">
        <f t="shared" si="39"/>
        <v>0</v>
      </c>
      <c r="U89" s="1438"/>
      <c r="V89" s="1438"/>
      <c r="W89" s="1326"/>
      <c r="X89" s="1069"/>
      <c r="Y89" s="1070"/>
      <c r="Z89" s="1070"/>
      <c r="AA89" s="1070"/>
      <c r="AB89" s="1070"/>
      <c r="AC89" s="1036"/>
      <c r="AD89" s="1036"/>
      <c r="AE89" s="1036"/>
      <c r="AF89" s="1036"/>
      <c r="AG89" s="1036"/>
      <c r="AH89" s="1036"/>
      <c r="AI89" s="1036"/>
      <c r="AJ89" s="1036"/>
      <c r="AK89" s="1036"/>
      <c r="AL89" s="1036"/>
      <c r="AM89" s="1036"/>
      <c r="AN89" s="1036"/>
      <c r="AO89" s="1036"/>
      <c r="AP89" s="1036"/>
      <c r="AQ89" s="1036"/>
      <c r="AR89" s="1051"/>
      <c r="AS89" s="1394"/>
      <c r="AT89" s="1051"/>
      <c r="AU89" s="1392"/>
      <c r="AV89" s="1051"/>
    </row>
    <row r="90" spans="1:48" s="1412" customFormat="1" ht="12.75" thickBot="1">
      <c r="A90" s="1411" t="s">
        <v>1640</v>
      </c>
      <c r="B90" s="1456">
        <f>SUM(B83:B89)</f>
        <v>541</v>
      </c>
      <c r="C90" s="1443"/>
      <c r="D90" s="1456">
        <f>SUM(D83:D89)</f>
        <v>36.000000000000007</v>
      </c>
      <c r="E90" s="1443"/>
      <c r="F90" s="1456">
        <f>SUM(F83:F89)</f>
        <v>360.00000000000006</v>
      </c>
      <c r="G90" s="1396"/>
      <c r="H90" s="1398"/>
      <c r="I90" s="1397"/>
      <c r="J90" s="1444">
        <f>SUM(J83:J89)</f>
        <v>2176.5800000000004</v>
      </c>
      <c r="K90" s="1396"/>
      <c r="L90" s="1444">
        <f>SUM(L83:L89)</f>
        <v>2176.5800000000004</v>
      </c>
      <c r="M90" s="1396"/>
      <c r="N90" s="1456">
        <f>SUM(N83:N89)</f>
        <v>36.000000000000007</v>
      </c>
      <c r="O90" s="1400"/>
      <c r="P90" s="1456">
        <f>SUM(P83:P89)</f>
        <v>360.00000000000006</v>
      </c>
      <c r="Q90" s="1396"/>
      <c r="R90" s="1436"/>
      <c r="S90" s="1443"/>
      <c r="T90" s="1444">
        <f>SUM(T83:T89)</f>
        <v>2413.2825399641433</v>
      </c>
      <c r="U90" s="1443"/>
      <c r="V90" s="1324"/>
      <c r="W90" s="1210"/>
      <c r="X90" s="1084"/>
      <c r="Y90" s="1085"/>
      <c r="Z90" s="1085"/>
      <c r="AA90" s="1085"/>
      <c r="AB90" s="1085"/>
      <c r="AC90" s="1085"/>
      <c r="AD90" s="1085" t="s">
        <v>501</v>
      </c>
      <c r="AE90" s="1404"/>
      <c r="AF90" s="1397"/>
      <c r="AG90" s="1443"/>
      <c r="AH90" s="1443"/>
      <c r="AI90" s="1443"/>
      <c r="AJ90" s="1397"/>
      <c r="AK90" s="1086"/>
      <c r="AL90" s="1397"/>
      <c r="AM90" s="1086"/>
      <c r="AN90" s="1397"/>
      <c r="AO90" s="1086"/>
      <c r="AP90" s="1397"/>
      <c r="AQ90" s="1086"/>
      <c r="AR90" s="1087"/>
      <c r="AS90" s="1087"/>
      <c r="AT90" s="1087"/>
      <c r="AU90" s="1087"/>
      <c r="AV90" s="1087"/>
    </row>
    <row r="91" spans="1:48" ht="12.75" thickTop="1">
      <c r="A91" s="1411"/>
      <c r="B91" s="1440"/>
      <c r="C91" s="1441"/>
      <c r="D91" s="1440"/>
      <c r="E91" s="1437"/>
      <c r="F91" s="1431"/>
      <c r="G91" s="1431"/>
      <c r="H91" s="1432"/>
      <c r="I91" s="1438"/>
      <c r="J91" s="1433"/>
      <c r="K91" s="1431"/>
      <c r="L91" s="1433"/>
      <c r="M91" s="1431"/>
      <c r="N91" s="1435"/>
      <c r="O91" s="1434"/>
      <c r="P91" s="1435"/>
      <c r="Q91" s="1431"/>
      <c r="R91" s="1436"/>
      <c r="S91" s="1438"/>
      <c r="T91" s="1393"/>
      <c r="U91" s="1438"/>
      <c r="V91" s="1438"/>
      <c r="W91" s="1325"/>
      <c r="X91" s="1069"/>
      <c r="Y91" s="1070"/>
      <c r="Z91" s="1070"/>
      <c r="AA91" s="1070"/>
      <c r="AB91" s="1070"/>
      <c r="AC91" s="1070"/>
      <c r="AD91" s="1036"/>
      <c r="AE91" s="1036"/>
      <c r="AF91" s="1036"/>
      <c r="AG91" s="1036"/>
      <c r="AH91" s="1036"/>
      <c r="AI91" s="1036"/>
      <c r="AJ91" s="1036"/>
      <c r="AK91" s="1036"/>
      <c r="AL91" s="1036"/>
      <c r="AM91" s="1036"/>
      <c r="AN91" s="1036"/>
      <c r="AO91" s="1036"/>
      <c r="AP91" s="1036"/>
      <c r="AQ91" s="1036"/>
      <c r="AR91" s="1051"/>
      <c r="AS91" s="1051"/>
      <c r="AT91" s="1051"/>
      <c r="AU91" s="1392"/>
      <c r="AV91" s="1051"/>
    </row>
    <row r="92" spans="1:48" ht="12.75" thickBot="1">
      <c r="A92" s="1413" t="s">
        <v>1639</v>
      </c>
      <c r="B92" s="1440"/>
      <c r="C92" s="1441"/>
      <c r="D92" s="1440"/>
      <c r="E92" s="1437"/>
      <c r="F92" s="1431"/>
      <c r="G92" s="1431"/>
      <c r="H92" s="1432"/>
      <c r="I92" s="1438"/>
      <c r="J92" s="1433"/>
      <c r="K92" s="1431"/>
      <c r="L92" s="1446">
        <f>+L90/$D90</f>
        <v>60.460555555555551</v>
      </c>
      <c r="M92" s="1431"/>
      <c r="N92" s="1435"/>
      <c r="O92" s="1434"/>
      <c r="P92" s="1435"/>
      <c r="Q92" s="1431"/>
      <c r="R92" s="1436"/>
      <c r="S92" s="1438"/>
      <c r="T92" s="1446">
        <f>+T90/$D90</f>
        <v>67.035626110115075</v>
      </c>
      <c r="U92" s="1438">
        <f>+T92-L92</f>
        <v>6.5750705545595238</v>
      </c>
      <c r="V92" s="1438">
        <f>U92/L92</f>
        <v>0.10874975418507148</v>
      </c>
      <c r="W92" s="1325"/>
      <c r="X92" s="1069"/>
      <c r="Y92" s="1070"/>
      <c r="Z92" s="1070"/>
      <c r="AA92" s="1070"/>
      <c r="AB92" s="1070"/>
      <c r="AC92" s="1070"/>
      <c r="AD92" s="1036"/>
      <c r="AE92" s="1036"/>
      <c r="AF92" s="1036"/>
      <c r="AG92" s="1036"/>
      <c r="AH92" s="1036"/>
      <c r="AI92" s="1036"/>
      <c r="AJ92" s="1036"/>
      <c r="AK92" s="1036"/>
      <c r="AL92" s="1036"/>
      <c r="AM92" s="1036"/>
      <c r="AN92" s="1036"/>
      <c r="AO92" s="1036"/>
      <c r="AP92" s="1036"/>
      <c r="AQ92" s="1036"/>
      <c r="AR92" s="1051"/>
      <c r="AS92" s="1051"/>
      <c r="AT92" s="1051"/>
      <c r="AU92" s="1392"/>
      <c r="AV92" s="1051"/>
    </row>
    <row r="93" spans="1:48" ht="12.75" thickTop="1">
      <c r="A93" s="1407" t="s">
        <v>1709</v>
      </c>
      <c r="B93" s="1431">
        <v>161</v>
      </c>
      <c r="C93" s="1437"/>
      <c r="D93" s="1431"/>
      <c r="E93" s="1437"/>
      <c r="F93" s="1431"/>
      <c r="G93" s="1431"/>
      <c r="H93" s="1432"/>
      <c r="I93" s="1438"/>
      <c r="J93" s="1433"/>
      <c r="K93" s="1431"/>
      <c r="L93" s="1433"/>
      <c r="M93" s="1431"/>
      <c r="N93" s="1435"/>
      <c r="O93" s="1434"/>
      <c r="P93" s="1435"/>
      <c r="Q93" s="1431"/>
      <c r="R93" s="1436"/>
      <c r="S93" s="1437"/>
      <c r="T93" s="1439"/>
      <c r="U93" s="1437"/>
      <c r="V93" s="1437"/>
      <c r="W93" s="1326"/>
      <c r="X93" s="1069"/>
      <c r="Y93" s="1070"/>
      <c r="Z93" s="1070"/>
      <c r="AA93" s="1070"/>
      <c r="AB93" s="1070"/>
      <c r="AC93" s="1070"/>
      <c r="AD93" s="1036"/>
      <c r="AE93" s="1036"/>
      <c r="AF93" s="1036"/>
      <c r="AG93" s="1036"/>
      <c r="AH93" s="1036"/>
      <c r="AI93" s="1036"/>
      <c r="AJ93" s="1036"/>
      <c r="AK93" s="1036"/>
      <c r="AL93" s="1036"/>
      <c r="AM93" s="1036"/>
      <c r="AN93" s="1036"/>
      <c r="AO93" s="1036"/>
      <c r="AP93" s="1036"/>
      <c r="AQ93" s="1036"/>
      <c r="AR93" s="1394"/>
      <c r="AS93" s="1394"/>
      <c r="AT93" s="1394"/>
      <c r="AU93" s="1394"/>
      <c r="AV93" s="1394"/>
    </row>
    <row r="94" spans="1:48">
      <c r="A94" s="1450" t="s">
        <v>803</v>
      </c>
      <c r="B94" s="1440"/>
      <c r="C94" s="1441"/>
      <c r="D94" s="1440">
        <v>12</v>
      </c>
      <c r="E94" s="1437"/>
      <c r="F94" s="1431"/>
      <c r="G94" s="1431"/>
      <c r="H94" s="1451">
        <v>26.97</v>
      </c>
      <c r="I94" s="1438"/>
      <c r="J94" s="1433">
        <f>+D94*H94</f>
        <v>323.64</v>
      </c>
      <c r="K94" s="1431"/>
      <c r="L94" s="1433">
        <f>+J94</f>
        <v>323.64</v>
      </c>
      <c r="M94" s="1431"/>
      <c r="N94" s="1435">
        <f>+D94</f>
        <v>12</v>
      </c>
      <c r="O94" s="1434"/>
      <c r="P94" s="1435"/>
      <c r="Q94" s="1431"/>
      <c r="R94" s="1452">
        <f>+H94*(1+$W$5)</f>
        <v>29.902980870371376</v>
      </c>
      <c r="S94" s="1438"/>
      <c r="T94" s="1453">
        <f>+N94*R94</f>
        <v>358.8357704444565</v>
      </c>
      <c r="U94" s="1438"/>
      <c r="V94" s="1438"/>
      <c r="W94" s="1325"/>
      <c r="X94" s="1069"/>
      <c r="Y94" s="1070"/>
      <c r="Z94" s="1070"/>
      <c r="AA94" s="1070"/>
      <c r="AB94" s="1070"/>
      <c r="AC94" s="1070"/>
      <c r="AD94" s="1036"/>
      <c r="AE94" s="1036"/>
      <c r="AF94" s="1036"/>
      <c r="AG94" s="1036"/>
      <c r="AH94" s="1036"/>
      <c r="AI94" s="1036"/>
      <c r="AJ94" s="1036"/>
      <c r="AK94" s="1036"/>
      <c r="AL94" s="1036"/>
      <c r="AM94" s="1036"/>
      <c r="AN94" s="1036"/>
      <c r="AO94" s="1036"/>
      <c r="AP94" s="1036"/>
      <c r="AQ94" s="1036"/>
      <c r="AR94" s="1051"/>
      <c r="AS94" s="1051"/>
      <c r="AT94" s="1051"/>
      <c r="AU94" s="1392"/>
      <c r="AV94" s="1051"/>
    </row>
    <row r="95" spans="1:48">
      <c r="A95" s="1450" t="s">
        <v>804</v>
      </c>
      <c r="B95" s="1440"/>
      <c r="C95" s="1441"/>
      <c r="D95" s="1440"/>
      <c r="E95" s="1437"/>
      <c r="F95" s="1431">
        <v>12</v>
      </c>
      <c r="G95" s="1431"/>
      <c r="H95" s="1454">
        <v>3.61</v>
      </c>
      <c r="I95" s="1438"/>
      <c r="J95" s="1435">
        <f>+F95*H95</f>
        <v>43.32</v>
      </c>
      <c r="K95" s="1431"/>
      <c r="L95" s="1433">
        <f t="shared" ref="L95:L99" si="40">+J95</f>
        <v>43.32</v>
      </c>
      <c r="M95" s="1431"/>
      <c r="N95" s="1435"/>
      <c r="O95" s="1434"/>
      <c r="P95" s="1435">
        <f>+F95</f>
        <v>12</v>
      </c>
      <c r="Q95" s="1431"/>
      <c r="R95" s="1452">
        <f t="shared" ref="R95:R99" si="41">+H95*(1+$W$5)</f>
        <v>4.0025866126081082</v>
      </c>
      <c r="S95" s="1438"/>
      <c r="T95" s="1453">
        <f>+P95*R95</f>
        <v>48.031039351297295</v>
      </c>
      <c r="U95" s="1438"/>
      <c r="V95" s="1438"/>
      <c r="W95" s="1325"/>
      <c r="X95" s="1069"/>
      <c r="Y95" s="1070"/>
      <c r="Z95" s="1070"/>
      <c r="AA95" s="1070"/>
      <c r="AB95" s="1070"/>
      <c r="AC95" s="1070"/>
      <c r="AD95" s="1036"/>
      <c r="AE95" s="1036"/>
      <c r="AF95" s="1036"/>
      <c r="AG95" s="1036"/>
      <c r="AH95" s="1036"/>
      <c r="AI95" s="1036"/>
      <c r="AJ95" s="1036"/>
      <c r="AK95" s="1036"/>
      <c r="AL95" s="1036"/>
      <c r="AM95" s="1036"/>
      <c r="AN95" s="1036"/>
      <c r="AO95" s="1036"/>
      <c r="AP95" s="1036"/>
      <c r="AQ95" s="1036"/>
      <c r="AR95" s="1051"/>
      <c r="AS95" s="1051"/>
      <c r="AT95" s="1051"/>
      <c r="AU95" s="1392"/>
      <c r="AV95" s="1051"/>
    </row>
    <row r="96" spans="1:48">
      <c r="A96" s="1450" t="s">
        <v>862</v>
      </c>
      <c r="B96" s="1440"/>
      <c r="C96" s="1441"/>
      <c r="D96" s="1440"/>
      <c r="E96" s="1437"/>
      <c r="F96" s="1431">
        <v>37</v>
      </c>
      <c r="G96" s="1431"/>
      <c r="H96" s="1454">
        <v>3.29</v>
      </c>
      <c r="I96" s="1438"/>
      <c r="J96" s="1435">
        <f t="shared" ref="J96:J99" si="42">+F96*H96</f>
        <v>121.73</v>
      </c>
      <c r="K96" s="1431"/>
      <c r="L96" s="1433">
        <f t="shared" si="40"/>
        <v>121.73</v>
      </c>
      <c r="M96" s="1431"/>
      <c r="N96" s="1435"/>
      <c r="O96" s="1434"/>
      <c r="P96" s="1435">
        <f t="shared" ref="P96:P99" si="43">+F96</f>
        <v>37</v>
      </c>
      <c r="Q96" s="1431"/>
      <c r="R96" s="1452">
        <f t="shared" si="41"/>
        <v>3.6477866912688852</v>
      </c>
      <c r="S96" s="1438"/>
      <c r="T96" s="1453">
        <f t="shared" ref="T96:T99" si="44">+P96*R96</f>
        <v>134.96810757694874</v>
      </c>
      <c r="U96" s="1438"/>
      <c r="V96" s="1438"/>
      <c r="W96" s="1326"/>
      <c r="X96" s="1069"/>
      <c r="Y96" s="1070"/>
      <c r="Z96" s="1070"/>
      <c r="AA96" s="1070"/>
      <c r="AB96" s="1070"/>
      <c r="AC96" s="1070"/>
      <c r="AD96" s="1036"/>
      <c r="AE96" s="1036"/>
      <c r="AF96" s="1036"/>
      <c r="AG96" s="1036"/>
      <c r="AH96" s="1036"/>
      <c r="AI96" s="1036"/>
      <c r="AJ96" s="1036"/>
      <c r="AK96" s="1036"/>
      <c r="AL96" s="1036"/>
      <c r="AM96" s="1036"/>
      <c r="AN96" s="1036"/>
      <c r="AO96" s="1036"/>
      <c r="AP96" s="1036"/>
      <c r="AQ96" s="1036"/>
      <c r="AR96" s="1051"/>
      <c r="AS96" s="1051"/>
      <c r="AT96" s="1051"/>
      <c r="AU96" s="1392"/>
      <c r="AV96" s="1051"/>
    </row>
    <row r="97" spans="1:48">
      <c r="A97" s="1450" t="s">
        <v>863</v>
      </c>
      <c r="B97" s="1440"/>
      <c r="C97" s="1441"/>
      <c r="D97" s="1440"/>
      <c r="E97" s="1437"/>
      <c r="F97" s="1431">
        <v>40</v>
      </c>
      <c r="G97" s="1431"/>
      <c r="H97" s="1454">
        <v>3.12</v>
      </c>
      <c r="I97" s="1438"/>
      <c r="J97" s="1435">
        <f t="shared" si="42"/>
        <v>124.80000000000001</v>
      </c>
      <c r="K97" s="1431"/>
      <c r="L97" s="1433">
        <f t="shared" si="40"/>
        <v>124.80000000000001</v>
      </c>
      <c r="M97" s="1431"/>
      <c r="N97" s="1435"/>
      <c r="O97" s="1434"/>
      <c r="P97" s="1435">
        <f t="shared" si="43"/>
        <v>40</v>
      </c>
      <c r="Q97" s="1431"/>
      <c r="R97" s="1452">
        <f t="shared" si="41"/>
        <v>3.4592992330574233</v>
      </c>
      <c r="S97" s="1438"/>
      <c r="T97" s="1453">
        <f t="shared" si="44"/>
        <v>138.37196932229693</v>
      </c>
      <c r="U97" s="1438"/>
      <c r="V97" s="1438"/>
      <c r="W97" s="1326"/>
      <c r="X97" s="1069"/>
      <c r="Y97" s="1070"/>
      <c r="Z97" s="1070"/>
      <c r="AA97" s="1070"/>
      <c r="AB97" s="1070"/>
      <c r="AC97" s="1070"/>
      <c r="AD97" s="1036"/>
      <c r="AE97" s="1036"/>
      <c r="AF97" s="1036"/>
      <c r="AG97" s="1036"/>
      <c r="AH97" s="1036"/>
      <c r="AI97" s="1036"/>
      <c r="AJ97" s="1036"/>
      <c r="AK97" s="1036"/>
      <c r="AL97" s="1036"/>
      <c r="AM97" s="1036"/>
      <c r="AN97" s="1036"/>
      <c r="AO97" s="1036"/>
      <c r="AP97" s="1036"/>
      <c r="AQ97" s="1036"/>
      <c r="AR97" s="1051"/>
      <c r="AS97" s="1394"/>
      <c r="AT97" s="1051"/>
      <c r="AU97" s="1392"/>
      <c r="AV97" s="1051"/>
    </row>
    <row r="98" spans="1:48">
      <c r="A98" s="1450" t="s">
        <v>864</v>
      </c>
      <c r="B98" s="1440"/>
      <c r="C98" s="1441"/>
      <c r="D98" s="1440"/>
      <c r="E98" s="1437"/>
      <c r="F98" s="1431">
        <v>19</v>
      </c>
      <c r="G98" s="1431"/>
      <c r="H98" s="1454">
        <v>2.79</v>
      </c>
      <c r="I98" s="1438"/>
      <c r="J98" s="1435">
        <f t="shared" si="42"/>
        <v>53.01</v>
      </c>
      <c r="K98" s="1431"/>
      <c r="L98" s="1433">
        <f t="shared" si="40"/>
        <v>53.01</v>
      </c>
      <c r="M98" s="1431"/>
      <c r="N98" s="1435"/>
      <c r="O98" s="1434"/>
      <c r="P98" s="1435">
        <f t="shared" si="43"/>
        <v>19</v>
      </c>
      <c r="Q98" s="1431"/>
      <c r="R98" s="1452">
        <f t="shared" si="41"/>
        <v>3.0934118141763496</v>
      </c>
      <c r="S98" s="1438"/>
      <c r="T98" s="1453">
        <f t="shared" si="44"/>
        <v>58.774824469350641</v>
      </c>
      <c r="U98" s="1438"/>
      <c r="V98" s="1438"/>
      <c r="W98" s="1326"/>
      <c r="X98" s="1069"/>
      <c r="Y98" s="1070"/>
      <c r="Z98" s="1070"/>
      <c r="AA98" s="1070"/>
      <c r="AB98" s="1070"/>
      <c r="AC98" s="1036"/>
      <c r="AD98" s="1036"/>
      <c r="AE98" s="1036"/>
      <c r="AF98" s="1036"/>
      <c r="AG98" s="1036"/>
      <c r="AH98" s="1036"/>
      <c r="AI98" s="1036"/>
      <c r="AJ98" s="1036"/>
      <c r="AK98" s="1036"/>
      <c r="AL98" s="1036"/>
      <c r="AM98" s="1036"/>
      <c r="AN98" s="1036"/>
      <c r="AO98" s="1036"/>
      <c r="AP98" s="1036"/>
      <c r="AQ98" s="1036"/>
      <c r="AR98" s="1051"/>
      <c r="AS98" s="1394"/>
      <c r="AT98" s="1051"/>
      <c r="AU98" s="1392"/>
      <c r="AV98" s="1051"/>
    </row>
    <row r="99" spans="1:48">
      <c r="A99" s="1450" t="s">
        <v>876</v>
      </c>
      <c r="B99" s="1440"/>
      <c r="C99" s="1441"/>
      <c r="D99" s="1440"/>
      <c r="E99" s="1437"/>
      <c r="F99" s="1431">
        <v>0</v>
      </c>
      <c r="G99" s="1431"/>
      <c r="H99" s="1454">
        <v>2.5499999999999998</v>
      </c>
      <c r="I99" s="1438"/>
      <c r="J99" s="1435">
        <f t="shared" si="42"/>
        <v>0</v>
      </c>
      <c r="K99" s="1431"/>
      <c r="L99" s="1433">
        <f t="shared" si="40"/>
        <v>0</v>
      </c>
      <c r="M99" s="1431"/>
      <c r="N99" s="1435"/>
      <c r="O99" s="1434"/>
      <c r="P99" s="1435">
        <f t="shared" si="43"/>
        <v>0</v>
      </c>
      <c r="Q99" s="1431"/>
      <c r="R99" s="1452">
        <f t="shared" si="41"/>
        <v>2.827311873171932</v>
      </c>
      <c r="S99" s="1438"/>
      <c r="T99" s="1453">
        <f t="shared" si="44"/>
        <v>0</v>
      </c>
      <c r="U99" s="1438"/>
      <c r="V99" s="1438"/>
      <c r="W99" s="1326"/>
      <c r="X99" s="1069"/>
      <c r="Y99" s="1070"/>
      <c r="Z99" s="1070"/>
      <c r="AA99" s="1070"/>
      <c r="AB99" s="1070"/>
      <c r="AC99" s="1036"/>
      <c r="AD99" s="1036"/>
      <c r="AE99" s="1036"/>
      <c r="AF99" s="1036"/>
      <c r="AG99" s="1036"/>
      <c r="AH99" s="1036"/>
      <c r="AI99" s="1036"/>
      <c r="AJ99" s="1036"/>
      <c r="AK99" s="1036"/>
      <c r="AL99" s="1036"/>
      <c r="AM99" s="1036"/>
      <c r="AN99" s="1036"/>
      <c r="AO99" s="1036"/>
      <c r="AP99" s="1036"/>
      <c r="AQ99" s="1036"/>
      <c r="AR99" s="1051"/>
      <c r="AS99" s="1394"/>
      <c r="AT99" s="1051"/>
      <c r="AU99" s="1392"/>
      <c r="AV99" s="1051"/>
    </row>
    <row r="100" spans="1:48" s="1412" customFormat="1" ht="12.75" thickBot="1">
      <c r="A100" s="1411" t="s">
        <v>1785</v>
      </c>
      <c r="B100" s="1456">
        <f>SUM(B93:B99)</f>
        <v>161</v>
      </c>
      <c r="C100" s="1443"/>
      <c r="D100" s="1456">
        <f>SUM(D93:D99)</f>
        <v>12</v>
      </c>
      <c r="E100" s="1443"/>
      <c r="F100" s="1456">
        <f>SUM(F93:F99)</f>
        <v>108</v>
      </c>
      <c r="G100" s="1396"/>
      <c r="H100" s="1398"/>
      <c r="I100" s="1397"/>
      <c r="J100" s="1444">
        <f>SUM(J93:J99)</f>
        <v>666.5</v>
      </c>
      <c r="K100" s="1396"/>
      <c r="L100" s="1444">
        <f>SUM(L93:L99)</f>
        <v>666.5</v>
      </c>
      <c r="M100" s="1396"/>
      <c r="N100" s="1456">
        <f>SUM(N93:N99)</f>
        <v>12</v>
      </c>
      <c r="O100" s="1400"/>
      <c r="P100" s="1456">
        <f>SUM(P93:P99)</f>
        <v>108</v>
      </c>
      <c r="Q100" s="1396"/>
      <c r="R100" s="1436"/>
      <c r="S100" s="1443"/>
      <c r="T100" s="1444">
        <f>SUM(T93:T99)</f>
        <v>738.98171116435003</v>
      </c>
      <c r="U100" s="1443"/>
      <c r="V100" s="1443"/>
      <c r="W100" s="1210"/>
      <c r="X100" s="1084"/>
      <c r="Y100" s="1085"/>
      <c r="Z100" s="1085"/>
      <c r="AA100" s="1085"/>
      <c r="AB100" s="1085"/>
      <c r="AC100" s="1085"/>
      <c r="AD100" s="1085" t="s">
        <v>501</v>
      </c>
      <c r="AE100" s="1404"/>
      <c r="AF100" s="1397"/>
      <c r="AG100" s="1443"/>
      <c r="AH100" s="1443"/>
      <c r="AI100" s="1443"/>
      <c r="AJ100" s="1397"/>
      <c r="AK100" s="1086"/>
      <c r="AL100" s="1397"/>
      <c r="AM100" s="1086"/>
      <c r="AN100" s="1397"/>
      <c r="AO100" s="1086"/>
      <c r="AP100" s="1397"/>
      <c r="AQ100" s="1086"/>
      <c r="AR100" s="1087"/>
      <c r="AS100" s="1087"/>
      <c r="AT100" s="1087"/>
      <c r="AU100" s="1087"/>
      <c r="AV100" s="1087"/>
    </row>
    <row r="101" spans="1:48" ht="12.75" thickTop="1">
      <c r="A101" s="1411"/>
      <c r="B101" s="1440"/>
      <c r="C101" s="1441"/>
      <c r="D101" s="1440"/>
      <c r="E101" s="1437"/>
      <c r="F101" s="1431"/>
      <c r="G101" s="1431"/>
      <c r="H101" s="1432"/>
      <c r="I101" s="1438"/>
      <c r="J101" s="1433"/>
      <c r="K101" s="1431"/>
      <c r="L101" s="1433"/>
      <c r="M101" s="1431"/>
      <c r="N101" s="1435"/>
      <c r="O101" s="1434"/>
      <c r="P101" s="1435"/>
      <c r="Q101" s="1431"/>
      <c r="R101" s="1436"/>
      <c r="S101" s="1438"/>
      <c r="T101" s="1393"/>
      <c r="U101" s="1438"/>
      <c r="V101" s="1438"/>
      <c r="W101" s="1325"/>
      <c r="X101" s="1069"/>
      <c r="Y101" s="1070"/>
      <c r="Z101" s="1070"/>
      <c r="AA101" s="1070"/>
      <c r="AB101" s="1070"/>
      <c r="AC101" s="1070"/>
      <c r="AD101" s="1036"/>
      <c r="AE101" s="1036"/>
      <c r="AF101" s="1036"/>
      <c r="AG101" s="1036"/>
      <c r="AH101" s="1036"/>
      <c r="AI101" s="1036"/>
      <c r="AJ101" s="1036"/>
      <c r="AK101" s="1036"/>
      <c r="AL101" s="1036"/>
      <c r="AM101" s="1036"/>
      <c r="AN101" s="1036"/>
      <c r="AO101" s="1036"/>
      <c r="AP101" s="1036"/>
      <c r="AQ101" s="1036"/>
      <c r="AR101" s="1051"/>
      <c r="AS101" s="1051"/>
      <c r="AT101" s="1051"/>
      <c r="AU101" s="1392"/>
      <c r="AV101" s="1051"/>
    </row>
    <row r="102" spans="1:48" ht="12.75" thickBot="1">
      <c r="A102" s="1413" t="s">
        <v>1708</v>
      </c>
      <c r="B102" s="1440"/>
      <c r="C102" s="1441"/>
      <c r="D102" s="1440"/>
      <c r="E102" s="1437"/>
      <c r="F102" s="1431"/>
      <c r="G102" s="1431"/>
      <c r="H102" s="1432"/>
      <c r="I102" s="1438"/>
      <c r="J102" s="1433"/>
      <c r="K102" s="1431"/>
      <c r="L102" s="1446">
        <f>+L100/$D100</f>
        <v>55.541666666666664</v>
      </c>
      <c r="M102" s="1431"/>
      <c r="N102" s="1435"/>
      <c r="O102" s="1434"/>
      <c r="P102" s="1435"/>
      <c r="Q102" s="1431"/>
      <c r="R102" s="1436"/>
      <c r="S102" s="1438"/>
      <c r="T102" s="1446">
        <f>+T100/$D100</f>
        <v>61.581809263695838</v>
      </c>
      <c r="U102" s="1438">
        <f>+T102-L102</f>
        <v>6.040142597029174</v>
      </c>
      <c r="V102" s="1438">
        <f>U102/L102</f>
        <v>0.10874975418507141</v>
      </c>
      <c r="W102" s="1325"/>
      <c r="X102" s="1069"/>
      <c r="Y102" s="1070"/>
      <c r="Z102" s="1070"/>
      <c r="AA102" s="1070"/>
      <c r="AB102" s="1070"/>
      <c r="AC102" s="1070"/>
      <c r="AD102" s="1036"/>
      <c r="AE102" s="1036"/>
      <c r="AF102" s="1036"/>
      <c r="AG102" s="1036"/>
      <c r="AH102" s="1036"/>
      <c r="AI102" s="1036"/>
      <c r="AJ102" s="1036"/>
      <c r="AK102" s="1036"/>
      <c r="AL102" s="1036"/>
      <c r="AM102" s="1036"/>
      <c r="AN102" s="1036"/>
      <c r="AO102" s="1036"/>
      <c r="AP102" s="1036"/>
      <c r="AQ102" s="1036"/>
      <c r="AR102" s="1051"/>
      <c r="AS102" s="1051"/>
      <c r="AT102" s="1051"/>
      <c r="AU102" s="1392"/>
      <c r="AV102" s="1051"/>
    </row>
    <row r="103" spans="1:48" ht="12.75" thickTop="1">
      <c r="A103" s="1413"/>
      <c r="B103" s="1440"/>
      <c r="C103" s="1441"/>
      <c r="D103" s="1440"/>
      <c r="E103" s="1437"/>
      <c r="F103" s="1431"/>
      <c r="G103" s="1431"/>
      <c r="H103" s="1432"/>
      <c r="I103" s="1438"/>
      <c r="J103" s="1433"/>
      <c r="K103" s="1431"/>
      <c r="L103" s="1433"/>
      <c r="M103" s="1431"/>
      <c r="N103" s="1435"/>
      <c r="O103" s="1434"/>
      <c r="P103" s="1435"/>
      <c r="Q103" s="1431"/>
      <c r="R103" s="1436"/>
      <c r="S103" s="1438"/>
      <c r="T103" s="1393"/>
      <c r="U103" s="1438"/>
      <c r="V103" s="1438"/>
      <c r="W103" s="1325"/>
      <c r="X103" s="1069"/>
      <c r="Y103" s="1070"/>
      <c r="Z103" s="1070"/>
      <c r="AA103" s="1070"/>
      <c r="AB103" s="1070"/>
      <c r="AC103" s="1070"/>
      <c r="AD103" s="1036"/>
      <c r="AE103" s="1036"/>
      <c r="AF103" s="1036"/>
      <c r="AG103" s="1036"/>
      <c r="AH103" s="1036"/>
      <c r="AI103" s="1036"/>
      <c r="AJ103" s="1036"/>
      <c r="AK103" s="1036"/>
      <c r="AL103" s="1036"/>
      <c r="AM103" s="1036"/>
      <c r="AN103" s="1036"/>
      <c r="AO103" s="1036"/>
      <c r="AP103" s="1036"/>
      <c r="AQ103" s="1036"/>
      <c r="AR103" s="1051"/>
      <c r="AS103" s="1051"/>
      <c r="AT103" s="1051"/>
      <c r="AU103" s="1392"/>
      <c r="AV103" s="1051"/>
    </row>
    <row r="104" spans="1:48">
      <c r="A104" s="1407" t="s">
        <v>1638</v>
      </c>
      <c r="B104" s="1431">
        <v>8956</v>
      </c>
      <c r="C104" s="1437"/>
      <c r="D104" s="1431"/>
      <c r="E104" s="1437"/>
      <c r="F104" s="1431"/>
      <c r="G104" s="1431"/>
      <c r="H104" s="1432"/>
      <c r="I104" s="1438"/>
      <c r="J104" s="1433"/>
      <c r="K104" s="1431"/>
      <c r="L104" s="1433"/>
      <c r="M104" s="1431"/>
      <c r="N104" s="1435"/>
      <c r="O104" s="1434"/>
      <c r="P104" s="1435"/>
      <c r="Q104" s="1431"/>
      <c r="R104" s="1436"/>
      <c r="S104" s="1437"/>
      <c r="T104" s="1439"/>
      <c r="U104" s="1437"/>
      <c r="V104" s="1437"/>
      <c r="W104" s="1326"/>
      <c r="X104" s="1069"/>
      <c r="Y104" s="1070"/>
      <c r="Z104" s="1070"/>
      <c r="AA104" s="1070"/>
      <c r="AB104" s="1070"/>
      <c r="AC104" s="1070"/>
      <c r="AD104" s="1036"/>
      <c r="AE104" s="1036"/>
      <c r="AF104" s="1036"/>
      <c r="AG104" s="1036"/>
      <c r="AH104" s="1036"/>
      <c r="AI104" s="1036"/>
      <c r="AJ104" s="1036"/>
      <c r="AK104" s="1036"/>
      <c r="AL104" s="1036"/>
      <c r="AM104" s="1036"/>
      <c r="AN104" s="1036"/>
      <c r="AO104" s="1036"/>
      <c r="AP104" s="1036"/>
      <c r="AQ104" s="1036"/>
      <c r="AR104" s="1394"/>
      <c r="AS104" s="1394"/>
      <c r="AT104" s="1394"/>
      <c r="AU104" s="1394"/>
      <c r="AV104" s="1394"/>
    </row>
    <row r="105" spans="1:48">
      <c r="A105" s="1450" t="s">
        <v>975</v>
      </c>
      <c r="B105" s="1440"/>
      <c r="C105" s="1441"/>
      <c r="D105" s="1440">
        <v>210.99999999999972</v>
      </c>
      <c r="E105" s="1437"/>
      <c r="F105" s="1431"/>
      <c r="G105" s="1431"/>
      <c r="H105" s="1451">
        <v>51.22</v>
      </c>
      <c r="I105" s="1438"/>
      <c r="J105" s="1433">
        <f>+D105*H105</f>
        <v>10807.419999999986</v>
      </c>
      <c r="K105" s="1431"/>
      <c r="L105" s="1433">
        <f>+J105</f>
        <v>10807.419999999986</v>
      </c>
      <c r="M105" s="1431"/>
      <c r="N105" s="1435">
        <f>+D105</f>
        <v>210.99999999999972</v>
      </c>
      <c r="O105" s="1434"/>
      <c r="P105" s="1435"/>
      <c r="Q105" s="1431"/>
      <c r="R105" s="1452">
        <f>+H105*(1+$W$5)</f>
        <v>56.790162409359361</v>
      </c>
      <c r="S105" s="1438"/>
      <c r="T105" s="1453">
        <f>+N105*R105</f>
        <v>11982.724268374808</v>
      </c>
      <c r="U105" s="1438"/>
      <c r="V105" s="1438"/>
      <c r="W105" s="1325"/>
      <c r="X105" s="1069"/>
      <c r="Y105" s="1070"/>
      <c r="Z105" s="1070"/>
      <c r="AA105" s="1070"/>
      <c r="AB105" s="1070"/>
      <c r="AC105" s="1070"/>
      <c r="AD105" s="1036"/>
      <c r="AE105" s="1036"/>
      <c r="AF105" s="1036"/>
      <c r="AG105" s="1036"/>
      <c r="AH105" s="1036"/>
      <c r="AI105" s="1036"/>
      <c r="AJ105" s="1036"/>
      <c r="AK105" s="1036"/>
      <c r="AL105" s="1036"/>
      <c r="AM105" s="1036"/>
      <c r="AN105" s="1036"/>
      <c r="AO105" s="1036"/>
      <c r="AP105" s="1036"/>
      <c r="AQ105" s="1036"/>
      <c r="AR105" s="1051"/>
      <c r="AS105" s="1051"/>
      <c r="AT105" s="1051"/>
      <c r="AU105" s="1392"/>
      <c r="AV105" s="1051"/>
    </row>
    <row r="106" spans="1:48">
      <c r="A106" s="1450" t="s">
        <v>976</v>
      </c>
      <c r="B106" s="1440"/>
      <c r="C106" s="1441"/>
      <c r="D106" s="1440"/>
      <c r="E106" s="1437"/>
      <c r="F106" s="1431">
        <v>1431.9999999999986</v>
      </c>
      <c r="G106" s="1431"/>
      <c r="H106" s="1454">
        <v>3.29</v>
      </c>
      <c r="I106" s="1438"/>
      <c r="J106" s="1435">
        <f>+F106*H106</f>
        <v>4711.2799999999952</v>
      </c>
      <c r="K106" s="1431"/>
      <c r="L106" s="1433">
        <f t="shared" ref="L106:L109" si="45">+J106</f>
        <v>4711.2799999999952</v>
      </c>
      <c r="M106" s="1431"/>
      <c r="N106" s="1435"/>
      <c r="O106" s="1434"/>
      <c r="P106" s="1435">
        <f>+F106</f>
        <v>1431.9999999999986</v>
      </c>
      <c r="Q106" s="1431"/>
      <c r="R106" s="1452">
        <f t="shared" ref="R106:R109" si="46">+H106*(1+$W$5)</f>
        <v>3.6477866912688852</v>
      </c>
      <c r="S106" s="1438"/>
      <c r="T106" s="1453">
        <f>+P106*R106</f>
        <v>5223.6305418970387</v>
      </c>
      <c r="U106" s="1438"/>
      <c r="V106" s="1438"/>
      <c r="W106" s="1325"/>
      <c r="X106" s="1069"/>
      <c r="Y106" s="1070"/>
      <c r="Z106" s="1070"/>
      <c r="AA106" s="1070"/>
      <c r="AB106" s="1070"/>
      <c r="AC106" s="1070"/>
      <c r="AD106" s="1036"/>
      <c r="AE106" s="1036"/>
      <c r="AF106" s="1036"/>
      <c r="AG106" s="1036"/>
      <c r="AH106" s="1036"/>
      <c r="AI106" s="1036"/>
      <c r="AJ106" s="1036"/>
      <c r="AK106" s="1036"/>
      <c r="AL106" s="1036"/>
      <c r="AM106" s="1036"/>
      <c r="AN106" s="1036"/>
      <c r="AO106" s="1036"/>
      <c r="AP106" s="1036"/>
      <c r="AQ106" s="1036"/>
      <c r="AR106" s="1051"/>
      <c r="AS106" s="1051"/>
      <c r="AT106" s="1051"/>
      <c r="AU106" s="1392"/>
      <c r="AV106" s="1051"/>
    </row>
    <row r="107" spans="1:48">
      <c r="A107" s="1450" t="s">
        <v>863</v>
      </c>
      <c r="B107" s="1440"/>
      <c r="C107" s="1441"/>
      <c r="D107" s="1440"/>
      <c r="E107" s="1437"/>
      <c r="F107" s="1431">
        <v>2460</v>
      </c>
      <c r="G107" s="1431"/>
      <c r="H107" s="1454">
        <v>3.12</v>
      </c>
      <c r="I107" s="1438"/>
      <c r="J107" s="1435">
        <f t="shared" ref="J107:J109" si="47">+F107*H107</f>
        <v>7675.2</v>
      </c>
      <c r="K107" s="1431"/>
      <c r="L107" s="1433">
        <f t="shared" si="45"/>
        <v>7675.2</v>
      </c>
      <c r="M107" s="1431"/>
      <c r="N107" s="1435"/>
      <c r="O107" s="1434"/>
      <c r="P107" s="1435">
        <f t="shared" ref="P107:P109" si="48">+F107</f>
        <v>2460</v>
      </c>
      <c r="Q107" s="1431"/>
      <c r="R107" s="1452">
        <f t="shared" si="46"/>
        <v>3.4592992330574233</v>
      </c>
      <c r="S107" s="1438"/>
      <c r="T107" s="1453">
        <f t="shared" ref="T107:T109" si="49">+P107*R107</f>
        <v>8509.8761133212611</v>
      </c>
      <c r="U107" s="1438"/>
      <c r="V107" s="1438"/>
      <c r="W107" s="1326"/>
      <c r="X107" s="1069"/>
      <c r="Y107" s="1070"/>
      <c r="Z107" s="1070"/>
      <c r="AA107" s="1070"/>
      <c r="AB107" s="1070"/>
      <c r="AC107" s="1070"/>
      <c r="AD107" s="1036"/>
      <c r="AE107" s="1036"/>
      <c r="AF107" s="1036"/>
      <c r="AG107" s="1036"/>
      <c r="AH107" s="1036"/>
      <c r="AI107" s="1036"/>
      <c r="AJ107" s="1036"/>
      <c r="AK107" s="1036"/>
      <c r="AL107" s="1036"/>
      <c r="AM107" s="1036"/>
      <c r="AN107" s="1036"/>
      <c r="AO107" s="1036"/>
      <c r="AP107" s="1036"/>
      <c r="AQ107" s="1036"/>
      <c r="AR107" s="1051"/>
      <c r="AS107" s="1051"/>
      <c r="AT107" s="1051"/>
      <c r="AU107" s="1392"/>
      <c r="AV107" s="1051"/>
    </row>
    <row r="108" spans="1:48">
      <c r="A108" s="1450" t="s">
        <v>864</v>
      </c>
      <c r="B108" s="1440"/>
      <c r="C108" s="1441"/>
      <c r="D108" s="1440"/>
      <c r="E108" s="1437"/>
      <c r="F108" s="1431">
        <v>1986.0000000000002</v>
      </c>
      <c r="G108" s="1431"/>
      <c r="H108" s="1454">
        <v>2.79</v>
      </c>
      <c r="I108" s="1438"/>
      <c r="J108" s="1435">
        <f t="shared" si="47"/>
        <v>5540.9400000000005</v>
      </c>
      <c r="K108" s="1431"/>
      <c r="L108" s="1433">
        <f t="shared" si="45"/>
        <v>5540.9400000000005</v>
      </c>
      <c r="M108" s="1431"/>
      <c r="N108" s="1435"/>
      <c r="O108" s="1434"/>
      <c r="P108" s="1435">
        <f t="shared" si="48"/>
        <v>1986.0000000000002</v>
      </c>
      <c r="Q108" s="1431"/>
      <c r="R108" s="1452">
        <f t="shared" si="46"/>
        <v>3.0934118141763496</v>
      </c>
      <c r="S108" s="1438"/>
      <c r="T108" s="1453">
        <f t="shared" si="49"/>
        <v>6143.5158629542311</v>
      </c>
      <c r="U108" s="1438"/>
      <c r="V108" s="1438"/>
      <c r="W108" s="1326"/>
      <c r="X108" s="1069"/>
      <c r="Y108" s="1070"/>
      <c r="Z108" s="1070"/>
      <c r="AA108" s="1070"/>
      <c r="AB108" s="1070"/>
      <c r="AC108" s="1070"/>
      <c r="AD108" s="1036"/>
      <c r="AE108" s="1036"/>
      <c r="AF108" s="1036"/>
      <c r="AG108" s="1036"/>
      <c r="AH108" s="1036"/>
      <c r="AI108" s="1036"/>
      <c r="AJ108" s="1036"/>
      <c r="AK108" s="1036"/>
      <c r="AL108" s="1036"/>
      <c r="AM108" s="1036"/>
      <c r="AN108" s="1036"/>
      <c r="AO108" s="1036"/>
      <c r="AP108" s="1036"/>
      <c r="AQ108" s="1036"/>
      <c r="AR108" s="1051"/>
      <c r="AS108" s="1394"/>
      <c r="AT108" s="1051"/>
      <c r="AU108" s="1392"/>
      <c r="AV108" s="1051"/>
    </row>
    <row r="109" spans="1:48">
      <c r="A109" s="1450" t="s">
        <v>876</v>
      </c>
      <c r="B109" s="1440"/>
      <c r="C109" s="1441"/>
      <c r="D109" s="1440"/>
      <c r="E109" s="1437"/>
      <c r="F109" s="1431">
        <v>1088</v>
      </c>
      <c r="G109" s="1431"/>
      <c r="H109" s="1454">
        <v>2.5499999999999998</v>
      </c>
      <c r="I109" s="1438"/>
      <c r="J109" s="1435">
        <f t="shared" si="47"/>
        <v>2774.3999999999996</v>
      </c>
      <c r="K109" s="1431"/>
      <c r="L109" s="1433">
        <f t="shared" si="45"/>
        <v>2774.3999999999996</v>
      </c>
      <c r="M109" s="1431"/>
      <c r="N109" s="1435"/>
      <c r="O109" s="1434"/>
      <c r="P109" s="1435">
        <f t="shared" si="48"/>
        <v>1088</v>
      </c>
      <c r="Q109" s="1431"/>
      <c r="R109" s="1452">
        <f t="shared" si="46"/>
        <v>2.827311873171932</v>
      </c>
      <c r="S109" s="1438"/>
      <c r="T109" s="1453">
        <f t="shared" si="49"/>
        <v>3076.1153180110618</v>
      </c>
      <c r="U109" s="1438"/>
      <c r="V109" s="1438"/>
      <c r="W109" s="1326"/>
      <c r="X109" s="1069"/>
      <c r="Y109" s="1070"/>
      <c r="Z109" s="1070"/>
      <c r="AA109" s="1070"/>
      <c r="AB109" s="1070"/>
      <c r="AC109" s="1036"/>
      <c r="AD109" s="1036"/>
      <c r="AE109" s="1036"/>
      <c r="AF109" s="1036"/>
      <c r="AG109" s="1036"/>
      <c r="AH109" s="1036"/>
      <c r="AI109" s="1036"/>
      <c r="AJ109" s="1036"/>
      <c r="AK109" s="1036"/>
      <c r="AL109" s="1036"/>
      <c r="AM109" s="1036"/>
      <c r="AN109" s="1036"/>
      <c r="AO109" s="1036"/>
      <c r="AP109" s="1036"/>
      <c r="AQ109" s="1036"/>
      <c r="AR109" s="1051"/>
      <c r="AS109" s="1394"/>
      <c r="AT109" s="1051"/>
      <c r="AU109" s="1392"/>
      <c r="AV109" s="1051"/>
    </row>
    <row r="110" spans="1:48" s="1412" customFormat="1" ht="12.75" thickBot="1">
      <c r="A110" s="1411" t="s">
        <v>1637</v>
      </c>
      <c r="B110" s="1442">
        <f>SUM(B104:B109)</f>
        <v>8956</v>
      </c>
      <c r="C110" s="1443"/>
      <c r="D110" s="1442">
        <f>SUM(D104:D109)</f>
        <v>210.99999999999972</v>
      </c>
      <c r="E110" s="1443"/>
      <c r="F110" s="1442">
        <f>SUM(F104:F109)</f>
        <v>6965.9999999999991</v>
      </c>
      <c r="G110" s="1396"/>
      <c r="H110" s="1398"/>
      <c r="I110" s="1397"/>
      <c r="J110" s="1458">
        <f>SUM(J105:J109)</f>
        <v>31509.239999999983</v>
      </c>
      <c r="K110" s="1396"/>
      <c r="L110" s="1458">
        <f>SUM(L105:L109)</f>
        <v>31509.239999999983</v>
      </c>
      <c r="M110" s="1396"/>
      <c r="N110" s="1442">
        <f>SUM(N104:N109)</f>
        <v>210.99999999999972</v>
      </c>
      <c r="O110" s="1400"/>
      <c r="P110" s="1442">
        <f>SUM(P104:P109)</f>
        <v>6965.9999999999991</v>
      </c>
      <c r="Q110" s="1396"/>
      <c r="R110" s="1452"/>
      <c r="S110" s="1443"/>
      <c r="T110" s="1458">
        <f>SUM(T105:T109)</f>
        <v>34935.8621045584</v>
      </c>
      <c r="U110" s="1443"/>
      <c r="V110" s="1443"/>
      <c r="W110" s="1210"/>
      <c r="X110" s="1084"/>
      <c r="Y110" s="1085"/>
      <c r="Z110" s="1085"/>
      <c r="AA110" s="1085"/>
      <c r="AB110" s="1085"/>
      <c r="AC110" s="1085"/>
      <c r="AD110" s="1085" t="s">
        <v>501</v>
      </c>
      <c r="AE110" s="1404"/>
      <c r="AF110" s="1397"/>
      <c r="AG110" s="1443"/>
      <c r="AH110" s="1443"/>
      <c r="AI110" s="1443"/>
      <c r="AJ110" s="1397"/>
      <c r="AK110" s="1086"/>
      <c r="AL110" s="1397"/>
      <c r="AM110" s="1086"/>
      <c r="AN110" s="1397"/>
      <c r="AO110" s="1086"/>
      <c r="AP110" s="1397"/>
      <c r="AQ110" s="1086"/>
      <c r="AR110" s="1087"/>
      <c r="AS110" s="1087"/>
      <c r="AT110" s="1087"/>
      <c r="AU110" s="1087"/>
      <c r="AV110" s="1087"/>
    </row>
    <row r="111" spans="1:48" ht="12.75" thickTop="1">
      <c r="A111" s="1411"/>
      <c r="B111" s="1440"/>
      <c r="C111" s="1441"/>
      <c r="D111" s="1440"/>
      <c r="E111" s="1437"/>
      <c r="F111" s="1431"/>
      <c r="G111" s="1431"/>
      <c r="H111" s="1432"/>
      <c r="I111" s="1438"/>
      <c r="J111" s="1433"/>
      <c r="K111" s="1431"/>
      <c r="L111" s="1433"/>
      <c r="M111" s="1431"/>
      <c r="N111" s="1435"/>
      <c r="O111" s="1434"/>
      <c r="P111" s="1435"/>
      <c r="Q111" s="1431"/>
      <c r="R111" s="1436"/>
      <c r="S111" s="1438"/>
      <c r="T111" s="1393"/>
      <c r="U111" s="1438"/>
      <c r="V111" s="1438"/>
      <c r="W111" s="1325"/>
      <c r="X111" s="1069"/>
      <c r="Y111" s="1070"/>
      <c r="Z111" s="1070"/>
      <c r="AA111" s="1070"/>
      <c r="AB111" s="1070"/>
      <c r="AC111" s="1070"/>
      <c r="AD111" s="1036"/>
      <c r="AE111" s="1036"/>
      <c r="AF111" s="1036"/>
      <c r="AG111" s="1036"/>
      <c r="AH111" s="1036"/>
      <c r="AI111" s="1036"/>
      <c r="AJ111" s="1036"/>
      <c r="AK111" s="1036"/>
      <c r="AL111" s="1036"/>
      <c r="AM111" s="1036"/>
      <c r="AN111" s="1036"/>
      <c r="AO111" s="1036"/>
      <c r="AP111" s="1036"/>
      <c r="AQ111" s="1036"/>
      <c r="AR111" s="1051"/>
      <c r="AS111" s="1051"/>
      <c r="AT111" s="1051"/>
      <c r="AU111" s="1392"/>
      <c r="AV111" s="1051"/>
    </row>
    <row r="112" spans="1:48" ht="12.75" thickBot="1">
      <c r="A112" s="1413" t="s">
        <v>1636</v>
      </c>
      <c r="B112" s="1440"/>
      <c r="C112" s="1441"/>
      <c r="D112" s="1440"/>
      <c r="E112" s="1437"/>
      <c r="F112" s="1431"/>
      <c r="G112" s="1431"/>
      <c r="H112" s="1432"/>
      <c r="I112" s="1438"/>
      <c r="J112" s="1433"/>
      <c r="K112" s="1431"/>
      <c r="L112" s="1446">
        <f>+L110/$D110</f>
        <v>149.33289099526078</v>
      </c>
      <c r="M112" s="1431"/>
      <c r="N112" s="1435"/>
      <c r="O112" s="1434"/>
      <c r="P112" s="1435"/>
      <c r="Q112" s="1431"/>
      <c r="R112" s="1436"/>
      <c r="S112" s="1438"/>
      <c r="T112" s="1446">
        <f>+T110/$D110</f>
        <v>165.57280618274146</v>
      </c>
      <c r="U112" s="1438">
        <f>+T112-L112</f>
        <v>16.239915187480676</v>
      </c>
      <c r="V112" s="1438">
        <f>U112/L112</f>
        <v>0.10874975418507142</v>
      </c>
      <c r="W112" s="1325"/>
      <c r="X112" s="1069"/>
      <c r="Y112" s="1070"/>
      <c r="Z112" s="1070"/>
      <c r="AA112" s="1070"/>
      <c r="AB112" s="1070"/>
      <c r="AC112" s="1070"/>
      <c r="AD112" s="1036"/>
      <c r="AE112" s="1036"/>
      <c r="AF112" s="1036"/>
      <c r="AG112" s="1036"/>
      <c r="AH112" s="1036"/>
      <c r="AI112" s="1036"/>
      <c r="AJ112" s="1036"/>
      <c r="AK112" s="1036"/>
      <c r="AL112" s="1036"/>
      <c r="AM112" s="1036"/>
      <c r="AN112" s="1036"/>
      <c r="AO112" s="1036"/>
      <c r="AP112" s="1036"/>
      <c r="AQ112" s="1036"/>
      <c r="AR112" s="1051"/>
      <c r="AS112" s="1051"/>
      <c r="AT112" s="1051"/>
      <c r="AU112" s="1392"/>
      <c r="AV112" s="1051"/>
    </row>
    <row r="113" spans="1:48" ht="12.75" thickTop="1">
      <c r="A113" s="1407" t="s">
        <v>1635</v>
      </c>
      <c r="B113" s="1431">
        <v>2887</v>
      </c>
      <c r="C113" s="1437"/>
      <c r="D113" s="1431"/>
      <c r="E113" s="1437"/>
      <c r="F113" s="1431"/>
      <c r="G113" s="1431"/>
      <c r="H113" s="1432"/>
      <c r="I113" s="1438"/>
      <c r="J113" s="1433"/>
      <c r="K113" s="1431"/>
      <c r="L113" s="1433"/>
      <c r="M113" s="1431"/>
      <c r="N113" s="1435"/>
      <c r="O113" s="1434"/>
      <c r="P113" s="1435"/>
      <c r="Q113" s="1431"/>
      <c r="R113" s="1436"/>
      <c r="S113" s="1437"/>
      <c r="T113" s="1439"/>
      <c r="U113" s="1437"/>
      <c r="V113" s="1437"/>
      <c r="W113" s="1326"/>
      <c r="X113" s="1069"/>
      <c r="Y113" s="1070"/>
      <c r="Z113" s="1070"/>
      <c r="AA113" s="1070"/>
      <c r="AB113" s="1070"/>
      <c r="AC113" s="1070"/>
      <c r="AD113" s="1036"/>
      <c r="AE113" s="1036"/>
      <c r="AF113" s="1036"/>
      <c r="AG113" s="1036"/>
      <c r="AH113" s="1036"/>
      <c r="AI113" s="1036"/>
      <c r="AJ113" s="1036"/>
      <c r="AK113" s="1036"/>
      <c r="AL113" s="1036"/>
      <c r="AM113" s="1036"/>
      <c r="AN113" s="1036"/>
      <c r="AO113" s="1036"/>
      <c r="AP113" s="1036"/>
      <c r="AQ113" s="1036"/>
      <c r="AR113" s="1394"/>
      <c r="AS113" s="1394"/>
      <c r="AT113" s="1394"/>
      <c r="AU113" s="1394"/>
      <c r="AV113" s="1394"/>
    </row>
    <row r="114" spans="1:48">
      <c r="A114" s="1450" t="s">
        <v>975</v>
      </c>
      <c r="B114" s="1440"/>
      <c r="C114" s="1441"/>
      <c r="D114" s="1440">
        <v>59.999999999999936</v>
      </c>
      <c r="E114" s="1437"/>
      <c r="F114" s="1431"/>
      <c r="G114" s="1431"/>
      <c r="H114" s="1451">
        <v>51.22</v>
      </c>
      <c r="I114" s="1438"/>
      <c r="J114" s="1433">
        <f>+D114*H114</f>
        <v>3073.1999999999966</v>
      </c>
      <c r="K114" s="1431"/>
      <c r="L114" s="1433">
        <f>+J114</f>
        <v>3073.1999999999966</v>
      </c>
      <c r="M114" s="1431"/>
      <c r="N114" s="1435">
        <f>+D114</f>
        <v>59.999999999999936</v>
      </c>
      <c r="O114" s="1434"/>
      <c r="P114" s="1435"/>
      <c r="Q114" s="1431"/>
      <c r="R114" s="1452">
        <f>+H114*(1+$W$5)</f>
        <v>56.790162409359361</v>
      </c>
      <c r="S114" s="1438"/>
      <c r="T114" s="1453">
        <f>+N114*R114</f>
        <v>3407.409744561558</v>
      </c>
      <c r="U114" s="1438"/>
      <c r="V114" s="1438"/>
      <c r="W114" s="1325"/>
      <c r="X114" s="1069"/>
      <c r="Y114" s="1070"/>
      <c r="Z114" s="1070"/>
      <c r="AA114" s="1070"/>
      <c r="AB114" s="1070"/>
      <c r="AC114" s="1070"/>
      <c r="AD114" s="1036"/>
      <c r="AE114" s="1036"/>
      <c r="AF114" s="1036"/>
      <c r="AG114" s="1036"/>
      <c r="AH114" s="1036"/>
      <c r="AI114" s="1036"/>
      <c r="AJ114" s="1036"/>
      <c r="AK114" s="1036"/>
      <c r="AL114" s="1036"/>
      <c r="AM114" s="1036"/>
      <c r="AN114" s="1036"/>
      <c r="AO114" s="1036"/>
      <c r="AP114" s="1036"/>
      <c r="AQ114" s="1036"/>
      <c r="AR114" s="1051"/>
      <c r="AS114" s="1051"/>
      <c r="AT114" s="1051"/>
      <c r="AU114" s="1392"/>
      <c r="AV114" s="1051"/>
    </row>
    <row r="115" spans="1:48">
      <c r="A115" s="1450" t="s">
        <v>976</v>
      </c>
      <c r="B115" s="1440"/>
      <c r="C115" s="1441"/>
      <c r="D115" s="1440"/>
      <c r="E115" s="1437"/>
      <c r="F115" s="1431">
        <v>344.00000000000011</v>
      </c>
      <c r="G115" s="1431"/>
      <c r="H115" s="1454">
        <v>3.29</v>
      </c>
      <c r="I115" s="1438"/>
      <c r="J115" s="1435">
        <f>+F115*H115</f>
        <v>1131.7600000000004</v>
      </c>
      <c r="K115" s="1431"/>
      <c r="L115" s="1433">
        <f t="shared" ref="L115:L118" si="50">+J115</f>
        <v>1131.7600000000004</v>
      </c>
      <c r="M115" s="1431"/>
      <c r="N115" s="1435"/>
      <c r="O115" s="1434"/>
      <c r="P115" s="1435">
        <f>+F115</f>
        <v>344.00000000000011</v>
      </c>
      <c r="Q115" s="1431"/>
      <c r="R115" s="1452">
        <f t="shared" ref="R115:R118" si="51">+H115*(1+$W$5)</f>
        <v>3.6477866912688852</v>
      </c>
      <c r="S115" s="1438"/>
      <c r="T115" s="1453">
        <f>+P115*R115</f>
        <v>1254.8386217964969</v>
      </c>
      <c r="U115" s="1438"/>
      <c r="V115" s="1438"/>
      <c r="W115" s="1325"/>
      <c r="X115" s="1069"/>
      <c r="Y115" s="1070"/>
      <c r="Z115" s="1070"/>
      <c r="AA115" s="1070"/>
      <c r="AB115" s="1070"/>
      <c r="AC115" s="1070"/>
      <c r="AD115" s="1036"/>
      <c r="AE115" s="1036"/>
      <c r="AF115" s="1036"/>
      <c r="AG115" s="1036"/>
      <c r="AH115" s="1036"/>
      <c r="AI115" s="1036"/>
      <c r="AJ115" s="1036"/>
      <c r="AK115" s="1036"/>
      <c r="AL115" s="1036"/>
      <c r="AM115" s="1036"/>
      <c r="AN115" s="1036"/>
      <c r="AO115" s="1036"/>
      <c r="AP115" s="1036"/>
      <c r="AQ115" s="1036"/>
      <c r="AR115" s="1051"/>
      <c r="AS115" s="1051"/>
      <c r="AT115" s="1051"/>
      <c r="AU115" s="1392"/>
      <c r="AV115" s="1051"/>
    </row>
    <row r="116" spans="1:48">
      <c r="A116" s="1450" t="s">
        <v>863</v>
      </c>
      <c r="B116" s="1440"/>
      <c r="C116" s="1441"/>
      <c r="D116" s="1440"/>
      <c r="E116" s="1437"/>
      <c r="F116" s="1431">
        <v>602</v>
      </c>
      <c r="G116" s="1431"/>
      <c r="H116" s="1454">
        <v>3.12</v>
      </c>
      <c r="I116" s="1438"/>
      <c r="J116" s="1435">
        <f t="shared" ref="J116:J118" si="52">+F116*H116</f>
        <v>1878.24</v>
      </c>
      <c r="K116" s="1431"/>
      <c r="L116" s="1433">
        <f t="shared" si="50"/>
        <v>1878.24</v>
      </c>
      <c r="M116" s="1431"/>
      <c r="N116" s="1435"/>
      <c r="O116" s="1434"/>
      <c r="P116" s="1435">
        <f t="shared" ref="P116:P118" si="53">+F116</f>
        <v>602</v>
      </c>
      <c r="Q116" s="1431"/>
      <c r="R116" s="1452">
        <f t="shared" si="51"/>
        <v>3.4592992330574233</v>
      </c>
      <c r="S116" s="1438"/>
      <c r="T116" s="1453">
        <f t="shared" ref="T116:T118" si="54">+P116*R116</f>
        <v>2082.4981383005688</v>
      </c>
      <c r="U116" s="1438"/>
      <c r="V116" s="1438"/>
      <c r="W116" s="1326"/>
      <c r="X116" s="1069"/>
      <c r="Y116" s="1070"/>
      <c r="Z116" s="1070"/>
      <c r="AA116" s="1070"/>
      <c r="AB116" s="1070"/>
      <c r="AC116" s="1070"/>
      <c r="AD116" s="1036"/>
      <c r="AE116" s="1036"/>
      <c r="AF116" s="1036"/>
      <c r="AG116" s="1036"/>
      <c r="AH116" s="1036"/>
      <c r="AI116" s="1036"/>
      <c r="AJ116" s="1036"/>
      <c r="AK116" s="1036"/>
      <c r="AL116" s="1036"/>
      <c r="AM116" s="1036"/>
      <c r="AN116" s="1036"/>
      <c r="AO116" s="1036"/>
      <c r="AP116" s="1036"/>
      <c r="AQ116" s="1036"/>
      <c r="AR116" s="1051"/>
      <c r="AS116" s="1051"/>
      <c r="AT116" s="1051"/>
      <c r="AU116" s="1392"/>
      <c r="AV116" s="1051"/>
    </row>
    <row r="117" spans="1:48">
      <c r="A117" s="1450" t="s">
        <v>864</v>
      </c>
      <c r="B117" s="1440"/>
      <c r="C117" s="1441"/>
      <c r="D117" s="1440"/>
      <c r="E117" s="1437"/>
      <c r="F117" s="1431">
        <v>553</v>
      </c>
      <c r="G117" s="1431"/>
      <c r="H117" s="1454">
        <v>2.79</v>
      </c>
      <c r="I117" s="1438"/>
      <c r="J117" s="1435">
        <f t="shared" si="52"/>
        <v>1542.8700000000001</v>
      </c>
      <c r="K117" s="1431"/>
      <c r="L117" s="1433">
        <f t="shared" si="50"/>
        <v>1542.8700000000001</v>
      </c>
      <c r="M117" s="1431"/>
      <c r="N117" s="1435"/>
      <c r="O117" s="1434"/>
      <c r="P117" s="1435">
        <f t="shared" si="53"/>
        <v>553</v>
      </c>
      <c r="Q117" s="1431"/>
      <c r="R117" s="1452">
        <f t="shared" si="51"/>
        <v>3.0934118141763496</v>
      </c>
      <c r="S117" s="1438"/>
      <c r="T117" s="1453">
        <f t="shared" si="54"/>
        <v>1710.6567332395214</v>
      </c>
      <c r="U117" s="1438"/>
      <c r="V117" s="1438"/>
      <c r="W117" s="1326"/>
      <c r="X117" s="1069"/>
      <c r="Y117" s="1070"/>
      <c r="Z117" s="1070"/>
      <c r="AA117" s="1070"/>
      <c r="AB117" s="1070"/>
      <c r="AC117" s="1070"/>
      <c r="AD117" s="1036"/>
      <c r="AE117" s="1036"/>
      <c r="AF117" s="1036"/>
      <c r="AG117" s="1036"/>
      <c r="AH117" s="1036"/>
      <c r="AI117" s="1036"/>
      <c r="AJ117" s="1036"/>
      <c r="AK117" s="1036"/>
      <c r="AL117" s="1036"/>
      <c r="AM117" s="1036"/>
      <c r="AN117" s="1036"/>
      <c r="AO117" s="1036"/>
      <c r="AP117" s="1036"/>
      <c r="AQ117" s="1036"/>
      <c r="AR117" s="1051"/>
      <c r="AS117" s="1394"/>
      <c r="AT117" s="1051"/>
      <c r="AU117" s="1392"/>
      <c r="AV117" s="1051"/>
    </row>
    <row r="118" spans="1:48">
      <c r="A118" s="1450" t="s">
        <v>876</v>
      </c>
      <c r="B118" s="1440"/>
      <c r="C118" s="1441"/>
      <c r="D118" s="1440"/>
      <c r="E118" s="1437"/>
      <c r="F118" s="1431">
        <v>911</v>
      </c>
      <c r="G118" s="1431"/>
      <c r="H118" s="1454">
        <v>2.5499999999999998</v>
      </c>
      <c r="I118" s="1438"/>
      <c r="J118" s="1435">
        <f t="shared" si="52"/>
        <v>2323.0499999999997</v>
      </c>
      <c r="K118" s="1431"/>
      <c r="L118" s="1433">
        <f t="shared" si="50"/>
        <v>2323.0499999999997</v>
      </c>
      <c r="M118" s="1431"/>
      <c r="N118" s="1435"/>
      <c r="O118" s="1434"/>
      <c r="P118" s="1435">
        <f t="shared" si="53"/>
        <v>911</v>
      </c>
      <c r="Q118" s="1431"/>
      <c r="R118" s="1452">
        <f t="shared" si="51"/>
        <v>2.827311873171932</v>
      </c>
      <c r="S118" s="1438"/>
      <c r="T118" s="1453">
        <f t="shared" si="54"/>
        <v>2575.6811164596302</v>
      </c>
      <c r="U118" s="1438"/>
      <c r="V118" s="1438"/>
      <c r="W118" s="1326"/>
      <c r="X118" s="1069"/>
      <c r="Y118" s="1070"/>
      <c r="Z118" s="1070"/>
      <c r="AA118" s="1070"/>
      <c r="AB118" s="1070"/>
      <c r="AC118" s="1036"/>
      <c r="AD118" s="1036"/>
      <c r="AE118" s="1036"/>
      <c r="AF118" s="1036"/>
      <c r="AG118" s="1036"/>
      <c r="AH118" s="1036"/>
      <c r="AI118" s="1036"/>
      <c r="AJ118" s="1036"/>
      <c r="AK118" s="1036"/>
      <c r="AL118" s="1036"/>
      <c r="AM118" s="1036"/>
      <c r="AN118" s="1036"/>
      <c r="AO118" s="1036"/>
      <c r="AP118" s="1036"/>
      <c r="AQ118" s="1036"/>
      <c r="AR118" s="1051"/>
      <c r="AS118" s="1394"/>
      <c r="AT118" s="1051"/>
      <c r="AU118" s="1392"/>
      <c r="AV118" s="1051"/>
    </row>
    <row r="119" spans="1:48" s="1412" customFormat="1" ht="12.75" thickBot="1">
      <c r="A119" s="1411" t="s">
        <v>1634</v>
      </c>
      <c r="B119" s="1442">
        <f>SUM(B113:B118)</f>
        <v>2887</v>
      </c>
      <c r="C119" s="1443"/>
      <c r="D119" s="1442">
        <f>SUM(D113:D118)</f>
        <v>59.999999999999936</v>
      </c>
      <c r="E119" s="1443"/>
      <c r="F119" s="1442">
        <f>SUM(F113:F118)</f>
        <v>2410</v>
      </c>
      <c r="G119" s="1396"/>
      <c r="H119" s="1398"/>
      <c r="I119" s="1397"/>
      <c r="J119" s="1458">
        <f>SUM(J114:J118)</f>
        <v>9949.1199999999972</v>
      </c>
      <c r="K119" s="1396"/>
      <c r="L119" s="1458">
        <f>SUM(L114:L118)</f>
        <v>9949.1199999999972</v>
      </c>
      <c r="M119" s="1396"/>
      <c r="N119" s="1442">
        <f>SUM(N113:N118)</f>
        <v>59.999999999999936</v>
      </c>
      <c r="O119" s="1400"/>
      <c r="P119" s="1442">
        <f>SUM(P113:P118)</f>
        <v>2410</v>
      </c>
      <c r="Q119" s="1396"/>
      <c r="R119" s="1452"/>
      <c r="S119" s="1443"/>
      <c r="T119" s="1458">
        <f>SUM(T114:T118)</f>
        <v>11031.084354357776</v>
      </c>
      <c r="U119" s="1443"/>
      <c r="V119" s="1443"/>
      <c r="W119" s="1210"/>
      <c r="X119" s="1084"/>
      <c r="Y119" s="1085"/>
      <c r="Z119" s="1085"/>
      <c r="AA119" s="1085"/>
      <c r="AB119" s="1085"/>
      <c r="AC119" s="1085"/>
      <c r="AD119" s="1085" t="s">
        <v>501</v>
      </c>
      <c r="AE119" s="1404"/>
      <c r="AF119" s="1397"/>
      <c r="AG119" s="1443"/>
      <c r="AH119" s="1443"/>
      <c r="AI119" s="1443"/>
      <c r="AJ119" s="1397"/>
      <c r="AK119" s="1086"/>
      <c r="AL119" s="1397"/>
      <c r="AM119" s="1086"/>
      <c r="AN119" s="1397"/>
      <c r="AO119" s="1086"/>
      <c r="AP119" s="1397"/>
      <c r="AQ119" s="1086"/>
      <c r="AR119" s="1087"/>
      <c r="AS119" s="1087"/>
      <c r="AT119" s="1087"/>
      <c r="AU119" s="1087"/>
      <c r="AV119" s="1087"/>
    </row>
    <row r="120" spans="1:48" ht="12.75" thickTop="1">
      <c r="A120" s="1411"/>
      <c r="B120" s="1440"/>
      <c r="C120" s="1441"/>
      <c r="D120" s="1440"/>
      <c r="E120" s="1437"/>
      <c r="F120" s="1431"/>
      <c r="G120" s="1431"/>
      <c r="H120" s="1432"/>
      <c r="I120" s="1438"/>
      <c r="J120" s="1433"/>
      <c r="K120" s="1431"/>
      <c r="L120" s="1433"/>
      <c r="M120" s="1431"/>
      <c r="N120" s="1435"/>
      <c r="O120" s="1434"/>
      <c r="P120" s="1435"/>
      <c r="Q120" s="1431"/>
      <c r="R120" s="1436"/>
      <c r="S120" s="1438"/>
      <c r="T120" s="1393"/>
      <c r="U120" s="1438"/>
      <c r="V120" s="1438"/>
      <c r="W120" s="1325"/>
      <c r="X120" s="1069"/>
      <c r="Y120" s="1070"/>
      <c r="Z120" s="1070"/>
      <c r="AA120" s="1070"/>
      <c r="AB120" s="1070"/>
      <c r="AC120" s="1070"/>
      <c r="AD120" s="1036"/>
      <c r="AE120" s="1036"/>
      <c r="AF120" s="1036"/>
      <c r="AG120" s="1036"/>
      <c r="AH120" s="1036"/>
      <c r="AI120" s="1036"/>
      <c r="AJ120" s="1036"/>
      <c r="AK120" s="1036"/>
      <c r="AL120" s="1036"/>
      <c r="AM120" s="1036"/>
      <c r="AN120" s="1036"/>
      <c r="AO120" s="1036"/>
      <c r="AP120" s="1036"/>
      <c r="AQ120" s="1036"/>
      <c r="AR120" s="1051"/>
      <c r="AS120" s="1051"/>
      <c r="AT120" s="1051"/>
      <c r="AU120" s="1392"/>
      <c r="AV120" s="1051"/>
    </row>
    <row r="121" spans="1:48" ht="12.75" thickBot="1">
      <c r="A121" s="1413" t="s">
        <v>1633</v>
      </c>
      <c r="B121" s="1440"/>
      <c r="C121" s="1441"/>
      <c r="D121" s="1440"/>
      <c r="E121" s="1437"/>
      <c r="F121" s="1431"/>
      <c r="G121" s="1431"/>
      <c r="H121" s="1432"/>
      <c r="I121" s="1438"/>
      <c r="J121" s="1433"/>
      <c r="K121" s="1431"/>
      <c r="L121" s="1446">
        <f>+L119/$D119</f>
        <v>165.81866666666679</v>
      </c>
      <c r="M121" s="1431"/>
      <c r="N121" s="1435"/>
      <c r="O121" s="1434"/>
      <c r="P121" s="1435"/>
      <c r="Q121" s="1431"/>
      <c r="R121" s="1436"/>
      <c r="S121" s="1438"/>
      <c r="T121" s="1446">
        <f>+T119/$D119</f>
        <v>183.85140590596313</v>
      </c>
      <c r="U121" s="1438">
        <f>+T121-L121</f>
        <v>18.032739239296347</v>
      </c>
      <c r="V121" s="1438">
        <f>U121/L121</f>
        <v>0.10874975418507166</v>
      </c>
      <c r="W121" s="1325"/>
      <c r="X121" s="1069"/>
      <c r="Y121" s="1070"/>
      <c r="Z121" s="1070"/>
      <c r="AA121" s="1070"/>
      <c r="AB121" s="1070"/>
      <c r="AC121" s="1070"/>
      <c r="AD121" s="1036"/>
      <c r="AE121" s="1036"/>
      <c r="AF121" s="1036"/>
      <c r="AG121" s="1036"/>
      <c r="AH121" s="1036"/>
      <c r="AI121" s="1036"/>
      <c r="AJ121" s="1036"/>
      <c r="AK121" s="1036"/>
      <c r="AL121" s="1036"/>
      <c r="AM121" s="1036"/>
      <c r="AN121" s="1036"/>
      <c r="AO121" s="1036"/>
      <c r="AP121" s="1036"/>
      <c r="AQ121" s="1036"/>
      <c r="AR121" s="1051"/>
      <c r="AS121" s="1051"/>
      <c r="AT121" s="1051"/>
      <c r="AU121" s="1392"/>
      <c r="AV121" s="1051"/>
    </row>
    <row r="122" spans="1:48" ht="12.75" thickTop="1">
      <c r="A122" s="1407" t="s">
        <v>1707</v>
      </c>
      <c r="B122" s="1431">
        <v>1187</v>
      </c>
      <c r="C122" s="1437"/>
      <c r="D122" s="1431"/>
      <c r="E122" s="1437"/>
      <c r="F122" s="1431"/>
      <c r="G122" s="1431"/>
      <c r="H122" s="1459"/>
      <c r="I122" s="1438"/>
      <c r="J122" s="1433"/>
      <c r="K122" s="1431"/>
      <c r="L122" s="1433"/>
      <c r="M122" s="1431"/>
      <c r="N122" s="1435"/>
      <c r="O122" s="1434"/>
      <c r="P122" s="1435"/>
      <c r="Q122" s="1431"/>
      <c r="R122" s="1436"/>
      <c r="S122" s="1437"/>
      <c r="T122" s="1439"/>
      <c r="U122" s="1437"/>
      <c r="V122" s="1437"/>
      <c r="W122" s="1326"/>
      <c r="X122" s="1069"/>
      <c r="Y122" s="1070"/>
      <c r="Z122" s="1070"/>
      <c r="AA122" s="1070"/>
      <c r="AB122" s="1070"/>
      <c r="AC122" s="1070"/>
      <c r="AD122" s="1036"/>
      <c r="AE122" s="1036"/>
      <c r="AF122" s="1036"/>
      <c r="AG122" s="1036"/>
      <c r="AH122" s="1036"/>
      <c r="AI122" s="1036"/>
      <c r="AJ122" s="1036"/>
      <c r="AK122" s="1036"/>
      <c r="AL122" s="1036"/>
      <c r="AM122" s="1036"/>
      <c r="AN122" s="1036"/>
      <c r="AO122" s="1036"/>
      <c r="AP122" s="1036"/>
      <c r="AQ122" s="1036"/>
      <c r="AR122" s="1394"/>
      <c r="AS122" s="1394"/>
      <c r="AT122" s="1394"/>
      <c r="AU122" s="1394"/>
      <c r="AV122" s="1394"/>
    </row>
    <row r="123" spans="1:48">
      <c r="A123" s="1450" t="s">
        <v>975</v>
      </c>
      <c r="B123" s="1440"/>
      <c r="C123" s="1441"/>
      <c r="D123" s="1440">
        <v>24.000000000000007</v>
      </c>
      <c r="E123" s="1437"/>
      <c r="F123" s="1431"/>
      <c r="G123" s="1431"/>
      <c r="H123" s="1451">
        <v>51.22</v>
      </c>
      <c r="I123" s="1438"/>
      <c r="J123" s="1433">
        <f>+D123*H123</f>
        <v>1229.2800000000004</v>
      </c>
      <c r="K123" s="1431"/>
      <c r="L123" s="1433">
        <f>+J123</f>
        <v>1229.2800000000004</v>
      </c>
      <c r="M123" s="1431"/>
      <c r="N123" s="1435">
        <f>+D123</f>
        <v>24.000000000000007</v>
      </c>
      <c r="O123" s="1434"/>
      <c r="P123" s="1435"/>
      <c r="Q123" s="1431"/>
      <c r="R123" s="1452">
        <f>+H123*(1+$W$5)</f>
        <v>56.790162409359361</v>
      </c>
      <c r="S123" s="1438"/>
      <c r="T123" s="1453">
        <f>+N123*R123</f>
        <v>1362.9638978246251</v>
      </c>
      <c r="U123" s="1438"/>
      <c r="V123" s="1438"/>
      <c r="W123" s="1325"/>
      <c r="X123" s="1069"/>
      <c r="Y123" s="1070"/>
      <c r="Z123" s="1070"/>
      <c r="AA123" s="1070"/>
      <c r="AB123" s="1070"/>
      <c r="AC123" s="1070"/>
      <c r="AD123" s="1036"/>
      <c r="AE123" s="1036"/>
      <c r="AF123" s="1036"/>
      <c r="AG123" s="1036"/>
      <c r="AH123" s="1036"/>
      <c r="AI123" s="1036"/>
      <c r="AJ123" s="1036"/>
      <c r="AK123" s="1036"/>
      <c r="AL123" s="1036"/>
      <c r="AM123" s="1036"/>
      <c r="AN123" s="1036"/>
      <c r="AO123" s="1036"/>
      <c r="AP123" s="1036"/>
      <c r="AQ123" s="1036"/>
      <c r="AR123" s="1051"/>
      <c r="AS123" s="1051"/>
      <c r="AT123" s="1051"/>
      <c r="AU123" s="1392"/>
      <c r="AV123" s="1051"/>
    </row>
    <row r="124" spans="1:48">
      <c r="A124" s="1450" t="s">
        <v>976</v>
      </c>
      <c r="B124" s="1440"/>
      <c r="C124" s="1441"/>
      <c r="D124" s="1440"/>
      <c r="E124" s="1437"/>
      <c r="F124" s="1431">
        <v>267.00000000000011</v>
      </c>
      <c r="G124" s="1431"/>
      <c r="H124" s="1454">
        <v>3.29</v>
      </c>
      <c r="I124" s="1438"/>
      <c r="J124" s="1435">
        <f>+F124*H124</f>
        <v>878.4300000000004</v>
      </c>
      <c r="K124" s="1431"/>
      <c r="L124" s="1433">
        <f t="shared" ref="L124:L127" si="55">+J124</f>
        <v>878.4300000000004</v>
      </c>
      <c r="M124" s="1431"/>
      <c r="N124" s="1435"/>
      <c r="O124" s="1434"/>
      <c r="P124" s="1435">
        <f>+F124</f>
        <v>267.00000000000011</v>
      </c>
      <c r="Q124" s="1431"/>
      <c r="R124" s="1452">
        <f t="shared" ref="R124:R127" si="56">+H124*(1+$W$5)</f>
        <v>3.6477866912688852</v>
      </c>
      <c r="S124" s="1438"/>
      <c r="T124" s="1453">
        <f>+P124*R124</f>
        <v>973.95904656879281</v>
      </c>
      <c r="U124" s="1438"/>
      <c r="V124" s="1438"/>
      <c r="W124" s="1325"/>
      <c r="X124" s="1069"/>
      <c r="Y124" s="1070"/>
      <c r="Z124" s="1070"/>
      <c r="AA124" s="1070"/>
      <c r="AB124" s="1070"/>
      <c r="AC124" s="1070"/>
      <c r="AD124" s="1036"/>
      <c r="AE124" s="1036"/>
      <c r="AF124" s="1036"/>
      <c r="AG124" s="1036"/>
      <c r="AH124" s="1036"/>
      <c r="AI124" s="1036"/>
      <c r="AJ124" s="1036"/>
      <c r="AK124" s="1036"/>
      <c r="AL124" s="1036"/>
      <c r="AM124" s="1036"/>
      <c r="AN124" s="1036"/>
      <c r="AO124" s="1036"/>
      <c r="AP124" s="1036"/>
      <c r="AQ124" s="1036"/>
      <c r="AR124" s="1051"/>
      <c r="AS124" s="1051"/>
      <c r="AT124" s="1051"/>
      <c r="AU124" s="1392"/>
      <c r="AV124" s="1051"/>
    </row>
    <row r="125" spans="1:48">
      <c r="A125" s="1450" t="s">
        <v>863</v>
      </c>
      <c r="B125" s="1440"/>
      <c r="C125" s="1441"/>
      <c r="D125" s="1440"/>
      <c r="E125" s="1437"/>
      <c r="F125" s="1431">
        <v>385</v>
      </c>
      <c r="G125" s="1431"/>
      <c r="H125" s="1454">
        <v>3.12</v>
      </c>
      <c r="I125" s="1438"/>
      <c r="J125" s="1435">
        <f t="shared" ref="J125:J127" si="57">+F125*H125</f>
        <v>1201.2</v>
      </c>
      <c r="K125" s="1431"/>
      <c r="L125" s="1433">
        <f t="shared" si="55"/>
        <v>1201.2</v>
      </c>
      <c r="M125" s="1431"/>
      <c r="N125" s="1435"/>
      <c r="O125" s="1434"/>
      <c r="P125" s="1435">
        <f t="shared" ref="P125:P127" si="58">+F125</f>
        <v>385</v>
      </c>
      <c r="Q125" s="1431"/>
      <c r="R125" s="1452">
        <f t="shared" si="56"/>
        <v>3.4592992330574233</v>
      </c>
      <c r="S125" s="1438"/>
      <c r="T125" s="1453">
        <f t="shared" ref="T125:T127" si="59">+P125*R125</f>
        <v>1331.8302047271079</v>
      </c>
      <c r="U125" s="1438"/>
      <c r="V125" s="1438"/>
      <c r="W125" s="1326"/>
      <c r="X125" s="1069"/>
      <c r="Y125" s="1070"/>
      <c r="Z125" s="1070"/>
      <c r="AA125" s="1070"/>
      <c r="AB125" s="1070"/>
      <c r="AC125" s="1070"/>
      <c r="AD125" s="1036"/>
      <c r="AE125" s="1036"/>
      <c r="AF125" s="1036"/>
      <c r="AG125" s="1036"/>
      <c r="AH125" s="1036"/>
      <c r="AI125" s="1036"/>
      <c r="AJ125" s="1036"/>
      <c r="AK125" s="1036"/>
      <c r="AL125" s="1036"/>
      <c r="AM125" s="1036"/>
      <c r="AN125" s="1036"/>
      <c r="AO125" s="1036"/>
      <c r="AP125" s="1036"/>
      <c r="AQ125" s="1036"/>
      <c r="AR125" s="1051"/>
      <c r="AS125" s="1051"/>
      <c r="AT125" s="1051"/>
      <c r="AU125" s="1392"/>
      <c r="AV125" s="1051"/>
    </row>
    <row r="126" spans="1:48">
      <c r="A126" s="1450" t="s">
        <v>864</v>
      </c>
      <c r="B126" s="1440"/>
      <c r="C126" s="1441"/>
      <c r="D126" s="1440"/>
      <c r="E126" s="1437"/>
      <c r="F126" s="1431">
        <v>170</v>
      </c>
      <c r="G126" s="1431"/>
      <c r="H126" s="1454">
        <v>2.79</v>
      </c>
      <c r="I126" s="1438"/>
      <c r="J126" s="1435">
        <f t="shared" si="57"/>
        <v>474.3</v>
      </c>
      <c r="K126" s="1431"/>
      <c r="L126" s="1433">
        <f t="shared" si="55"/>
        <v>474.3</v>
      </c>
      <c r="M126" s="1431"/>
      <c r="N126" s="1435"/>
      <c r="O126" s="1434"/>
      <c r="P126" s="1435">
        <f t="shared" si="58"/>
        <v>170</v>
      </c>
      <c r="Q126" s="1431"/>
      <c r="R126" s="1452">
        <f t="shared" si="56"/>
        <v>3.0934118141763496</v>
      </c>
      <c r="S126" s="1438"/>
      <c r="T126" s="1453">
        <f t="shared" si="59"/>
        <v>525.88000840997938</v>
      </c>
      <c r="U126" s="1438"/>
      <c r="V126" s="1438"/>
      <c r="W126" s="1326"/>
      <c r="X126" s="1069"/>
      <c r="Y126" s="1070"/>
      <c r="Z126" s="1070"/>
      <c r="AA126" s="1070"/>
      <c r="AB126" s="1070"/>
      <c r="AC126" s="1070"/>
      <c r="AD126" s="1036"/>
      <c r="AE126" s="1036"/>
      <c r="AF126" s="1036"/>
      <c r="AG126" s="1036"/>
      <c r="AH126" s="1036"/>
      <c r="AI126" s="1036"/>
      <c r="AJ126" s="1036"/>
      <c r="AK126" s="1036"/>
      <c r="AL126" s="1036"/>
      <c r="AM126" s="1036"/>
      <c r="AN126" s="1036"/>
      <c r="AO126" s="1036"/>
      <c r="AP126" s="1036"/>
      <c r="AQ126" s="1036"/>
      <c r="AR126" s="1051"/>
      <c r="AS126" s="1394"/>
      <c r="AT126" s="1051"/>
      <c r="AU126" s="1392"/>
      <c r="AV126" s="1051"/>
    </row>
    <row r="127" spans="1:48">
      <c r="A127" s="1450" t="s">
        <v>876</v>
      </c>
      <c r="B127" s="1440"/>
      <c r="C127" s="1441"/>
      <c r="D127" s="1440"/>
      <c r="E127" s="1437"/>
      <c r="F127" s="1431">
        <v>56</v>
      </c>
      <c r="G127" s="1431"/>
      <c r="H127" s="1454">
        <v>2.5499999999999998</v>
      </c>
      <c r="I127" s="1438"/>
      <c r="J127" s="1435">
        <f t="shared" si="57"/>
        <v>142.79999999999998</v>
      </c>
      <c r="K127" s="1431"/>
      <c r="L127" s="1433">
        <f t="shared" si="55"/>
        <v>142.79999999999998</v>
      </c>
      <c r="M127" s="1431"/>
      <c r="N127" s="1435"/>
      <c r="O127" s="1434"/>
      <c r="P127" s="1435">
        <f t="shared" si="58"/>
        <v>56</v>
      </c>
      <c r="Q127" s="1431"/>
      <c r="R127" s="1452">
        <f t="shared" si="56"/>
        <v>2.827311873171932</v>
      </c>
      <c r="S127" s="1438"/>
      <c r="T127" s="1453">
        <f t="shared" si="59"/>
        <v>158.32946489762818</v>
      </c>
      <c r="U127" s="1438"/>
      <c r="V127" s="1438"/>
      <c r="W127" s="1326"/>
      <c r="X127" s="1069"/>
      <c r="Y127" s="1070"/>
      <c r="Z127" s="1070"/>
      <c r="AA127" s="1070"/>
      <c r="AB127" s="1070"/>
      <c r="AC127" s="1036"/>
      <c r="AD127" s="1036"/>
      <c r="AE127" s="1036"/>
      <c r="AF127" s="1036"/>
      <c r="AG127" s="1036"/>
      <c r="AH127" s="1036"/>
      <c r="AI127" s="1036"/>
      <c r="AJ127" s="1036"/>
      <c r="AK127" s="1036"/>
      <c r="AL127" s="1036"/>
      <c r="AM127" s="1036"/>
      <c r="AN127" s="1036"/>
      <c r="AO127" s="1036"/>
      <c r="AP127" s="1036"/>
      <c r="AQ127" s="1036"/>
      <c r="AR127" s="1051"/>
      <c r="AS127" s="1394"/>
      <c r="AT127" s="1051"/>
      <c r="AU127" s="1392"/>
      <c r="AV127" s="1051"/>
    </row>
    <row r="128" spans="1:48" s="1412" customFormat="1" ht="12.75" thickBot="1">
      <c r="A128" s="1411" t="s">
        <v>1706</v>
      </c>
      <c r="B128" s="1442">
        <f>SUM(B122:B127)</f>
        <v>1187</v>
      </c>
      <c r="C128" s="1443"/>
      <c r="D128" s="1442">
        <f>SUM(D122:D127)</f>
        <v>24.000000000000007</v>
      </c>
      <c r="E128" s="1443"/>
      <c r="F128" s="1442">
        <f>SUM(F122:F127)</f>
        <v>878.00000000000011</v>
      </c>
      <c r="G128" s="1396"/>
      <c r="H128" s="1398"/>
      <c r="I128" s="1397"/>
      <c r="J128" s="1458">
        <f>SUM(J123:J127)</f>
        <v>3926.0100000000011</v>
      </c>
      <c r="K128" s="1396"/>
      <c r="L128" s="1458">
        <f>SUM(L123:L127)</f>
        <v>3926.0100000000011</v>
      </c>
      <c r="M128" s="1396"/>
      <c r="N128" s="1442">
        <f>SUM(N122:N127)</f>
        <v>24.000000000000007</v>
      </c>
      <c r="O128" s="1400"/>
      <c r="P128" s="1442">
        <f>SUM(P122:P127)</f>
        <v>878.00000000000011</v>
      </c>
      <c r="Q128" s="1396"/>
      <c r="R128" s="1452"/>
      <c r="S128" s="1443"/>
      <c r="T128" s="1458">
        <f>SUM(T123:T127)</f>
        <v>4352.9626224281328</v>
      </c>
      <c r="U128" s="1443"/>
      <c r="V128" s="1443"/>
      <c r="W128" s="1210"/>
      <c r="X128" s="1084"/>
      <c r="Y128" s="1085"/>
      <c r="Z128" s="1085"/>
      <c r="AA128" s="1085"/>
      <c r="AB128" s="1085"/>
      <c r="AC128" s="1085"/>
      <c r="AD128" s="1085" t="s">
        <v>501</v>
      </c>
      <c r="AE128" s="1404"/>
      <c r="AF128" s="1397"/>
      <c r="AG128" s="1443"/>
      <c r="AH128" s="1443"/>
      <c r="AI128" s="1443"/>
      <c r="AJ128" s="1397"/>
      <c r="AK128" s="1086"/>
      <c r="AL128" s="1397"/>
      <c r="AM128" s="1086"/>
      <c r="AN128" s="1397"/>
      <c r="AO128" s="1086"/>
      <c r="AP128" s="1397"/>
      <c r="AQ128" s="1086"/>
      <c r="AR128" s="1087"/>
      <c r="AS128" s="1087"/>
      <c r="AT128" s="1087"/>
      <c r="AU128" s="1087"/>
      <c r="AV128" s="1087"/>
    </row>
    <row r="129" spans="1:48" ht="12.75" thickTop="1">
      <c r="A129" s="1411"/>
      <c r="B129" s="1440"/>
      <c r="C129" s="1441"/>
      <c r="D129" s="1440"/>
      <c r="E129" s="1437"/>
      <c r="F129" s="1431"/>
      <c r="G129" s="1431"/>
      <c r="H129" s="1432"/>
      <c r="I129" s="1438"/>
      <c r="J129" s="1433"/>
      <c r="K129" s="1431"/>
      <c r="L129" s="1433"/>
      <c r="M129" s="1431"/>
      <c r="N129" s="1435"/>
      <c r="O129" s="1434"/>
      <c r="P129" s="1435"/>
      <c r="Q129" s="1431"/>
      <c r="R129" s="1436"/>
      <c r="S129" s="1438"/>
      <c r="T129" s="1393"/>
      <c r="U129" s="1438"/>
      <c r="V129" s="1438"/>
      <c r="W129" s="1325"/>
      <c r="X129" s="1069"/>
      <c r="Y129" s="1070"/>
      <c r="Z129" s="1070"/>
      <c r="AA129" s="1070"/>
      <c r="AB129" s="1070"/>
      <c r="AC129" s="1070"/>
      <c r="AD129" s="1036"/>
      <c r="AE129" s="1036"/>
      <c r="AF129" s="1036"/>
      <c r="AG129" s="1036"/>
      <c r="AH129" s="1036"/>
      <c r="AI129" s="1036"/>
      <c r="AJ129" s="1036"/>
      <c r="AK129" s="1036"/>
      <c r="AL129" s="1036"/>
      <c r="AM129" s="1036"/>
      <c r="AN129" s="1036"/>
      <c r="AO129" s="1036"/>
      <c r="AP129" s="1036"/>
      <c r="AQ129" s="1036"/>
      <c r="AR129" s="1051"/>
      <c r="AS129" s="1051"/>
      <c r="AT129" s="1051"/>
      <c r="AU129" s="1392"/>
      <c r="AV129" s="1051"/>
    </row>
    <row r="130" spans="1:48" ht="12.75" thickBot="1">
      <c r="A130" s="1413" t="s">
        <v>1705</v>
      </c>
      <c r="B130" s="1440"/>
      <c r="C130" s="1441"/>
      <c r="D130" s="1440"/>
      <c r="E130" s="1437"/>
      <c r="F130" s="1431"/>
      <c r="G130" s="1431"/>
      <c r="H130" s="1432"/>
      <c r="I130" s="1438"/>
      <c r="J130" s="1433"/>
      <c r="K130" s="1431"/>
      <c r="L130" s="1446">
        <f>+L128/$D128</f>
        <v>163.58375000000001</v>
      </c>
      <c r="M130" s="1431"/>
      <c r="N130" s="1435"/>
      <c r="O130" s="1434"/>
      <c r="P130" s="1435"/>
      <c r="Q130" s="1431"/>
      <c r="R130" s="1436"/>
      <c r="S130" s="1438"/>
      <c r="T130" s="1446">
        <f>+T128/$D128</f>
        <v>181.37344260117214</v>
      </c>
      <c r="U130" s="1438">
        <f>+T130-L130</f>
        <v>17.789692601172135</v>
      </c>
      <c r="V130" s="1438">
        <f>U130/L130</f>
        <v>0.10874975418507116</v>
      </c>
      <c r="W130" s="1325"/>
      <c r="X130" s="1069"/>
      <c r="Y130" s="1070"/>
      <c r="Z130" s="1070"/>
      <c r="AA130" s="1070"/>
      <c r="AB130" s="1070"/>
      <c r="AC130" s="1070"/>
      <c r="AD130" s="1036"/>
      <c r="AE130" s="1036"/>
      <c r="AF130" s="1036"/>
      <c r="AG130" s="1036"/>
      <c r="AH130" s="1036"/>
      <c r="AI130" s="1036"/>
      <c r="AJ130" s="1036"/>
      <c r="AK130" s="1036"/>
      <c r="AL130" s="1036"/>
      <c r="AM130" s="1036"/>
      <c r="AN130" s="1036"/>
      <c r="AO130" s="1036"/>
      <c r="AP130" s="1036"/>
      <c r="AQ130" s="1036"/>
      <c r="AR130" s="1051"/>
      <c r="AS130" s="1051"/>
      <c r="AT130" s="1051"/>
      <c r="AU130" s="1392"/>
      <c r="AV130" s="1051"/>
    </row>
    <row r="131" spans="1:48" ht="12.75" thickTop="1">
      <c r="A131" s="1407" t="s">
        <v>1629</v>
      </c>
      <c r="B131" s="1431">
        <v>26670</v>
      </c>
      <c r="C131" s="1437"/>
      <c r="D131" s="1431"/>
      <c r="E131" s="1437"/>
      <c r="F131" s="1431"/>
      <c r="G131" s="1431"/>
      <c r="H131" s="1459"/>
      <c r="I131" s="1438"/>
      <c r="J131" s="1433"/>
      <c r="K131" s="1431"/>
      <c r="L131" s="1433"/>
      <c r="M131" s="1431"/>
      <c r="N131" s="1435"/>
      <c r="O131" s="1434"/>
      <c r="P131" s="1435"/>
      <c r="Q131" s="1431"/>
      <c r="R131" s="1436"/>
      <c r="S131" s="1437"/>
      <c r="T131" s="1439"/>
      <c r="U131" s="1437"/>
      <c r="V131" s="1437"/>
      <c r="W131" s="1326"/>
      <c r="X131" s="1069"/>
      <c r="Y131" s="1070"/>
      <c r="Z131" s="1070"/>
      <c r="AA131" s="1070"/>
      <c r="AB131" s="1070"/>
      <c r="AC131" s="1070"/>
      <c r="AD131" s="1036"/>
      <c r="AE131" s="1036"/>
      <c r="AF131" s="1036"/>
      <c r="AG131" s="1036"/>
      <c r="AH131" s="1036"/>
      <c r="AI131" s="1036"/>
      <c r="AJ131" s="1036"/>
      <c r="AK131" s="1036"/>
      <c r="AL131" s="1036"/>
      <c r="AM131" s="1036"/>
      <c r="AN131" s="1036"/>
      <c r="AO131" s="1036"/>
      <c r="AP131" s="1036"/>
      <c r="AQ131" s="1036"/>
      <c r="AR131" s="1394"/>
      <c r="AS131" s="1394"/>
      <c r="AT131" s="1394"/>
      <c r="AU131" s="1394"/>
      <c r="AV131" s="1394"/>
    </row>
    <row r="132" spans="1:48">
      <c r="A132" s="1450" t="s">
        <v>978</v>
      </c>
      <c r="B132" s="1440"/>
      <c r="C132" s="1441"/>
      <c r="D132" s="1440">
        <v>344.99999999999898</v>
      </c>
      <c r="E132" s="1437"/>
      <c r="F132" s="1431"/>
      <c r="G132" s="1431"/>
      <c r="H132" s="1451">
        <v>78.8</v>
      </c>
      <c r="I132" s="1438"/>
      <c r="J132" s="1433">
        <f>+D132*H132</f>
        <v>27185.99999999992</v>
      </c>
      <c r="K132" s="1431"/>
      <c r="L132" s="1433">
        <f>+J132</f>
        <v>27185.99999999992</v>
      </c>
      <c r="M132" s="1431"/>
      <c r="N132" s="1435">
        <f>+D132</f>
        <v>344.99999999999898</v>
      </c>
      <c r="O132" s="1434"/>
      <c r="P132" s="1435"/>
      <c r="Q132" s="1431"/>
      <c r="R132" s="1452">
        <f>+H132*(1+$W$5)</f>
        <v>87.369480629783624</v>
      </c>
      <c r="S132" s="1438"/>
      <c r="T132" s="1453">
        <f>+N132*R132</f>
        <v>30142.470817275262</v>
      </c>
      <c r="U132" s="1438"/>
      <c r="V132" s="1438"/>
      <c r="W132" s="1325"/>
      <c r="X132" s="1069"/>
      <c r="Y132" s="1070"/>
      <c r="Z132" s="1070"/>
      <c r="AA132" s="1070"/>
      <c r="AB132" s="1070"/>
      <c r="AC132" s="1070"/>
      <c r="AD132" s="1036"/>
      <c r="AE132" s="1036"/>
      <c r="AF132" s="1036"/>
      <c r="AG132" s="1036"/>
      <c r="AH132" s="1036"/>
      <c r="AI132" s="1036"/>
      <c r="AJ132" s="1036"/>
      <c r="AK132" s="1036"/>
      <c r="AL132" s="1036"/>
      <c r="AM132" s="1036"/>
      <c r="AN132" s="1036"/>
      <c r="AO132" s="1036"/>
      <c r="AP132" s="1036"/>
      <c r="AQ132" s="1036"/>
      <c r="AR132" s="1051"/>
      <c r="AS132" s="1051"/>
      <c r="AT132" s="1051"/>
      <c r="AU132" s="1392"/>
      <c r="AV132" s="1051"/>
    </row>
    <row r="133" spans="1:48">
      <c r="A133" s="1450" t="s">
        <v>979</v>
      </c>
      <c r="B133" s="1440"/>
      <c r="C133" s="1441"/>
      <c r="D133" s="1440"/>
      <c r="E133" s="1437"/>
      <c r="F133" s="1431">
        <v>791.99999999999898</v>
      </c>
      <c r="G133" s="1431"/>
      <c r="H133" s="1454">
        <v>3.29</v>
      </c>
      <c r="I133" s="1438"/>
      <c r="J133" s="1435">
        <f>+F133*H133</f>
        <v>2605.6799999999967</v>
      </c>
      <c r="K133" s="1431"/>
      <c r="L133" s="1433">
        <f t="shared" ref="L133:L136" si="60">+J133</f>
        <v>2605.6799999999967</v>
      </c>
      <c r="M133" s="1431"/>
      <c r="N133" s="1435"/>
      <c r="O133" s="1434"/>
      <c r="P133" s="1435">
        <f>+F133</f>
        <v>791.99999999999898</v>
      </c>
      <c r="Q133" s="1431"/>
      <c r="R133" s="1452">
        <f t="shared" ref="R133:R136" si="61">+H133*(1+$W$5)</f>
        <v>3.6477866912688852</v>
      </c>
      <c r="S133" s="1438"/>
      <c r="T133" s="1453">
        <f>+P133*R133</f>
        <v>2889.0470594849535</v>
      </c>
      <c r="U133" s="1438"/>
      <c r="V133" s="1438"/>
      <c r="W133" s="1325"/>
      <c r="X133" s="1069"/>
      <c r="Y133" s="1070"/>
      <c r="Z133" s="1070"/>
      <c r="AA133" s="1070"/>
      <c r="AB133" s="1070"/>
      <c r="AC133" s="1070"/>
      <c r="AD133" s="1036"/>
      <c r="AE133" s="1036"/>
      <c r="AF133" s="1036"/>
      <c r="AG133" s="1036"/>
      <c r="AH133" s="1036"/>
      <c r="AI133" s="1036"/>
      <c r="AJ133" s="1036"/>
      <c r="AK133" s="1036"/>
      <c r="AL133" s="1036"/>
      <c r="AM133" s="1036"/>
      <c r="AN133" s="1036"/>
      <c r="AO133" s="1036"/>
      <c r="AP133" s="1036"/>
      <c r="AQ133" s="1036"/>
      <c r="AR133" s="1051"/>
      <c r="AS133" s="1051"/>
      <c r="AT133" s="1051"/>
      <c r="AU133" s="1392"/>
      <c r="AV133" s="1051"/>
    </row>
    <row r="134" spans="1:48">
      <c r="A134" s="1450" t="s">
        <v>863</v>
      </c>
      <c r="B134" s="1440"/>
      <c r="C134" s="1441"/>
      <c r="D134" s="1440"/>
      <c r="E134" s="1437"/>
      <c r="F134" s="1431">
        <v>3752</v>
      </c>
      <c r="G134" s="1431"/>
      <c r="H134" s="1454">
        <v>3.12</v>
      </c>
      <c r="I134" s="1438"/>
      <c r="J134" s="1435">
        <f t="shared" ref="J134:J136" si="62">+F134*H134</f>
        <v>11706.24</v>
      </c>
      <c r="K134" s="1431"/>
      <c r="L134" s="1433">
        <f t="shared" si="60"/>
        <v>11706.24</v>
      </c>
      <c r="M134" s="1431"/>
      <c r="N134" s="1435"/>
      <c r="O134" s="1434"/>
      <c r="P134" s="1435">
        <f t="shared" ref="P134:P136" si="63">+F134</f>
        <v>3752</v>
      </c>
      <c r="Q134" s="1431"/>
      <c r="R134" s="1452">
        <f t="shared" si="61"/>
        <v>3.4592992330574233</v>
      </c>
      <c r="S134" s="1438"/>
      <c r="T134" s="1453">
        <f t="shared" ref="T134:T136" si="64">+P134*R134</f>
        <v>12979.290722431451</v>
      </c>
      <c r="U134" s="1438"/>
      <c r="V134" s="1438"/>
      <c r="W134" s="1326"/>
      <c r="X134" s="1069"/>
      <c r="Y134" s="1070"/>
      <c r="Z134" s="1070"/>
      <c r="AA134" s="1070"/>
      <c r="AB134" s="1070"/>
      <c r="AC134" s="1070"/>
      <c r="AD134" s="1036"/>
      <c r="AE134" s="1036"/>
      <c r="AF134" s="1036"/>
      <c r="AG134" s="1036"/>
      <c r="AH134" s="1036"/>
      <c r="AI134" s="1036"/>
      <c r="AJ134" s="1036"/>
      <c r="AK134" s="1036"/>
      <c r="AL134" s="1036"/>
      <c r="AM134" s="1036"/>
      <c r="AN134" s="1036"/>
      <c r="AO134" s="1036"/>
      <c r="AP134" s="1036"/>
      <c r="AQ134" s="1036"/>
      <c r="AR134" s="1051"/>
      <c r="AS134" s="1051"/>
      <c r="AT134" s="1051"/>
      <c r="AU134" s="1392"/>
      <c r="AV134" s="1051"/>
    </row>
    <row r="135" spans="1:48">
      <c r="A135" s="1450" t="s">
        <v>864</v>
      </c>
      <c r="B135" s="1440"/>
      <c r="C135" s="1441"/>
      <c r="D135" s="1440"/>
      <c r="E135" s="1437"/>
      <c r="F135" s="1431">
        <v>5230</v>
      </c>
      <c r="G135" s="1431"/>
      <c r="H135" s="1454">
        <v>2.79</v>
      </c>
      <c r="I135" s="1438"/>
      <c r="J135" s="1435">
        <f t="shared" si="62"/>
        <v>14591.7</v>
      </c>
      <c r="K135" s="1431"/>
      <c r="L135" s="1433">
        <f t="shared" si="60"/>
        <v>14591.7</v>
      </c>
      <c r="M135" s="1431"/>
      <c r="N135" s="1435"/>
      <c r="O135" s="1434"/>
      <c r="P135" s="1435">
        <f t="shared" si="63"/>
        <v>5230</v>
      </c>
      <c r="Q135" s="1431"/>
      <c r="R135" s="1452">
        <f t="shared" si="61"/>
        <v>3.0934118141763496</v>
      </c>
      <c r="S135" s="1438"/>
      <c r="T135" s="1453">
        <f t="shared" si="64"/>
        <v>16178.543788142308</v>
      </c>
      <c r="U135" s="1438"/>
      <c r="V135" s="1438"/>
      <c r="W135" s="1326"/>
      <c r="X135" s="1069"/>
      <c r="Y135" s="1070"/>
      <c r="Z135" s="1070"/>
      <c r="AA135" s="1070"/>
      <c r="AB135" s="1070"/>
      <c r="AC135" s="1070"/>
      <c r="AD135" s="1036"/>
      <c r="AE135" s="1036"/>
      <c r="AF135" s="1036"/>
      <c r="AG135" s="1036"/>
      <c r="AH135" s="1036"/>
      <c r="AI135" s="1036"/>
      <c r="AJ135" s="1036"/>
      <c r="AK135" s="1036"/>
      <c r="AL135" s="1036"/>
      <c r="AM135" s="1036"/>
      <c r="AN135" s="1036"/>
      <c r="AO135" s="1036"/>
      <c r="AP135" s="1036"/>
      <c r="AQ135" s="1036"/>
      <c r="AR135" s="1051"/>
      <c r="AS135" s="1394"/>
      <c r="AT135" s="1051"/>
      <c r="AU135" s="1392"/>
      <c r="AV135" s="1051"/>
    </row>
    <row r="136" spans="1:48">
      <c r="A136" s="1450" t="s">
        <v>876</v>
      </c>
      <c r="B136" s="1440"/>
      <c r="C136" s="1441"/>
      <c r="D136" s="1440"/>
      <c r="E136" s="1437"/>
      <c r="F136" s="1431">
        <v>11395.999999999998</v>
      </c>
      <c r="G136" s="1431"/>
      <c r="H136" s="1454">
        <v>2.5499999999999998</v>
      </c>
      <c r="I136" s="1438"/>
      <c r="J136" s="1435">
        <f t="shared" si="62"/>
        <v>29059.799999999992</v>
      </c>
      <c r="K136" s="1431"/>
      <c r="L136" s="1433">
        <f t="shared" si="60"/>
        <v>29059.799999999992</v>
      </c>
      <c r="M136" s="1431"/>
      <c r="N136" s="1435"/>
      <c r="O136" s="1434"/>
      <c r="P136" s="1435">
        <f t="shared" si="63"/>
        <v>11395.999999999998</v>
      </c>
      <c r="Q136" s="1431"/>
      <c r="R136" s="1452">
        <f t="shared" si="61"/>
        <v>2.827311873171932</v>
      </c>
      <c r="S136" s="1438"/>
      <c r="T136" s="1453">
        <f t="shared" si="64"/>
        <v>32220.046106667331</v>
      </c>
      <c r="U136" s="1438"/>
      <c r="V136" s="1438"/>
      <c r="W136" s="1326"/>
      <c r="X136" s="1069"/>
      <c r="Y136" s="1070"/>
      <c r="Z136" s="1070"/>
      <c r="AA136" s="1070"/>
      <c r="AB136" s="1070"/>
      <c r="AC136" s="1036"/>
      <c r="AD136" s="1036"/>
      <c r="AE136" s="1036"/>
      <c r="AF136" s="1036"/>
      <c r="AG136" s="1036"/>
      <c r="AH136" s="1036"/>
      <c r="AI136" s="1036"/>
      <c r="AJ136" s="1036"/>
      <c r="AK136" s="1036"/>
      <c r="AL136" s="1036"/>
      <c r="AM136" s="1036"/>
      <c r="AN136" s="1036"/>
      <c r="AO136" s="1036"/>
      <c r="AP136" s="1036"/>
      <c r="AQ136" s="1036"/>
      <c r="AR136" s="1051"/>
      <c r="AS136" s="1394"/>
      <c r="AT136" s="1051"/>
      <c r="AU136" s="1392"/>
      <c r="AV136" s="1051"/>
    </row>
    <row r="137" spans="1:48" s="1412" customFormat="1" ht="12.75" thickBot="1">
      <c r="A137" s="1411" t="s">
        <v>1628</v>
      </c>
      <c r="B137" s="1442">
        <f>SUM(B131:B136)</f>
        <v>26670</v>
      </c>
      <c r="C137" s="1443"/>
      <c r="D137" s="1442">
        <f>SUM(D131:D136)</f>
        <v>344.99999999999898</v>
      </c>
      <c r="E137" s="1443"/>
      <c r="F137" s="1442">
        <f>SUM(F131:F136)</f>
        <v>21170</v>
      </c>
      <c r="G137" s="1396"/>
      <c r="H137" s="1398"/>
      <c r="I137" s="1397"/>
      <c r="J137" s="1458">
        <f>SUM(J132:J136)</f>
        <v>85149.419999999911</v>
      </c>
      <c r="K137" s="1396"/>
      <c r="L137" s="1458">
        <f>SUM(L132:L136)</f>
        <v>85149.419999999911</v>
      </c>
      <c r="M137" s="1396"/>
      <c r="N137" s="1442">
        <f>SUM(N131:N136)</f>
        <v>344.99999999999898</v>
      </c>
      <c r="O137" s="1400"/>
      <c r="P137" s="1442">
        <f>SUM(P131:P136)</f>
        <v>21170</v>
      </c>
      <c r="Q137" s="1396"/>
      <c r="R137" s="1452"/>
      <c r="S137" s="1443"/>
      <c r="T137" s="1458">
        <f>SUM(T132:T136)</f>
        <v>94409.398494001303</v>
      </c>
      <c r="U137" s="1443"/>
      <c r="V137" s="1443"/>
      <c r="W137" s="1210"/>
      <c r="X137" s="1084"/>
      <c r="Y137" s="1085"/>
      <c r="Z137" s="1085"/>
      <c r="AA137" s="1085"/>
      <c r="AB137" s="1085"/>
      <c r="AC137" s="1085"/>
      <c r="AD137" s="1085" t="s">
        <v>501</v>
      </c>
      <c r="AE137" s="1404"/>
      <c r="AF137" s="1397"/>
      <c r="AG137" s="1443"/>
      <c r="AH137" s="1443"/>
      <c r="AI137" s="1443"/>
      <c r="AJ137" s="1397"/>
      <c r="AK137" s="1086"/>
      <c r="AL137" s="1397"/>
      <c r="AM137" s="1086"/>
      <c r="AN137" s="1397"/>
      <c r="AO137" s="1086"/>
      <c r="AP137" s="1397"/>
      <c r="AQ137" s="1086"/>
      <c r="AR137" s="1087"/>
      <c r="AS137" s="1087"/>
      <c r="AT137" s="1087"/>
      <c r="AU137" s="1087"/>
      <c r="AV137" s="1087"/>
    </row>
    <row r="138" spans="1:48" ht="12.75" thickTop="1">
      <c r="A138" s="1411"/>
      <c r="B138" s="1440"/>
      <c r="C138" s="1441"/>
      <c r="D138" s="1440"/>
      <c r="E138" s="1437"/>
      <c r="F138" s="1431"/>
      <c r="G138" s="1431"/>
      <c r="H138" s="1432"/>
      <c r="I138" s="1438"/>
      <c r="J138" s="1433"/>
      <c r="K138" s="1431"/>
      <c r="L138" s="1433"/>
      <c r="M138" s="1431"/>
      <c r="N138" s="1435"/>
      <c r="O138" s="1434"/>
      <c r="P138" s="1435"/>
      <c r="Q138" s="1431"/>
      <c r="R138" s="1436"/>
      <c r="S138" s="1438"/>
      <c r="T138" s="1393"/>
      <c r="U138" s="1438"/>
      <c r="V138" s="1438"/>
      <c r="W138" s="1325"/>
      <c r="X138" s="1069"/>
      <c r="Y138" s="1070"/>
      <c r="Z138" s="1070"/>
      <c r="AA138" s="1070"/>
      <c r="AB138" s="1070"/>
      <c r="AC138" s="1070"/>
      <c r="AD138" s="1036"/>
      <c r="AE138" s="1036"/>
      <c r="AF138" s="1036"/>
      <c r="AG138" s="1036"/>
      <c r="AH138" s="1036"/>
      <c r="AI138" s="1036"/>
      <c r="AJ138" s="1036"/>
      <c r="AK138" s="1036"/>
      <c r="AL138" s="1036"/>
      <c r="AM138" s="1036"/>
      <c r="AN138" s="1036"/>
      <c r="AO138" s="1036"/>
      <c r="AP138" s="1036"/>
      <c r="AQ138" s="1036"/>
      <c r="AR138" s="1051"/>
      <c r="AS138" s="1051"/>
      <c r="AT138" s="1051"/>
      <c r="AU138" s="1392"/>
      <c r="AV138" s="1051"/>
    </row>
    <row r="139" spans="1:48" ht="12.75" thickBot="1">
      <c r="A139" s="1413" t="s">
        <v>1627</v>
      </c>
      <c r="B139" s="1440"/>
      <c r="C139" s="1441"/>
      <c r="D139" s="1440"/>
      <c r="E139" s="1437"/>
      <c r="F139" s="1431"/>
      <c r="G139" s="1431"/>
      <c r="H139" s="1432"/>
      <c r="I139" s="1438"/>
      <c r="J139" s="1433"/>
      <c r="K139" s="1431"/>
      <c r="L139" s="1446">
        <f>+L137/$D137</f>
        <v>246.80991304347873</v>
      </c>
      <c r="M139" s="1431"/>
      <c r="N139" s="1435"/>
      <c r="O139" s="1434"/>
      <c r="P139" s="1435"/>
      <c r="Q139" s="1431"/>
      <c r="R139" s="1436"/>
      <c r="S139" s="1438"/>
      <c r="T139" s="1446">
        <f>+T137/$D137</f>
        <v>273.65043041739591</v>
      </c>
      <c r="U139" s="1438">
        <f>+T139-L139</f>
        <v>26.84051737391718</v>
      </c>
      <c r="V139" s="1438">
        <f t="shared" ref="V139" si="65">U139/L139</f>
        <v>0.10874975418507149</v>
      </c>
      <c r="W139" s="1325"/>
      <c r="X139" s="1069"/>
      <c r="Y139" s="1070"/>
      <c r="Z139" s="1070"/>
      <c r="AA139" s="1070"/>
      <c r="AB139" s="1070"/>
      <c r="AC139" s="1070"/>
      <c r="AD139" s="1036"/>
      <c r="AE139" s="1036"/>
      <c r="AF139" s="1036"/>
      <c r="AG139" s="1036"/>
      <c r="AH139" s="1036"/>
      <c r="AI139" s="1036"/>
      <c r="AJ139" s="1036"/>
      <c r="AK139" s="1036"/>
      <c r="AL139" s="1036"/>
      <c r="AM139" s="1036"/>
      <c r="AN139" s="1036"/>
      <c r="AO139" s="1036"/>
      <c r="AP139" s="1036"/>
      <c r="AQ139" s="1036"/>
      <c r="AR139" s="1051"/>
      <c r="AS139" s="1051"/>
      <c r="AT139" s="1051"/>
      <c r="AU139" s="1392"/>
      <c r="AV139" s="1051"/>
    </row>
    <row r="140" spans="1:48" ht="12.75" thickTop="1">
      <c r="A140" s="1407" t="s">
        <v>1704</v>
      </c>
      <c r="B140" s="1431">
        <v>835</v>
      </c>
      <c r="C140" s="1437"/>
      <c r="D140" s="1431"/>
      <c r="E140" s="1437"/>
      <c r="F140" s="1431"/>
      <c r="G140" s="1431"/>
      <c r="H140" s="1459"/>
      <c r="I140" s="1438"/>
      <c r="J140" s="1433"/>
      <c r="K140" s="1431"/>
      <c r="L140" s="1433"/>
      <c r="M140" s="1431"/>
      <c r="N140" s="1435"/>
      <c r="O140" s="1434"/>
      <c r="P140" s="1435"/>
      <c r="Q140" s="1431"/>
      <c r="R140" s="1436"/>
      <c r="S140" s="1437"/>
      <c r="T140" s="1439"/>
      <c r="U140" s="1437"/>
      <c r="V140" s="1437"/>
      <c r="W140" s="1326"/>
      <c r="X140" s="1069"/>
      <c r="Y140" s="1070"/>
      <c r="Z140" s="1070"/>
      <c r="AA140" s="1070"/>
      <c r="AB140" s="1070"/>
      <c r="AC140" s="1070"/>
      <c r="AD140" s="1036"/>
      <c r="AE140" s="1036"/>
      <c r="AF140" s="1036"/>
      <c r="AG140" s="1036"/>
      <c r="AH140" s="1036"/>
      <c r="AI140" s="1036"/>
      <c r="AJ140" s="1036"/>
      <c r="AK140" s="1036"/>
      <c r="AL140" s="1036"/>
      <c r="AM140" s="1036"/>
      <c r="AN140" s="1036"/>
      <c r="AO140" s="1036"/>
      <c r="AP140" s="1036"/>
      <c r="AQ140" s="1036"/>
      <c r="AR140" s="1394"/>
      <c r="AS140" s="1394"/>
      <c r="AT140" s="1394"/>
      <c r="AU140" s="1394"/>
      <c r="AV140" s="1394"/>
    </row>
    <row r="141" spans="1:48">
      <c r="A141" s="1450" t="s">
        <v>978</v>
      </c>
      <c r="B141" s="1440"/>
      <c r="C141" s="1441"/>
      <c r="D141" s="1440">
        <v>48.000000000000021</v>
      </c>
      <c r="E141" s="1437"/>
      <c r="F141" s="1431"/>
      <c r="G141" s="1431"/>
      <c r="H141" s="1451">
        <v>78.8</v>
      </c>
      <c r="I141" s="1438"/>
      <c r="J141" s="1433">
        <f>+D141*H141</f>
        <v>3782.4000000000015</v>
      </c>
      <c r="K141" s="1431"/>
      <c r="L141" s="1433">
        <f>+J141</f>
        <v>3782.4000000000015</v>
      </c>
      <c r="M141" s="1431"/>
      <c r="N141" s="1435">
        <f>+D141</f>
        <v>48.000000000000021</v>
      </c>
      <c r="O141" s="1434"/>
      <c r="P141" s="1435"/>
      <c r="Q141" s="1431"/>
      <c r="R141" s="1452">
        <f>+H141*(1+$W$5)</f>
        <v>87.369480629783624</v>
      </c>
      <c r="S141" s="1438"/>
      <c r="T141" s="1453">
        <f>+N141*R141</f>
        <v>4193.7350702296162</v>
      </c>
      <c r="U141" s="1438"/>
      <c r="V141" s="1438"/>
      <c r="W141" s="1325"/>
      <c r="X141" s="1069"/>
      <c r="Y141" s="1070"/>
      <c r="Z141" s="1070"/>
      <c r="AA141" s="1070"/>
      <c r="AB141" s="1070"/>
      <c r="AC141" s="1070"/>
      <c r="AD141" s="1036"/>
      <c r="AE141" s="1036"/>
      <c r="AF141" s="1036"/>
      <c r="AG141" s="1036"/>
      <c r="AH141" s="1036"/>
      <c r="AI141" s="1036"/>
      <c r="AJ141" s="1036"/>
      <c r="AK141" s="1036"/>
      <c r="AL141" s="1036"/>
      <c r="AM141" s="1036"/>
      <c r="AN141" s="1036"/>
      <c r="AO141" s="1036"/>
      <c r="AP141" s="1036"/>
      <c r="AQ141" s="1036"/>
      <c r="AR141" s="1051"/>
      <c r="AS141" s="1051"/>
      <c r="AT141" s="1051"/>
      <c r="AU141" s="1392"/>
      <c r="AV141" s="1051"/>
    </row>
    <row r="142" spans="1:48">
      <c r="A142" s="1450" t="s">
        <v>979</v>
      </c>
      <c r="B142" s="1440"/>
      <c r="C142" s="1441"/>
      <c r="D142" s="1440"/>
      <c r="E142" s="1437"/>
      <c r="F142" s="1431">
        <v>42.999999999999993</v>
      </c>
      <c r="G142" s="1431"/>
      <c r="H142" s="1454">
        <v>3.29</v>
      </c>
      <c r="I142" s="1438"/>
      <c r="J142" s="1435">
        <f>+F142*H142</f>
        <v>141.46999999999997</v>
      </c>
      <c r="K142" s="1431"/>
      <c r="L142" s="1433">
        <f t="shared" ref="L142:L145" si="66">+J142</f>
        <v>141.46999999999997</v>
      </c>
      <c r="M142" s="1431"/>
      <c r="N142" s="1435"/>
      <c r="O142" s="1434"/>
      <c r="P142" s="1435">
        <f>+F142</f>
        <v>42.999999999999993</v>
      </c>
      <c r="Q142" s="1431"/>
      <c r="R142" s="1452">
        <f t="shared" ref="R142:R145" si="67">+H142*(1+$W$5)</f>
        <v>3.6477866912688852</v>
      </c>
      <c r="S142" s="1438"/>
      <c r="T142" s="1453">
        <f>+P142*R142</f>
        <v>156.85482772456203</v>
      </c>
      <c r="U142" s="1438"/>
      <c r="V142" s="1438"/>
      <c r="W142" s="1325"/>
      <c r="X142" s="1069"/>
      <c r="Y142" s="1070"/>
      <c r="Z142" s="1070"/>
      <c r="AA142" s="1070"/>
      <c r="AB142" s="1070"/>
      <c r="AC142" s="1070"/>
      <c r="AD142" s="1036"/>
      <c r="AE142" s="1036"/>
      <c r="AF142" s="1036"/>
      <c r="AG142" s="1036"/>
      <c r="AH142" s="1036"/>
      <c r="AI142" s="1036"/>
      <c r="AJ142" s="1036"/>
      <c r="AK142" s="1036"/>
      <c r="AL142" s="1036"/>
      <c r="AM142" s="1036"/>
      <c r="AN142" s="1036"/>
      <c r="AO142" s="1036"/>
      <c r="AP142" s="1036"/>
      <c r="AQ142" s="1036"/>
      <c r="AR142" s="1051"/>
      <c r="AS142" s="1051"/>
      <c r="AT142" s="1051"/>
      <c r="AU142" s="1392"/>
      <c r="AV142" s="1051"/>
    </row>
    <row r="143" spans="1:48">
      <c r="A143" s="1450" t="s">
        <v>863</v>
      </c>
      <c r="B143" s="1440"/>
      <c r="C143" s="1441"/>
      <c r="D143" s="1440"/>
      <c r="E143" s="1437"/>
      <c r="F143" s="1431">
        <v>212</v>
      </c>
      <c r="G143" s="1431"/>
      <c r="H143" s="1454">
        <v>3.12</v>
      </c>
      <c r="I143" s="1438"/>
      <c r="J143" s="1435">
        <f t="shared" ref="J143:J145" si="68">+F143*H143</f>
        <v>661.44</v>
      </c>
      <c r="K143" s="1431"/>
      <c r="L143" s="1433">
        <f t="shared" si="66"/>
        <v>661.44</v>
      </c>
      <c r="M143" s="1431"/>
      <c r="N143" s="1435"/>
      <c r="O143" s="1434"/>
      <c r="P143" s="1435">
        <f t="shared" ref="P143:P145" si="69">+F143</f>
        <v>212</v>
      </c>
      <c r="Q143" s="1431"/>
      <c r="R143" s="1452">
        <f t="shared" si="67"/>
        <v>3.4592992330574233</v>
      </c>
      <c r="S143" s="1438"/>
      <c r="T143" s="1453">
        <f t="shared" ref="T143:T145" si="70">+P143*R143</f>
        <v>733.37143740817373</v>
      </c>
      <c r="U143" s="1438"/>
      <c r="V143" s="1438"/>
      <c r="W143" s="1326"/>
      <c r="X143" s="1069"/>
      <c r="Y143" s="1070"/>
      <c r="Z143" s="1070"/>
      <c r="AA143" s="1070"/>
      <c r="AB143" s="1070"/>
      <c r="AC143" s="1070"/>
      <c r="AD143" s="1036"/>
      <c r="AE143" s="1036"/>
      <c r="AF143" s="1036"/>
      <c r="AG143" s="1036"/>
      <c r="AH143" s="1036"/>
      <c r="AI143" s="1036"/>
      <c r="AJ143" s="1036"/>
      <c r="AK143" s="1036"/>
      <c r="AL143" s="1036"/>
      <c r="AM143" s="1036"/>
      <c r="AN143" s="1036"/>
      <c r="AO143" s="1036"/>
      <c r="AP143" s="1036"/>
      <c r="AQ143" s="1036"/>
      <c r="AR143" s="1051"/>
      <c r="AS143" s="1051"/>
      <c r="AT143" s="1051"/>
      <c r="AU143" s="1392"/>
      <c r="AV143" s="1051"/>
    </row>
    <row r="144" spans="1:48">
      <c r="A144" s="1450" t="s">
        <v>864</v>
      </c>
      <c r="B144" s="1440"/>
      <c r="C144" s="1441"/>
      <c r="D144" s="1440"/>
      <c r="E144" s="1437"/>
      <c r="F144" s="1431">
        <v>238</v>
      </c>
      <c r="G144" s="1431"/>
      <c r="H144" s="1454">
        <v>2.79</v>
      </c>
      <c r="I144" s="1438"/>
      <c r="J144" s="1435">
        <f t="shared" si="68"/>
        <v>664.02</v>
      </c>
      <c r="K144" s="1431"/>
      <c r="L144" s="1433">
        <f t="shared" si="66"/>
        <v>664.02</v>
      </c>
      <c r="M144" s="1431"/>
      <c r="N144" s="1435"/>
      <c r="O144" s="1434"/>
      <c r="P144" s="1435">
        <f t="shared" si="69"/>
        <v>238</v>
      </c>
      <c r="Q144" s="1431"/>
      <c r="R144" s="1452">
        <f t="shared" si="67"/>
        <v>3.0934118141763496</v>
      </c>
      <c r="S144" s="1438"/>
      <c r="T144" s="1453">
        <f t="shared" si="70"/>
        <v>736.23201177397118</v>
      </c>
      <c r="U144" s="1438"/>
      <c r="V144" s="1438"/>
      <c r="W144" s="1326"/>
      <c r="X144" s="1069"/>
      <c r="Y144" s="1070"/>
      <c r="Z144" s="1070"/>
      <c r="AA144" s="1070"/>
      <c r="AB144" s="1070"/>
      <c r="AC144" s="1070"/>
      <c r="AD144" s="1036"/>
      <c r="AE144" s="1036"/>
      <c r="AF144" s="1036"/>
      <c r="AG144" s="1036"/>
      <c r="AH144" s="1036"/>
      <c r="AI144" s="1036"/>
      <c r="AJ144" s="1036"/>
      <c r="AK144" s="1036"/>
      <c r="AL144" s="1036"/>
      <c r="AM144" s="1036"/>
      <c r="AN144" s="1036"/>
      <c r="AO144" s="1036"/>
      <c r="AP144" s="1036"/>
      <c r="AQ144" s="1036"/>
      <c r="AR144" s="1051"/>
      <c r="AS144" s="1394"/>
      <c r="AT144" s="1051"/>
      <c r="AU144" s="1392"/>
      <c r="AV144" s="1051"/>
    </row>
    <row r="145" spans="1:48">
      <c r="A145" s="1450" t="s">
        <v>876</v>
      </c>
      <c r="B145" s="1440"/>
      <c r="C145" s="1441"/>
      <c r="D145" s="1440"/>
      <c r="E145" s="1437"/>
      <c r="F145" s="1431">
        <v>8</v>
      </c>
      <c r="G145" s="1431"/>
      <c r="H145" s="1454">
        <v>2.5499999999999998</v>
      </c>
      <c r="I145" s="1438"/>
      <c r="J145" s="1435">
        <f t="shared" si="68"/>
        <v>20.399999999999999</v>
      </c>
      <c r="K145" s="1431"/>
      <c r="L145" s="1433">
        <f t="shared" si="66"/>
        <v>20.399999999999999</v>
      </c>
      <c r="M145" s="1431"/>
      <c r="N145" s="1435"/>
      <c r="O145" s="1434"/>
      <c r="P145" s="1435">
        <f t="shared" si="69"/>
        <v>8</v>
      </c>
      <c r="Q145" s="1431"/>
      <c r="R145" s="1452">
        <f t="shared" si="67"/>
        <v>2.827311873171932</v>
      </c>
      <c r="S145" s="1438"/>
      <c r="T145" s="1453">
        <f t="shared" si="70"/>
        <v>22.618494985375456</v>
      </c>
      <c r="U145" s="1438"/>
      <c r="V145" s="1438"/>
      <c r="W145" s="1326"/>
      <c r="X145" s="1069"/>
      <c r="Y145" s="1070"/>
      <c r="Z145" s="1070"/>
      <c r="AA145" s="1070"/>
      <c r="AB145" s="1070"/>
      <c r="AC145" s="1036"/>
      <c r="AD145" s="1036"/>
      <c r="AE145" s="1036"/>
      <c r="AF145" s="1036"/>
      <c r="AG145" s="1036"/>
      <c r="AH145" s="1036"/>
      <c r="AI145" s="1036"/>
      <c r="AJ145" s="1036"/>
      <c r="AK145" s="1036"/>
      <c r="AL145" s="1036"/>
      <c r="AM145" s="1036"/>
      <c r="AN145" s="1036"/>
      <c r="AO145" s="1036"/>
      <c r="AP145" s="1036"/>
      <c r="AQ145" s="1036"/>
      <c r="AR145" s="1051"/>
      <c r="AS145" s="1394"/>
      <c r="AT145" s="1051"/>
      <c r="AU145" s="1392"/>
      <c r="AV145" s="1051"/>
    </row>
    <row r="146" spans="1:48" s="1412" customFormat="1" ht="12.75" thickBot="1">
      <c r="A146" s="1411" t="s">
        <v>1703</v>
      </c>
      <c r="B146" s="1442">
        <f>SUM(B140:B145)</f>
        <v>835</v>
      </c>
      <c r="C146" s="1443"/>
      <c r="D146" s="1442">
        <f>SUM(D140:D145)</f>
        <v>48.000000000000021</v>
      </c>
      <c r="E146" s="1443"/>
      <c r="F146" s="1442">
        <f>SUM(F140:F145)</f>
        <v>501</v>
      </c>
      <c r="G146" s="1396"/>
      <c r="H146" s="1398"/>
      <c r="I146" s="1397"/>
      <c r="J146" s="1458">
        <f>SUM(J141:J145)</f>
        <v>5269.7300000000014</v>
      </c>
      <c r="K146" s="1396"/>
      <c r="L146" s="1458">
        <f>SUM(L141:L145)</f>
        <v>5269.7300000000014</v>
      </c>
      <c r="M146" s="1396"/>
      <c r="N146" s="1442">
        <f>SUM(N140:N145)</f>
        <v>48.000000000000021</v>
      </c>
      <c r="O146" s="1400"/>
      <c r="P146" s="1442">
        <f>SUM(P140:P145)</f>
        <v>501</v>
      </c>
      <c r="Q146" s="1396"/>
      <c r="R146" s="1452"/>
      <c r="S146" s="1443"/>
      <c r="T146" s="1458">
        <f>SUM(T141:T145)</f>
        <v>5842.8118421216977</v>
      </c>
      <c r="U146" s="1443"/>
      <c r="V146" s="1443"/>
      <c r="W146" s="1210"/>
      <c r="X146" s="1084"/>
      <c r="Y146" s="1085"/>
      <c r="Z146" s="1085"/>
      <c r="AA146" s="1085"/>
      <c r="AB146" s="1085"/>
      <c r="AC146" s="1085"/>
      <c r="AD146" s="1085" t="s">
        <v>501</v>
      </c>
      <c r="AE146" s="1404"/>
      <c r="AF146" s="1397"/>
      <c r="AG146" s="1443"/>
      <c r="AH146" s="1443"/>
      <c r="AI146" s="1443"/>
      <c r="AJ146" s="1397"/>
      <c r="AK146" s="1086"/>
      <c r="AL146" s="1397"/>
      <c r="AM146" s="1086"/>
      <c r="AN146" s="1397"/>
      <c r="AO146" s="1086"/>
      <c r="AP146" s="1397"/>
      <c r="AQ146" s="1086"/>
      <c r="AR146" s="1087"/>
      <c r="AS146" s="1087"/>
      <c r="AT146" s="1087"/>
      <c r="AU146" s="1087"/>
      <c r="AV146" s="1087"/>
    </row>
    <row r="147" spans="1:48" ht="12.75" thickTop="1">
      <c r="A147" s="1411"/>
      <c r="B147" s="1440"/>
      <c r="C147" s="1441"/>
      <c r="D147" s="1440"/>
      <c r="E147" s="1437"/>
      <c r="F147" s="1431"/>
      <c r="G147" s="1431"/>
      <c r="H147" s="1432"/>
      <c r="I147" s="1438"/>
      <c r="J147" s="1433"/>
      <c r="K147" s="1431"/>
      <c r="L147" s="1433"/>
      <c r="M147" s="1431"/>
      <c r="N147" s="1435"/>
      <c r="O147" s="1434"/>
      <c r="P147" s="1435"/>
      <c r="Q147" s="1431"/>
      <c r="R147" s="1436"/>
      <c r="S147" s="1438"/>
      <c r="T147" s="1393"/>
      <c r="U147" s="1438"/>
      <c r="V147" s="1438"/>
      <c r="W147" s="1325"/>
      <c r="X147" s="1069"/>
      <c r="Y147" s="1070"/>
      <c r="Z147" s="1070"/>
      <c r="AA147" s="1070"/>
      <c r="AB147" s="1070"/>
      <c r="AC147" s="1070"/>
      <c r="AD147" s="1036"/>
      <c r="AE147" s="1036"/>
      <c r="AF147" s="1036"/>
      <c r="AG147" s="1036"/>
      <c r="AH147" s="1036"/>
      <c r="AI147" s="1036"/>
      <c r="AJ147" s="1036"/>
      <c r="AK147" s="1036"/>
      <c r="AL147" s="1036"/>
      <c r="AM147" s="1036"/>
      <c r="AN147" s="1036"/>
      <c r="AO147" s="1036"/>
      <c r="AP147" s="1036"/>
      <c r="AQ147" s="1036"/>
      <c r="AR147" s="1051"/>
      <c r="AS147" s="1051"/>
      <c r="AT147" s="1051"/>
      <c r="AU147" s="1392"/>
      <c r="AV147" s="1051"/>
    </row>
    <row r="148" spans="1:48" ht="12.75" thickBot="1">
      <c r="A148" s="1413" t="s">
        <v>1702</v>
      </c>
      <c r="B148" s="1440"/>
      <c r="C148" s="1441"/>
      <c r="D148" s="1440"/>
      <c r="E148" s="1437"/>
      <c r="F148" s="1431"/>
      <c r="G148" s="1431"/>
      <c r="H148" s="1432"/>
      <c r="I148" s="1438"/>
      <c r="J148" s="1433"/>
      <c r="K148" s="1431"/>
      <c r="L148" s="1446">
        <f>+L146/$D146</f>
        <v>109.78604166666665</v>
      </c>
      <c r="M148" s="1431"/>
      <c r="N148" s="1435"/>
      <c r="O148" s="1434"/>
      <c r="P148" s="1435"/>
      <c r="Q148" s="1431"/>
      <c r="R148" s="1436"/>
      <c r="S148" s="1438"/>
      <c r="T148" s="1446">
        <f>+T146/$D146</f>
        <v>121.72524671086865</v>
      </c>
      <c r="U148" s="1438">
        <f>+T148-L148</f>
        <v>11.939205044201998</v>
      </c>
      <c r="V148" s="1438">
        <f>U148/L148</f>
        <v>0.10874975418507134</v>
      </c>
      <c r="W148" s="1325"/>
      <c r="X148" s="1069"/>
      <c r="Y148" s="1070"/>
      <c r="Z148" s="1070"/>
      <c r="AA148" s="1070"/>
      <c r="AB148" s="1070"/>
      <c r="AC148" s="1070"/>
      <c r="AD148" s="1036"/>
      <c r="AE148" s="1036"/>
      <c r="AF148" s="1036"/>
      <c r="AG148" s="1036"/>
      <c r="AH148" s="1036"/>
      <c r="AI148" s="1036"/>
      <c r="AJ148" s="1036"/>
      <c r="AK148" s="1036"/>
      <c r="AL148" s="1036"/>
      <c r="AM148" s="1036"/>
      <c r="AN148" s="1036"/>
      <c r="AO148" s="1036"/>
      <c r="AP148" s="1036"/>
      <c r="AQ148" s="1036"/>
      <c r="AR148" s="1051"/>
      <c r="AS148" s="1051"/>
      <c r="AT148" s="1051"/>
      <c r="AU148" s="1392"/>
      <c r="AV148" s="1051"/>
    </row>
    <row r="149" spans="1:48" ht="12.75" thickTop="1">
      <c r="A149" s="1407" t="s">
        <v>1701</v>
      </c>
      <c r="B149" s="1431">
        <v>6537</v>
      </c>
      <c r="C149" s="1437"/>
      <c r="D149" s="1431"/>
      <c r="E149" s="1437"/>
      <c r="F149" s="1431"/>
      <c r="G149" s="1431"/>
      <c r="H149" s="1459"/>
      <c r="I149" s="1438"/>
      <c r="J149" s="1433"/>
      <c r="K149" s="1431"/>
      <c r="L149" s="1433"/>
      <c r="M149" s="1431"/>
      <c r="N149" s="1435"/>
      <c r="O149" s="1434"/>
      <c r="P149" s="1435"/>
      <c r="Q149" s="1431"/>
      <c r="R149" s="1436"/>
      <c r="S149" s="1437"/>
      <c r="T149" s="1439"/>
      <c r="U149" s="1437"/>
      <c r="V149" s="1437"/>
      <c r="W149" s="1326"/>
      <c r="X149" s="1069"/>
      <c r="Y149" s="1070"/>
      <c r="Z149" s="1070"/>
      <c r="AA149" s="1070"/>
      <c r="AB149" s="1070"/>
      <c r="AC149" s="1070"/>
      <c r="AD149" s="1036"/>
      <c r="AE149" s="1036"/>
      <c r="AF149" s="1036"/>
      <c r="AG149" s="1036"/>
      <c r="AH149" s="1036"/>
      <c r="AI149" s="1036"/>
      <c r="AJ149" s="1036"/>
      <c r="AK149" s="1036"/>
      <c r="AL149" s="1036"/>
      <c r="AM149" s="1036"/>
      <c r="AN149" s="1036"/>
      <c r="AO149" s="1036"/>
      <c r="AP149" s="1036"/>
      <c r="AQ149" s="1036"/>
      <c r="AR149" s="1394"/>
      <c r="AS149" s="1394"/>
      <c r="AT149" s="1394"/>
      <c r="AU149" s="1394"/>
      <c r="AV149" s="1394"/>
    </row>
    <row r="150" spans="1:48">
      <c r="A150" s="1450" t="s">
        <v>978</v>
      </c>
      <c r="B150" s="1440"/>
      <c r="C150" s="1441"/>
      <c r="D150" s="1440">
        <v>191.99999999999963</v>
      </c>
      <c r="E150" s="1437"/>
      <c r="F150" s="1431"/>
      <c r="G150" s="1431"/>
      <c r="H150" s="1451">
        <v>78.8</v>
      </c>
      <c r="I150" s="1438"/>
      <c r="J150" s="1433">
        <f>+D150*H150</f>
        <v>15129.599999999969</v>
      </c>
      <c r="K150" s="1431"/>
      <c r="L150" s="1433">
        <f>+J150</f>
        <v>15129.599999999969</v>
      </c>
      <c r="M150" s="1431"/>
      <c r="N150" s="1435">
        <f>+D150</f>
        <v>191.99999999999963</v>
      </c>
      <c r="O150" s="1434"/>
      <c r="P150" s="1435"/>
      <c r="Q150" s="1431"/>
      <c r="R150" s="1452">
        <f>+H150*(1+$W$5)</f>
        <v>87.369480629783624</v>
      </c>
      <c r="S150" s="1438"/>
      <c r="T150" s="1453">
        <f>+N150*R150</f>
        <v>16774.940280918425</v>
      </c>
      <c r="U150" s="1438"/>
      <c r="V150" s="1438"/>
      <c r="W150" s="1325"/>
      <c r="X150" s="1069"/>
      <c r="Y150" s="1070"/>
      <c r="Z150" s="1070"/>
      <c r="AA150" s="1070"/>
      <c r="AB150" s="1070"/>
      <c r="AC150" s="1070"/>
      <c r="AD150" s="1036"/>
      <c r="AE150" s="1036"/>
      <c r="AF150" s="1036"/>
      <c r="AG150" s="1036"/>
      <c r="AH150" s="1036"/>
      <c r="AI150" s="1036"/>
      <c r="AJ150" s="1036"/>
      <c r="AK150" s="1036"/>
      <c r="AL150" s="1036"/>
      <c r="AM150" s="1036"/>
      <c r="AN150" s="1036"/>
      <c r="AO150" s="1036"/>
      <c r="AP150" s="1036"/>
      <c r="AQ150" s="1036"/>
      <c r="AR150" s="1051"/>
      <c r="AS150" s="1051"/>
      <c r="AT150" s="1051"/>
      <c r="AU150" s="1392"/>
      <c r="AV150" s="1051"/>
    </row>
    <row r="151" spans="1:48">
      <c r="A151" s="1450" t="s">
        <v>979</v>
      </c>
      <c r="B151" s="1440"/>
      <c r="C151" s="1441"/>
      <c r="D151" s="1440"/>
      <c r="E151" s="1437"/>
      <c r="F151" s="1431">
        <v>292.99999999999994</v>
      </c>
      <c r="G151" s="1431"/>
      <c r="H151" s="1454">
        <v>3.29</v>
      </c>
      <c r="I151" s="1438"/>
      <c r="J151" s="1435">
        <f>+F151*H151</f>
        <v>963.9699999999998</v>
      </c>
      <c r="K151" s="1431"/>
      <c r="L151" s="1433">
        <f t="shared" ref="L151:L154" si="71">+J151</f>
        <v>963.9699999999998</v>
      </c>
      <c r="M151" s="1431"/>
      <c r="N151" s="1435"/>
      <c r="O151" s="1434"/>
      <c r="P151" s="1435">
        <f>+F151</f>
        <v>292.99999999999994</v>
      </c>
      <c r="Q151" s="1431"/>
      <c r="R151" s="1452">
        <f t="shared" ref="R151:R154" si="72">+H151*(1+$W$5)</f>
        <v>3.6477866912688852</v>
      </c>
      <c r="S151" s="1438"/>
      <c r="T151" s="1453">
        <f>+P151*R151</f>
        <v>1068.8015005417831</v>
      </c>
      <c r="U151" s="1438"/>
      <c r="V151" s="1438"/>
      <c r="W151" s="1325"/>
      <c r="X151" s="1069"/>
      <c r="Y151" s="1070"/>
      <c r="Z151" s="1070"/>
      <c r="AA151" s="1070"/>
      <c r="AB151" s="1070"/>
      <c r="AC151" s="1070"/>
      <c r="AD151" s="1036"/>
      <c r="AE151" s="1036"/>
      <c r="AF151" s="1036"/>
      <c r="AG151" s="1036"/>
      <c r="AH151" s="1036"/>
      <c r="AI151" s="1036"/>
      <c r="AJ151" s="1036"/>
      <c r="AK151" s="1036"/>
      <c r="AL151" s="1036"/>
      <c r="AM151" s="1036"/>
      <c r="AN151" s="1036"/>
      <c r="AO151" s="1036"/>
      <c r="AP151" s="1036"/>
      <c r="AQ151" s="1036"/>
      <c r="AR151" s="1051"/>
      <c r="AS151" s="1051"/>
      <c r="AT151" s="1051"/>
      <c r="AU151" s="1392"/>
      <c r="AV151" s="1051"/>
    </row>
    <row r="152" spans="1:48">
      <c r="A152" s="1450" t="s">
        <v>863</v>
      </c>
      <c r="B152" s="1440"/>
      <c r="C152" s="1441"/>
      <c r="D152" s="1440"/>
      <c r="E152" s="1437"/>
      <c r="F152" s="1431">
        <v>1521</v>
      </c>
      <c r="G152" s="1431"/>
      <c r="H152" s="1454">
        <v>3.12</v>
      </c>
      <c r="I152" s="1438"/>
      <c r="J152" s="1435">
        <f t="shared" ref="J152:J154" si="73">+F152*H152</f>
        <v>4745.5200000000004</v>
      </c>
      <c r="K152" s="1431"/>
      <c r="L152" s="1433">
        <f t="shared" si="71"/>
        <v>4745.5200000000004</v>
      </c>
      <c r="M152" s="1431"/>
      <c r="N152" s="1435"/>
      <c r="O152" s="1434"/>
      <c r="P152" s="1435">
        <f t="shared" ref="P152:P154" si="74">+F152</f>
        <v>1521</v>
      </c>
      <c r="Q152" s="1431"/>
      <c r="R152" s="1452">
        <f t="shared" si="72"/>
        <v>3.4592992330574233</v>
      </c>
      <c r="S152" s="1438"/>
      <c r="T152" s="1453">
        <f t="shared" ref="T152:T154" si="75">+P152*R152</f>
        <v>5261.594133480341</v>
      </c>
      <c r="U152" s="1438"/>
      <c r="V152" s="1438"/>
      <c r="W152" s="1326"/>
      <c r="X152" s="1069"/>
      <c r="Y152" s="1070"/>
      <c r="Z152" s="1070"/>
      <c r="AA152" s="1070"/>
      <c r="AB152" s="1070"/>
      <c r="AC152" s="1070"/>
      <c r="AD152" s="1036"/>
      <c r="AE152" s="1036"/>
      <c r="AF152" s="1036"/>
      <c r="AG152" s="1036"/>
      <c r="AH152" s="1036"/>
      <c r="AI152" s="1036"/>
      <c r="AJ152" s="1036"/>
      <c r="AK152" s="1036"/>
      <c r="AL152" s="1036"/>
      <c r="AM152" s="1036"/>
      <c r="AN152" s="1036"/>
      <c r="AO152" s="1036"/>
      <c r="AP152" s="1036"/>
      <c r="AQ152" s="1036"/>
      <c r="AR152" s="1051"/>
      <c r="AS152" s="1051"/>
      <c r="AT152" s="1051"/>
      <c r="AU152" s="1392"/>
      <c r="AV152" s="1051"/>
    </row>
    <row r="153" spans="1:48">
      <c r="A153" s="1450" t="s">
        <v>864</v>
      </c>
      <c r="B153" s="1440"/>
      <c r="C153" s="1441"/>
      <c r="D153" s="1440"/>
      <c r="E153" s="1437"/>
      <c r="F153" s="1431">
        <v>1595.0000000000005</v>
      </c>
      <c r="G153" s="1431"/>
      <c r="H153" s="1454">
        <v>2.79</v>
      </c>
      <c r="I153" s="1438"/>
      <c r="J153" s="1435">
        <f t="shared" si="73"/>
        <v>4450.0500000000011</v>
      </c>
      <c r="K153" s="1431"/>
      <c r="L153" s="1433">
        <f t="shared" si="71"/>
        <v>4450.0500000000011</v>
      </c>
      <c r="M153" s="1431"/>
      <c r="N153" s="1435"/>
      <c r="O153" s="1434"/>
      <c r="P153" s="1435">
        <f t="shared" si="74"/>
        <v>1595.0000000000005</v>
      </c>
      <c r="Q153" s="1431"/>
      <c r="R153" s="1452">
        <f t="shared" si="72"/>
        <v>3.0934118141763496</v>
      </c>
      <c r="S153" s="1438"/>
      <c r="T153" s="1453">
        <f t="shared" si="75"/>
        <v>4933.9918436112794</v>
      </c>
      <c r="U153" s="1438"/>
      <c r="V153" s="1438"/>
      <c r="W153" s="1326"/>
      <c r="X153" s="1069"/>
      <c r="Y153" s="1070"/>
      <c r="Z153" s="1070"/>
      <c r="AA153" s="1070"/>
      <c r="AB153" s="1070"/>
      <c r="AC153" s="1070"/>
      <c r="AD153" s="1036"/>
      <c r="AE153" s="1036"/>
      <c r="AF153" s="1036"/>
      <c r="AG153" s="1036"/>
      <c r="AH153" s="1036"/>
      <c r="AI153" s="1036"/>
      <c r="AJ153" s="1036"/>
      <c r="AK153" s="1036"/>
      <c r="AL153" s="1036"/>
      <c r="AM153" s="1036"/>
      <c r="AN153" s="1036"/>
      <c r="AO153" s="1036"/>
      <c r="AP153" s="1036"/>
      <c r="AQ153" s="1036"/>
      <c r="AR153" s="1051"/>
      <c r="AS153" s="1394"/>
      <c r="AT153" s="1051"/>
      <c r="AU153" s="1392"/>
      <c r="AV153" s="1051"/>
    </row>
    <row r="154" spans="1:48">
      <c r="A154" s="1450" t="s">
        <v>876</v>
      </c>
      <c r="B154" s="1440"/>
      <c r="C154" s="1441"/>
      <c r="D154" s="1440"/>
      <c r="E154" s="1437"/>
      <c r="F154" s="1431">
        <v>1019</v>
      </c>
      <c r="G154" s="1431"/>
      <c r="H154" s="1454">
        <v>2.5499999999999998</v>
      </c>
      <c r="I154" s="1438"/>
      <c r="J154" s="1435">
        <f t="shared" si="73"/>
        <v>2598.4499999999998</v>
      </c>
      <c r="K154" s="1431"/>
      <c r="L154" s="1433">
        <f t="shared" si="71"/>
        <v>2598.4499999999998</v>
      </c>
      <c r="M154" s="1431"/>
      <c r="N154" s="1435"/>
      <c r="O154" s="1434"/>
      <c r="P154" s="1435">
        <f t="shared" si="74"/>
        <v>1019</v>
      </c>
      <c r="Q154" s="1431"/>
      <c r="R154" s="1452">
        <f t="shared" si="72"/>
        <v>2.827311873171932</v>
      </c>
      <c r="S154" s="1438"/>
      <c r="T154" s="1453">
        <f t="shared" si="75"/>
        <v>2881.0307987621986</v>
      </c>
      <c r="U154" s="1438"/>
      <c r="V154" s="1438"/>
      <c r="W154" s="1326"/>
      <c r="X154" s="1069"/>
      <c r="Y154" s="1070"/>
      <c r="Z154" s="1070"/>
      <c r="AA154" s="1070"/>
      <c r="AB154" s="1070"/>
      <c r="AC154" s="1036"/>
      <c r="AD154" s="1036"/>
      <c r="AE154" s="1036"/>
      <c r="AF154" s="1036"/>
      <c r="AG154" s="1036"/>
      <c r="AH154" s="1036"/>
      <c r="AI154" s="1036"/>
      <c r="AJ154" s="1036"/>
      <c r="AK154" s="1036"/>
      <c r="AL154" s="1036"/>
      <c r="AM154" s="1036"/>
      <c r="AN154" s="1036"/>
      <c r="AO154" s="1036"/>
      <c r="AP154" s="1036"/>
      <c r="AQ154" s="1036"/>
      <c r="AR154" s="1051"/>
      <c r="AS154" s="1394"/>
      <c r="AT154" s="1051"/>
      <c r="AU154" s="1392"/>
      <c r="AV154" s="1051"/>
    </row>
    <row r="155" spans="1:48" s="1412" customFormat="1" ht="12.75" thickBot="1">
      <c r="A155" s="1411" t="s">
        <v>1700</v>
      </c>
      <c r="B155" s="1442">
        <f>SUM(B149:B154)</f>
        <v>6537</v>
      </c>
      <c r="C155" s="1443"/>
      <c r="D155" s="1442">
        <f>SUM(D149:D154)</f>
        <v>191.99999999999963</v>
      </c>
      <c r="E155" s="1443"/>
      <c r="F155" s="1442">
        <f>SUM(F149:F154)</f>
        <v>4428</v>
      </c>
      <c r="G155" s="1396"/>
      <c r="H155" s="1398"/>
      <c r="I155" s="1397"/>
      <c r="J155" s="1458">
        <f>SUM(J150:J154)</f>
        <v>27887.589999999971</v>
      </c>
      <c r="K155" s="1396"/>
      <c r="L155" s="1458">
        <f>SUM(L150:L154)</f>
        <v>27887.589999999971</v>
      </c>
      <c r="M155" s="1396"/>
      <c r="N155" s="1442">
        <f>SUM(N149:N154)</f>
        <v>191.99999999999963</v>
      </c>
      <c r="O155" s="1400"/>
      <c r="P155" s="1442">
        <f>SUM(P149:P154)</f>
        <v>4428</v>
      </c>
      <c r="Q155" s="1396"/>
      <c r="R155" s="1452"/>
      <c r="S155" s="1443"/>
      <c r="T155" s="1458">
        <f>SUM(T150:T154)</f>
        <v>30920.35855731403</v>
      </c>
      <c r="U155" s="1443"/>
      <c r="V155" s="1443"/>
      <c r="W155" s="1210"/>
      <c r="X155" s="1084"/>
      <c r="Y155" s="1085"/>
      <c r="Z155" s="1085"/>
      <c r="AA155" s="1085"/>
      <c r="AB155" s="1085"/>
      <c r="AC155" s="1085"/>
      <c r="AD155" s="1085" t="s">
        <v>501</v>
      </c>
      <c r="AE155" s="1404"/>
      <c r="AF155" s="1397"/>
      <c r="AG155" s="1443"/>
      <c r="AH155" s="1443"/>
      <c r="AI155" s="1443"/>
      <c r="AJ155" s="1397"/>
      <c r="AK155" s="1086"/>
      <c r="AL155" s="1397"/>
      <c r="AM155" s="1086"/>
      <c r="AN155" s="1397"/>
      <c r="AO155" s="1086"/>
      <c r="AP155" s="1397"/>
      <c r="AQ155" s="1086"/>
      <c r="AR155" s="1087"/>
      <c r="AS155" s="1087"/>
      <c r="AT155" s="1087"/>
      <c r="AU155" s="1087"/>
      <c r="AV155" s="1087"/>
    </row>
    <row r="156" spans="1:48" ht="12.75" thickTop="1">
      <c r="A156" s="1411"/>
      <c r="B156" s="1440"/>
      <c r="C156" s="1441"/>
      <c r="D156" s="1440"/>
      <c r="E156" s="1437"/>
      <c r="F156" s="1431"/>
      <c r="G156" s="1431"/>
      <c r="H156" s="1432"/>
      <c r="I156" s="1438"/>
      <c r="J156" s="1433"/>
      <c r="K156" s="1431"/>
      <c r="L156" s="1433"/>
      <c r="M156" s="1431"/>
      <c r="N156" s="1435"/>
      <c r="O156" s="1434"/>
      <c r="P156" s="1435"/>
      <c r="Q156" s="1431"/>
      <c r="R156" s="1436"/>
      <c r="S156" s="1438"/>
      <c r="T156" s="1393"/>
      <c r="U156" s="1438"/>
      <c r="V156" s="1438"/>
      <c r="W156" s="1325"/>
      <c r="X156" s="1069"/>
      <c r="Y156" s="1070"/>
      <c r="Z156" s="1070"/>
      <c r="AA156" s="1070"/>
      <c r="AB156" s="1070"/>
      <c r="AC156" s="1070"/>
      <c r="AD156" s="1036"/>
      <c r="AE156" s="1036"/>
      <c r="AF156" s="1036"/>
      <c r="AG156" s="1036"/>
      <c r="AH156" s="1036"/>
      <c r="AI156" s="1036"/>
      <c r="AJ156" s="1036"/>
      <c r="AK156" s="1036"/>
      <c r="AL156" s="1036"/>
      <c r="AM156" s="1036"/>
      <c r="AN156" s="1036"/>
      <c r="AO156" s="1036"/>
      <c r="AP156" s="1036"/>
      <c r="AQ156" s="1036"/>
      <c r="AR156" s="1051"/>
      <c r="AS156" s="1051"/>
      <c r="AT156" s="1051"/>
      <c r="AU156" s="1392"/>
      <c r="AV156" s="1051"/>
    </row>
    <row r="157" spans="1:48" ht="12.75" thickBot="1">
      <c r="A157" s="1413" t="s">
        <v>1699</v>
      </c>
      <c r="B157" s="1440"/>
      <c r="C157" s="1441"/>
      <c r="D157" s="1440"/>
      <c r="E157" s="1437"/>
      <c r="F157" s="1431"/>
      <c r="G157" s="1431"/>
      <c r="H157" s="1432"/>
      <c r="I157" s="1438"/>
      <c r="J157" s="1433"/>
      <c r="K157" s="1431"/>
      <c r="L157" s="1446">
        <f>+L155/$D155</f>
        <v>145.24786458333347</v>
      </c>
      <c r="M157" s="1431"/>
      <c r="N157" s="1435"/>
      <c r="O157" s="1434"/>
      <c r="P157" s="1435"/>
      <c r="Q157" s="1431"/>
      <c r="R157" s="1436"/>
      <c r="S157" s="1438"/>
      <c r="T157" s="1446">
        <f>+T155/$D155</f>
        <v>161.04353415267755</v>
      </c>
      <c r="U157" s="1438">
        <f>+T157-L157</f>
        <v>15.795669569344085</v>
      </c>
      <c r="V157" s="1438">
        <f>U157/L157</f>
        <v>0.10874975418507163</v>
      </c>
      <c r="W157" s="1325"/>
      <c r="X157" s="1069"/>
      <c r="Y157" s="1070"/>
      <c r="Z157" s="1070"/>
      <c r="AA157" s="1070"/>
      <c r="AB157" s="1070"/>
      <c r="AC157" s="1070"/>
      <c r="AD157" s="1036"/>
      <c r="AE157" s="1036"/>
      <c r="AF157" s="1036"/>
      <c r="AG157" s="1036"/>
      <c r="AH157" s="1036"/>
      <c r="AI157" s="1036"/>
      <c r="AJ157" s="1036"/>
      <c r="AK157" s="1036"/>
      <c r="AL157" s="1036"/>
      <c r="AM157" s="1036"/>
      <c r="AN157" s="1036"/>
      <c r="AO157" s="1036"/>
      <c r="AP157" s="1036"/>
      <c r="AQ157" s="1036"/>
      <c r="AR157" s="1051"/>
      <c r="AS157" s="1051"/>
      <c r="AT157" s="1051"/>
      <c r="AU157" s="1392"/>
      <c r="AV157" s="1051"/>
    </row>
    <row r="158" spans="1:48" ht="12.75" thickTop="1">
      <c r="A158" s="1413"/>
      <c r="B158" s="1440"/>
      <c r="C158" s="1441"/>
      <c r="D158" s="1440"/>
      <c r="E158" s="1437"/>
      <c r="F158" s="1431"/>
      <c r="G158" s="1431"/>
      <c r="H158" s="1432"/>
      <c r="I158" s="1438"/>
      <c r="J158" s="1433"/>
      <c r="K158" s="1431"/>
      <c r="L158" s="1433"/>
      <c r="M158" s="1431"/>
      <c r="N158" s="1435"/>
      <c r="O158" s="1434"/>
      <c r="P158" s="1435"/>
      <c r="Q158" s="1431"/>
      <c r="R158" s="1436"/>
      <c r="S158" s="1438"/>
      <c r="T158" s="1414"/>
      <c r="U158" s="1438"/>
      <c r="V158" s="1438"/>
      <c r="W158" s="1325"/>
      <c r="X158" s="1069"/>
      <c r="Y158" s="1070"/>
      <c r="Z158" s="1070"/>
      <c r="AA158" s="1070"/>
      <c r="AB158" s="1070"/>
      <c r="AC158" s="1070"/>
      <c r="AD158" s="1036"/>
      <c r="AE158" s="1036"/>
      <c r="AF158" s="1036"/>
      <c r="AG158" s="1036"/>
      <c r="AH158" s="1036"/>
      <c r="AI158" s="1036"/>
      <c r="AJ158" s="1036"/>
      <c r="AK158" s="1036"/>
      <c r="AL158" s="1036"/>
      <c r="AM158" s="1036"/>
      <c r="AN158" s="1036"/>
      <c r="AO158" s="1036"/>
      <c r="AP158" s="1036"/>
      <c r="AQ158" s="1036"/>
      <c r="AR158" s="1051"/>
      <c r="AS158" s="1051"/>
      <c r="AT158" s="1051"/>
      <c r="AU158" s="1392"/>
      <c r="AV158" s="1051"/>
    </row>
    <row r="159" spans="1:48">
      <c r="A159" s="1407" t="s">
        <v>1698</v>
      </c>
      <c r="B159" s="1431">
        <v>4137</v>
      </c>
      <c r="C159" s="1437"/>
      <c r="D159" s="1431"/>
      <c r="E159" s="1437"/>
      <c r="F159" s="1431"/>
      <c r="G159" s="1431"/>
      <c r="H159" s="1459"/>
      <c r="I159" s="1438"/>
      <c r="J159" s="1433"/>
      <c r="K159" s="1431"/>
      <c r="L159" s="1433"/>
      <c r="M159" s="1431"/>
      <c r="N159" s="1435"/>
      <c r="O159" s="1434"/>
      <c r="P159" s="1435"/>
      <c r="Q159" s="1431"/>
      <c r="R159" s="1436"/>
      <c r="S159" s="1437"/>
      <c r="T159" s="1439"/>
      <c r="U159" s="1437"/>
      <c r="V159" s="1437"/>
      <c r="W159" s="1326"/>
      <c r="X159" s="1069"/>
      <c r="Y159" s="1070"/>
      <c r="Z159" s="1070"/>
      <c r="AA159" s="1070"/>
      <c r="AB159" s="1070"/>
      <c r="AC159" s="1070"/>
      <c r="AD159" s="1036"/>
      <c r="AE159" s="1036"/>
      <c r="AF159" s="1036"/>
      <c r="AG159" s="1036"/>
      <c r="AH159" s="1036"/>
      <c r="AI159" s="1036"/>
      <c r="AJ159" s="1036"/>
      <c r="AK159" s="1036"/>
      <c r="AL159" s="1036"/>
      <c r="AM159" s="1036"/>
      <c r="AN159" s="1036"/>
      <c r="AO159" s="1036"/>
      <c r="AP159" s="1036"/>
      <c r="AQ159" s="1036"/>
      <c r="AR159" s="1394"/>
      <c r="AS159" s="1394"/>
      <c r="AT159" s="1394"/>
      <c r="AU159" s="1394"/>
      <c r="AV159" s="1394"/>
    </row>
    <row r="160" spans="1:48">
      <c r="A160" s="1450" t="s">
        <v>585</v>
      </c>
      <c r="B160" s="1440"/>
      <c r="C160" s="1441"/>
      <c r="D160" s="1440">
        <v>36.000000000000021</v>
      </c>
      <c r="E160" s="1437"/>
      <c r="F160" s="1431"/>
      <c r="G160" s="1431"/>
      <c r="H160" s="1451">
        <v>220.05</v>
      </c>
      <c r="I160" s="1438"/>
      <c r="J160" s="1433">
        <f>+D160*H160</f>
        <v>7921.8000000000047</v>
      </c>
      <c r="K160" s="1431"/>
      <c r="L160" s="1433">
        <f>+J160</f>
        <v>7921.8000000000047</v>
      </c>
      <c r="M160" s="1431"/>
      <c r="N160" s="1435">
        <f>+D160</f>
        <v>36.000000000000021</v>
      </c>
      <c r="O160" s="1434"/>
      <c r="P160" s="1435"/>
      <c r="Q160" s="1431"/>
      <c r="R160" s="1452">
        <f>+H160*(1+$W$5)</f>
        <v>243.98038340842498</v>
      </c>
      <c r="S160" s="1438"/>
      <c r="T160" s="1453">
        <f>+N160*R160</f>
        <v>8783.2938027033051</v>
      </c>
      <c r="U160" s="1438"/>
      <c r="V160" s="1438"/>
      <c r="W160" s="1325"/>
      <c r="X160" s="1069"/>
      <c r="Y160" s="1070"/>
      <c r="Z160" s="1070"/>
      <c r="AA160" s="1070"/>
      <c r="AB160" s="1070"/>
      <c r="AC160" s="1070"/>
      <c r="AD160" s="1036"/>
      <c r="AE160" s="1036"/>
      <c r="AF160" s="1036"/>
      <c r="AG160" s="1036"/>
      <c r="AH160" s="1036"/>
      <c r="AI160" s="1036"/>
      <c r="AJ160" s="1036"/>
      <c r="AK160" s="1036"/>
      <c r="AL160" s="1036"/>
      <c r="AM160" s="1036"/>
      <c r="AN160" s="1036"/>
      <c r="AO160" s="1036"/>
      <c r="AP160" s="1036"/>
      <c r="AQ160" s="1036"/>
      <c r="AR160" s="1051"/>
      <c r="AS160" s="1051"/>
      <c r="AT160" s="1051"/>
      <c r="AU160" s="1392"/>
      <c r="AV160" s="1051"/>
    </row>
    <row r="161" spans="1:48">
      <c r="A161" s="1450" t="s">
        <v>586</v>
      </c>
      <c r="B161" s="1440"/>
      <c r="C161" s="1441"/>
      <c r="D161" s="1440"/>
      <c r="E161" s="1437"/>
      <c r="F161" s="1431">
        <v>768.00000000000011</v>
      </c>
      <c r="G161" s="1431"/>
      <c r="H161" s="1454">
        <v>2.79</v>
      </c>
      <c r="I161" s="1438"/>
      <c r="J161" s="1435">
        <f>+F161*H161</f>
        <v>2142.7200000000003</v>
      </c>
      <c r="K161" s="1431"/>
      <c r="L161" s="1433">
        <f>+J161</f>
        <v>2142.7200000000003</v>
      </c>
      <c r="M161" s="1431"/>
      <c r="N161" s="1435"/>
      <c r="O161" s="1434"/>
      <c r="P161" s="1435">
        <f>+F161</f>
        <v>768.00000000000011</v>
      </c>
      <c r="Q161" s="1431"/>
      <c r="R161" s="1452">
        <f t="shared" ref="R161:R162" si="76">+H161*(1+$W$5)</f>
        <v>3.0934118141763496</v>
      </c>
      <c r="S161" s="1438"/>
      <c r="T161" s="1453">
        <f>+P161*R161</f>
        <v>2375.740273287437</v>
      </c>
      <c r="U161" s="1438"/>
      <c r="V161" s="1438"/>
      <c r="W161" s="1325"/>
      <c r="X161" s="1069"/>
      <c r="Y161" s="1070"/>
      <c r="Z161" s="1070"/>
      <c r="AA161" s="1070"/>
      <c r="AB161" s="1070"/>
      <c r="AC161" s="1070"/>
      <c r="AD161" s="1036"/>
      <c r="AE161" s="1036"/>
      <c r="AF161" s="1036"/>
      <c r="AG161" s="1036"/>
      <c r="AH161" s="1036"/>
      <c r="AI161" s="1036"/>
      <c r="AJ161" s="1036"/>
      <c r="AK161" s="1036"/>
      <c r="AL161" s="1036"/>
      <c r="AM161" s="1036"/>
      <c r="AN161" s="1036"/>
      <c r="AO161" s="1036"/>
      <c r="AP161" s="1036"/>
      <c r="AQ161" s="1036"/>
      <c r="AR161" s="1051"/>
      <c r="AS161" s="1051"/>
      <c r="AT161" s="1051"/>
      <c r="AU161" s="1392"/>
      <c r="AV161" s="1051"/>
    </row>
    <row r="162" spans="1:48">
      <c r="A162" s="1450" t="s">
        <v>876</v>
      </c>
      <c r="B162" s="1440"/>
      <c r="C162" s="1441"/>
      <c r="D162" s="1440"/>
      <c r="E162" s="1437"/>
      <c r="F162" s="1431">
        <v>1480.9999999999998</v>
      </c>
      <c r="G162" s="1431"/>
      <c r="H162" s="1454">
        <v>2.5499999999999998</v>
      </c>
      <c r="I162" s="1438"/>
      <c r="J162" s="1435">
        <f>+F162*H162</f>
        <v>3776.5499999999993</v>
      </c>
      <c r="K162" s="1431"/>
      <c r="L162" s="1433">
        <f>+J162</f>
        <v>3776.5499999999993</v>
      </c>
      <c r="M162" s="1431"/>
      <c r="N162" s="1435"/>
      <c r="O162" s="1434"/>
      <c r="P162" s="1435">
        <f t="shared" ref="P162" si="77">+F162</f>
        <v>1480.9999999999998</v>
      </c>
      <c r="Q162" s="1431"/>
      <c r="R162" s="1452">
        <f t="shared" si="76"/>
        <v>2.827311873171932</v>
      </c>
      <c r="S162" s="1438"/>
      <c r="T162" s="1453">
        <f t="shared" ref="T162" si="78">+P162*R162</f>
        <v>4187.2488841676304</v>
      </c>
      <c r="U162" s="1438"/>
      <c r="V162" s="1438"/>
      <c r="W162" s="1326"/>
      <c r="X162" s="1069"/>
      <c r="Y162" s="1070"/>
      <c r="Z162" s="1070"/>
      <c r="AA162" s="1070"/>
      <c r="AB162" s="1070"/>
      <c r="AC162" s="1070"/>
      <c r="AD162" s="1036"/>
      <c r="AE162" s="1036"/>
      <c r="AF162" s="1036"/>
      <c r="AG162" s="1036"/>
      <c r="AH162" s="1036"/>
      <c r="AI162" s="1036"/>
      <c r="AJ162" s="1036"/>
      <c r="AK162" s="1036"/>
      <c r="AL162" s="1036"/>
      <c r="AM162" s="1036"/>
      <c r="AN162" s="1036"/>
      <c r="AO162" s="1036"/>
      <c r="AP162" s="1036"/>
      <c r="AQ162" s="1036"/>
      <c r="AR162" s="1051"/>
      <c r="AS162" s="1051"/>
      <c r="AT162" s="1051"/>
      <c r="AU162" s="1392"/>
      <c r="AV162" s="1051"/>
    </row>
    <row r="163" spans="1:48" s="1412" customFormat="1" ht="12.75" thickBot="1">
      <c r="A163" s="1411" t="s">
        <v>1697</v>
      </c>
      <c r="B163" s="1442">
        <f>SUM(B159:B162)</f>
        <v>4137</v>
      </c>
      <c r="C163" s="1443"/>
      <c r="D163" s="1442">
        <f>SUM(D159:D162)</f>
        <v>36.000000000000021</v>
      </c>
      <c r="E163" s="1443"/>
      <c r="F163" s="1442">
        <f>SUM(F159:F162)</f>
        <v>2249</v>
      </c>
      <c r="G163" s="1396"/>
      <c r="H163" s="1398"/>
      <c r="I163" s="1397"/>
      <c r="J163" s="1444">
        <f>SUM(J160:J162)</f>
        <v>13841.070000000003</v>
      </c>
      <c r="K163" s="1396"/>
      <c r="L163" s="1444">
        <f>SUM(L160:L162)</f>
        <v>13841.070000000003</v>
      </c>
      <c r="M163" s="1396"/>
      <c r="N163" s="1460">
        <f>SUM(N160:N162)</f>
        <v>36.000000000000021</v>
      </c>
      <c r="O163" s="1434"/>
      <c r="P163" s="1460">
        <f>SUM(P160:P162)</f>
        <v>2249</v>
      </c>
      <c r="Q163" s="1396"/>
      <c r="R163" s="1436"/>
      <c r="S163" s="1443"/>
      <c r="T163" s="1460">
        <f>SUM(T160:T162)</f>
        <v>15346.282960158373</v>
      </c>
      <c r="U163" s="1443"/>
      <c r="V163" s="1443"/>
      <c r="W163" s="1210"/>
      <c r="X163" s="1084"/>
      <c r="Y163" s="1085"/>
      <c r="Z163" s="1085"/>
      <c r="AA163" s="1085"/>
      <c r="AB163" s="1085"/>
      <c r="AC163" s="1085"/>
      <c r="AD163" s="1085" t="s">
        <v>501</v>
      </c>
      <c r="AE163" s="1404"/>
      <c r="AF163" s="1397"/>
      <c r="AG163" s="1443"/>
      <c r="AH163" s="1443"/>
      <c r="AI163" s="1443"/>
      <c r="AJ163" s="1397"/>
      <c r="AK163" s="1086"/>
      <c r="AL163" s="1397"/>
      <c r="AM163" s="1086"/>
      <c r="AN163" s="1397"/>
      <c r="AO163" s="1086"/>
      <c r="AP163" s="1397"/>
      <c r="AQ163" s="1086"/>
      <c r="AR163" s="1087"/>
      <c r="AS163" s="1087"/>
      <c r="AT163" s="1087"/>
      <c r="AU163" s="1087"/>
      <c r="AV163" s="1087"/>
    </row>
    <row r="164" spans="1:48" ht="12.75" thickTop="1">
      <c r="A164" s="1411"/>
      <c r="B164" s="1440"/>
      <c r="C164" s="1441"/>
      <c r="D164" s="1440"/>
      <c r="E164" s="1437"/>
      <c r="F164" s="1431"/>
      <c r="G164" s="1431"/>
      <c r="H164" s="1432"/>
      <c r="I164" s="1438"/>
      <c r="J164" s="1433"/>
      <c r="K164" s="1431"/>
      <c r="L164" s="1433"/>
      <c r="M164" s="1431"/>
      <c r="N164" s="1435"/>
      <c r="O164" s="1434"/>
      <c r="P164" s="1435"/>
      <c r="Q164" s="1431"/>
      <c r="R164" s="1436"/>
      <c r="S164" s="1438"/>
      <c r="T164" s="1393"/>
      <c r="U164" s="1438"/>
      <c r="V164" s="1438"/>
      <c r="W164" s="1325"/>
      <c r="X164" s="1069"/>
      <c r="Y164" s="1070"/>
      <c r="Z164" s="1070"/>
      <c r="AA164" s="1070"/>
      <c r="AB164" s="1070"/>
      <c r="AC164" s="1070"/>
      <c r="AD164" s="1036"/>
      <c r="AE164" s="1036"/>
      <c r="AF164" s="1036"/>
      <c r="AG164" s="1036"/>
      <c r="AH164" s="1036"/>
      <c r="AI164" s="1036"/>
      <c r="AJ164" s="1036"/>
      <c r="AK164" s="1036"/>
      <c r="AL164" s="1036"/>
      <c r="AM164" s="1036"/>
      <c r="AN164" s="1036"/>
      <c r="AO164" s="1036"/>
      <c r="AP164" s="1036"/>
      <c r="AQ164" s="1036"/>
      <c r="AR164" s="1051"/>
      <c r="AS164" s="1051"/>
      <c r="AT164" s="1051"/>
      <c r="AU164" s="1392"/>
      <c r="AV164" s="1051"/>
    </row>
    <row r="165" spans="1:48" ht="12.75" thickBot="1">
      <c r="A165" s="1413" t="s">
        <v>1696</v>
      </c>
      <c r="B165" s="1440"/>
      <c r="C165" s="1441"/>
      <c r="D165" s="1440"/>
      <c r="E165" s="1437"/>
      <c r="F165" s="1431"/>
      <c r="G165" s="1431"/>
      <c r="H165" s="1432"/>
      <c r="I165" s="1438"/>
      <c r="J165" s="1433"/>
      <c r="K165" s="1431"/>
      <c r="L165" s="1446">
        <f>+L163/$D163</f>
        <v>384.47416666666652</v>
      </c>
      <c r="M165" s="1431"/>
      <c r="N165" s="1435"/>
      <c r="O165" s="1434"/>
      <c r="P165" s="1435"/>
      <c r="Q165" s="1431"/>
      <c r="R165" s="1436"/>
      <c r="S165" s="1438"/>
      <c r="T165" s="1446">
        <f>+T163/$D163</f>
        <v>426.28563778217676</v>
      </c>
      <c r="U165" s="1438">
        <f>+T165-L165</f>
        <v>41.811471115510244</v>
      </c>
      <c r="V165" s="1438">
        <f>U165/L165</f>
        <v>0.10874975418507163</v>
      </c>
      <c r="W165" s="1325"/>
      <c r="X165" s="1069"/>
      <c r="Y165" s="1070"/>
      <c r="Z165" s="1070"/>
      <c r="AA165" s="1070"/>
      <c r="AB165" s="1070"/>
      <c r="AC165" s="1070"/>
      <c r="AD165" s="1036"/>
      <c r="AE165" s="1036"/>
      <c r="AF165" s="1036"/>
      <c r="AG165" s="1036"/>
      <c r="AH165" s="1036"/>
      <c r="AI165" s="1036"/>
      <c r="AJ165" s="1036"/>
      <c r="AK165" s="1036"/>
      <c r="AL165" s="1036"/>
      <c r="AM165" s="1036"/>
      <c r="AN165" s="1036"/>
      <c r="AO165" s="1036"/>
      <c r="AP165" s="1036"/>
      <c r="AQ165" s="1036"/>
      <c r="AR165" s="1051"/>
      <c r="AS165" s="1051"/>
      <c r="AT165" s="1051"/>
      <c r="AU165" s="1392"/>
      <c r="AV165" s="1051"/>
    </row>
    <row r="166" spans="1:48" ht="12.75" thickTop="1">
      <c r="A166" s="1407" t="s">
        <v>1695</v>
      </c>
      <c r="B166" s="1431">
        <v>11626</v>
      </c>
      <c r="C166" s="1437"/>
      <c r="D166" s="1431"/>
      <c r="E166" s="1437"/>
      <c r="F166" s="1431"/>
      <c r="G166" s="1431"/>
      <c r="H166" s="1459"/>
      <c r="I166" s="1438"/>
      <c r="J166" s="1433"/>
      <c r="K166" s="1431"/>
      <c r="L166" s="1433"/>
      <c r="M166" s="1431"/>
      <c r="N166" s="1435"/>
      <c r="O166" s="1434"/>
      <c r="P166" s="1435"/>
      <c r="Q166" s="1431"/>
      <c r="R166" s="1436"/>
      <c r="S166" s="1437"/>
      <c r="T166" s="1439"/>
      <c r="U166" s="1437"/>
      <c r="V166" s="1437"/>
      <c r="W166" s="1326"/>
      <c r="X166" s="1069"/>
      <c r="Y166" s="1070"/>
      <c r="Z166" s="1070"/>
      <c r="AA166" s="1070"/>
      <c r="AB166" s="1070"/>
      <c r="AC166" s="1070"/>
      <c r="AD166" s="1036"/>
      <c r="AE166" s="1036"/>
      <c r="AF166" s="1036"/>
      <c r="AG166" s="1036"/>
      <c r="AH166" s="1036"/>
      <c r="AI166" s="1036"/>
      <c r="AJ166" s="1036"/>
      <c r="AK166" s="1036"/>
      <c r="AL166" s="1036"/>
      <c r="AM166" s="1036"/>
      <c r="AN166" s="1036"/>
      <c r="AO166" s="1036"/>
      <c r="AP166" s="1036"/>
      <c r="AQ166" s="1036"/>
      <c r="AR166" s="1394"/>
      <c r="AS166" s="1394"/>
      <c r="AT166" s="1394"/>
      <c r="AU166" s="1394"/>
      <c r="AV166" s="1394"/>
    </row>
    <row r="167" spans="1:48">
      <c r="A167" s="1450" t="s">
        <v>585</v>
      </c>
      <c r="B167" s="1440"/>
      <c r="C167" s="1441"/>
      <c r="D167" s="1440">
        <v>49.999999999999972</v>
      </c>
      <c r="E167" s="1437"/>
      <c r="F167" s="1431"/>
      <c r="G167" s="1431"/>
      <c r="H167" s="1451">
        <v>220.05</v>
      </c>
      <c r="I167" s="1438"/>
      <c r="J167" s="1433">
        <f>+D167*H167</f>
        <v>11002.499999999995</v>
      </c>
      <c r="K167" s="1431"/>
      <c r="L167" s="1433">
        <f>+J167</f>
        <v>11002.499999999995</v>
      </c>
      <c r="M167" s="1431"/>
      <c r="N167" s="1435">
        <f>+D167</f>
        <v>49.999999999999972</v>
      </c>
      <c r="O167" s="1434"/>
      <c r="P167" s="1435"/>
      <c r="Q167" s="1431"/>
      <c r="R167" s="1452">
        <f>+H167*(1+$W$5)</f>
        <v>243.98038340842498</v>
      </c>
      <c r="S167" s="1438"/>
      <c r="T167" s="1453">
        <f>+N167*R167</f>
        <v>12199.019170421243</v>
      </c>
      <c r="U167" s="1438"/>
      <c r="V167" s="1438"/>
      <c r="W167" s="1325"/>
      <c r="X167" s="1069"/>
      <c r="Y167" s="1070"/>
      <c r="Z167" s="1070"/>
      <c r="AA167" s="1070"/>
      <c r="AB167" s="1070"/>
      <c r="AC167" s="1070"/>
      <c r="AD167" s="1036"/>
      <c r="AE167" s="1036"/>
      <c r="AF167" s="1036"/>
      <c r="AG167" s="1036"/>
      <c r="AH167" s="1036"/>
      <c r="AI167" s="1036"/>
      <c r="AJ167" s="1036"/>
      <c r="AK167" s="1036"/>
      <c r="AL167" s="1036"/>
      <c r="AM167" s="1036"/>
      <c r="AN167" s="1036"/>
      <c r="AO167" s="1036"/>
      <c r="AP167" s="1036"/>
      <c r="AQ167" s="1036"/>
      <c r="AR167" s="1051"/>
      <c r="AS167" s="1051"/>
      <c r="AT167" s="1051"/>
      <c r="AU167" s="1392"/>
      <c r="AV167" s="1051"/>
    </row>
    <row r="168" spans="1:48">
      <c r="A168" s="1450" t="s">
        <v>586</v>
      </c>
      <c r="B168" s="1440"/>
      <c r="C168" s="1441"/>
      <c r="D168" s="1440"/>
      <c r="E168" s="1437"/>
      <c r="F168" s="1431">
        <v>447.99999999999994</v>
      </c>
      <c r="G168" s="1431"/>
      <c r="H168" s="1454">
        <v>2.79</v>
      </c>
      <c r="I168" s="1438"/>
      <c r="J168" s="1435">
        <f>+F168*H168</f>
        <v>1249.9199999999998</v>
      </c>
      <c r="K168" s="1431"/>
      <c r="L168" s="1433">
        <f t="shared" ref="L168:L169" si="79">+J168</f>
        <v>1249.9199999999998</v>
      </c>
      <c r="M168" s="1431"/>
      <c r="N168" s="1435"/>
      <c r="O168" s="1434"/>
      <c r="P168" s="1435">
        <f>+F168</f>
        <v>447.99999999999994</v>
      </c>
      <c r="Q168" s="1431"/>
      <c r="R168" s="1452">
        <f>+H168*(1+$W$5)</f>
        <v>3.0934118141763496</v>
      </c>
      <c r="S168" s="1438"/>
      <c r="T168" s="1453">
        <f>+P168*R168</f>
        <v>1385.8484927510044</v>
      </c>
      <c r="U168" s="1438"/>
      <c r="V168" s="1438"/>
      <c r="W168" s="1325"/>
      <c r="X168" s="1069"/>
      <c r="Y168" s="1070"/>
      <c r="Z168" s="1070"/>
      <c r="AA168" s="1070"/>
      <c r="AB168" s="1070"/>
      <c r="AC168" s="1070"/>
      <c r="AD168" s="1036"/>
      <c r="AE168" s="1036"/>
      <c r="AF168" s="1036"/>
      <c r="AG168" s="1036"/>
      <c r="AH168" s="1036"/>
      <c r="AI168" s="1036"/>
      <c r="AJ168" s="1036"/>
      <c r="AK168" s="1036"/>
      <c r="AL168" s="1036"/>
      <c r="AM168" s="1036"/>
      <c r="AN168" s="1036"/>
      <c r="AO168" s="1036"/>
      <c r="AP168" s="1036"/>
      <c r="AQ168" s="1036"/>
      <c r="AR168" s="1051"/>
      <c r="AS168" s="1051"/>
      <c r="AT168" s="1051"/>
      <c r="AU168" s="1392"/>
      <c r="AV168" s="1051"/>
    </row>
    <row r="169" spans="1:48">
      <c r="A169" s="1450" t="s">
        <v>876</v>
      </c>
      <c r="B169" s="1440"/>
      <c r="C169" s="1441"/>
      <c r="D169" s="1440"/>
      <c r="E169" s="1437"/>
      <c r="F169" s="1431">
        <v>9959</v>
      </c>
      <c r="G169" s="1431"/>
      <c r="H169" s="1454">
        <v>2.5499999999999998</v>
      </c>
      <c r="I169" s="1438"/>
      <c r="J169" s="1435">
        <f t="shared" ref="J169" si="80">+F169*H169</f>
        <v>25395.449999999997</v>
      </c>
      <c r="K169" s="1431"/>
      <c r="L169" s="1433">
        <f t="shared" si="79"/>
        <v>25395.449999999997</v>
      </c>
      <c r="M169" s="1431"/>
      <c r="N169" s="1435"/>
      <c r="O169" s="1434"/>
      <c r="P169" s="1435">
        <f t="shared" ref="P169" si="81">+F169</f>
        <v>9959</v>
      </c>
      <c r="Q169" s="1431"/>
      <c r="R169" s="1452">
        <f>+H169*(1+$W$5)</f>
        <v>2.827311873171932</v>
      </c>
      <c r="S169" s="1438"/>
      <c r="T169" s="1453">
        <f t="shared" ref="T169" si="82">+P169*R169</f>
        <v>28157.19894491927</v>
      </c>
      <c r="U169" s="1438"/>
      <c r="V169" s="1438"/>
      <c r="W169" s="1326"/>
      <c r="X169" s="1069"/>
      <c r="Y169" s="1070"/>
      <c r="Z169" s="1070"/>
      <c r="AA169" s="1070"/>
      <c r="AB169" s="1070"/>
      <c r="AC169" s="1070"/>
      <c r="AD169" s="1036"/>
      <c r="AE169" s="1036"/>
      <c r="AF169" s="1036"/>
      <c r="AG169" s="1036"/>
      <c r="AH169" s="1036"/>
      <c r="AI169" s="1036"/>
      <c r="AJ169" s="1036"/>
      <c r="AK169" s="1036"/>
      <c r="AL169" s="1036"/>
      <c r="AM169" s="1036"/>
      <c r="AN169" s="1036"/>
      <c r="AO169" s="1036"/>
      <c r="AP169" s="1036"/>
      <c r="AQ169" s="1036"/>
      <c r="AR169" s="1051"/>
      <c r="AS169" s="1051"/>
      <c r="AT169" s="1051"/>
      <c r="AU169" s="1392"/>
      <c r="AV169" s="1051"/>
    </row>
    <row r="170" spans="1:48" s="1412" customFormat="1" ht="12.75" thickBot="1">
      <c r="A170" s="1411" t="s">
        <v>1694</v>
      </c>
      <c r="B170" s="1442">
        <f>SUM(B166:B169)</f>
        <v>11626</v>
      </c>
      <c r="C170" s="1443"/>
      <c r="D170" s="1442">
        <f>SUM(D166:D169)</f>
        <v>49.999999999999972</v>
      </c>
      <c r="E170" s="1443"/>
      <c r="F170" s="1442">
        <f>SUM(F166:F169)</f>
        <v>10407</v>
      </c>
      <c r="G170" s="1396"/>
      <c r="H170" s="1398"/>
      <c r="I170" s="1397"/>
      <c r="J170" s="1444">
        <f>SUM(J167:J169)</f>
        <v>37647.869999999995</v>
      </c>
      <c r="K170" s="1396"/>
      <c r="L170" s="1444">
        <f>SUM(L167:L169)</f>
        <v>37647.869999999995</v>
      </c>
      <c r="M170" s="1396"/>
      <c r="N170" s="1460">
        <f>SUM(N167:N169)</f>
        <v>49.999999999999972</v>
      </c>
      <c r="O170" s="1434"/>
      <c r="P170" s="1460">
        <f>SUM(P167:P169)</f>
        <v>10407</v>
      </c>
      <c r="Q170" s="1396"/>
      <c r="R170" s="1436"/>
      <c r="S170" s="1443"/>
      <c r="T170" s="1460">
        <f>SUM(T167:T169)</f>
        <v>41742.066608091518</v>
      </c>
      <c r="U170" s="1443"/>
      <c r="V170" s="1443"/>
      <c r="W170" s="1210"/>
      <c r="X170" s="1084"/>
      <c r="Y170" s="1085"/>
      <c r="Z170" s="1085"/>
      <c r="AA170" s="1085"/>
      <c r="AB170" s="1085"/>
      <c r="AC170" s="1085"/>
      <c r="AD170" s="1085" t="s">
        <v>501</v>
      </c>
      <c r="AE170" s="1404"/>
      <c r="AF170" s="1397"/>
      <c r="AG170" s="1443"/>
      <c r="AH170" s="1443"/>
      <c r="AI170" s="1443"/>
      <c r="AJ170" s="1397"/>
      <c r="AK170" s="1086"/>
      <c r="AL170" s="1397"/>
      <c r="AM170" s="1086"/>
      <c r="AN170" s="1397"/>
      <c r="AO170" s="1086"/>
      <c r="AP170" s="1397"/>
      <c r="AQ170" s="1086"/>
      <c r="AR170" s="1087"/>
      <c r="AS170" s="1087"/>
      <c r="AT170" s="1087"/>
      <c r="AU170" s="1087"/>
      <c r="AV170" s="1087"/>
    </row>
    <row r="171" spans="1:48" ht="12.75" thickTop="1">
      <c r="A171" s="1411"/>
      <c r="B171" s="1440"/>
      <c r="C171" s="1441"/>
      <c r="D171" s="1440"/>
      <c r="E171" s="1437"/>
      <c r="F171" s="1431"/>
      <c r="G171" s="1431"/>
      <c r="H171" s="1432"/>
      <c r="I171" s="1438"/>
      <c r="J171" s="1433"/>
      <c r="K171" s="1431"/>
      <c r="L171" s="1433"/>
      <c r="M171" s="1431"/>
      <c r="N171" s="1435"/>
      <c r="O171" s="1434"/>
      <c r="P171" s="1435"/>
      <c r="Q171" s="1431"/>
      <c r="R171" s="1436"/>
      <c r="S171" s="1438"/>
      <c r="T171" s="1393"/>
      <c r="U171" s="1438"/>
      <c r="V171" s="1438"/>
      <c r="W171" s="1325"/>
      <c r="X171" s="1069"/>
      <c r="Y171" s="1070"/>
      <c r="Z171" s="1070"/>
      <c r="AA171" s="1070"/>
      <c r="AB171" s="1070"/>
      <c r="AC171" s="1070"/>
      <c r="AD171" s="1036"/>
      <c r="AE171" s="1036"/>
      <c r="AF171" s="1036"/>
      <c r="AG171" s="1036"/>
      <c r="AH171" s="1036"/>
      <c r="AI171" s="1036"/>
      <c r="AJ171" s="1036"/>
      <c r="AK171" s="1036"/>
      <c r="AL171" s="1036"/>
      <c r="AM171" s="1036"/>
      <c r="AN171" s="1036"/>
      <c r="AO171" s="1036"/>
      <c r="AP171" s="1036"/>
      <c r="AQ171" s="1036"/>
      <c r="AR171" s="1051"/>
      <c r="AS171" s="1051"/>
      <c r="AT171" s="1051"/>
      <c r="AU171" s="1392"/>
      <c r="AV171" s="1051"/>
    </row>
    <row r="172" spans="1:48" ht="12.75" thickBot="1">
      <c r="A172" s="1413" t="s">
        <v>1693</v>
      </c>
      <c r="B172" s="1440"/>
      <c r="C172" s="1441"/>
      <c r="D172" s="1440"/>
      <c r="E172" s="1437"/>
      <c r="F172" s="1431"/>
      <c r="G172" s="1431"/>
      <c r="H172" s="1432"/>
      <c r="I172" s="1438"/>
      <c r="J172" s="1433"/>
      <c r="K172" s="1431"/>
      <c r="L172" s="1446">
        <f>+L170/$D170</f>
        <v>752.95740000000035</v>
      </c>
      <c r="M172" s="1431"/>
      <c r="N172" s="1435"/>
      <c r="O172" s="1434"/>
      <c r="P172" s="1435"/>
      <c r="Q172" s="1431"/>
      <c r="R172" s="1436"/>
      <c r="S172" s="1438"/>
      <c r="T172" s="1446">
        <f>+T170/$D170</f>
        <v>834.84133216183079</v>
      </c>
      <c r="U172" s="1438">
        <f>+T172-L172</f>
        <v>81.883932161830444</v>
      </c>
      <c r="V172" s="1438">
        <f>U172/L172</f>
        <v>0.1087497541850713</v>
      </c>
      <c r="W172" s="1325"/>
      <c r="X172" s="1069"/>
      <c r="Y172" s="1070"/>
      <c r="Z172" s="1070"/>
      <c r="AA172" s="1070"/>
      <c r="AB172" s="1070"/>
      <c r="AC172" s="1070"/>
      <c r="AD172" s="1036"/>
      <c r="AE172" s="1036"/>
      <c r="AF172" s="1036"/>
      <c r="AG172" s="1036"/>
      <c r="AH172" s="1036"/>
      <c r="AI172" s="1036"/>
      <c r="AJ172" s="1036"/>
      <c r="AK172" s="1036"/>
      <c r="AL172" s="1036"/>
      <c r="AM172" s="1036"/>
      <c r="AN172" s="1036"/>
      <c r="AO172" s="1036"/>
      <c r="AP172" s="1036"/>
      <c r="AQ172" s="1036"/>
      <c r="AR172" s="1051"/>
      <c r="AS172" s="1051"/>
      <c r="AT172" s="1051"/>
      <c r="AU172" s="1392"/>
      <c r="AV172" s="1051"/>
    </row>
    <row r="173" spans="1:48" ht="12.75" thickTop="1">
      <c r="A173" s="1407" t="s">
        <v>1692</v>
      </c>
      <c r="B173" s="1431">
        <v>8953</v>
      </c>
      <c r="C173" s="1437"/>
      <c r="D173" s="1431"/>
      <c r="E173" s="1437"/>
      <c r="F173" s="1431"/>
      <c r="G173" s="1431"/>
      <c r="H173" s="1459"/>
      <c r="I173" s="1438"/>
      <c r="J173" s="1433"/>
      <c r="K173" s="1431"/>
      <c r="L173" s="1433"/>
      <c r="M173" s="1431"/>
      <c r="N173" s="1435"/>
      <c r="O173" s="1434"/>
      <c r="P173" s="1435"/>
      <c r="Q173" s="1431"/>
      <c r="R173" s="1436"/>
      <c r="S173" s="1437"/>
      <c r="T173" s="1439"/>
      <c r="U173" s="1437"/>
      <c r="V173" s="1437"/>
      <c r="W173" s="1326"/>
      <c r="X173" s="1069"/>
      <c r="Y173" s="1070"/>
      <c r="Z173" s="1070"/>
      <c r="AA173" s="1070"/>
      <c r="AB173" s="1070"/>
      <c r="AC173" s="1070"/>
      <c r="AD173" s="1036"/>
      <c r="AE173" s="1036"/>
      <c r="AF173" s="1036"/>
      <c r="AG173" s="1036"/>
      <c r="AH173" s="1036"/>
      <c r="AI173" s="1036"/>
      <c r="AJ173" s="1036"/>
      <c r="AK173" s="1036"/>
      <c r="AL173" s="1036"/>
      <c r="AM173" s="1036"/>
      <c r="AN173" s="1036"/>
      <c r="AO173" s="1036"/>
      <c r="AP173" s="1036"/>
      <c r="AQ173" s="1036"/>
      <c r="AR173" s="1394"/>
      <c r="AS173" s="1394"/>
      <c r="AT173" s="1394"/>
      <c r="AU173" s="1394"/>
      <c r="AV173" s="1394"/>
    </row>
    <row r="174" spans="1:48">
      <c r="A174" s="1450" t="s">
        <v>585</v>
      </c>
      <c r="B174" s="1440"/>
      <c r="C174" s="1441"/>
      <c r="D174" s="1440">
        <v>12.000000000000002</v>
      </c>
      <c r="E174" s="1437"/>
      <c r="F174" s="1431"/>
      <c r="G174" s="1431"/>
      <c r="H174" s="1451">
        <v>220.05</v>
      </c>
      <c r="I174" s="1438"/>
      <c r="J174" s="1433">
        <f>+D174*H174</f>
        <v>2640.6000000000004</v>
      </c>
      <c r="K174" s="1431"/>
      <c r="L174" s="1433">
        <f>+J174</f>
        <v>2640.6000000000004</v>
      </c>
      <c r="M174" s="1431"/>
      <c r="N174" s="1435">
        <f>+D174</f>
        <v>12.000000000000002</v>
      </c>
      <c r="O174" s="1434"/>
      <c r="P174" s="1435"/>
      <c r="Q174" s="1431"/>
      <c r="R174" s="1452">
        <f>+H174*(1+$W$5)</f>
        <v>243.98038340842498</v>
      </c>
      <c r="S174" s="1438"/>
      <c r="T174" s="1453">
        <f>+N174*R174</f>
        <v>2927.7646009011</v>
      </c>
      <c r="U174" s="1438"/>
      <c r="V174" s="1438"/>
      <c r="W174" s="1325"/>
      <c r="X174" s="1069"/>
      <c r="Y174" s="1070"/>
      <c r="Z174" s="1070"/>
      <c r="AA174" s="1070"/>
      <c r="AB174" s="1070"/>
      <c r="AC174" s="1070"/>
      <c r="AD174" s="1036"/>
      <c r="AE174" s="1036"/>
      <c r="AF174" s="1036"/>
      <c r="AG174" s="1036"/>
      <c r="AH174" s="1036"/>
      <c r="AI174" s="1036"/>
      <c r="AJ174" s="1036"/>
      <c r="AK174" s="1036"/>
      <c r="AL174" s="1036"/>
      <c r="AM174" s="1036"/>
      <c r="AN174" s="1036"/>
      <c r="AO174" s="1036"/>
      <c r="AP174" s="1036"/>
      <c r="AQ174" s="1036"/>
      <c r="AR174" s="1051"/>
      <c r="AS174" s="1051"/>
      <c r="AT174" s="1051"/>
      <c r="AU174" s="1392"/>
      <c r="AV174" s="1051"/>
    </row>
    <row r="175" spans="1:48">
      <c r="A175" s="1450" t="s">
        <v>586</v>
      </c>
      <c r="B175" s="1440"/>
      <c r="C175" s="1441"/>
      <c r="D175" s="1440"/>
      <c r="E175" s="1437"/>
      <c r="F175" s="1431">
        <v>383.99999999999994</v>
      </c>
      <c r="G175" s="1431"/>
      <c r="H175" s="1454">
        <v>2.79</v>
      </c>
      <c r="I175" s="1438"/>
      <c r="J175" s="1435">
        <f>+F175*H175</f>
        <v>1071.3599999999999</v>
      </c>
      <c r="K175" s="1431"/>
      <c r="L175" s="1433">
        <f t="shared" ref="L175:L176" si="83">+J175</f>
        <v>1071.3599999999999</v>
      </c>
      <c r="M175" s="1431"/>
      <c r="N175" s="1435"/>
      <c r="O175" s="1434"/>
      <c r="P175" s="1435">
        <f>+F175</f>
        <v>383.99999999999994</v>
      </c>
      <c r="Q175" s="1431"/>
      <c r="R175" s="1452">
        <f t="shared" ref="R175:R176" si="84">+H175*(1+$W$5)</f>
        <v>3.0934118141763496</v>
      </c>
      <c r="S175" s="1438"/>
      <c r="T175" s="1453">
        <f>+P175*R175</f>
        <v>1187.8701366437181</v>
      </c>
      <c r="U175" s="1438"/>
      <c r="V175" s="1438"/>
      <c r="W175" s="1325"/>
      <c r="X175" s="1069"/>
      <c r="Y175" s="1070"/>
      <c r="Z175" s="1070"/>
      <c r="AA175" s="1070"/>
      <c r="AB175" s="1070"/>
      <c r="AC175" s="1070"/>
      <c r="AD175" s="1036"/>
      <c r="AE175" s="1036"/>
      <c r="AF175" s="1036"/>
      <c r="AG175" s="1036"/>
      <c r="AH175" s="1036"/>
      <c r="AI175" s="1036"/>
      <c r="AJ175" s="1036"/>
      <c r="AK175" s="1036"/>
      <c r="AL175" s="1036"/>
      <c r="AM175" s="1036"/>
      <c r="AN175" s="1036"/>
      <c r="AO175" s="1036"/>
      <c r="AP175" s="1036"/>
      <c r="AQ175" s="1036"/>
      <c r="AR175" s="1051"/>
      <c r="AS175" s="1051"/>
      <c r="AT175" s="1051"/>
      <c r="AU175" s="1392"/>
      <c r="AV175" s="1051"/>
    </row>
    <row r="176" spans="1:48">
      <c r="A176" s="1450" t="s">
        <v>876</v>
      </c>
      <c r="B176" s="1440"/>
      <c r="C176" s="1441"/>
      <c r="D176" s="1440"/>
      <c r="E176" s="1437"/>
      <c r="F176" s="1431">
        <v>7753</v>
      </c>
      <c r="G176" s="1431"/>
      <c r="H176" s="1454">
        <v>2.5499999999999998</v>
      </c>
      <c r="I176" s="1438"/>
      <c r="J176" s="1435">
        <f t="shared" ref="J176" si="85">+F176*H176</f>
        <v>19770.149999999998</v>
      </c>
      <c r="K176" s="1431"/>
      <c r="L176" s="1433">
        <f t="shared" si="83"/>
        <v>19770.149999999998</v>
      </c>
      <c r="M176" s="1431"/>
      <c r="N176" s="1435"/>
      <c r="O176" s="1434"/>
      <c r="P176" s="1435">
        <f t="shared" ref="P176" si="86">+F176</f>
        <v>7753</v>
      </c>
      <c r="Q176" s="1431"/>
      <c r="R176" s="1452">
        <f t="shared" si="84"/>
        <v>2.827311873171932</v>
      </c>
      <c r="S176" s="1438"/>
      <c r="T176" s="1453">
        <f t="shared" ref="T176" si="87">+P176*R176</f>
        <v>21920.148952701988</v>
      </c>
      <c r="U176" s="1438"/>
      <c r="V176" s="1438"/>
      <c r="W176" s="1326"/>
      <c r="X176" s="1069"/>
      <c r="Y176" s="1070"/>
      <c r="Z176" s="1070"/>
      <c r="AA176" s="1070"/>
      <c r="AB176" s="1070"/>
      <c r="AC176" s="1070"/>
      <c r="AD176" s="1036"/>
      <c r="AE176" s="1036"/>
      <c r="AF176" s="1036"/>
      <c r="AG176" s="1036"/>
      <c r="AH176" s="1036"/>
      <c r="AI176" s="1036"/>
      <c r="AJ176" s="1036"/>
      <c r="AK176" s="1036"/>
      <c r="AL176" s="1036"/>
      <c r="AM176" s="1036"/>
      <c r="AN176" s="1036"/>
      <c r="AO176" s="1036"/>
      <c r="AP176" s="1036"/>
      <c r="AQ176" s="1036"/>
      <c r="AR176" s="1051"/>
      <c r="AS176" s="1051"/>
      <c r="AT176" s="1051"/>
      <c r="AU176" s="1392"/>
      <c r="AV176" s="1051"/>
    </row>
    <row r="177" spans="1:48" s="1412" customFormat="1" ht="12.75" thickBot="1">
      <c r="A177" s="1411" t="s">
        <v>1691</v>
      </c>
      <c r="B177" s="1442">
        <f>SUM(B173:B176)</f>
        <v>8953</v>
      </c>
      <c r="C177" s="1443"/>
      <c r="D177" s="1442">
        <f>SUM(D173:D176)</f>
        <v>12.000000000000002</v>
      </c>
      <c r="E177" s="1443"/>
      <c r="F177" s="1442">
        <f>SUM(F173:F176)</f>
        <v>8137</v>
      </c>
      <c r="G177" s="1396"/>
      <c r="H177" s="1398"/>
      <c r="I177" s="1397"/>
      <c r="J177" s="1444">
        <f>SUM(J174:J176)</f>
        <v>23482.109999999997</v>
      </c>
      <c r="K177" s="1396"/>
      <c r="L177" s="1444">
        <f>SUM(L174:L176)</f>
        <v>23482.109999999997</v>
      </c>
      <c r="M177" s="1396"/>
      <c r="N177" s="1460">
        <f>SUM(N174:N176)</f>
        <v>12.000000000000002</v>
      </c>
      <c r="O177" s="1434"/>
      <c r="P177" s="1460">
        <f>SUM(P174:P176)</f>
        <v>8137</v>
      </c>
      <c r="Q177" s="1396"/>
      <c r="R177" s="1436"/>
      <c r="S177" s="1443"/>
      <c r="T177" s="1460">
        <f>SUM(T174:T176)</f>
        <v>26035.783690246804</v>
      </c>
      <c r="U177" s="1443"/>
      <c r="V177" s="1443"/>
      <c r="W177" s="1210"/>
      <c r="X177" s="1084"/>
      <c r="Y177" s="1085"/>
      <c r="Z177" s="1085"/>
      <c r="AA177" s="1085"/>
      <c r="AB177" s="1085"/>
      <c r="AC177" s="1085"/>
      <c r="AD177" s="1085" t="s">
        <v>501</v>
      </c>
      <c r="AE177" s="1404"/>
      <c r="AF177" s="1397"/>
      <c r="AG177" s="1443"/>
      <c r="AH177" s="1443"/>
      <c r="AI177" s="1443"/>
      <c r="AJ177" s="1397"/>
      <c r="AK177" s="1086"/>
      <c r="AL177" s="1397"/>
      <c r="AM177" s="1086"/>
      <c r="AN177" s="1397"/>
      <c r="AO177" s="1086"/>
      <c r="AP177" s="1397"/>
      <c r="AQ177" s="1086"/>
      <c r="AR177" s="1087"/>
      <c r="AS177" s="1087"/>
      <c r="AT177" s="1087"/>
      <c r="AU177" s="1087"/>
      <c r="AV177" s="1087"/>
    </row>
    <row r="178" spans="1:48" ht="12.75" thickTop="1">
      <c r="A178" s="1411"/>
      <c r="B178" s="1440"/>
      <c r="C178" s="1441"/>
      <c r="D178" s="1440"/>
      <c r="E178" s="1437"/>
      <c r="F178" s="1431"/>
      <c r="G178" s="1431"/>
      <c r="H178" s="1432"/>
      <c r="I178" s="1438"/>
      <c r="J178" s="1433"/>
      <c r="K178" s="1431"/>
      <c r="L178" s="1433"/>
      <c r="M178" s="1431"/>
      <c r="N178" s="1435"/>
      <c r="O178" s="1434"/>
      <c r="P178" s="1435"/>
      <c r="Q178" s="1431"/>
      <c r="R178" s="1436"/>
      <c r="S178" s="1438"/>
      <c r="T178" s="1393"/>
      <c r="U178" s="1438"/>
      <c r="V178" s="1438"/>
      <c r="W178" s="1325"/>
      <c r="X178" s="1069"/>
      <c r="Y178" s="1070"/>
      <c r="Z178" s="1070"/>
      <c r="AA178" s="1070"/>
      <c r="AB178" s="1070"/>
      <c r="AC178" s="1070"/>
      <c r="AD178" s="1036"/>
      <c r="AE178" s="1036"/>
      <c r="AF178" s="1036"/>
      <c r="AG178" s="1036"/>
      <c r="AH178" s="1036"/>
      <c r="AI178" s="1036"/>
      <c r="AJ178" s="1036"/>
      <c r="AK178" s="1036"/>
      <c r="AL178" s="1036"/>
      <c r="AM178" s="1036"/>
      <c r="AN178" s="1036"/>
      <c r="AO178" s="1036"/>
      <c r="AP178" s="1036"/>
      <c r="AQ178" s="1036"/>
      <c r="AR178" s="1051"/>
      <c r="AS178" s="1051"/>
      <c r="AT178" s="1051"/>
      <c r="AU178" s="1392"/>
      <c r="AV178" s="1051"/>
    </row>
    <row r="179" spans="1:48" ht="12.75" thickBot="1">
      <c r="A179" s="1413" t="s">
        <v>1690</v>
      </c>
      <c r="B179" s="1440"/>
      <c r="C179" s="1441"/>
      <c r="D179" s="1440"/>
      <c r="E179" s="1437"/>
      <c r="F179" s="1431"/>
      <c r="G179" s="1431"/>
      <c r="H179" s="1432"/>
      <c r="I179" s="1438"/>
      <c r="J179" s="1433"/>
      <c r="K179" s="1431"/>
      <c r="L179" s="1446">
        <f>+L177/$D177</f>
        <v>1956.8424999999995</v>
      </c>
      <c r="M179" s="1431"/>
      <c r="N179" s="1435"/>
      <c r="O179" s="1434"/>
      <c r="P179" s="1435"/>
      <c r="Q179" s="1431"/>
      <c r="R179" s="1436"/>
      <c r="S179" s="1438"/>
      <c r="T179" s="1446">
        <f>+T177/$D177</f>
        <v>2169.6486408538999</v>
      </c>
      <c r="U179" s="1438">
        <f>+T179-L179</f>
        <v>212.80614085390039</v>
      </c>
      <c r="V179" s="1438">
        <f>U179/L179</f>
        <v>0.10874975418507132</v>
      </c>
      <c r="W179" s="1325"/>
      <c r="X179" s="1069"/>
      <c r="Y179" s="1070"/>
      <c r="Z179" s="1070"/>
      <c r="AA179" s="1070"/>
      <c r="AB179" s="1070"/>
      <c r="AC179" s="1070"/>
      <c r="AD179" s="1036"/>
      <c r="AE179" s="1036"/>
      <c r="AF179" s="1036"/>
      <c r="AG179" s="1036"/>
      <c r="AH179" s="1036"/>
      <c r="AI179" s="1036"/>
      <c r="AJ179" s="1036"/>
      <c r="AK179" s="1036"/>
      <c r="AL179" s="1036"/>
      <c r="AM179" s="1036"/>
      <c r="AN179" s="1036"/>
      <c r="AO179" s="1036"/>
      <c r="AP179" s="1036"/>
      <c r="AQ179" s="1036"/>
      <c r="AR179" s="1051"/>
      <c r="AS179" s="1051"/>
      <c r="AT179" s="1051"/>
      <c r="AU179" s="1392"/>
      <c r="AV179" s="1051"/>
    </row>
    <row r="180" spans="1:48" ht="12.75" thickTop="1">
      <c r="A180" s="1407" t="s">
        <v>1689</v>
      </c>
      <c r="B180" s="1431">
        <v>1930</v>
      </c>
      <c r="C180" s="1437"/>
      <c r="D180" s="1431"/>
      <c r="E180" s="1437"/>
      <c r="F180" s="1431"/>
      <c r="G180" s="1431"/>
      <c r="H180" s="1459"/>
      <c r="I180" s="1438"/>
      <c r="J180" s="1433"/>
      <c r="K180" s="1431"/>
      <c r="L180" s="1433"/>
      <c r="M180" s="1431"/>
      <c r="N180" s="1435"/>
      <c r="O180" s="1434"/>
      <c r="P180" s="1435"/>
      <c r="Q180" s="1431"/>
      <c r="R180" s="1436"/>
      <c r="S180" s="1437"/>
      <c r="T180" s="1439"/>
      <c r="U180" s="1437"/>
      <c r="V180" s="1437"/>
      <c r="W180" s="1326"/>
      <c r="X180" s="1069"/>
      <c r="Y180" s="1070"/>
      <c r="Z180" s="1070"/>
      <c r="AA180" s="1070"/>
      <c r="AB180" s="1070"/>
      <c r="AC180" s="1070"/>
      <c r="AD180" s="1036"/>
      <c r="AE180" s="1036"/>
      <c r="AF180" s="1036"/>
      <c r="AG180" s="1036"/>
      <c r="AH180" s="1036"/>
      <c r="AI180" s="1036"/>
      <c r="AJ180" s="1036"/>
      <c r="AK180" s="1036"/>
      <c r="AL180" s="1036"/>
      <c r="AM180" s="1036"/>
      <c r="AN180" s="1036"/>
      <c r="AO180" s="1036"/>
      <c r="AP180" s="1036"/>
      <c r="AQ180" s="1036"/>
      <c r="AR180" s="1394"/>
      <c r="AS180" s="1394"/>
      <c r="AT180" s="1394"/>
      <c r="AU180" s="1394"/>
      <c r="AV180" s="1394"/>
    </row>
    <row r="181" spans="1:48">
      <c r="A181" s="1450" t="s">
        <v>878</v>
      </c>
      <c r="B181" s="1440"/>
      <c r="C181" s="1441"/>
      <c r="D181" s="1440">
        <v>12</v>
      </c>
      <c r="E181" s="1437"/>
      <c r="F181" s="1431"/>
      <c r="G181" s="1431"/>
      <c r="H181" s="1451">
        <v>378.43</v>
      </c>
      <c r="I181" s="1438"/>
      <c r="J181" s="1433">
        <f>+D181*H181</f>
        <v>4541.16</v>
      </c>
      <c r="K181" s="1431"/>
      <c r="L181" s="1433">
        <f>+J181</f>
        <v>4541.16</v>
      </c>
      <c r="M181" s="1431"/>
      <c r="N181" s="1435">
        <f>+D181</f>
        <v>12</v>
      </c>
      <c r="O181" s="1434"/>
      <c r="P181" s="1435"/>
      <c r="Q181" s="1431"/>
      <c r="R181" s="1452">
        <f>+H181*(1+$W$5)</f>
        <v>419.58416947625659</v>
      </c>
      <c r="S181" s="1438"/>
      <c r="T181" s="1453">
        <f>+N181*R181</f>
        <v>5035.0100337150789</v>
      </c>
      <c r="U181" s="1438"/>
      <c r="V181" s="1438"/>
      <c r="W181" s="1325"/>
      <c r="X181" s="1069"/>
      <c r="Y181" s="1070"/>
      <c r="Z181" s="1070"/>
      <c r="AA181" s="1070"/>
      <c r="AB181" s="1070"/>
      <c r="AC181" s="1070"/>
      <c r="AD181" s="1036"/>
      <c r="AE181" s="1036"/>
      <c r="AF181" s="1036"/>
      <c r="AG181" s="1036"/>
      <c r="AH181" s="1036"/>
      <c r="AI181" s="1036"/>
      <c r="AJ181" s="1036"/>
      <c r="AK181" s="1036"/>
      <c r="AL181" s="1036"/>
      <c r="AM181" s="1036"/>
      <c r="AN181" s="1036"/>
      <c r="AO181" s="1036"/>
      <c r="AP181" s="1036"/>
      <c r="AQ181" s="1036"/>
      <c r="AR181" s="1051"/>
      <c r="AS181" s="1051"/>
      <c r="AT181" s="1051"/>
      <c r="AU181" s="1392"/>
      <c r="AV181" s="1051"/>
    </row>
    <row r="182" spans="1:48">
      <c r="A182" s="1450" t="s">
        <v>879</v>
      </c>
      <c r="B182" s="1440"/>
      <c r="C182" s="1441"/>
      <c r="D182" s="1440"/>
      <c r="E182" s="1437"/>
      <c r="F182" s="1431">
        <v>438</v>
      </c>
      <c r="G182" s="1431"/>
      <c r="H182" s="1454">
        <v>2.5499999999999998</v>
      </c>
      <c r="I182" s="1438"/>
      <c r="J182" s="1435">
        <f>+F182*H182</f>
        <v>1116.8999999999999</v>
      </c>
      <c r="K182" s="1431"/>
      <c r="L182" s="1433">
        <f t="shared" ref="L182" si="88">+J182</f>
        <v>1116.8999999999999</v>
      </c>
      <c r="M182" s="1431"/>
      <c r="N182" s="1435"/>
      <c r="O182" s="1434"/>
      <c r="P182" s="1435">
        <f>+F182</f>
        <v>438</v>
      </c>
      <c r="Q182" s="1431"/>
      <c r="R182" s="1452">
        <f t="shared" ref="R182" si="89">+H182*(1+$W$5)</f>
        <v>2.827311873171932</v>
      </c>
      <c r="S182" s="1438"/>
      <c r="T182" s="1453">
        <f>+P182*R182</f>
        <v>1238.3626004493062</v>
      </c>
      <c r="U182" s="1438"/>
      <c r="V182" s="1438"/>
      <c r="W182" s="1325"/>
      <c r="X182" s="1069"/>
      <c r="Y182" s="1070"/>
      <c r="Z182" s="1070"/>
      <c r="AA182" s="1070"/>
      <c r="AB182" s="1070"/>
      <c r="AC182" s="1070"/>
      <c r="AD182" s="1036"/>
      <c r="AE182" s="1036"/>
      <c r="AF182" s="1036"/>
      <c r="AG182" s="1036"/>
      <c r="AH182" s="1036"/>
      <c r="AI182" s="1036"/>
      <c r="AJ182" s="1036"/>
      <c r="AK182" s="1036"/>
      <c r="AL182" s="1036"/>
      <c r="AM182" s="1036"/>
      <c r="AN182" s="1036"/>
      <c r="AO182" s="1036"/>
      <c r="AP182" s="1036"/>
      <c r="AQ182" s="1036"/>
      <c r="AR182" s="1051"/>
      <c r="AS182" s="1051"/>
      <c r="AT182" s="1051"/>
      <c r="AU182" s="1392"/>
      <c r="AV182" s="1051"/>
    </row>
    <row r="183" spans="1:48" s="1412" customFormat="1" ht="12.75" thickBot="1">
      <c r="A183" s="1411" t="s">
        <v>1688</v>
      </c>
      <c r="B183" s="1442">
        <f>SUM(B179:B182)</f>
        <v>1930</v>
      </c>
      <c r="C183" s="1443"/>
      <c r="D183" s="1442">
        <f>SUM(D179:D182)</f>
        <v>12</v>
      </c>
      <c r="E183" s="1443"/>
      <c r="F183" s="1442">
        <f>SUM(F179:F182)</f>
        <v>438</v>
      </c>
      <c r="G183" s="1396"/>
      <c r="H183" s="1398"/>
      <c r="I183" s="1397"/>
      <c r="J183" s="1444">
        <f>SUM(J180:J182)</f>
        <v>5658.0599999999995</v>
      </c>
      <c r="K183" s="1396"/>
      <c r="L183" s="1444">
        <f>SUM(L180:L182)</f>
        <v>5658.0599999999995</v>
      </c>
      <c r="M183" s="1396"/>
      <c r="N183" s="1460">
        <f>SUM(N180:N182)</f>
        <v>12</v>
      </c>
      <c r="O183" s="1434"/>
      <c r="P183" s="1460">
        <f>SUM(P180:P182)</f>
        <v>438</v>
      </c>
      <c r="Q183" s="1396"/>
      <c r="R183" s="1436"/>
      <c r="S183" s="1443"/>
      <c r="T183" s="1460">
        <f>SUM(T180:T182)</f>
        <v>6273.3726341643851</v>
      </c>
      <c r="U183" s="1443"/>
      <c r="V183" s="1443"/>
      <c r="W183" s="1210"/>
      <c r="X183" s="1084"/>
      <c r="Y183" s="1085"/>
      <c r="Z183" s="1085"/>
      <c r="AA183" s="1085"/>
      <c r="AB183" s="1085"/>
      <c r="AC183" s="1085"/>
      <c r="AD183" s="1085" t="s">
        <v>501</v>
      </c>
      <c r="AE183" s="1404"/>
      <c r="AF183" s="1397"/>
      <c r="AG183" s="1443"/>
      <c r="AH183" s="1443"/>
      <c r="AI183" s="1443"/>
      <c r="AJ183" s="1397"/>
      <c r="AK183" s="1086"/>
      <c r="AL183" s="1397"/>
      <c r="AM183" s="1086"/>
      <c r="AN183" s="1397"/>
      <c r="AO183" s="1086"/>
      <c r="AP183" s="1397"/>
      <c r="AQ183" s="1086"/>
      <c r="AR183" s="1087"/>
      <c r="AS183" s="1087"/>
      <c r="AT183" s="1087"/>
      <c r="AU183" s="1087"/>
      <c r="AV183" s="1087"/>
    </row>
    <row r="184" spans="1:48" ht="12.75" thickTop="1">
      <c r="A184" s="1411"/>
      <c r="B184" s="1440"/>
      <c r="C184" s="1441"/>
      <c r="D184" s="1440"/>
      <c r="E184" s="1437"/>
      <c r="F184" s="1431"/>
      <c r="G184" s="1431"/>
      <c r="H184" s="1432"/>
      <c r="I184" s="1438"/>
      <c r="J184" s="1433"/>
      <c r="K184" s="1431"/>
      <c r="L184" s="1433"/>
      <c r="M184" s="1431"/>
      <c r="N184" s="1435"/>
      <c r="O184" s="1434"/>
      <c r="P184" s="1435"/>
      <c r="Q184" s="1431"/>
      <c r="R184" s="1436"/>
      <c r="S184" s="1438"/>
      <c r="T184" s="1393"/>
      <c r="U184" s="1438"/>
      <c r="V184" s="1438"/>
      <c r="W184" s="1325"/>
      <c r="X184" s="1069"/>
      <c r="Y184" s="1070"/>
      <c r="Z184" s="1070"/>
      <c r="AA184" s="1070"/>
      <c r="AB184" s="1070"/>
      <c r="AC184" s="1070"/>
      <c r="AD184" s="1036"/>
      <c r="AE184" s="1036"/>
      <c r="AF184" s="1036"/>
      <c r="AG184" s="1036"/>
      <c r="AH184" s="1036"/>
      <c r="AI184" s="1036"/>
      <c r="AJ184" s="1036"/>
      <c r="AK184" s="1036"/>
      <c r="AL184" s="1036"/>
      <c r="AM184" s="1036"/>
      <c r="AN184" s="1036"/>
      <c r="AO184" s="1036"/>
      <c r="AP184" s="1036"/>
      <c r="AQ184" s="1036"/>
      <c r="AR184" s="1051"/>
      <c r="AS184" s="1051"/>
      <c r="AT184" s="1051"/>
      <c r="AU184" s="1392"/>
      <c r="AV184" s="1051"/>
    </row>
    <row r="185" spans="1:48" ht="12.75" thickBot="1">
      <c r="A185" s="1413" t="s">
        <v>1687</v>
      </c>
      <c r="B185" s="1440"/>
      <c r="C185" s="1441"/>
      <c r="D185" s="1440"/>
      <c r="E185" s="1437"/>
      <c r="F185" s="1431"/>
      <c r="G185" s="1431"/>
      <c r="H185" s="1432"/>
      <c r="I185" s="1438"/>
      <c r="J185" s="1433"/>
      <c r="K185" s="1431"/>
      <c r="L185" s="1446">
        <f>+L183/$D183</f>
        <v>471.50499999999994</v>
      </c>
      <c r="M185" s="1431"/>
      <c r="N185" s="1435"/>
      <c r="O185" s="1434"/>
      <c r="P185" s="1435"/>
      <c r="Q185" s="1431"/>
      <c r="R185" s="1436"/>
      <c r="S185" s="1438"/>
      <c r="T185" s="1446">
        <f>+T183/$D183</f>
        <v>522.78105284703213</v>
      </c>
      <c r="U185" s="1438">
        <f>+T185-L185</f>
        <v>51.27605284703219</v>
      </c>
      <c r="V185" s="1438">
        <f>U185/L185</f>
        <v>0.10874975418507163</v>
      </c>
      <c r="W185" s="1325"/>
      <c r="X185" s="1069"/>
      <c r="Y185" s="1070"/>
      <c r="Z185" s="1070"/>
      <c r="AA185" s="1070"/>
      <c r="AB185" s="1070"/>
      <c r="AC185" s="1070"/>
      <c r="AD185" s="1036"/>
      <c r="AE185" s="1036"/>
      <c r="AF185" s="1036"/>
      <c r="AG185" s="1036"/>
      <c r="AH185" s="1036"/>
      <c r="AI185" s="1036"/>
      <c r="AJ185" s="1036"/>
      <c r="AK185" s="1036"/>
      <c r="AL185" s="1036"/>
      <c r="AM185" s="1036"/>
      <c r="AN185" s="1036"/>
      <c r="AO185" s="1036"/>
      <c r="AP185" s="1036"/>
      <c r="AQ185" s="1036"/>
      <c r="AR185" s="1051"/>
      <c r="AS185" s="1051"/>
      <c r="AT185" s="1051"/>
      <c r="AU185" s="1392"/>
      <c r="AV185" s="1051"/>
    </row>
    <row r="186" spans="1:48" ht="12.75" thickTop="1">
      <c r="A186" s="1407" t="s">
        <v>1686</v>
      </c>
      <c r="B186" s="1431">
        <v>373</v>
      </c>
      <c r="C186" s="1437"/>
      <c r="D186" s="1431"/>
      <c r="E186" s="1437"/>
      <c r="F186" s="1431"/>
      <c r="G186" s="1431"/>
      <c r="H186" s="1459"/>
      <c r="I186" s="1438"/>
      <c r="J186" s="1433"/>
      <c r="K186" s="1431"/>
      <c r="L186" s="1433"/>
      <c r="M186" s="1431"/>
      <c r="N186" s="1435"/>
      <c r="O186" s="1434"/>
      <c r="P186" s="1435"/>
      <c r="Q186" s="1431"/>
      <c r="R186" s="1436"/>
      <c r="S186" s="1437"/>
      <c r="T186" s="1439"/>
      <c r="U186" s="1437"/>
      <c r="V186" s="1437"/>
      <c r="W186" s="1326"/>
      <c r="X186" s="1069"/>
      <c r="Y186" s="1070"/>
      <c r="Z186" s="1070"/>
      <c r="AA186" s="1070"/>
      <c r="AB186" s="1070"/>
      <c r="AC186" s="1070"/>
      <c r="AD186" s="1036"/>
      <c r="AE186" s="1036"/>
      <c r="AF186" s="1036"/>
      <c r="AG186" s="1036"/>
      <c r="AH186" s="1036"/>
      <c r="AI186" s="1036"/>
      <c r="AJ186" s="1036"/>
      <c r="AK186" s="1036"/>
      <c r="AL186" s="1036"/>
      <c r="AM186" s="1036"/>
      <c r="AN186" s="1036"/>
      <c r="AO186" s="1036"/>
      <c r="AP186" s="1036"/>
      <c r="AQ186" s="1036"/>
      <c r="AR186" s="1394"/>
      <c r="AS186" s="1394"/>
      <c r="AT186" s="1394"/>
      <c r="AU186" s="1394"/>
      <c r="AV186" s="1394"/>
    </row>
    <row r="187" spans="1:48">
      <c r="A187" s="1450" t="s">
        <v>878</v>
      </c>
      <c r="B187" s="1440"/>
      <c r="C187" s="1441"/>
      <c r="D187" s="1440">
        <v>12</v>
      </c>
      <c r="E187" s="1437"/>
      <c r="F187" s="1431"/>
      <c r="G187" s="1431"/>
      <c r="H187" s="1451">
        <v>378.43</v>
      </c>
      <c r="I187" s="1438"/>
      <c r="J187" s="1433">
        <f>+D187*H187</f>
        <v>4541.16</v>
      </c>
      <c r="K187" s="1431"/>
      <c r="L187" s="1433">
        <f>+J187</f>
        <v>4541.16</v>
      </c>
      <c r="M187" s="1431"/>
      <c r="N187" s="1435">
        <f>+D187</f>
        <v>12</v>
      </c>
      <c r="O187" s="1434"/>
      <c r="P187" s="1435"/>
      <c r="Q187" s="1431"/>
      <c r="R187" s="1452">
        <f>+H187*(1+$W$5)</f>
        <v>419.58416947625659</v>
      </c>
      <c r="S187" s="1438"/>
      <c r="T187" s="1453">
        <f>+N187*R187</f>
        <v>5035.0100337150789</v>
      </c>
      <c r="U187" s="1438"/>
      <c r="V187" s="1438"/>
      <c r="W187" s="1325"/>
      <c r="X187" s="1069"/>
      <c r="Y187" s="1070"/>
      <c r="Z187" s="1070"/>
      <c r="AA187" s="1070"/>
      <c r="AB187" s="1070"/>
      <c r="AC187" s="1070"/>
      <c r="AD187" s="1036"/>
      <c r="AE187" s="1036"/>
      <c r="AF187" s="1036"/>
      <c r="AG187" s="1036"/>
      <c r="AH187" s="1036"/>
      <c r="AI187" s="1036"/>
      <c r="AJ187" s="1036"/>
      <c r="AK187" s="1036"/>
      <c r="AL187" s="1036"/>
      <c r="AM187" s="1036"/>
      <c r="AN187" s="1036"/>
      <c r="AO187" s="1036"/>
      <c r="AP187" s="1036"/>
      <c r="AQ187" s="1036"/>
      <c r="AR187" s="1051"/>
      <c r="AS187" s="1051"/>
      <c r="AT187" s="1051"/>
      <c r="AU187" s="1392"/>
      <c r="AV187" s="1051"/>
    </row>
    <row r="188" spans="1:48">
      <c r="A188" s="1450" t="s">
        <v>879</v>
      </c>
      <c r="B188" s="1440"/>
      <c r="C188" s="1441"/>
      <c r="D188" s="1440"/>
      <c r="E188" s="1437"/>
      <c r="F188" s="1431">
        <v>0</v>
      </c>
      <c r="G188" s="1431"/>
      <c r="H188" s="1454">
        <v>2.5499999999999998</v>
      </c>
      <c r="I188" s="1438"/>
      <c r="J188" s="1435">
        <f>+F188*H188</f>
        <v>0</v>
      </c>
      <c r="K188" s="1431"/>
      <c r="L188" s="1433">
        <f t="shared" ref="L188" si="90">+J188</f>
        <v>0</v>
      </c>
      <c r="M188" s="1431"/>
      <c r="N188" s="1435"/>
      <c r="O188" s="1434"/>
      <c r="P188" s="1435">
        <f>+F188</f>
        <v>0</v>
      </c>
      <c r="Q188" s="1431"/>
      <c r="R188" s="1452">
        <f t="shared" ref="R188" si="91">+H188*(1+$W$5)</f>
        <v>2.827311873171932</v>
      </c>
      <c r="S188" s="1438"/>
      <c r="T188" s="1453">
        <f>+P188*R188</f>
        <v>0</v>
      </c>
      <c r="U188" s="1438"/>
      <c r="V188" s="1438"/>
      <c r="W188" s="1325"/>
      <c r="X188" s="1069"/>
      <c r="Y188" s="1070"/>
      <c r="Z188" s="1070"/>
      <c r="AA188" s="1070"/>
      <c r="AB188" s="1070"/>
      <c r="AC188" s="1070"/>
      <c r="AD188" s="1036"/>
      <c r="AE188" s="1036"/>
      <c r="AF188" s="1036"/>
      <c r="AG188" s="1036"/>
      <c r="AH188" s="1036"/>
      <c r="AI188" s="1036"/>
      <c r="AJ188" s="1036"/>
      <c r="AK188" s="1036"/>
      <c r="AL188" s="1036"/>
      <c r="AM188" s="1036"/>
      <c r="AN188" s="1036"/>
      <c r="AO188" s="1036"/>
      <c r="AP188" s="1036"/>
      <c r="AQ188" s="1036"/>
      <c r="AR188" s="1051"/>
      <c r="AS188" s="1051"/>
      <c r="AT188" s="1051"/>
      <c r="AU188" s="1392"/>
      <c r="AV188" s="1051"/>
    </row>
    <row r="189" spans="1:48" s="1412" customFormat="1" ht="12.75" thickBot="1">
      <c r="A189" s="1411" t="s">
        <v>1685</v>
      </c>
      <c r="B189" s="1442">
        <f>SUM(B186:B188)</f>
        <v>373</v>
      </c>
      <c r="C189" s="1443"/>
      <c r="D189" s="1442">
        <f>SUM(D186:D188)</f>
        <v>12</v>
      </c>
      <c r="E189" s="1443"/>
      <c r="F189" s="1442">
        <f>SUM(F186:F188)</f>
        <v>0</v>
      </c>
      <c r="G189" s="1396"/>
      <c r="H189" s="1398"/>
      <c r="I189" s="1397"/>
      <c r="J189" s="1444">
        <f>SUM(J186:J188)</f>
        <v>4541.16</v>
      </c>
      <c r="K189" s="1396"/>
      <c r="L189" s="1444">
        <f>SUM(L186:L188)</f>
        <v>4541.16</v>
      </c>
      <c r="M189" s="1396"/>
      <c r="N189" s="1445">
        <f>SUM(N186:N188)</f>
        <v>12</v>
      </c>
      <c r="O189" s="1400"/>
      <c r="P189" s="1445">
        <f>SUM(P186:P188)</f>
        <v>0</v>
      </c>
      <c r="Q189" s="1396"/>
      <c r="R189" s="1436"/>
      <c r="S189" s="1443"/>
      <c r="T189" s="1444">
        <f>SUM(T186:T188)</f>
        <v>5035.0100337150789</v>
      </c>
      <c r="U189" s="1443"/>
      <c r="V189" s="1443"/>
      <c r="W189" s="1210"/>
      <c r="X189" s="1084"/>
      <c r="Y189" s="1085"/>
      <c r="Z189" s="1085"/>
      <c r="AA189" s="1085"/>
      <c r="AB189" s="1085"/>
      <c r="AC189" s="1085"/>
      <c r="AD189" s="1085" t="s">
        <v>501</v>
      </c>
      <c r="AE189" s="1404"/>
      <c r="AF189" s="1397"/>
      <c r="AG189" s="1443"/>
      <c r="AH189" s="1443"/>
      <c r="AI189" s="1443"/>
      <c r="AJ189" s="1397"/>
      <c r="AK189" s="1086"/>
      <c r="AL189" s="1397"/>
      <c r="AM189" s="1086"/>
      <c r="AN189" s="1397"/>
      <c r="AO189" s="1086"/>
      <c r="AP189" s="1397"/>
      <c r="AQ189" s="1086"/>
      <c r="AR189" s="1087"/>
      <c r="AS189" s="1087"/>
      <c r="AT189" s="1087"/>
      <c r="AU189" s="1087"/>
      <c r="AV189" s="1087"/>
    </row>
    <row r="190" spans="1:48" ht="12.75" thickTop="1">
      <c r="A190" s="1411"/>
      <c r="B190" s="1440"/>
      <c r="C190" s="1441"/>
      <c r="D190" s="1440"/>
      <c r="E190" s="1437"/>
      <c r="F190" s="1431"/>
      <c r="G190" s="1431"/>
      <c r="H190" s="1432"/>
      <c r="I190" s="1438"/>
      <c r="J190" s="1433"/>
      <c r="K190" s="1431"/>
      <c r="L190" s="1433"/>
      <c r="M190" s="1431"/>
      <c r="N190" s="1435"/>
      <c r="O190" s="1434"/>
      <c r="P190" s="1435"/>
      <c r="Q190" s="1431"/>
      <c r="R190" s="1436"/>
      <c r="S190" s="1438"/>
      <c r="T190" s="1393"/>
      <c r="U190" s="1438"/>
      <c r="V190" s="1438"/>
      <c r="W190" s="1325"/>
      <c r="X190" s="1069"/>
      <c r="Y190" s="1070"/>
      <c r="Z190" s="1070"/>
      <c r="AA190" s="1070"/>
      <c r="AB190" s="1070"/>
      <c r="AC190" s="1070"/>
      <c r="AD190" s="1036"/>
      <c r="AE190" s="1036"/>
      <c r="AF190" s="1036"/>
      <c r="AG190" s="1036"/>
      <c r="AH190" s="1036"/>
      <c r="AI190" s="1036"/>
      <c r="AJ190" s="1036"/>
      <c r="AK190" s="1036"/>
      <c r="AL190" s="1036"/>
      <c r="AM190" s="1036"/>
      <c r="AN190" s="1036"/>
      <c r="AO190" s="1036"/>
      <c r="AP190" s="1036"/>
      <c r="AQ190" s="1036"/>
      <c r="AR190" s="1051"/>
      <c r="AS190" s="1051"/>
      <c r="AT190" s="1051"/>
      <c r="AU190" s="1392"/>
      <c r="AV190" s="1051"/>
    </row>
    <row r="191" spans="1:48" ht="12.75" thickBot="1">
      <c r="A191" s="1413" t="s">
        <v>1684</v>
      </c>
      <c r="B191" s="1440"/>
      <c r="C191" s="1441"/>
      <c r="D191" s="1440"/>
      <c r="E191" s="1437"/>
      <c r="F191" s="1431"/>
      <c r="G191" s="1431"/>
      <c r="H191" s="1432"/>
      <c r="I191" s="1438"/>
      <c r="J191" s="1433"/>
      <c r="K191" s="1431"/>
      <c r="L191" s="1446">
        <f>+L189/$D189</f>
        <v>378.43</v>
      </c>
      <c r="M191" s="1431"/>
      <c r="N191" s="1435"/>
      <c r="O191" s="1434"/>
      <c r="P191" s="1435"/>
      <c r="Q191" s="1431"/>
      <c r="R191" s="1436"/>
      <c r="S191" s="1438"/>
      <c r="T191" s="1446">
        <f>+T189/$D189</f>
        <v>419.58416947625659</v>
      </c>
      <c r="U191" s="1438">
        <f>+T191-L191</f>
        <v>41.154169476256584</v>
      </c>
      <c r="V191" s="1438">
        <f>U191/L191</f>
        <v>0.10874975418507143</v>
      </c>
      <c r="W191" s="1325"/>
      <c r="X191" s="1069"/>
      <c r="Y191" s="1070"/>
      <c r="Z191" s="1070"/>
      <c r="AA191" s="1070"/>
      <c r="AB191" s="1070"/>
      <c r="AC191" s="1070"/>
      <c r="AD191" s="1036"/>
      <c r="AE191" s="1036"/>
      <c r="AF191" s="1036"/>
      <c r="AG191" s="1036"/>
      <c r="AH191" s="1036"/>
      <c r="AI191" s="1036"/>
      <c r="AJ191" s="1036"/>
      <c r="AK191" s="1036"/>
      <c r="AL191" s="1036"/>
      <c r="AM191" s="1036"/>
      <c r="AN191" s="1036"/>
      <c r="AO191" s="1036"/>
      <c r="AP191" s="1036"/>
      <c r="AQ191" s="1036"/>
      <c r="AR191" s="1051"/>
      <c r="AS191" s="1051"/>
      <c r="AT191" s="1051"/>
      <c r="AU191" s="1392"/>
      <c r="AV191" s="1051"/>
    </row>
    <row r="192" spans="1:48" ht="12.75" thickTop="1">
      <c r="A192" s="1407" t="s">
        <v>1683</v>
      </c>
      <c r="B192" s="1431">
        <v>1258</v>
      </c>
      <c r="C192" s="1437"/>
      <c r="D192" s="1431"/>
      <c r="E192" s="1437"/>
      <c r="F192" s="1431"/>
      <c r="G192" s="1431"/>
      <c r="H192" s="1459"/>
      <c r="I192" s="1438"/>
      <c r="J192" s="1433"/>
      <c r="K192" s="1431"/>
      <c r="L192" s="1433"/>
      <c r="M192" s="1431"/>
      <c r="N192" s="1435"/>
      <c r="O192" s="1434"/>
      <c r="P192" s="1435"/>
      <c r="Q192" s="1431"/>
      <c r="R192" s="1436"/>
      <c r="S192" s="1437"/>
      <c r="T192" s="1439"/>
      <c r="U192" s="1437"/>
      <c r="V192" s="1437"/>
      <c r="W192" s="1326"/>
      <c r="X192" s="1069"/>
      <c r="Y192" s="1070"/>
      <c r="Z192" s="1070"/>
      <c r="AA192" s="1070"/>
      <c r="AB192" s="1070"/>
      <c r="AC192" s="1070"/>
      <c r="AD192" s="1036"/>
      <c r="AE192" s="1036"/>
      <c r="AF192" s="1036"/>
      <c r="AG192" s="1036"/>
      <c r="AH192" s="1036"/>
      <c r="AI192" s="1036"/>
      <c r="AJ192" s="1036"/>
      <c r="AK192" s="1036"/>
      <c r="AL192" s="1036"/>
      <c r="AM192" s="1036"/>
      <c r="AN192" s="1036"/>
      <c r="AO192" s="1036"/>
      <c r="AP192" s="1036"/>
      <c r="AQ192" s="1036"/>
      <c r="AR192" s="1394"/>
      <c r="AS192" s="1394"/>
      <c r="AT192" s="1394"/>
      <c r="AU192" s="1394"/>
      <c r="AV192" s="1394"/>
    </row>
    <row r="193" spans="1:48">
      <c r="A193" s="1450" t="s">
        <v>878</v>
      </c>
      <c r="B193" s="1440"/>
      <c r="C193" s="1441"/>
      <c r="D193" s="1440">
        <v>12</v>
      </c>
      <c r="E193" s="1437"/>
      <c r="F193" s="1431"/>
      <c r="G193" s="1431"/>
      <c r="H193" s="1451">
        <v>378.43</v>
      </c>
      <c r="I193" s="1438"/>
      <c r="J193" s="1433">
        <f>+D193*H193</f>
        <v>4541.16</v>
      </c>
      <c r="K193" s="1431"/>
      <c r="L193" s="1433">
        <f>+J193</f>
        <v>4541.16</v>
      </c>
      <c r="M193" s="1431"/>
      <c r="N193" s="1435">
        <f>+D193</f>
        <v>12</v>
      </c>
      <c r="O193" s="1434"/>
      <c r="P193" s="1435"/>
      <c r="Q193" s="1431"/>
      <c r="R193" s="1452">
        <f>+H193*(1+$W$5)</f>
        <v>419.58416947625659</v>
      </c>
      <c r="S193" s="1438"/>
      <c r="T193" s="1453">
        <f>+N193*R193</f>
        <v>5035.0100337150789</v>
      </c>
      <c r="U193" s="1438"/>
      <c r="V193" s="1438"/>
      <c r="W193" s="1325"/>
      <c r="X193" s="1069"/>
      <c r="Y193" s="1070"/>
      <c r="Z193" s="1070"/>
      <c r="AA193" s="1070"/>
      <c r="AB193" s="1070"/>
      <c r="AC193" s="1070"/>
      <c r="AD193" s="1036"/>
      <c r="AE193" s="1036"/>
      <c r="AF193" s="1036"/>
      <c r="AG193" s="1036"/>
      <c r="AH193" s="1036"/>
      <c r="AI193" s="1036"/>
      <c r="AJ193" s="1036"/>
      <c r="AK193" s="1036"/>
      <c r="AL193" s="1036"/>
      <c r="AM193" s="1036"/>
      <c r="AN193" s="1036"/>
      <c r="AO193" s="1036"/>
      <c r="AP193" s="1036"/>
      <c r="AQ193" s="1036"/>
      <c r="AR193" s="1051"/>
      <c r="AS193" s="1051"/>
      <c r="AT193" s="1051"/>
      <c r="AU193" s="1392"/>
      <c r="AV193" s="1051"/>
    </row>
    <row r="194" spans="1:48">
      <c r="A194" s="1450" t="s">
        <v>879</v>
      </c>
      <c r="B194" s="1440"/>
      <c r="C194" s="1441"/>
      <c r="D194" s="1440"/>
      <c r="E194" s="1437"/>
      <c r="F194" s="1431">
        <v>19.999999999999996</v>
      </c>
      <c r="G194" s="1431"/>
      <c r="H194" s="1454">
        <v>2.5499999999999998</v>
      </c>
      <c r="I194" s="1438"/>
      <c r="J194" s="1435">
        <f>+F194*H194</f>
        <v>50.999999999999986</v>
      </c>
      <c r="K194" s="1431"/>
      <c r="L194" s="1433">
        <f t="shared" ref="L194" si="92">+J194</f>
        <v>50.999999999999986</v>
      </c>
      <c r="M194" s="1431"/>
      <c r="N194" s="1435"/>
      <c r="O194" s="1434"/>
      <c r="P194" s="1435">
        <f>+F194</f>
        <v>19.999999999999996</v>
      </c>
      <c r="Q194" s="1431"/>
      <c r="R194" s="1452">
        <f t="shared" ref="R194" si="93">+H194*(1+$W$5)</f>
        <v>2.827311873171932</v>
      </c>
      <c r="S194" s="1438"/>
      <c r="T194" s="1453">
        <f>+P194*R194</f>
        <v>56.546237463438629</v>
      </c>
      <c r="U194" s="1438"/>
      <c r="V194" s="1438"/>
      <c r="W194" s="1325"/>
      <c r="X194" s="1069"/>
      <c r="Y194" s="1070"/>
      <c r="Z194" s="1070"/>
      <c r="AA194" s="1070"/>
      <c r="AB194" s="1070"/>
      <c r="AC194" s="1070"/>
      <c r="AD194" s="1036"/>
      <c r="AE194" s="1036"/>
      <c r="AF194" s="1036"/>
      <c r="AG194" s="1036"/>
      <c r="AH194" s="1036"/>
      <c r="AI194" s="1036"/>
      <c r="AJ194" s="1036"/>
      <c r="AK194" s="1036"/>
      <c r="AL194" s="1036"/>
      <c r="AM194" s="1036"/>
      <c r="AN194" s="1036"/>
      <c r="AO194" s="1036"/>
      <c r="AP194" s="1036"/>
      <c r="AQ194" s="1036"/>
      <c r="AR194" s="1051"/>
      <c r="AS194" s="1051"/>
      <c r="AT194" s="1051"/>
      <c r="AU194" s="1392"/>
      <c r="AV194" s="1051"/>
    </row>
    <row r="195" spans="1:48" s="1412" customFormat="1" ht="12.75" thickBot="1">
      <c r="A195" s="1411" t="s">
        <v>1682</v>
      </c>
      <c r="B195" s="1442">
        <f>SUM(B192:B194)</f>
        <v>1258</v>
      </c>
      <c r="C195" s="1443"/>
      <c r="D195" s="1442">
        <f>SUM(D192:D194)</f>
        <v>12</v>
      </c>
      <c r="E195" s="1443"/>
      <c r="F195" s="1442">
        <f>SUM(F192:F194)</f>
        <v>19.999999999999996</v>
      </c>
      <c r="G195" s="1396"/>
      <c r="H195" s="1398"/>
      <c r="I195" s="1397"/>
      <c r="J195" s="1444">
        <f>SUM(J192:J194)</f>
        <v>4592.16</v>
      </c>
      <c r="K195" s="1396"/>
      <c r="L195" s="1444">
        <f>SUM(L192:L194)</f>
        <v>4592.16</v>
      </c>
      <c r="M195" s="1396"/>
      <c r="N195" s="1445">
        <f>SUM(N192:N194)</f>
        <v>12</v>
      </c>
      <c r="O195" s="1400"/>
      <c r="P195" s="1445">
        <f>SUM(P192:P194)</f>
        <v>19.999999999999996</v>
      </c>
      <c r="Q195" s="1396"/>
      <c r="R195" s="1436"/>
      <c r="S195" s="1443"/>
      <c r="T195" s="1444">
        <f>SUM(T192:T194)</f>
        <v>5091.5562711785178</v>
      </c>
      <c r="U195" s="1443"/>
      <c r="V195" s="1443"/>
      <c r="W195" s="1210"/>
      <c r="X195" s="1084"/>
      <c r="Y195" s="1085"/>
      <c r="Z195" s="1085"/>
      <c r="AA195" s="1085"/>
      <c r="AB195" s="1085"/>
      <c r="AC195" s="1085"/>
      <c r="AD195" s="1085" t="s">
        <v>501</v>
      </c>
      <c r="AE195" s="1404"/>
      <c r="AF195" s="1397"/>
      <c r="AG195" s="1443"/>
      <c r="AH195" s="1443"/>
      <c r="AI195" s="1443"/>
      <c r="AJ195" s="1397"/>
      <c r="AK195" s="1086"/>
      <c r="AL195" s="1397"/>
      <c r="AM195" s="1086"/>
      <c r="AN195" s="1397"/>
      <c r="AO195" s="1086"/>
      <c r="AP195" s="1397"/>
      <c r="AQ195" s="1086"/>
      <c r="AR195" s="1087"/>
      <c r="AS195" s="1087"/>
      <c r="AT195" s="1087"/>
      <c r="AU195" s="1087"/>
      <c r="AV195" s="1087"/>
    </row>
    <row r="196" spans="1:48" ht="12.75" thickTop="1">
      <c r="A196" s="1411"/>
      <c r="B196" s="1440"/>
      <c r="C196" s="1441"/>
      <c r="D196" s="1440"/>
      <c r="E196" s="1437"/>
      <c r="F196" s="1431"/>
      <c r="G196" s="1431"/>
      <c r="H196" s="1432"/>
      <c r="I196" s="1438"/>
      <c r="J196" s="1433"/>
      <c r="K196" s="1431"/>
      <c r="L196" s="1433"/>
      <c r="M196" s="1431"/>
      <c r="N196" s="1435"/>
      <c r="O196" s="1434"/>
      <c r="P196" s="1435"/>
      <c r="Q196" s="1431"/>
      <c r="R196" s="1436"/>
      <c r="S196" s="1438"/>
      <c r="T196" s="1393"/>
      <c r="U196" s="1438"/>
      <c r="V196" s="1438"/>
      <c r="W196" s="1325"/>
      <c r="X196" s="1069"/>
      <c r="Y196" s="1070"/>
      <c r="Z196" s="1070"/>
      <c r="AA196" s="1070"/>
      <c r="AB196" s="1070"/>
      <c r="AC196" s="1070"/>
      <c r="AD196" s="1036"/>
      <c r="AE196" s="1036"/>
      <c r="AF196" s="1036"/>
      <c r="AG196" s="1036"/>
      <c r="AH196" s="1036"/>
      <c r="AI196" s="1036"/>
      <c r="AJ196" s="1036"/>
      <c r="AK196" s="1036"/>
      <c r="AL196" s="1036"/>
      <c r="AM196" s="1036"/>
      <c r="AN196" s="1036"/>
      <c r="AO196" s="1036"/>
      <c r="AP196" s="1036"/>
      <c r="AQ196" s="1036"/>
      <c r="AR196" s="1051"/>
      <c r="AS196" s="1051"/>
      <c r="AT196" s="1051"/>
      <c r="AU196" s="1392"/>
      <c r="AV196" s="1051"/>
    </row>
    <row r="197" spans="1:48" ht="12.75" thickBot="1">
      <c r="A197" s="1413" t="s">
        <v>1681</v>
      </c>
      <c r="B197" s="1440"/>
      <c r="C197" s="1441"/>
      <c r="D197" s="1440"/>
      <c r="E197" s="1437"/>
      <c r="F197" s="1431"/>
      <c r="G197" s="1431"/>
      <c r="H197" s="1432"/>
      <c r="I197" s="1438"/>
      <c r="J197" s="1433"/>
      <c r="K197" s="1431"/>
      <c r="L197" s="1446">
        <f>+L195/$D195</f>
        <v>382.68</v>
      </c>
      <c r="M197" s="1431"/>
      <c r="N197" s="1435"/>
      <c r="O197" s="1434"/>
      <c r="P197" s="1435"/>
      <c r="Q197" s="1431"/>
      <c r="R197" s="1436"/>
      <c r="S197" s="1438"/>
      <c r="T197" s="1446">
        <f>+T195/$D195</f>
        <v>424.29635593154313</v>
      </c>
      <c r="U197" s="1438">
        <f>+T197-L197</f>
        <v>41.616355931543126</v>
      </c>
      <c r="V197" s="1438">
        <f>U197/L197</f>
        <v>0.10874975418507141</v>
      </c>
      <c r="W197" s="1325"/>
      <c r="X197" s="1069"/>
      <c r="Y197" s="1070"/>
      <c r="Z197" s="1070"/>
      <c r="AA197" s="1070"/>
      <c r="AB197" s="1070"/>
      <c r="AC197" s="1070"/>
      <c r="AD197" s="1036"/>
      <c r="AE197" s="1036"/>
      <c r="AF197" s="1036"/>
      <c r="AG197" s="1036"/>
      <c r="AH197" s="1036"/>
      <c r="AI197" s="1036"/>
      <c r="AJ197" s="1036"/>
      <c r="AK197" s="1036"/>
      <c r="AL197" s="1036"/>
      <c r="AM197" s="1036"/>
      <c r="AN197" s="1036"/>
      <c r="AO197" s="1036"/>
      <c r="AP197" s="1036"/>
      <c r="AQ197" s="1036"/>
      <c r="AR197" s="1051"/>
      <c r="AS197" s="1051"/>
      <c r="AT197" s="1051"/>
      <c r="AU197" s="1392"/>
      <c r="AV197" s="1051"/>
    </row>
    <row r="198" spans="1:48" ht="12.75" thickTop="1">
      <c r="A198" s="1407" t="s">
        <v>1680</v>
      </c>
      <c r="B198" s="1431">
        <v>1809</v>
      </c>
      <c r="C198" s="1437"/>
      <c r="D198" s="1431"/>
      <c r="E198" s="1437"/>
      <c r="F198" s="1431"/>
      <c r="G198" s="1431"/>
      <c r="H198" s="1459"/>
      <c r="I198" s="1438"/>
      <c r="J198" s="1433"/>
      <c r="K198" s="1431"/>
      <c r="L198" s="1433"/>
      <c r="M198" s="1431"/>
      <c r="N198" s="1435"/>
      <c r="O198" s="1434"/>
      <c r="P198" s="1435"/>
      <c r="Q198" s="1431"/>
      <c r="R198" s="1436"/>
      <c r="S198" s="1437"/>
      <c r="T198" s="1439"/>
      <c r="U198" s="1437"/>
      <c r="V198" s="1438"/>
      <c r="W198" s="1326"/>
      <c r="X198" s="1069"/>
      <c r="Y198" s="1070"/>
      <c r="Z198" s="1070"/>
      <c r="AA198" s="1070"/>
      <c r="AB198" s="1070"/>
      <c r="AC198" s="1070"/>
      <c r="AD198" s="1036"/>
      <c r="AE198" s="1036"/>
      <c r="AF198" s="1036"/>
      <c r="AG198" s="1036"/>
      <c r="AH198" s="1036"/>
      <c r="AI198" s="1036"/>
      <c r="AJ198" s="1036"/>
      <c r="AK198" s="1036"/>
      <c r="AL198" s="1036"/>
      <c r="AM198" s="1036"/>
      <c r="AN198" s="1036"/>
      <c r="AO198" s="1036"/>
      <c r="AP198" s="1036"/>
      <c r="AQ198" s="1036"/>
      <c r="AR198" s="1394"/>
      <c r="AS198" s="1394"/>
      <c r="AT198" s="1394"/>
      <c r="AU198" s="1394"/>
      <c r="AV198" s="1394"/>
    </row>
    <row r="199" spans="1:48">
      <c r="A199" s="1450" t="s">
        <v>588</v>
      </c>
      <c r="B199" s="1440"/>
      <c r="C199" s="1441"/>
      <c r="D199" s="1440">
        <v>24</v>
      </c>
      <c r="E199" s="1437"/>
      <c r="F199" s="1431"/>
      <c r="G199" s="1431"/>
      <c r="H199" s="1451">
        <v>771.41</v>
      </c>
      <c r="I199" s="1438"/>
      <c r="J199" s="1433">
        <f>+D199*H199</f>
        <v>18513.84</v>
      </c>
      <c r="K199" s="1431"/>
      <c r="L199" s="1433">
        <f>+J199</f>
        <v>18513.84</v>
      </c>
      <c r="M199" s="1431"/>
      <c r="N199" s="1435">
        <f>+D199</f>
        <v>24</v>
      </c>
      <c r="O199" s="1434"/>
      <c r="P199" s="1435"/>
      <c r="Q199" s="1431"/>
      <c r="R199" s="1452">
        <f>+H199*(1+$W$5)</f>
        <v>855.30064787590595</v>
      </c>
      <c r="S199" s="1438"/>
      <c r="T199" s="1453">
        <f>+N199*R199</f>
        <v>20527.215549021741</v>
      </c>
      <c r="U199" s="1438"/>
      <c r="V199" s="1438"/>
      <c r="W199" s="1325"/>
      <c r="X199" s="1069"/>
      <c r="Y199" s="1070"/>
      <c r="Z199" s="1070"/>
      <c r="AA199" s="1070"/>
      <c r="AB199" s="1070"/>
      <c r="AC199" s="1070"/>
      <c r="AD199" s="1036"/>
      <c r="AE199" s="1036"/>
      <c r="AF199" s="1036"/>
      <c r="AG199" s="1036"/>
      <c r="AH199" s="1036"/>
      <c r="AI199" s="1036"/>
      <c r="AJ199" s="1036"/>
      <c r="AK199" s="1036"/>
      <c r="AL199" s="1036"/>
      <c r="AM199" s="1036"/>
      <c r="AN199" s="1036"/>
      <c r="AO199" s="1036"/>
      <c r="AP199" s="1036"/>
      <c r="AQ199" s="1036"/>
      <c r="AR199" s="1051"/>
      <c r="AS199" s="1051"/>
      <c r="AT199" s="1051"/>
      <c r="AU199" s="1392"/>
      <c r="AV199" s="1051"/>
    </row>
    <row r="200" spans="1:48">
      <c r="A200" s="1461" t="s">
        <v>875</v>
      </c>
      <c r="B200" s="1440"/>
      <c r="C200" s="1441"/>
      <c r="D200" s="1440"/>
      <c r="E200" s="1437"/>
      <c r="F200" s="1431">
        <v>0</v>
      </c>
      <c r="G200" s="1431"/>
      <c r="H200" s="1454">
        <v>2.5499999999999998</v>
      </c>
      <c r="I200" s="1438"/>
      <c r="J200" s="1435">
        <f>+F200*H200</f>
        <v>0</v>
      </c>
      <c r="K200" s="1431"/>
      <c r="L200" s="1433">
        <f t="shared" ref="L200" si="94">+J200</f>
        <v>0</v>
      </c>
      <c r="M200" s="1431"/>
      <c r="N200" s="1435"/>
      <c r="O200" s="1434"/>
      <c r="P200" s="1435">
        <f>+F200</f>
        <v>0</v>
      </c>
      <c r="Q200" s="1431"/>
      <c r="R200" s="1452">
        <f t="shared" ref="R200" si="95">+H200*(1+$W$5)</f>
        <v>2.827311873171932</v>
      </c>
      <c r="S200" s="1438"/>
      <c r="T200" s="1453">
        <f>+P200*R200</f>
        <v>0</v>
      </c>
      <c r="U200" s="1438"/>
      <c r="V200" s="1438"/>
      <c r="W200" s="1325"/>
      <c r="X200" s="1069"/>
      <c r="Y200" s="1070"/>
      <c r="Z200" s="1070"/>
      <c r="AA200" s="1070"/>
      <c r="AB200" s="1070"/>
      <c r="AC200" s="1070"/>
      <c r="AD200" s="1036"/>
      <c r="AE200" s="1036"/>
      <c r="AF200" s="1036"/>
      <c r="AG200" s="1036"/>
      <c r="AH200" s="1036"/>
      <c r="AI200" s="1036"/>
      <c r="AJ200" s="1036"/>
      <c r="AK200" s="1036"/>
      <c r="AL200" s="1036"/>
      <c r="AM200" s="1036"/>
      <c r="AN200" s="1036"/>
      <c r="AO200" s="1036"/>
      <c r="AP200" s="1036"/>
      <c r="AQ200" s="1036"/>
      <c r="AR200" s="1051"/>
      <c r="AS200" s="1051"/>
      <c r="AT200" s="1051"/>
      <c r="AU200" s="1392"/>
      <c r="AV200" s="1051"/>
    </row>
    <row r="201" spans="1:48" s="1412" customFormat="1" ht="12.75" thickBot="1">
      <c r="A201" s="1411" t="s">
        <v>1679</v>
      </c>
      <c r="B201" s="1442">
        <f>SUM(B198:B200)</f>
        <v>1809</v>
      </c>
      <c r="C201" s="1443"/>
      <c r="D201" s="1442">
        <f>SUM(D198:D200)</f>
        <v>24</v>
      </c>
      <c r="E201" s="1443"/>
      <c r="F201" s="1442">
        <f>SUM(F198:F200)</f>
        <v>0</v>
      </c>
      <c r="G201" s="1396"/>
      <c r="H201" s="1398"/>
      <c r="I201" s="1397"/>
      <c r="J201" s="1444">
        <f>SUM(J199:J200)</f>
        <v>18513.84</v>
      </c>
      <c r="K201" s="1396"/>
      <c r="L201" s="1444">
        <f>SUM(L199:L200)</f>
        <v>18513.84</v>
      </c>
      <c r="M201" s="1396"/>
      <c r="N201" s="1442">
        <f>SUM(N198:N200)</f>
        <v>24</v>
      </c>
      <c r="O201" s="1400"/>
      <c r="P201" s="1442">
        <f>SUM(P198:P200)</f>
        <v>0</v>
      </c>
      <c r="Q201" s="1396"/>
      <c r="R201" s="1436"/>
      <c r="S201" s="1443"/>
      <c r="T201" s="1444">
        <f>SUM(T199:T200)</f>
        <v>20527.215549021741</v>
      </c>
      <c r="U201" s="1443"/>
      <c r="V201" s="1443"/>
      <c r="W201" s="1210"/>
      <c r="X201" s="1084"/>
      <c r="Y201" s="1085"/>
      <c r="Z201" s="1085"/>
      <c r="AA201" s="1085"/>
      <c r="AB201" s="1085"/>
      <c r="AC201" s="1085"/>
      <c r="AD201" s="1085" t="s">
        <v>501</v>
      </c>
      <c r="AE201" s="1404"/>
      <c r="AF201" s="1397"/>
      <c r="AG201" s="1443"/>
      <c r="AH201" s="1443"/>
      <c r="AI201" s="1443"/>
      <c r="AJ201" s="1397"/>
      <c r="AK201" s="1086"/>
      <c r="AL201" s="1397"/>
      <c r="AM201" s="1086"/>
      <c r="AN201" s="1397"/>
      <c r="AO201" s="1086"/>
      <c r="AP201" s="1397"/>
      <c r="AQ201" s="1086"/>
      <c r="AR201" s="1087"/>
      <c r="AS201" s="1087"/>
      <c r="AT201" s="1087"/>
      <c r="AU201" s="1087"/>
      <c r="AV201" s="1087"/>
    </row>
    <row r="202" spans="1:48" ht="12.75" thickTop="1">
      <c r="A202" s="1411"/>
      <c r="B202" s="1440"/>
      <c r="C202" s="1441"/>
      <c r="D202" s="1440"/>
      <c r="E202" s="1437"/>
      <c r="F202" s="1431"/>
      <c r="G202" s="1431"/>
      <c r="H202" s="1432"/>
      <c r="I202" s="1438"/>
      <c r="J202" s="1433"/>
      <c r="K202" s="1431"/>
      <c r="L202" s="1433"/>
      <c r="M202" s="1431"/>
      <c r="N202" s="1435"/>
      <c r="O202" s="1434"/>
      <c r="P202" s="1435"/>
      <c r="Q202" s="1431"/>
      <c r="R202" s="1436"/>
      <c r="S202" s="1438"/>
      <c r="T202" s="1393"/>
      <c r="U202" s="1438"/>
      <c r="V202" s="1438"/>
      <c r="W202" s="1325"/>
      <c r="X202" s="1069"/>
      <c r="Y202" s="1070"/>
      <c r="Z202" s="1070"/>
      <c r="AA202" s="1070"/>
      <c r="AB202" s="1070"/>
      <c r="AC202" s="1070"/>
      <c r="AD202" s="1036"/>
      <c r="AE202" s="1036"/>
      <c r="AF202" s="1036"/>
      <c r="AG202" s="1036"/>
      <c r="AH202" s="1036"/>
      <c r="AI202" s="1036"/>
      <c r="AJ202" s="1036"/>
      <c r="AK202" s="1036"/>
      <c r="AL202" s="1036"/>
      <c r="AM202" s="1036"/>
      <c r="AN202" s="1036"/>
      <c r="AO202" s="1036"/>
      <c r="AP202" s="1036"/>
      <c r="AQ202" s="1036"/>
      <c r="AR202" s="1051"/>
      <c r="AS202" s="1051"/>
      <c r="AT202" s="1051"/>
      <c r="AU202" s="1392"/>
      <c r="AV202" s="1051"/>
    </row>
    <row r="203" spans="1:48" ht="12.75" thickBot="1">
      <c r="A203" s="1413" t="s">
        <v>1678</v>
      </c>
      <c r="B203" s="1440"/>
      <c r="C203" s="1441"/>
      <c r="D203" s="1440"/>
      <c r="E203" s="1437"/>
      <c r="F203" s="1431"/>
      <c r="G203" s="1431"/>
      <c r="H203" s="1432"/>
      <c r="I203" s="1438"/>
      <c r="J203" s="1433"/>
      <c r="K203" s="1431"/>
      <c r="L203" s="1446">
        <f>+L201/$D201</f>
        <v>771.41</v>
      </c>
      <c r="M203" s="1431"/>
      <c r="N203" s="1435"/>
      <c r="O203" s="1434"/>
      <c r="P203" s="1435"/>
      <c r="Q203" s="1431"/>
      <c r="R203" s="1436"/>
      <c r="S203" s="1438"/>
      <c r="T203" s="1446">
        <f>+T201/$D201</f>
        <v>855.30064787590584</v>
      </c>
      <c r="U203" s="1438">
        <f>+T203-L203</f>
        <v>83.89064787590587</v>
      </c>
      <c r="V203" s="1438">
        <f>U203/L203</f>
        <v>0.10874975418507132</v>
      </c>
      <c r="W203" s="1325"/>
      <c r="X203" s="1069"/>
      <c r="Y203" s="1070"/>
      <c r="Z203" s="1070"/>
      <c r="AA203" s="1070"/>
      <c r="AB203" s="1070"/>
      <c r="AC203" s="1070"/>
      <c r="AD203" s="1036"/>
      <c r="AE203" s="1036"/>
      <c r="AF203" s="1036"/>
      <c r="AG203" s="1036"/>
      <c r="AH203" s="1036"/>
      <c r="AI203" s="1036"/>
      <c r="AJ203" s="1036"/>
      <c r="AK203" s="1036"/>
      <c r="AL203" s="1036"/>
      <c r="AM203" s="1036"/>
      <c r="AN203" s="1036"/>
      <c r="AO203" s="1036"/>
      <c r="AP203" s="1036"/>
      <c r="AQ203" s="1036"/>
      <c r="AR203" s="1051"/>
      <c r="AS203" s="1051"/>
      <c r="AT203" s="1051"/>
      <c r="AU203" s="1392"/>
      <c r="AV203" s="1051"/>
    </row>
    <row r="204" spans="1:48" ht="12.75" thickTop="1">
      <c r="A204" s="1407" t="s">
        <v>1677</v>
      </c>
      <c r="B204" s="1431">
        <v>40289</v>
      </c>
      <c r="C204" s="1437"/>
      <c r="D204" s="1431"/>
      <c r="E204" s="1437"/>
      <c r="F204" s="1431"/>
      <c r="G204" s="1431"/>
      <c r="H204" s="1459"/>
      <c r="I204" s="1438"/>
      <c r="J204" s="1433"/>
      <c r="K204" s="1431"/>
      <c r="L204" s="1433"/>
      <c r="M204" s="1431"/>
      <c r="N204" s="1435"/>
      <c r="O204" s="1434"/>
      <c r="P204" s="1435"/>
      <c r="Q204" s="1431"/>
      <c r="R204" s="1436"/>
      <c r="S204" s="1437"/>
      <c r="T204" s="1439"/>
      <c r="U204" s="1437"/>
      <c r="V204" s="1437"/>
      <c r="W204" s="1111"/>
      <c r="X204" s="1040"/>
      <c r="Z204" s="1070"/>
      <c r="AA204" s="1070"/>
      <c r="AB204" s="1070"/>
      <c r="AC204" s="1070"/>
      <c r="AD204" s="1036"/>
      <c r="AE204" s="1036"/>
      <c r="AF204" s="1036"/>
      <c r="AG204" s="1036"/>
      <c r="AH204" s="1036"/>
      <c r="AI204" s="1036"/>
      <c r="AJ204" s="1036"/>
      <c r="AK204" s="1036"/>
      <c r="AL204" s="1036"/>
      <c r="AM204" s="1036"/>
      <c r="AN204" s="1036"/>
      <c r="AO204" s="1036"/>
      <c r="AP204" s="1036"/>
      <c r="AQ204" s="1036"/>
      <c r="AR204" s="1394"/>
      <c r="AS204" s="1394"/>
      <c r="AT204" s="1394"/>
      <c r="AU204" s="1394"/>
      <c r="AV204" s="1394"/>
    </row>
    <row r="205" spans="1:48">
      <c r="A205" s="1450" t="s">
        <v>588</v>
      </c>
      <c r="B205" s="1440"/>
      <c r="C205" s="1441"/>
      <c r="D205" s="1440">
        <v>12</v>
      </c>
      <c r="E205" s="1437"/>
      <c r="F205" s="1431"/>
      <c r="G205" s="1431"/>
      <c r="H205" s="1451">
        <v>771.41</v>
      </c>
      <c r="I205" s="1438"/>
      <c r="J205" s="1433">
        <f>+D205*H205</f>
        <v>9256.92</v>
      </c>
      <c r="K205" s="1431"/>
      <c r="L205" s="1433">
        <f>+J205</f>
        <v>9256.92</v>
      </c>
      <c r="M205" s="1431"/>
      <c r="N205" s="1435">
        <f>+D205</f>
        <v>12</v>
      </c>
      <c r="O205" s="1434"/>
      <c r="P205" s="1435"/>
      <c r="Q205" s="1431"/>
      <c r="R205" s="1452">
        <f>+H205*(1+$W$5)</f>
        <v>855.30064787590595</v>
      </c>
      <c r="S205" s="1438"/>
      <c r="T205" s="1453">
        <f>+N205*R205</f>
        <v>10263.607774510871</v>
      </c>
      <c r="U205" s="1438"/>
      <c r="V205" s="1438"/>
      <c r="W205" s="1111"/>
      <c r="X205" s="1040"/>
      <c r="Z205" s="1070"/>
      <c r="AA205" s="1070"/>
      <c r="AB205" s="1070"/>
      <c r="AC205" s="1070"/>
      <c r="AD205" s="1036"/>
      <c r="AE205" s="1036"/>
      <c r="AF205" s="1036"/>
      <c r="AG205" s="1036"/>
      <c r="AH205" s="1036"/>
      <c r="AI205" s="1036"/>
      <c r="AJ205" s="1036"/>
      <c r="AK205" s="1036"/>
      <c r="AL205" s="1036"/>
      <c r="AM205" s="1036"/>
      <c r="AN205" s="1036"/>
      <c r="AO205" s="1036"/>
      <c r="AP205" s="1036"/>
      <c r="AQ205" s="1036"/>
      <c r="AR205" s="1051"/>
      <c r="AS205" s="1051"/>
      <c r="AT205" s="1051"/>
      <c r="AU205" s="1392"/>
      <c r="AV205" s="1051"/>
    </row>
    <row r="206" spans="1:48">
      <c r="A206" s="1461" t="s">
        <v>875</v>
      </c>
      <c r="B206" s="1440"/>
      <c r="C206" s="1441"/>
      <c r="D206" s="1440"/>
      <c r="E206" s="1437"/>
      <c r="F206" s="1431">
        <v>36911.000000000007</v>
      </c>
      <c r="G206" s="1431"/>
      <c r="H206" s="1454">
        <v>2.5499999999999998</v>
      </c>
      <c r="I206" s="1438"/>
      <c r="J206" s="1435">
        <f>+F206*H206</f>
        <v>94123.050000000017</v>
      </c>
      <c r="K206" s="1431"/>
      <c r="L206" s="1433">
        <f t="shared" ref="L206" si="96">+J206</f>
        <v>94123.050000000017</v>
      </c>
      <c r="M206" s="1431"/>
      <c r="N206" s="1435"/>
      <c r="O206" s="1434"/>
      <c r="P206" s="1435">
        <f>+F206</f>
        <v>36911.000000000007</v>
      </c>
      <c r="Q206" s="1431"/>
      <c r="R206" s="1452">
        <f t="shared" ref="R206" si="97">+H206*(1+$W$5)</f>
        <v>2.827311873171932</v>
      </c>
      <c r="S206" s="1438"/>
      <c r="T206" s="1453">
        <f>+P206*R206</f>
        <v>104358.9085506492</v>
      </c>
      <c r="U206" s="1438"/>
      <c r="V206" s="1438"/>
      <c r="W206" s="1111"/>
      <c r="X206" s="1040"/>
      <c r="Z206" s="1070"/>
      <c r="AA206" s="1070"/>
      <c r="AB206" s="1070"/>
      <c r="AC206" s="1070"/>
      <c r="AD206" s="1036"/>
      <c r="AE206" s="1036"/>
      <c r="AF206" s="1036"/>
      <c r="AG206" s="1036"/>
      <c r="AH206" s="1036"/>
      <c r="AI206" s="1036"/>
      <c r="AJ206" s="1036"/>
      <c r="AK206" s="1036"/>
      <c r="AL206" s="1036"/>
      <c r="AM206" s="1036"/>
      <c r="AN206" s="1036"/>
      <c r="AO206" s="1036"/>
      <c r="AP206" s="1036"/>
      <c r="AQ206" s="1036"/>
      <c r="AR206" s="1051"/>
      <c r="AS206" s="1051"/>
      <c r="AT206" s="1051"/>
      <c r="AU206" s="1392"/>
      <c r="AV206" s="1051"/>
    </row>
    <row r="207" spans="1:48" s="1412" customFormat="1" ht="12.75" thickBot="1">
      <c r="A207" s="1411" t="s">
        <v>1676</v>
      </c>
      <c r="B207" s="1442">
        <f>SUM(B204:B206)</f>
        <v>40289</v>
      </c>
      <c r="C207" s="1443"/>
      <c r="D207" s="1442">
        <f>SUM(D204:D206)</f>
        <v>12</v>
      </c>
      <c r="E207" s="1443"/>
      <c r="F207" s="1442">
        <f>SUM(F204:F206)</f>
        <v>36911.000000000007</v>
      </c>
      <c r="G207" s="1396"/>
      <c r="H207" s="1398"/>
      <c r="I207" s="1397"/>
      <c r="J207" s="1444">
        <f>SUM(J205:J206)</f>
        <v>103379.97000000002</v>
      </c>
      <c r="K207" s="1396"/>
      <c r="L207" s="1444">
        <f>SUM(L205:L206)</f>
        <v>103379.97000000002</v>
      </c>
      <c r="M207" s="1396"/>
      <c r="N207" s="1442">
        <f>SUM(N204:N206)</f>
        <v>12</v>
      </c>
      <c r="O207" s="1400"/>
      <c r="P207" s="1442">
        <f>SUM(P204:P206)</f>
        <v>36911.000000000007</v>
      </c>
      <c r="Q207" s="1396"/>
      <c r="R207" s="1436"/>
      <c r="S207" s="1443"/>
      <c r="T207" s="1444">
        <f>SUM(T205:T206)</f>
        <v>114622.51632516008</v>
      </c>
      <c r="U207" s="1443"/>
      <c r="V207" s="1443"/>
      <c r="W207" s="1327"/>
      <c r="Z207" s="1085"/>
      <c r="AA207" s="1085"/>
      <c r="AB207" s="1085"/>
      <c r="AC207" s="1085"/>
      <c r="AD207" s="1085" t="s">
        <v>501</v>
      </c>
      <c r="AE207" s="1404"/>
      <c r="AF207" s="1397"/>
      <c r="AG207" s="1443"/>
      <c r="AH207" s="1443"/>
      <c r="AI207" s="1443"/>
      <c r="AJ207" s="1397"/>
      <c r="AK207" s="1086"/>
      <c r="AL207" s="1397"/>
      <c r="AM207" s="1086"/>
      <c r="AN207" s="1397"/>
      <c r="AO207" s="1086"/>
      <c r="AP207" s="1397"/>
      <c r="AQ207" s="1086"/>
      <c r="AR207" s="1087"/>
      <c r="AS207" s="1087"/>
      <c r="AT207" s="1087"/>
      <c r="AU207" s="1087"/>
      <c r="AV207" s="1087"/>
    </row>
    <row r="208" spans="1:48" ht="12.75" thickTop="1">
      <c r="A208" s="1411"/>
      <c r="B208" s="1440"/>
      <c r="C208" s="1441"/>
      <c r="D208" s="1440"/>
      <c r="E208" s="1437"/>
      <c r="F208" s="1431"/>
      <c r="G208" s="1431"/>
      <c r="H208" s="1432"/>
      <c r="I208" s="1438"/>
      <c r="J208" s="1433"/>
      <c r="K208" s="1431"/>
      <c r="L208" s="1433"/>
      <c r="M208" s="1431"/>
      <c r="N208" s="1435"/>
      <c r="O208" s="1434"/>
      <c r="P208" s="1435"/>
      <c r="Q208" s="1431"/>
      <c r="R208" s="1436"/>
      <c r="S208" s="1438"/>
      <c r="T208" s="1393"/>
      <c r="U208" s="1438"/>
      <c r="V208" s="1438"/>
      <c r="W208" s="1111"/>
      <c r="X208" s="1040"/>
      <c r="Z208" s="1070"/>
      <c r="AA208" s="1070"/>
      <c r="AB208" s="1070"/>
      <c r="AC208" s="1070"/>
      <c r="AD208" s="1036"/>
      <c r="AE208" s="1036"/>
      <c r="AF208" s="1036"/>
      <c r="AG208" s="1036"/>
      <c r="AH208" s="1036"/>
      <c r="AI208" s="1036"/>
      <c r="AJ208" s="1036"/>
      <c r="AK208" s="1036"/>
      <c r="AL208" s="1036"/>
      <c r="AM208" s="1036"/>
      <c r="AN208" s="1036"/>
      <c r="AO208" s="1036"/>
      <c r="AP208" s="1036"/>
      <c r="AQ208" s="1036"/>
      <c r="AR208" s="1051"/>
      <c r="AS208" s="1051"/>
      <c r="AT208" s="1051"/>
      <c r="AU208" s="1392"/>
      <c r="AV208" s="1051"/>
    </row>
    <row r="209" spans="1:48" ht="12" customHeight="1" thickBot="1">
      <c r="A209" s="1413" t="s">
        <v>1675</v>
      </c>
      <c r="B209" s="1440"/>
      <c r="C209" s="1441"/>
      <c r="D209" s="1440"/>
      <c r="E209" s="1437"/>
      <c r="F209" s="1431"/>
      <c r="G209" s="1431"/>
      <c r="H209" s="1432"/>
      <c r="I209" s="1438"/>
      <c r="J209" s="1433"/>
      <c r="K209" s="1431"/>
      <c r="L209" s="1446">
        <f>+L207/$D207</f>
        <v>8614.9975000000013</v>
      </c>
      <c r="M209" s="1431"/>
      <c r="N209" s="1435"/>
      <c r="O209" s="1434"/>
      <c r="P209" s="1435"/>
      <c r="Q209" s="1431"/>
      <c r="R209" s="1436"/>
      <c r="S209" s="1438"/>
      <c r="T209" s="1446">
        <f>+T207/$D207</f>
        <v>9551.8763604300057</v>
      </c>
      <c r="U209" s="1438">
        <f>+T209-L209</f>
        <v>936.87886043000435</v>
      </c>
      <c r="V209" s="1438"/>
      <c r="W209" s="1111"/>
      <c r="X209" s="1040"/>
      <c r="Z209" s="1070"/>
      <c r="AA209" s="1070"/>
      <c r="AB209" s="1070"/>
      <c r="AC209" s="1070"/>
      <c r="AD209" s="1036"/>
      <c r="AE209" s="1036"/>
      <c r="AF209" s="1036"/>
      <c r="AG209" s="1036"/>
      <c r="AH209" s="1036"/>
      <c r="AI209" s="1036"/>
      <c r="AJ209" s="1036"/>
      <c r="AK209" s="1036"/>
      <c r="AL209" s="1036"/>
      <c r="AM209" s="1036"/>
      <c r="AN209" s="1036"/>
      <c r="AO209" s="1036"/>
      <c r="AP209" s="1036"/>
      <c r="AQ209" s="1036"/>
      <c r="AR209" s="1051"/>
      <c r="AS209" s="1051"/>
      <c r="AT209" s="1051"/>
      <c r="AU209" s="1392"/>
      <c r="AV209" s="1051"/>
    </row>
    <row r="210" spans="1:48" ht="12.75" thickTop="1">
      <c r="A210" s="1407"/>
      <c r="B210" s="1440"/>
      <c r="C210" s="1441"/>
      <c r="D210" s="1440"/>
      <c r="E210" s="1437"/>
      <c r="F210" s="1431"/>
      <c r="G210" s="1431"/>
      <c r="H210" s="1432"/>
      <c r="I210" s="1438"/>
      <c r="J210" s="1433"/>
      <c r="K210" s="1431"/>
      <c r="L210" s="1433"/>
      <c r="M210" s="1431"/>
      <c r="N210" s="1435"/>
      <c r="O210" s="1434"/>
      <c r="P210" s="1435"/>
      <c r="Q210" s="1431"/>
      <c r="R210" s="1436"/>
      <c r="S210" s="1437"/>
      <c r="T210" s="1439"/>
      <c r="U210" s="1437"/>
      <c r="V210" s="1437"/>
      <c r="W210" s="1111"/>
      <c r="X210" s="1040"/>
      <c r="Z210" s="1070"/>
      <c r="AA210" s="1070"/>
      <c r="AB210" s="1070"/>
      <c r="AC210" s="1070"/>
      <c r="AD210" s="1088"/>
      <c r="AE210" s="1089"/>
      <c r="AF210" s="1392"/>
      <c r="AG210" s="1415"/>
      <c r="AH210" s="1394"/>
      <c r="AI210" s="1394"/>
      <c r="AJ210" s="1392"/>
      <c r="AK210" s="1051"/>
      <c r="AL210" s="1394"/>
      <c r="AM210" s="1051"/>
      <c r="AN210" s="1394"/>
      <c r="AO210" s="1051"/>
      <c r="AP210" s="1051"/>
      <c r="AQ210" s="1051"/>
      <c r="AR210" s="1051"/>
      <c r="AS210" s="1051"/>
      <c r="AT210" s="1051"/>
      <c r="AU210" s="1051"/>
      <c r="AV210" s="1051"/>
    </row>
    <row r="211" spans="1:48">
      <c r="A211" s="1416" t="s">
        <v>1674</v>
      </c>
      <c r="B211" s="1440">
        <v>0</v>
      </c>
      <c r="C211" s="1441"/>
      <c r="D211" s="1440">
        <v>3420</v>
      </c>
      <c r="E211" s="1437"/>
      <c r="F211" s="1431">
        <v>0</v>
      </c>
      <c r="G211" s="1431"/>
      <c r="H211" s="1408">
        <v>4.43</v>
      </c>
      <c r="I211" s="1438"/>
      <c r="J211" s="1433">
        <v>15150.599999999999</v>
      </c>
      <c r="K211" s="1431"/>
      <c r="L211" s="1433">
        <v>15150.599999999999</v>
      </c>
      <c r="M211" s="1431"/>
      <c r="N211" s="1435">
        <v>3420</v>
      </c>
      <c r="O211" s="1434"/>
      <c r="P211" s="1435"/>
      <c r="Q211" s="1431"/>
      <c r="R211" s="1452">
        <f>+H211*(1+$W$5)</f>
        <v>4.9117614110398664</v>
      </c>
      <c r="S211" s="1437"/>
      <c r="T211" s="1453">
        <f>+N211*R211</f>
        <v>16798.224025756343</v>
      </c>
      <c r="U211" s="1437"/>
      <c r="V211" s="1437"/>
      <c r="W211" s="1326"/>
      <c r="X211" s="1069"/>
      <c r="Y211" s="1070"/>
      <c r="Z211" s="1070"/>
      <c r="AA211" s="1070"/>
      <c r="AB211" s="1070"/>
      <c r="AC211" s="1070"/>
      <c r="AD211" s="1088"/>
      <c r="AE211" s="1089"/>
      <c r="AF211" s="1392"/>
      <c r="AG211" s="1415"/>
      <c r="AH211" s="1394"/>
      <c r="AI211" s="1394"/>
      <c r="AJ211" s="1392"/>
      <c r="AK211" s="1051"/>
      <c r="AL211" s="1394"/>
      <c r="AM211" s="1051"/>
      <c r="AN211" s="1394"/>
      <c r="AO211" s="1051"/>
      <c r="AP211" s="1051"/>
      <c r="AQ211" s="1051"/>
      <c r="AR211" s="1051"/>
      <c r="AS211" s="1051"/>
      <c r="AT211" s="1051"/>
      <c r="AU211" s="1051"/>
      <c r="AV211" s="1051"/>
    </row>
    <row r="212" spans="1:48" ht="12.75" thickBot="1">
      <c r="A212" s="1411" t="s">
        <v>1673</v>
      </c>
      <c r="B212" s="1442">
        <f>SUM(B211)</f>
        <v>0</v>
      </c>
      <c r="C212" s="1441"/>
      <c r="D212" s="1442">
        <f>SUM(D211)</f>
        <v>3420</v>
      </c>
      <c r="E212" s="1437"/>
      <c r="F212" s="1442">
        <f>SUM(F211)</f>
        <v>0</v>
      </c>
      <c r="G212" s="1431"/>
      <c r="H212" s="1432"/>
      <c r="I212" s="1438"/>
      <c r="J212" s="1444">
        <f>J211</f>
        <v>15150.599999999999</v>
      </c>
      <c r="K212" s="1431"/>
      <c r="L212" s="1444">
        <f>+L211</f>
        <v>15150.599999999999</v>
      </c>
      <c r="M212" s="1431"/>
      <c r="N212" s="1445">
        <f>+N211</f>
        <v>3420</v>
      </c>
      <c r="O212" s="1434"/>
      <c r="P212" s="1445">
        <f>+P211</f>
        <v>0</v>
      </c>
      <c r="Q212" s="1431"/>
      <c r="R212" s="1436"/>
      <c r="S212" s="1437"/>
      <c r="T212" s="1444">
        <f>+T211</f>
        <v>16798.224025756343</v>
      </c>
      <c r="U212" s="1437"/>
      <c r="V212" s="1437"/>
      <c r="W212" s="1326"/>
      <c r="X212" s="1069"/>
      <c r="Y212" s="1070"/>
      <c r="Z212" s="1070"/>
      <c r="AA212" s="1070"/>
      <c r="AB212" s="1070"/>
      <c r="AC212" s="1070"/>
      <c r="AD212" s="1088"/>
      <c r="AE212" s="1089"/>
      <c r="AF212" s="1392"/>
      <c r="AG212" s="1415"/>
      <c r="AH212" s="1394"/>
      <c r="AI212" s="1394"/>
      <c r="AJ212" s="1392"/>
      <c r="AK212" s="1051"/>
      <c r="AL212" s="1394"/>
      <c r="AM212" s="1051"/>
      <c r="AN212" s="1394"/>
      <c r="AO212" s="1051"/>
      <c r="AP212" s="1051"/>
      <c r="AQ212" s="1051"/>
      <c r="AR212" s="1051"/>
      <c r="AS212" s="1051"/>
      <c r="AT212" s="1051"/>
      <c r="AU212" s="1051"/>
      <c r="AV212" s="1051"/>
    </row>
    <row r="213" spans="1:48" ht="12.75" thickTop="1">
      <c r="A213" s="1416"/>
      <c r="B213" s="1440"/>
      <c r="C213" s="1441"/>
      <c r="D213" s="1440"/>
      <c r="E213" s="1437"/>
      <c r="F213" s="1431"/>
      <c r="G213" s="1431"/>
      <c r="H213" s="1432"/>
      <c r="I213" s="1438"/>
      <c r="J213" s="1433"/>
      <c r="K213" s="1431"/>
      <c r="L213" s="1433"/>
      <c r="M213" s="1431"/>
      <c r="N213" s="1435"/>
      <c r="O213" s="1434"/>
      <c r="P213" s="1435"/>
      <c r="Q213" s="1431"/>
      <c r="R213" s="1436"/>
      <c r="S213" s="1437"/>
      <c r="T213" s="1439"/>
      <c r="U213" s="1437"/>
      <c r="V213" s="1437"/>
      <c r="W213" s="1326"/>
      <c r="X213" s="1069"/>
      <c r="Y213" s="1070"/>
      <c r="Z213" s="1070"/>
      <c r="AA213" s="1070"/>
      <c r="AB213" s="1070"/>
      <c r="AC213" s="1070"/>
      <c r="AD213" s="1088"/>
      <c r="AE213" s="1089"/>
      <c r="AF213" s="1392"/>
      <c r="AG213" s="1415"/>
      <c r="AH213" s="1394"/>
      <c r="AI213" s="1394"/>
      <c r="AJ213" s="1392"/>
      <c r="AK213" s="1051"/>
      <c r="AL213" s="1394"/>
      <c r="AM213" s="1051"/>
      <c r="AN213" s="1394"/>
      <c r="AO213" s="1051"/>
      <c r="AP213" s="1051"/>
      <c r="AQ213" s="1051"/>
      <c r="AR213" s="1051"/>
      <c r="AS213" s="1051"/>
      <c r="AT213" s="1051"/>
      <c r="AU213" s="1051"/>
      <c r="AV213" s="1051"/>
    </row>
    <row r="214" spans="1:48" ht="12.75" thickBot="1">
      <c r="A214" s="1413" t="s">
        <v>1672</v>
      </c>
      <c r="B214" s="1440"/>
      <c r="C214" s="1441"/>
      <c r="D214" s="1440"/>
      <c r="E214" s="1437"/>
      <c r="F214" s="1431"/>
      <c r="G214" s="1431"/>
      <c r="H214" s="1432"/>
      <c r="I214" s="1438"/>
      <c r="J214" s="1433"/>
      <c r="K214" s="1431"/>
      <c r="L214" s="1446">
        <f>+L212/$D212</f>
        <v>4.43</v>
      </c>
      <c r="M214" s="1431"/>
      <c r="N214" s="1435"/>
      <c r="O214" s="1434"/>
      <c r="P214" s="1435"/>
      <c r="Q214" s="1431"/>
      <c r="R214" s="1436"/>
      <c r="S214" s="1438"/>
      <c r="T214" s="1446">
        <f>+T212/$D212</f>
        <v>4.9117614110398664</v>
      </c>
      <c r="U214" s="1438">
        <f>+T214-L214</f>
        <v>0.48176141103986669</v>
      </c>
      <c r="V214" s="1437"/>
      <c r="W214" s="1326"/>
      <c r="X214" s="1069"/>
      <c r="Y214" s="1070"/>
      <c r="Z214" s="1070"/>
      <c r="AA214" s="1070"/>
      <c r="AB214" s="1070"/>
      <c r="AC214" s="1070"/>
      <c r="AD214" s="1088"/>
      <c r="AE214" s="1089"/>
      <c r="AF214" s="1392"/>
      <c r="AG214" s="1415"/>
      <c r="AH214" s="1394"/>
      <c r="AI214" s="1394"/>
      <c r="AJ214" s="1392"/>
      <c r="AK214" s="1051"/>
      <c r="AL214" s="1394"/>
      <c r="AM214" s="1051"/>
      <c r="AN214" s="1394"/>
      <c r="AO214" s="1051"/>
      <c r="AP214" s="1051"/>
      <c r="AQ214" s="1051"/>
      <c r="AR214" s="1051"/>
      <c r="AS214" s="1051"/>
      <c r="AT214" s="1051"/>
      <c r="AU214" s="1051"/>
      <c r="AV214" s="1051"/>
    </row>
    <row r="215" spans="1:48" ht="12.75" thickTop="1">
      <c r="A215" s="1413"/>
      <c r="B215" s="1440"/>
      <c r="C215" s="1441"/>
      <c r="D215" s="1440"/>
      <c r="E215" s="1437"/>
      <c r="F215" s="1431"/>
      <c r="G215" s="1431"/>
      <c r="H215" s="1432"/>
      <c r="I215" s="1438"/>
      <c r="J215" s="1433"/>
      <c r="K215" s="1431"/>
      <c r="L215" s="1433"/>
      <c r="M215" s="1431"/>
      <c r="N215" s="1435"/>
      <c r="O215" s="1434"/>
      <c r="P215" s="1435"/>
      <c r="Q215" s="1431"/>
      <c r="R215" s="1436"/>
      <c r="S215" s="1437"/>
      <c r="T215" s="1417"/>
      <c r="U215" s="1437"/>
      <c r="V215" s="1437"/>
      <c r="W215" s="1326"/>
      <c r="X215" s="1069"/>
      <c r="Y215" s="1070"/>
      <c r="Z215" s="1070"/>
      <c r="AA215" s="1070"/>
      <c r="AB215" s="1070"/>
      <c r="AC215" s="1070"/>
      <c r="AD215" s="1088"/>
      <c r="AE215" s="1089"/>
      <c r="AF215" s="1392"/>
      <c r="AG215" s="1415"/>
      <c r="AH215" s="1394"/>
      <c r="AI215" s="1394"/>
      <c r="AJ215" s="1392"/>
      <c r="AK215" s="1051"/>
      <c r="AL215" s="1394"/>
      <c r="AM215" s="1051"/>
      <c r="AN215" s="1394"/>
      <c r="AO215" s="1051"/>
      <c r="AP215" s="1051"/>
      <c r="AQ215" s="1051"/>
      <c r="AR215" s="1051"/>
      <c r="AS215" s="1051"/>
      <c r="AT215" s="1051"/>
      <c r="AU215" s="1051"/>
      <c r="AV215" s="1051"/>
    </row>
    <row r="216" spans="1:48">
      <c r="A216" s="1416" t="s">
        <v>1671</v>
      </c>
      <c r="B216" s="1440">
        <v>0</v>
      </c>
      <c r="C216" s="1441"/>
      <c r="D216" s="1440">
        <v>912</v>
      </c>
      <c r="E216" s="1437"/>
      <c r="F216" s="1431">
        <v>0</v>
      </c>
      <c r="G216" s="1431"/>
      <c r="H216" s="1408">
        <v>19.93</v>
      </c>
      <c r="I216" s="1438"/>
      <c r="J216" s="1433">
        <v>18176.16</v>
      </c>
      <c r="K216" s="1431"/>
      <c r="L216" s="1433">
        <v>18176.16</v>
      </c>
      <c r="M216" s="1431"/>
      <c r="N216" s="1435">
        <v>912</v>
      </c>
      <c r="O216" s="1434"/>
      <c r="P216" s="1435"/>
      <c r="Q216" s="1431"/>
      <c r="R216" s="1452">
        <f>+H216*(1+$W$5)</f>
        <v>22.097382600908475</v>
      </c>
      <c r="S216" s="1437"/>
      <c r="T216" s="1453">
        <f>+N216*R216</f>
        <v>20152.81293202853</v>
      </c>
      <c r="U216" s="1437"/>
      <c r="V216" s="1437"/>
      <c r="W216" s="1326"/>
      <c r="X216" s="1069"/>
      <c r="Y216" s="1070"/>
      <c r="Z216" s="1070"/>
      <c r="AA216" s="1070"/>
      <c r="AB216" s="1070"/>
      <c r="AC216" s="1070"/>
      <c r="AD216" s="1088"/>
      <c r="AE216" s="1089"/>
      <c r="AF216" s="1392"/>
      <c r="AG216" s="1415"/>
      <c r="AH216" s="1394"/>
      <c r="AI216" s="1394"/>
      <c r="AJ216" s="1392"/>
      <c r="AK216" s="1051"/>
      <c r="AL216" s="1394"/>
      <c r="AM216" s="1051"/>
      <c r="AN216" s="1394"/>
      <c r="AO216" s="1051"/>
      <c r="AP216" s="1051"/>
      <c r="AQ216" s="1051"/>
      <c r="AR216" s="1051"/>
      <c r="AS216" s="1051"/>
      <c r="AT216" s="1051"/>
      <c r="AU216" s="1051"/>
      <c r="AV216" s="1051"/>
    </row>
    <row r="217" spans="1:48" ht="12.75" thickBot="1">
      <c r="A217" s="1411" t="s">
        <v>1670</v>
      </c>
      <c r="B217" s="1442">
        <f>SUM(B216)</f>
        <v>0</v>
      </c>
      <c r="C217" s="1441"/>
      <c r="D217" s="1442">
        <f>SUM(D216)</f>
        <v>912</v>
      </c>
      <c r="E217" s="1437"/>
      <c r="F217" s="1442">
        <f>SUM(F216)</f>
        <v>0</v>
      </c>
      <c r="G217" s="1431"/>
      <c r="H217" s="1432"/>
      <c r="I217" s="1438"/>
      <c r="J217" s="1444">
        <f>J216</f>
        <v>18176.16</v>
      </c>
      <c r="K217" s="1431"/>
      <c r="L217" s="1444">
        <f>+L216</f>
        <v>18176.16</v>
      </c>
      <c r="M217" s="1431"/>
      <c r="N217" s="1445">
        <f>+N216</f>
        <v>912</v>
      </c>
      <c r="O217" s="1434"/>
      <c r="P217" s="1445">
        <f>+P216</f>
        <v>0</v>
      </c>
      <c r="Q217" s="1431"/>
      <c r="R217" s="1436"/>
      <c r="S217" s="1437"/>
      <c r="T217" s="1444">
        <f>+T216</f>
        <v>20152.81293202853</v>
      </c>
      <c r="U217" s="1437"/>
      <c r="V217" s="1437"/>
      <c r="W217" s="1328" t="s">
        <v>1669</v>
      </c>
      <c r="X217" s="1449"/>
      <c r="Y217" s="1449"/>
      <c r="Z217" s="1070"/>
      <c r="AA217" s="1070"/>
      <c r="AB217" s="1070"/>
      <c r="AC217" s="1070"/>
      <c r="AD217" s="1088"/>
      <c r="AE217" s="1089"/>
      <c r="AF217" s="1392"/>
      <c r="AG217" s="1415"/>
      <c r="AH217" s="1394"/>
      <c r="AI217" s="1394"/>
      <c r="AJ217" s="1392"/>
      <c r="AK217" s="1051"/>
      <c r="AL217" s="1394"/>
      <c r="AM217" s="1051"/>
      <c r="AN217" s="1394"/>
      <c r="AO217" s="1051"/>
      <c r="AP217" s="1051"/>
      <c r="AQ217" s="1051"/>
      <c r="AR217" s="1051"/>
      <c r="AS217" s="1051"/>
      <c r="AT217" s="1051"/>
      <c r="AU217" s="1051"/>
      <c r="AV217" s="1051"/>
    </row>
    <row r="218" spans="1:48" ht="12.75" thickTop="1">
      <c r="A218" s="1416"/>
      <c r="B218" s="1440"/>
      <c r="C218" s="1441"/>
      <c r="D218" s="1440"/>
      <c r="E218" s="1437"/>
      <c r="F218" s="1431"/>
      <c r="G218" s="1431"/>
      <c r="H218" s="1432"/>
      <c r="I218" s="1438"/>
      <c r="J218" s="1433"/>
      <c r="K218" s="1431"/>
      <c r="L218" s="1433"/>
      <c r="M218" s="1431"/>
      <c r="N218" s="1435"/>
      <c r="O218" s="1434"/>
      <c r="P218" s="1435"/>
      <c r="Q218" s="1431"/>
      <c r="R218" s="1436"/>
      <c r="S218" s="1437"/>
      <c r="T218" s="1439"/>
      <c r="U218" s="1437"/>
      <c r="V218" s="1437"/>
      <c r="W218" s="1325" t="s">
        <v>1668</v>
      </c>
      <c r="X218" s="1046" t="s">
        <v>1616</v>
      </c>
      <c r="Y218" s="1090" t="s">
        <v>670</v>
      </c>
      <c r="Z218" s="1070"/>
      <c r="AA218" s="1070"/>
      <c r="AB218" s="1070"/>
      <c r="AC218" s="1070"/>
      <c r="AD218" s="1088"/>
      <c r="AE218" s="1089"/>
      <c r="AF218" s="1392"/>
      <c r="AG218" s="1415"/>
      <c r="AH218" s="1394"/>
      <c r="AI218" s="1394"/>
      <c r="AJ218" s="1392"/>
      <c r="AK218" s="1051"/>
      <c r="AL218" s="1394"/>
      <c r="AM218" s="1051"/>
      <c r="AN218" s="1394"/>
      <c r="AO218" s="1051"/>
      <c r="AP218" s="1051"/>
      <c r="AQ218" s="1051"/>
      <c r="AR218" s="1051"/>
      <c r="AS218" s="1051"/>
      <c r="AT218" s="1051"/>
      <c r="AU218" s="1051"/>
      <c r="AV218" s="1051"/>
    </row>
    <row r="219" spans="1:48" ht="12.75" thickBot="1">
      <c r="A219" s="1413" t="s">
        <v>1667</v>
      </c>
      <c r="B219" s="1440"/>
      <c r="C219" s="1441"/>
      <c r="D219" s="1440"/>
      <c r="E219" s="1437"/>
      <c r="F219" s="1431"/>
      <c r="G219" s="1431"/>
      <c r="H219" s="1432"/>
      <c r="I219" s="1438"/>
      <c r="J219" s="1433"/>
      <c r="K219" s="1431"/>
      <c r="L219" s="1446">
        <f>+L217/$D217</f>
        <v>19.93</v>
      </c>
      <c r="M219" s="1431"/>
      <c r="N219" s="1435"/>
      <c r="O219" s="1434"/>
      <c r="P219" s="1435"/>
      <c r="Q219" s="1431"/>
      <c r="R219" s="1436"/>
      <c r="S219" s="1438"/>
      <c r="T219" s="1446">
        <f>+T217/$D217</f>
        <v>22.097382600908475</v>
      </c>
      <c r="U219" s="1438">
        <f>+T219-L219</f>
        <v>2.1673826009084749</v>
      </c>
      <c r="V219" s="1437"/>
      <c r="W219" s="1325">
        <f>L207+L201+L195+L189+L183+L177+L170+L163+L212+L217+L155+L146+L137+L128+L119+L110+L100+L90+L80+L70+L60+L50+L40+L30+L20</f>
        <v>1820354.7099999988</v>
      </c>
      <c r="X219" s="1069">
        <v>1722595.2415333339</v>
      </c>
      <c r="Y219" s="1091">
        <f>X219-W219</f>
        <v>-97759.468466664897</v>
      </c>
      <c r="Z219" s="1070"/>
      <c r="AA219" s="1070"/>
      <c r="AB219" s="1070"/>
      <c r="AC219" s="1070"/>
      <c r="AD219" s="1088"/>
      <c r="AE219" s="1089"/>
      <c r="AF219" s="1392"/>
      <c r="AG219" s="1415"/>
      <c r="AH219" s="1394"/>
      <c r="AI219" s="1394"/>
      <c r="AJ219" s="1392"/>
      <c r="AK219" s="1051"/>
      <c r="AL219" s="1394"/>
      <c r="AM219" s="1051"/>
      <c r="AN219" s="1394"/>
      <c r="AO219" s="1051"/>
      <c r="AP219" s="1051"/>
      <c r="AQ219" s="1051"/>
      <c r="AR219" s="1051"/>
      <c r="AS219" s="1051"/>
      <c r="AT219" s="1051"/>
      <c r="AU219" s="1051"/>
      <c r="AV219" s="1051"/>
    </row>
    <row r="220" spans="1:48" ht="13.5" thickTop="1" thickBot="1">
      <c r="A220" s="1407"/>
      <c r="B220" s="1440"/>
      <c r="C220" s="1441"/>
      <c r="D220" s="1440"/>
      <c r="E220" s="1437"/>
      <c r="F220" s="1431"/>
      <c r="G220" s="1431"/>
      <c r="H220" s="1432"/>
      <c r="I220" s="1438"/>
      <c r="J220" s="1433"/>
      <c r="K220" s="1431"/>
      <c r="L220" s="1433"/>
      <c r="M220" s="1431"/>
      <c r="N220" s="1435"/>
      <c r="O220" s="1434"/>
      <c r="P220" s="1435"/>
      <c r="Q220" s="1431"/>
      <c r="R220" s="1436"/>
      <c r="S220" s="1437"/>
      <c r="T220" s="1439"/>
      <c r="U220" s="1437"/>
      <c r="V220" s="1437"/>
      <c r="W220" s="1326"/>
      <c r="X220" s="1069"/>
      <c r="Y220" s="1070"/>
      <c r="Z220" s="1070"/>
      <c r="AA220" s="1070"/>
      <c r="AB220" s="1070"/>
      <c r="AC220" s="1070"/>
      <c r="AD220" s="1088"/>
      <c r="AE220" s="1089"/>
      <c r="AF220" s="1392"/>
      <c r="AG220" s="1415"/>
      <c r="AH220" s="1394"/>
      <c r="AI220" s="1394"/>
      <c r="AJ220" s="1392"/>
      <c r="AK220" s="1051"/>
      <c r="AL220" s="1394"/>
      <c r="AM220" s="1051"/>
      <c r="AN220" s="1394"/>
      <c r="AO220" s="1051"/>
      <c r="AP220" s="1051"/>
      <c r="AQ220" s="1051"/>
      <c r="AR220" s="1051"/>
      <c r="AS220" s="1051"/>
      <c r="AT220" s="1051"/>
      <c r="AU220" s="1051"/>
      <c r="AV220" s="1051"/>
    </row>
    <row r="221" spans="1:48" s="1412" customFormat="1" ht="12.75" thickBot="1">
      <c r="A221" s="1404" t="s">
        <v>1666</v>
      </c>
      <c r="B221" s="1447">
        <f>+B217+B212+B207+B201+B195+B189+B183+B177+B170+B163+B155+B146+B137+B128+B119+B110+B100+B90+B80+B70+B60+B50+B40+B30+B20</f>
        <v>403951.14399999997</v>
      </c>
      <c r="C221" s="1405"/>
      <c r="D221" s="1447">
        <f>+D217+D212+D207+D201+D195+D189+D183+D177+D170+D163+D155+D146+D137+D128+D119+D110+D100+D90+D80+D70+D60+D50+D40+D30+D20</f>
        <v>73804.999999999898</v>
      </c>
      <c r="E221" s="1396"/>
      <c r="F221" s="1447">
        <f>+F217+F212+F207+F201+F195+F189+F183+F177+F170+F163+F155+F146+F137+F128+F119+F110+F100+F90+F80+F70+F60+F50+F40+F30+F20</f>
        <v>314704.26923076907</v>
      </c>
      <c r="G221" s="1396"/>
      <c r="H221" s="1398"/>
      <c r="I221" s="1397"/>
      <c r="J221" s="1389">
        <f>+J217+J212+J207+J201+J195+J189+J183+J177+J170+J163+J155+J146+J137+J128+J119+J110+J100+J90+J80+J70+J60+J50+J40+J30+J20</f>
        <v>1820354.7099999986</v>
      </c>
      <c r="K221" s="1388"/>
      <c r="L221" s="1389">
        <f>+L217+L212+L207+L201+L195+L189+L183+L177+L170+L163+L155+L146+L137+L128+L119+L110+L100+L90+L80+L70+L60+L50+L40+L30+L20</f>
        <v>1820354.7099999986</v>
      </c>
      <c r="M221" s="1396"/>
      <c r="N221" s="1447">
        <f>+N217+N212+N207+N201+N195+N189+N183+N177+N170+N163+N155+N146+N137+N128+N119+N110+N100+N90+N80+N70+N60+N50+N40+N30+N20</f>
        <v>73804.999999999898</v>
      </c>
      <c r="O221" s="1418"/>
      <c r="P221" s="1447">
        <f>+P217+P212+P207+P201+P195+P189+P183+P177+P170+P163+P155+P146+P137+P128+P119+P110+P100+P90+P80+P70+P60+P50+P40+P30+P20</f>
        <v>314704.26923076907</v>
      </c>
      <c r="Q221" s="1396"/>
      <c r="R221" s="1402"/>
      <c r="S221" s="1443"/>
      <c r="T221" s="1389">
        <f>+T217+T212+T207+T201+T195+T189+T183+T177+T170+T163+T155+T146+T137+T128+T119+T110+T100+T90+T80+T70+T60+T50+T40+T30+T20</f>
        <v>2018317.8372421355</v>
      </c>
      <c r="U221" s="1443"/>
      <c r="V221" s="1443"/>
      <c r="W221" s="1329">
        <f>L221-X219</f>
        <v>97759.468466664664</v>
      </c>
      <c r="X221" s="1092" t="s">
        <v>1613</v>
      </c>
      <c r="Y221" s="1085"/>
      <c r="Z221" s="1085"/>
      <c r="AA221" s="1085"/>
      <c r="AB221" s="1085"/>
      <c r="AC221" s="1085"/>
      <c r="AD221" s="1093"/>
      <c r="AE221" s="1094"/>
      <c r="AF221" s="1095"/>
      <c r="AG221" s="1096"/>
      <c r="AH221" s="1087"/>
      <c r="AI221" s="1087"/>
      <c r="AJ221" s="1095"/>
      <c r="AK221" s="1097"/>
      <c r="AL221" s="1087"/>
      <c r="AM221" s="1097"/>
      <c r="AN221" s="1087"/>
      <c r="AO221" s="1097"/>
      <c r="AP221" s="1097"/>
      <c r="AQ221" s="1097"/>
      <c r="AR221" s="1097"/>
      <c r="AS221" s="1097"/>
      <c r="AT221" s="1097"/>
      <c r="AU221" s="1097"/>
      <c r="AV221" s="1097"/>
    </row>
    <row r="222" spans="1:48" ht="12.75" thickTop="1">
      <c r="A222" s="1407"/>
      <c r="B222" s="1440"/>
      <c r="C222" s="1441"/>
      <c r="D222" s="1440"/>
      <c r="E222" s="1437"/>
      <c r="F222" s="1431"/>
      <c r="G222" s="1431"/>
      <c r="H222" s="1432"/>
      <c r="I222" s="1438"/>
      <c r="J222" s="1433"/>
      <c r="K222" s="1431"/>
      <c r="L222" s="1437"/>
      <c r="M222" s="1431"/>
      <c r="N222" s="1435"/>
      <c r="O222" s="1434"/>
      <c r="P222" s="1435"/>
      <c r="Q222" s="1431"/>
      <c r="R222" s="1436"/>
      <c r="S222" s="1437"/>
      <c r="T222" s="1439"/>
      <c r="U222" s="1437"/>
      <c r="V222" s="1437"/>
      <c r="W222" s="1326"/>
      <c r="X222" s="1069"/>
      <c r="Y222" s="1070"/>
      <c r="Z222" s="1070"/>
      <c r="AA222" s="1070"/>
      <c r="AB222" s="1070"/>
      <c r="AC222" s="1070"/>
      <c r="AD222" s="1088"/>
      <c r="AE222" s="1089"/>
      <c r="AF222" s="1392"/>
      <c r="AG222" s="1415"/>
      <c r="AH222" s="1394"/>
      <c r="AI222" s="1394"/>
      <c r="AJ222" s="1392"/>
      <c r="AK222" s="1051"/>
      <c r="AL222" s="1394"/>
      <c r="AM222" s="1051"/>
      <c r="AN222" s="1394"/>
      <c r="AO222" s="1051"/>
      <c r="AP222" s="1051"/>
      <c r="AQ222" s="1051"/>
      <c r="AR222" s="1051"/>
      <c r="AS222" s="1051"/>
      <c r="AT222" s="1051"/>
      <c r="AU222" s="1051"/>
      <c r="AV222" s="1051"/>
    </row>
    <row r="223" spans="1:48">
      <c r="A223" s="1419" t="s">
        <v>990</v>
      </c>
      <c r="B223" s="1420"/>
      <c r="C223" s="1415"/>
      <c r="D223" s="1420"/>
      <c r="E223" s="1394"/>
      <c r="F223" s="1434"/>
      <c r="G223" s="1434"/>
      <c r="H223" s="1436"/>
      <c r="I223" s="1392"/>
      <c r="J223" s="1421"/>
      <c r="K223" s="1434"/>
      <c r="L223" s="1421"/>
      <c r="M223" s="1434"/>
      <c r="N223" s="1410"/>
      <c r="O223" s="1434"/>
      <c r="P223" s="1409"/>
      <c r="Q223" s="1434"/>
      <c r="R223" s="1436"/>
      <c r="S223" s="1394"/>
      <c r="T223" s="1422"/>
      <c r="U223" s="1394"/>
      <c r="V223" s="1394"/>
      <c r="W223" s="1326"/>
      <c r="X223" s="1046"/>
      <c r="Y223" s="1036"/>
      <c r="Z223" s="1036"/>
      <c r="AA223" s="1036"/>
      <c r="AB223" s="1036"/>
      <c r="AC223" s="1036"/>
      <c r="AD223" s="1036"/>
      <c r="AE223" s="1036"/>
      <c r="AF223" s="1036"/>
      <c r="AG223" s="1036"/>
      <c r="AH223" s="1036"/>
      <c r="AI223" s="1088"/>
      <c r="AJ223" s="1088"/>
      <c r="AK223" s="1098"/>
      <c r="AL223" s="1394"/>
      <c r="AM223" s="1394"/>
      <c r="AN223" s="1394"/>
      <c r="AO223" s="1394"/>
      <c r="AP223" s="1394"/>
      <c r="AQ223" s="1394"/>
      <c r="AR223" s="1394"/>
      <c r="AS223" s="1051"/>
      <c r="AT223" s="1051"/>
      <c r="AU223" s="1051"/>
      <c r="AV223" s="1051"/>
    </row>
    <row r="224" spans="1:48">
      <c r="A224" s="1407" t="s">
        <v>1665</v>
      </c>
      <c r="B224" s="1431">
        <v>836</v>
      </c>
      <c r="C224" s="1437"/>
      <c r="D224" s="1431"/>
      <c r="E224" s="1437"/>
      <c r="F224" s="1431"/>
      <c r="G224" s="1431"/>
      <c r="H224" s="1432"/>
      <c r="I224" s="1437"/>
      <c r="M224" s="1431"/>
      <c r="N224" s="1462"/>
      <c r="P224" s="1462"/>
      <c r="S224" s="1102"/>
      <c r="T224" s="1439"/>
      <c r="U224" s="1102"/>
      <c r="V224" s="1102"/>
      <c r="W224" s="1111"/>
      <c r="X224" s="1040"/>
      <c r="Z224" s="1036"/>
      <c r="AA224" s="1036"/>
      <c r="AB224" s="1036"/>
      <c r="AC224" s="1036"/>
      <c r="AD224" s="1036"/>
      <c r="AE224" s="1036"/>
      <c r="AF224" s="1036"/>
      <c r="AG224" s="1036"/>
      <c r="AH224" s="1036"/>
      <c r="AI224" s="1088"/>
      <c r="AJ224" s="1103"/>
      <c r="AK224" s="1104"/>
      <c r="AL224" s="1415"/>
      <c r="AM224" s="1394"/>
      <c r="AN224" s="1394"/>
      <c r="AO224" s="1392"/>
      <c r="AP224" s="1394"/>
      <c r="AQ224" s="1394"/>
      <c r="AR224" s="1394"/>
      <c r="AS224" s="1394"/>
      <c r="AT224" s="1394"/>
      <c r="AU224" s="1392"/>
      <c r="AV224" s="1392"/>
    </row>
    <row r="225" spans="1:48">
      <c r="A225" s="1450" t="s">
        <v>582</v>
      </c>
      <c r="B225" s="1431"/>
      <c r="C225" s="1437"/>
      <c r="D225" s="1431">
        <v>227.99999999999994</v>
      </c>
      <c r="E225" s="1437"/>
      <c r="H225" s="1463">
        <v>11.99</v>
      </c>
      <c r="I225" s="1437"/>
      <c r="J225" s="1433">
        <f>+D225*H225</f>
        <v>2733.7199999999993</v>
      </c>
      <c r="K225" s="1431"/>
      <c r="L225" s="1433">
        <f>+J225</f>
        <v>2733.7199999999993</v>
      </c>
      <c r="M225" s="1431"/>
      <c r="N225" s="1435">
        <f>+D225</f>
        <v>227.99999999999994</v>
      </c>
      <c r="O225" s="1434"/>
      <c r="P225" s="1435"/>
      <c r="Q225" s="1431"/>
      <c r="R225" s="1452">
        <f>+H225*(1+$W$5)</f>
        <v>13.293909552679008</v>
      </c>
      <c r="S225" s="1102"/>
      <c r="T225" s="1453">
        <f>+N225*R225</f>
        <v>3031.0113780108131</v>
      </c>
      <c r="U225" s="1102"/>
      <c r="V225" s="1102"/>
      <c r="W225" s="1111"/>
      <c r="X225" s="1040"/>
      <c r="Z225" s="1036"/>
      <c r="AA225" s="1036"/>
      <c r="AB225" s="1036"/>
      <c r="AC225" s="1036"/>
      <c r="AD225" s="1036"/>
      <c r="AE225" s="1036"/>
      <c r="AF225" s="1036"/>
      <c r="AG225" s="1036"/>
      <c r="AH225" s="1036"/>
      <c r="AI225" s="1088"/>
      <c r="AJ225" s="1103"/>
      <c r="AK225" s="1104"/>
      <c r="AL225" s="1415"/>
      <c r="AM225" s="1394"/>
      <c r="AN225" s="1394"/>
      <c r="AO225" s="1392"/>
      <c r="AP225" s="1394"/>
      <c r="AQ225" s="1394"/>
      <c r="AR225" s="1394"/>
      <c r="AS225" s="1394"/>
      <c r="AT225" s="1394"/>
      <c r="AU225" s="1392"/>
      <c r="AV225" s="1392"/>
    </row>
    <row r="226" spans="1:48">
      <c r="A226" s="1450" t="s">
        <v>642</v>
      </c>
      <c r="B226" s="1431"/>
      <c r="C226" s="1437"/>
      <c r="D226" s="1431"/>
      <c r="E226" s="1437"/>
      <c r="F226" s="1431">
        <v>591</v>
      </c>
      <c r="G226" s="1431"/>
      <c r="H226" s="1454">
        <v>6.79</v>
      </c>
      <c r="I226" s="1437"/>
      <c r="J226" s="1435">
        <f>+F226*H226</f>
        <v>4012.89</v>
      </c>
      <c r="K226" s="1431"/>
      <c r="L226" s="1433">
        <f t="shared" ref="L226:L230" si="98">+J226</f>
        <v>4012.89</v>
      </c>
      <c r="M226" s="1431"/>
      <c r="N226" s="1435"/>
      <c r="O226" s="1434"/>
      <c r="P226" s="1435">
        <f>+F226</f>
        <v>591</v>
      </c>
      <c r="Q226" s="1431"/>
      <c r="R226" s="1452">
        <f t="shared" ref="R226:R230" si="99">+H226*(1+$W$5)</f>
        <v>7.5284108309166351</v>
      </c>
      <c r="S226" s="1102"/>
      <c r="T226" s="1453">
        <f>+P226*R226</f>
        <v>4449.290801071731</v>
      </c>
      <c r="U226" s="1106"/>
      <c r="V226" s="1102"/>
      <c r="W226" s="1111"/>
      <c r="X226" s="1040"/>
      <c r="Z226" s="1036"/>
      <c r="AA226" s="1036"/>
      <c r="AB226" s="1036"/>
      <c r="AC226" s="1036"/>
      <c r="AD226" s="1036"/>
      <c r="AE226" s="1036"/>
      <c r="AF226" s="1036"/>
      <c r="AG226" s="1036"/>
      <c r="AH226" s="1036"/>
      <c r="AI226" s="1088"/>
      <c r="AJ226" s="1103"/>
      <c r="AK226" s="1104"/>
      <c r="AL226" s="1415"/>
      <c r="AM226" s="1394"/>
      <c r="AN226" s="1394"/>
      <c r="AO226" s="1392"/>
      <c r="AP226" s="1394"/>
      <c r="AQ226" s="1394"/>
      <c r="AR226" s="1394"/>
      <c r="AS226" s="1394"/>
      <c r="AT226" s="1394"/>
      <c r="AU226" s="1392"/>
      <c r="AV226" s="1392"/>
    </row>
    <row r="227" spans="1:48">
      <c r="A227" s="1450" t="s">
        <v>862</v>
      </c>
      <c r="B227" s="1431"/>
      <c r="C227" s="1437"/>
      <c r="D227" s="1431"/>
      <c r="E227" s="1437"/>
      <c r="F227" s="1431">
        <v>17</v>
      </c>
      <c r="G227" s="1431"/>
      <c r="H227" s="1454">
        <v>6.23</v>
      </c>
      <c r="I227" s="1437"/>
      <c r="J227" s="1435">
        <f t="shared" ref="J227:J230" si="100">+F227*H227</f>
        <v>105.91000000000001</v>
      </c>
      <c r="K227" s="1431"/>
      <c r="L227" s="1433">
        <f t="shared" si="98"/>
        <v>105.91000000000001</v>
      </c>
      <c r="M227" s="1431"/>
      <c r="N227" s="1435"/>
      <c r="O227" s="1434"/>
      <c r="P227" s="1435">
        <f t="shared" ref="P227:P230" si="101">+F227</f>
        <v>17</v>
      </c>
      <c r="Q227" s="1431"/>
      <c r="R227" s="1452">
        <f t="shared" si="99"/>
        <v>6.9075109685729963</v>
      </c>
      <c r="S227" s="1102"/>
      <c r="T227" s="1453">
        <f t="shared" ref="T227:T230" si="102">+P227*R227</f>
        <v>117.42768646574093</v>
      </c>
      <c r="U227" s="1102"/>
      <c r="V227" s="1102"/>
      <c r="W227" s="1326"/>
      <c r="X227" s="1046"/>
      <c r="Y227" s="1036"/>
      <c r="Z227" s="1036"/>
      <c r="AA227" s="1036"/>
      <c r="AB227" s="1036"/>
      <c r="AC227" s="1036"/>
      <c r="AD227" s="1036"/>
      <c r="AE227" s="1036"/>
      <c r="AF227" s="1036"/>
      <c r="AG227" s="1036"/>
      <c r="AH227" s="1036"/>
      <c r="AI227" s="1088"/>
      <c r="AJ227" s="1103"/>
      <c r="AK227" s="1104"/>
      <c r="AL227" s="1415"/>
      <c r="AM227" s="1394"/>
      <c r="AN227" s="1394"/>
      <c r="AO227" s="1392"/>
      <c r="AP227" s="1394"/>
      <c r="AQ227" s="1394"/>
      <c r="AR227" s="1394"/>
      <c r="AS227" s="1394"/>
      <c r="AT227" s="1394"/>
      <c r="AU227" s="1392"/>
      <c r="AV227" s="1392"/>
    </row>
    <row r="228" spans="1:48">
      <c r="A228" s="1450" t="s">
        <v>863</v>
      </c>
      <c r="B228" s="1431"/>
      <c r="C228" s="1437"/>
      <c r="D228" s="1431"/>
      <c r="E228" s="1437"/>
      <c r="F228" s="1431">
        <v>3</v>
      </c>
      <c r="G228" s="1431"/>
      <c r="H228" s="1454">
        <v>5.68</v>
      </c>
      <c r="I228" s="1437"/>
      <c r="J228" s="1435">
        <f t="shared" si="100"/>
        <v>17.04</v>
      </c>
      <c r="K228" s="1431"/>
      <c r="L228" s="1433">
        <f t="shared" si="98"/>
        <v>17.04</v>
      </c>
      <c r="M228" s="1431"/>
      <c r="N228" s="1435"/>
      <c r="O228" s="1434"/>
      <c r="P228" s="1435">
        <f t="shared" si="101"/>
        <v>3</v>
      </c>
      <c r="Q228" s="1431"/>
      <c r="R228" s="1452">
        <f t="shared" si="99"/>
        <v>6.2976986037712059</v>
      </c>
      <c r="S228" s="1102"/>
      <c r="T228" s="1453">
        <f t="shared" si="102"/>
        <v>18.893095811313618</v>
      </c>
      <c r="U228" s="1102"/>
      <c r="V228" s="1102"/>
      <c r="W228" s="1326"/>
      <c r="X228" s="1046"/>
      <c r="Y228" s="1036"/>
      <c r="Z228" s="1036"/>
      <c r="AA228" s="1036"/>
      <c r="AB228" s="1036"/>
      <c r="AC228" s="1036"/>
      <c r="AD228" s="1036"/>
      <c r="AE228" s="1036"/>
      <c r="AF228" s="1036"/>
      <c r="AG228" s="1036"/>
      <c r="AH228" s="1036"/>
      <c r="AI228" s="1088"/>
      <c r="AJ228" s="1103"/>
      <c r="AK228" s="1104"/>
      <c r="AL228" s="1415"/>
      <c r="AM228" s="1394"/>
      <c r="AN228" s="1394"/>
      <c r="AO228" s="1392"/>
      <c r="AP228" s="1394"/>
      <c r="AQ228" s="1394"/>
      <c r="AR228" s="1394"/>
      <c r="AS228" s="1394"/>
      <c r="AT228" s="1394"/>
      <c r="AU228" s="1392"/>
      <c r="AV228" s="1392"/>
    </row>
    <row r="229" spans="1:48">
      <c r="A229" s="1450" t="s">
        <v>864</v>
      </c>
      <c r="B229" s="1431"/>
      <c r="C229" s="1437"/>
      <c r="D229" s="1431"/>
      <c r="E229" s="1437"/>
      <c r="F229" s="1431">
        <v>0</v>
      </c>
      <c r="G229" s="1431"/>
      <c r="H229" s="1454">
        <v>5.04</v>
      </c>
      <c r="I229" s="1437"/>
      <c r="J229" s="1435">
        <f t="shared" si="100"/>
        <v>0</v>
      </c>
      <c r="K229" s="1431"/>
      <c r="L229" s="1433">
        <f t="shared" si="98"/>
        <v>0</v>
      </c>
      <c r="M229" s="1431"/>
      <c r="N229" s="1435"/>
      <c r="O229" s="1434"/>
      <c r="P229" s="1435">
        <f t="shared" si="101"/>
        <v>0</v>
      </c>
      <c r="Q229" s="1431"/>
      <c r="R229" s="1452">
        <f t="shared" si="99"/>
        <v>5.5880987610927599</v>
      </c>
      <c r="S229" s="1102"/>
      <c r="T229" s="1453">
        <f t="shared" si="102"/>
        <v>0</v>
      </c>
      <c r="U229" s="1102"/>
      <c r="V229" s="1102"/>
      <c r="W229" s="1326"/>
      <c r="X229" s="1046"/>
      <c r="Y229" s="1036"/>
      <c r="Z229" s="1036"/>
      <c r="AA229" s="1036"/>
      <c r="AB229" s="1036"/>
      <c r="AC229" s="1036"/>
      <c r="AD229" s="1036"/>
      <c r="AE229" s="1036"/>
      <c r="AF229" s="1036"/>
      <c r="AG229" s="1036"/>
      <c r="AH229" s="1036"/>
      <c r="AI229" s="1088"/>
      <c r="AJ229" s="1103"/>
      <c r="AK229" s="1104"/>
      <c r="AL229" s="1415"/>
      <c r="AM229" s="1394"/>
      <c r="AN229" s="1394"/>
      <c r="AO229" s="1392"/>
      <c r="AP229" s="1394"/>
      <c r="AQ229" s="1394"/>
      <c r="AR229" s="1394"/>
      <c r="AS229" s="1394"/>
      <c r="AT229" s="1394"/>
      <c r="AU229" s="1392"/>
      <c r="AV229" s="1392"/>
    </row>
    <row r="230" spans="1:48">
      <c r="A230" s="1450" t="s">
        <v>876</v>
      </c>
      <c r="B230" s="1431"/>
      <c r="C230" s="1437"/>
      <c r="D230" s="1431"/>
      <c r="E230" s="1437"/>
      <c r="F230" s="1431">
        <v>0</v>
      </c>
      <c r="G230" s="1431"/>
      <c r="H230" s="1454">
        <v>4.4000000000000004</v>
      </c>
      <c r="I230" s="1437"/>
      <c r="J230" s="1435">
        <f t="shared" si="100"/>
        <v>0</v>
      </c>
      <c r="K230" s="1431"/>
      <c r="L230" s="1433">
        <f t="shared" si="98"/>
        <v>0</v>
      </c>
      <c r="M230" s="1431"/>
      <c r="N230" s="1435"/>
      <c r="O230" s="1434"/>
      <c r="P230" s="1435">
        <f t="shared" si="101"/>
        <v>0</v>
      </c>
      <c r="Q230" s="1431"/>
      <c r="R230" s="1452">
        <f t="shared" si="99"/>
        <v>4.8784989184143148</v>
      </c>
      <c r="S230" s="1102"/>
      <c r="T230" s="1453">
        <f t="shared" si="102"/>
        <v>0</v>
      </c>
      <c r="U230" s="1102"/>
      <c r="V230" s="1102"/>
      <c r="W230" s="1326"/>
      <c r="X230" s="1046"/>
      <c r="Y230" s="1036"/>
      <c r="Z230" s="1036"/>
      <c r="AA230" s="1036"/>
      <c r="AB230" s="1036"/>
      <c r="AC230" s="1036"/>
      <c r="AD230" s="1036"/>
      <c r="AE230" s="1036"/>
      <c r="AF230" s="1036"/>
      <c r="AG230" s="1036"/>
      <c r="AH230" s="1036"/>
      <c r="AI230" s="1088"/>
      <c r="AJ230" s="1103"/>
      <c r="AK230" s="1104"/>
      <c r="AL230" s="1415"/>
      <c r="AM230" s="1394"/>
      <c r="AN230" s="1394"/>
      <c r="AO230" s="1392"/>
      <c r="AP230" s="1394"/>
      <c r="AQ230" s="1394"/>
      <c r="AR230" s="1394"/>
      <c r="AS230" s="1394"/>
      <c r="AT230" s="1394"/>
      <c r="AU230" s="1392"/>
      <c r="AV230" s="1392"/>
    </row>
    <row r="231" spans="1:48" s="1412" customFormat="1" ht="12.75" thickBot="1">
      <c r="A231" s="1411" t="s">
        <v>1664</v>
      </c>
      <c r="B231" s="1456">
        <f>SUM(B224:B230)</f>
        <v>836</v>
      </c>
      <c r="C231" s="1443"/>
      <c r="D231" s="1456">
        <f>SUM(D224:D230)</f>
        <v>227.99999999999994</v>
      </c>
      <c r="E231" s="1443"/>
      <c r="F231" s="1456">
        <f>SUM(F224:F230)</f>
        <v>611</v>
      </c>
      <c r="G231" s="1396"/>
      <c r="H231" s="1398"/>
      <c r="I231" s="1397"/>
      <c r="J231" s="1444">
        <f>SUM(J224:J230)</f>
        <v>6869.5599999999986</v>
      </c>
      <c r="K231" s="1396"/>
      <c r="L231" s="1444">
        <f>SUM(L224:L230)</f>
        <v>6869.5599999999986</v>
      </c>
      <c r="M231" s="1396"/>
      <c r="N231" s="1456">
        <f>SUM(N224:N230)</f>
        <v>227.99999999999994</v>
      </c>
      <c r="O231" s="1400"/>
      <c r="P231" s="1456">
        <f>SUM(P224:P230)</f>
        <v>611</v>
      </c>
      <c r="Q231" s="1396"/>
      <c r="R231" s="1436"/>
      <c r="S231" s="1443"/>
      <c r="T231" s="1444">
        <f>SUM(T224:T230)</f>
        <v>7616.6229613595988</v>
      </c>
      <c r="U231" s="1443"/>
      <c r="V231" s="1107"/>
      <c r="W231" s="1210"/>
      <c r="X231" s="1050"/>
      <c r="Y231" s="1047"/>
      <c r="Z231" s="1047"/>
      <c r="AA231" s="1047"/>
      <c r="AB231" s="1047"/>
      <c r="AC231" s="1047"/>
      <c r="AD231" s="1047"/>
      <c r="AE231" s="1047"/>
      <c r="AF231" s="1047"/>
      <c r="AG231" s="1047"/>
      <c r="AH231" s="1047"/>
      <c r="AI231" s="1093"/>
      <c r="AJ231" s="1108"/>
      <c r="AK231" s="1109"/>
      <c r="AL231" s="1096"/>
      <c r="AM231" s="1087"/>
      <c r="AN231" s="1087"/>
      <c r="AO231" s="1095"/>
      <c r="AP231" s="1087"/>
      <c r="AQ231" s="1087"/>
      <c r="AR231" s="1087"/>
      <c r="AS231" s="1087"/>
      <c r="AT231" s="1087"/>
      <c r="AU231" s="1095"/>
      <c r="AV231" s="1095"/>
    </row>
    <row r="232" spans="1:48" s="1412" customFormat="1" ht="12.75" thickTop="1">
      <c r="A232" s="1411"/>
      <c r="B232" s="1440"/>
      <c r="C232" s="1441"/>
      <c r="D232" s="1440"/>
      <c r="E232" s="1437"/>
      <c r="F232" s="1431"/>
      <c r="G232" s="1431"/>
      <c r="H232" s="1432"/>
      <c r="I232" s="1438"/>
      <c r="J232" s="1433"/>
      <c r="K232" s="1431"/>
      <c r="L232" s="1433"/>
      <c r="M232" s="1431"/>
      <c r="N232" s="1435"/>
      <c r="O232" s="1434"/>
      <c r="P232" s="1435"/>
      <c r="Q232" s="1431"/>
      <c r="R232" s="1436"/>
      <c r="S232" s="1438"/>
      <c r="T232" s="1393"/>
      <c r="U232" s="1438"/>
      <c r="V232" s="1107"/>
      <c r="W232" s="1210"/>
      <c r="X232" s="1050"/>
      <c r="Y232" s="1047"/>
      <c r="Z232" s="1047"/>
      <c r="AA232" s="1047"/>
      <c r="AB232" s="1047"/>
      <c r="AC232" s="1047"/>
      <c r="AD232" s="1047"/>
      <c r="AE232" s="1047"/>
      <c r="AF232" s="1047"/>
      <c r="AG232" s="1047"/>
      <c r="AH232" s="1047"/>
      <c r="AI232" s="1093"/>
      <c r="AJ232" s="1108"/>
      <c r="AK232" s="1109"/>
      <c r="AL232" s="1096"/>
      <c r="AM232" s="1087"/>
      <c r="AN232" s="1087"/>
      <c r="AO232" s="1095"/>
      <c r="AP232" s="1087"/>
      <c r="AQ232" s="1087"/>
      <c r="AR232" s="1087"/>
      <c r="AS232" s="1087"/>
      <c r="AT232" s="1087"/>
      <c r="AU232" s="1095"/>
      <c r="AV232" s="1095"/>
    </row>
    <row r="233" spans="1:48" s="1412" customFormat="1" ht="12.75" thickBot="1">
      <c r="A233" s="1413" t="s">
        <v>1663</v>
      </c>
      <c r="B233" s="1440"/>
      <c r="C233" s="1441"/>
      <c r="D233" s="1440"/>
      <c r="E233" s="1437"/>
      <c r="F233" s="1431"/>
      <c r="G233" s="1431"/>
      <c r="H233" s="1432"/>
      <c r="I233" s="1438"/>
      <c r="J233" s="1433"/>
      <c r="K233" s="1431"/>
      <c r="L233" s="1446">
        <f>+L231/$D231</f>
        <v>30.12964912280702</v>
      </c>
      <c r="M233" s="1431"/>
      <c r="N233" s="1435"/>
      <c r="O233" s="1434"/>
      <c r="P233" s="1435"/>
      <c r="Q233" s="1431"/>
      <c r="R233" s="1436"/>
      <c r="S233" s="1438"/>
      <c r="T233" s="1446">
        <f>+T231/$D231</f>
        <v>33.406241058594738</v>
      </c>
      <c r="U233" s="1438">
        <f>+T233-L233</f>
        <v>3.2765919357877173</v>
      </c>
      <c r="V233" s="1107"/>
      <c r="W233" s="1210"/>
      <c r="X233" s="1050"/>
      <c r="Y233" s="1047"/>
      <c r="Z233" s="1047"/>
      <c r="AA233" s="1047"/>
      <c r="AB233" s="1047"/>
      <c r="AC233" s="1047"/>
      <c r="AD233" s="1047"/>
      <c r="AE233" s="1047"/>
      <c r="AF233" s="1047"/>
      <c r="AG233" s="1047"/>
      <c r="AH233" s="1047"/>
      <c r="AI233" s="1093"/>
      <c r="AJ233" s="1108"/>
      <c r="AK233" s="1109"/>
      <c r="AL233" s="1096"/>
      <c r="AM233" s="1087"/>
      <c r="AN233" s="1087"/>
      <c r="AO233" s="1095"/>
      <c r="AP233" s="1087"/>
      <c r="AQ233" s="1087"/>
      <c r="AR233" s="1087"/>
      <c r="AS233" s="1087"/>
      <c r="AT233" s="1087"/>
      <c r="AU233" s="1095"/>
      <c r="AV233" s="1095"/>
    </row>
    <row r="234" spans="1:48" ht="12.75" thickTop="1">
      <c r="A234" s="1407" t="s">
        <v>1662</v>
      </c>
      <c r="B234" s="1431">
        <v>254</v>
      </c>
      <c r="C234" s="1437"/>
      <c r="D234" s="1431"/>
      <c r="E234" s="1437"/>
      <c r="F234" s="1431"/>
      <c r="G234" s="1431"/>
      <c r="H234" s="1432"/>
      <c r="I234" s="1437"/>
      <c r="K234" s="1431"/>
      <c r="L234" s="1433"/>
      <c r="M234" s="1431"/>
      <c r="N234" s="1435"/>
      <c r="O234" s="1434"/>
      <c r="P234" s="1435"/>
      <c r="Q234" s="1431"/>
      <c r="R234" s="1436"/>
      <c r="S234" s="1102"/>
      <c r="T234" s="1453"/>
      <c r="U234" s="1102"/>
      <c r="V234" s="1102"/>
      <c r="W234" s="1326"/>
      <c r="X234" s="1046"/>
      <c r="Y234" s="1036"/>
      <c r="Z234" s="1036"/>
      <c r="AA234" s="1036"/>
      <c r="AB234" s="1036"/>
      <c r="AC234" s="1036"/>
      <c r="AD234" s="1036"/>
      <c r="AE234" s="1036"/>
      <c r="AF234" s="1036"/>
      <c r="AG234" s="1036"/>
      <c r="AH234" s="1036"/>
      <c r="AI234" s="1088"/>
      <c r="AJ234" s="1103"/>
      <c r="AK234" s="1104"/>
      <c r="AL234" s="1415"/>
      <c r="AM234" s="1394"/>
      <c r="AN234" s="1394"/>
      <c r="AO234" s="1392"/>
      <c r="AP234" s="1394"/>
      <c r="AQ234" s="1394"/>
      <c r="AR234" s="1394"/>
      <c r="AS234" s="1394"/>
      <c r="AT234" s="1394"/>
      <c r="AU234" s="1392"/>
      <c r="AV234" s="1392"/>
    </row>
    <row r="235" spans="1:48">
      <c r="A235" s="1450" t="s">
        <v>582</v>
      </c>
      <c r="B235" s="1431"/>
      <c r="C235" s="1437"/>
      <c r="D235" s="1431">
        <v>48</v>
      </c>
      <c r="E235" s="1437"/>
      <c r="F235" s="1431"/>
      <c r="G235" s="1431"/>
      <c r="H235" s="1451">
        <v>11.99</v>
      </c>
      <c r="I235" s="1437"/>
      <c r="J235" s="1433">
        <f>+D235*H235</f>
        <v>575.52</v>
      </c>
      <c r="K235" s="1431"/>
      <c r="L235" s="1433">
        <f>+J235</f>
        <v>575.52</v>
      </c>
      <c r="M235" s="1431"/>
      <c r="N235" s="1435">
        <f>+D235</f>
        <v>48</v>
      </c>
      <c r="O235" s="1434"/>
      <c r="P235" s="1435"/>
      <c r="Q235" s="1431"/>
      <c r="R235" s="1452">
        <f>+H235*(1+$W$5)</f>
        <v>13.293909552679008</v>
      </c>
      <c r="S235" s="1102"/>
      <c r="T235" s="1453">
        <f>+N235*R235</f>
        <v>638.10765852859231</v>
      </c>
      <c r="U235" s="1102"/>
      <c r="V235" s="1102"/>
      <c r="W235" s="1326"/>
      <c r="X235" s="1046"/>
      <c r="Y235" s="1036"/>
      <c r="Z235" s="1036"/>
      <c r="AA235" s="1036"/>
      <c r="AB235" s="1036"/>
      <c r="AC235" s="1036"/>
      <c r="AD235" s="1036"/>
      <c r="AE235" s="1036"/>
      <c r="AF235" s="1036"/>
      <c r="AG235" s="1036"/>
      <c r="AH235" s="1036"/>
      <c r="AI235" s="1088"/>
      <c r="AJ235" s="1103"/>
      <c r="AK235" s="1104"/>
      <c r="AL235" s="1415"/>
      <c r="AM235" s="1394"/>
      <c r="AN235" s="1394"/>
      <c r="AO235" s="1392"/>
      <c r="AP235" s="1394"/>
      <c r="AQ235" s="1394"/>
      <c r="AR235" s="1394"/>
      <c r="AS235" s="1394"/>
      <c r="AT235" s="1394"/>
      <c r="AU235" s="1392"/>
      <c r="AV235" s="1392"/>
    </row>
    <row r="236" spans="1:48">
      <c r="A236" s="1450" t="s">
        <v>642</v>
      </c>
      <c r="B236" s="1431"/>
      <c r="C236" s="1437"/>
      <c r="D236" s="1431"/>
      <c r="E236" s="1437"/>
      <c r="F236" s="1431">
        <v>185.99999999999997</v>
      </c>
      <c r="G236" s="1431"/>
      <c r="H236" s="1454">
        <v>6.79</v>
      </c>
      <c r="I236" s="1437"/>
      <c r="J236" s="1435">
        <f>+F236*H236</f>
        <v>1262.9399999999998</v>
      </c>
      <c r="K236" s="1431"/>
      <c r="L236" s="1433">
        <f t="shared" ref="L236:L240" si="103">+J236</f>
        <v>1262.9399999999998</v>
      </c>
      <c r="M236" s="1431"/>
      <c r="N236" s="1435"/>
      <c r="O236" s="1434"/>
      <c r="P236" s="1435">
        <f>+F236</f>
        <v>185.99999999999997</v>
      </c>
      <c r="Q236" s="1431"/>
      <c r="R236" s="1452">
        <f t="shared" ref="R236:R240" si="104">+H236*(1+$W$5)</f>
        <v>7.5284108309166351</v>
      </c>
      <c r="S236" s="1102"/>
      <c r="T236" s="1453">
        <f>+P236*R236</f>
        <v>1400.2844145504939</v>
      </c>
      <c r="U236" s="1102"/>
      <c r="V236" s="1102"/>
      <c r="W236" s="1326"/>
      <c r="X236" s="1046"/>
      <c r="Y236" s="1036"/>
      <c r="Z236" s="1036"/>
      <c r="AA236" s="1036"/>
      <c r="AB236" s="1036"/>
      <c r="AC236" s="1036"/>
      <c r="AD236" s="1036"/>
      <c r="AE236" s="1036"/>
      <c r="AF236" s="1036"/>
      <c r="AG236" s="1036"/>
      <c r="AH236" s="1036"/>
      <c r="AI236" s="1088"/>
      <c r="AJ236" s="1103"/>
      <c r="AK236" s="1104"/>
      <c r="AL236" s="1415"/>
      <c r="AM236" s="1394"/>
      <c r="AN236" s="1394"/>
      <c r="AO236" s="1392"/>
      <c r="AP236" s="1394"/>
      <c r="AQ236" s="1394"/>
      <c r="AR236" s="1394"/>
      <c r="AS236" s="1394"/>
      <c r="AT236" s="1394"/>
      <c r="AU236" s="1392"/>
      <c r="AV236" s="1392"/>
    </row>
    <row r="237" spans="1:48">
      <c r="A237" s="1450" t="s">
        <v>862</v>
      </c>
      <c r="B237" s="1431"/>
      <c r="C237" s="1437"/>
      <c r="D237" s="1431"/>
      <c r="E237" s="1437"/>
      <c r="F237" s="1431">
        <v>20</v>
      </c>
      <c r="G237" s="1431"/>
      <c r="H237" s="1454">
        <v>6.23</v>
      </c>
      <c r="I237" s="1437"/>
      <c r="J237" s="1435">
        <f t="shared" ref="J237:J240" si="105">+F237*H237</f>
        <v>124.60000000000001</v>
      </c>
      <c r="K237" s="1431"/>
      <c r="L237" s="1433">
        <f t="shared" si="103"/>
        <v>124.60000000000001</v>
      </c>
      <c r="M237" s="1431"/>
      <c r="N237" s="1435"/>
      <c r="O237" s="1434"/>
      <c r="P237" s="1435">
        <f t="shared" ref="P237:P240" si="106">+F237</f>
        <v>20</v>
      </c>
      <c r="Q237" s="1431"/>
      <c r="R237" s="1452">
        <f t="shared" si="104"/>
        <v>6.9075109685729963</v>
      </c>
      <c r="S237" s="1102"/>
      <c r="T237" s="1453">
        <f t="shared" ref="T237:T240" si="107">+P237*R237</f>
        <v>138.15021937145991</v>
      </c>
      <c r="U237" s="1102"/>
      <c r="V237" s="1102"/>
      <c r="W237" s="1326"/>
      <c r="X237" s="1046"/>
      <c r="Y237" s="1036"/>
      <c r="Z237" s="1036"/>
      <c r="AA237" s="1036"/>
      <c r="AB237" s="1036"/>
      <c r="AC237" s="1036"/>
      <c r="AD237" s="1036"/>
      <c r="AE237" s="1036"/>
      <c r="AF237" s="1036"/>
      <c r="AG237" s="1036"/>
      <c r="AH237" s="1036"/>
      <c r="AI237" s="1088"/>
      <c r="AJ237" s="1103"/>
      <c r="AK237" s="1104"/>
      <c r="AL237" s="1415"/>
      <c r="AM237" s="1394"/>
      <c r="AN237" s="1394"/>
      <c r="AO237" s="1392"/>
      <c r="AP237" s="1394"/>
      <c r="AQ237" s="1394"/>
      <c r="AR237" s="1394"/>
      <c r="AS237" s="1394"/>
      <c r="AT237" s="1394"/>
      <c r="AU237" s="1392"/>
      <c r="AV237" s="1392"/>
    </row>
    <row r="238" spans="1:48">
      <c r="A238" s="1450" t="s">
        <v>863</v>
      </c>
      <c r="B238" s="1431"/>
      <c r="C238" s="1437"/>
      <c r="D238" s="1431"/>
      <c r="E238" s="1437"/>
      <c r="F238" s="1431">
        <v>0</v>
      </c>
      <c r="G238" s="1431"/>
      <c r="H238" s="1454">
        <v>5.68</v>
      </c>
      <c r="I238" s="1437"/>
      <c r="J238" s="1435">
        <f t="shared" si="105"/>
        <v>0</v>
      </c>
      <c r="K238" s="1431"/>
      <c r="L238" s="1433">
        <f t="shared" si="103"/>
        <v>0</v>
      </c>
      <c r="M238" s="1431"/>
      <c r="N238" s="1435"/>
      <c r="O238" s="1434"/>
      <c r="P238" s="1435">
        <f t="shared" si="106"/>
        <v>0</v>
      </c>
      <c r="Q238" s="1431"/>
      <c r="R238" s="1452">
        <f t="shared" si="104"/>
        <v>6.2976986037712059</v>
      </c>
      <c r="S238" s="1102"/>
      <c r="T238" s="1453">
        <f t="shared" si="107"/>
        <v>0</v>
      </c>
      <c r="U238" s="1102"/>
      <c r="V238" s="1102"/>
      <c r="W238" s="1326"/>
      <c r="X238" s="1046"/>
      <c r="Y238" s="1036"/>
      <c r="Z238" s="1036"/>
      <c r="AA238" s="1036"/>
      <c r="AB238" s="1036"/>
      <c r="AC238" s="1036"/>
      <c r="AD238" s="1036"/>
      <c r="AE238" s="1036"/>
      <c r="AF238" s="1036"/>
      <c r="AG238" s="1036"/>
      <c r="AH238" s="1036"/>
      <c r="AI238" s="1088"/>
      <c r="AJ238" s="1103"/>
      <c r="AK238" s="1104"/>
      <c r="AL238" s="1415"/>
      <c r="AM238" s="1394"/>
      <c r="AN238" s="1394"/>
      <c r="AO238" s="1392"/>
      <c r="AP238" s="1394"/>
      <c r="AQ238" s="1394"/>
      <c r="AR238" s="1394"/>
      <c r="AS238" s="1394"/>
      <c r="AT238" s="1394"/>
      <c r="AU238" s="1392"/>
      <c r="AV238" s="1392"/>
    </row>
    <row r="239" spans="1:48">
      <c r="A239" s="1450" t="s">
        <v>864</v>
      </c>
      <c r="B239" s="1431"/>
      <c r="C239" s="1437"/>
      <c r="D239" s="1431"/>
      <c r="E239" s="1437"/>
      <c r="F239" s="1431">
        <v>0</v>
      </c>
      <c r="G239" s="1431"/>
      <c r="H239" s="1454">
        <v>5.04</v>
      </c>
      <c r="I239" s="1437"/>
      <c r="J239" s="1435">
        <f t="shared" si="105"/>
        <v>0</v>
      </c>
      <c r="K239" s="1431"/>
      <c r="L239" s="1433">
        <f t="shared" si="103"/>
        <v>0</v>
      </c>
      <c r="M239" s="1431"/>
      <c r="N239" s="1435"/>
      <c r="O239" s="1434"/>
      <c r="P239" s="1435">
        <f t="shared" si="106"/>
        <v>0</v>
      </c>
      <c r="Q239" s="1431"/>
      <c r="R239" s="1452">
        <f t="shared" si="104"/>
        <v>5.5880987610927599</v>
      </c>
      <c r="S239" s="1102"/>
      <c r="T239" s="1453">
        <f t="shared" si="107"/>
        <v>0</v>
      </c>
      <c r="U239" s="1102"/>
      <c r="V239" s="1102"/>
      <c r="W239" s="1326"/>
      <c r="X239" s="1046"/>
      <c r="Y239" s="1036"/>
      <c r="Z239" s="1036"/>
      <c r="AA239" s="1036"/>
      <c r="AB239" s="1036"/>
      <c r="AC239" s="1036"/>
      <c r="AD239" s="1036"/>
      <c r="AE239" s="1036"/>
      <c r="AF239" s="1036"/>
      <c r="AG239" s="1036"/>
      <c r="AH239" s="1036"/>
      <c r="AI239" s="1088"/>
      <c r="AJ239" s="1103"/>
      <c r="AK239" s="1104"/>
      <c r="AL239" s="1415"/>
      <c r="AM239" s="1394"/>
      <c r="AN239" s="1394"/>
      <c r="AO239" s="1392"/>
      <c r="AP239" s="1394"/>
      <c r="AQ239" s="1394"/>
      <c r="AR239" s="1394"/>
      <c r="AS239" s="1394"/>
      <c r="AT239" s="1394"/>
      <c r="AU239" s="1392"/>
      <c r="AV239" s="1392"/>
    </row>
    <row r="240" spans="1:48">
      <c r="A240" s="1450" t="s">
        <v>876</v>
      </c>
      <c r="B240" s="1431"/>
      <c r="C240" s="1437"/>
      <c r="D240" s="1431"/>
      <c r="E240" s="1437"/>
      <c r="F240" s="1431">
        <v>0</v>
      </c>
      <c r="G240" s="1431"/>
      <c r="H240" s="1454">
        <v>4.4000000000000004</v>
      </c>
      <c r="I240" s="1437"/>
      <c r="J240" s="1435">
        <f t="shared" si="105"/>
        <v>0</v>
      </c>
      <c r="K240" s="1431"/>
      <c r="L240" s="1433">
        <f t="shared" si="103"/>
        <v>0</v>
      </c>
      <c r="M240" s="1431"/>
      <c r="N240" s="1435"/>
      <c r="O240" s="1434"/>
      <c r="P240" s="1435">
        <f t="shared" si="106"/>
        <v>0</v>
      </c>
      <c r="Q240" s="1431"/>
      <c r="R240" s="1452">
        <f t="shared" si="104"/>
        <v>4.8784989184143148</v>
      </c>
      <c r="S240" s="1102"/>
      <c r="T240" s="1453">
        <f t="shared" si="107"/>
        <v>0</v>
      </c>
      <c r="U240" s="1102"/>
      <c r="V240" s="1102"/>
      <c r="W240" s="1326"/>
      <c r="X240" s="1046"/>
      <c r="Y240" s="1036"/>
      <c r="Z240" s="1036"/>
      <c r="AA240" s="1036"/>
      <c r="AB240" s="1036"/>
      <c r="AC240" s="1036"/>
      <c r="AD240" s="1036"/>
      <c r="AE240" s="1036"/>
      <c r="AF240" s="1036"/>
      <c r="AG240" s="1036"/>
      <c r="AH240" s="1036"/>
      <c r="AI240" s="1088"/>
      <c r="AJ240" s="1103"/>
      <c r="AK240" s="1104"/>
      <c r="AL240" s="1415"/>
      <c r="AM240" s="1394"/>
      <c r="AN240" s="1394"/>
      <c r="AO240" s="1392"/>
      <c r="AP240" s="1394"/>
      <c r="AQ240" s="1394"/>
      <c r="AR240" s="1394"/>
      <c r="AS240" s="1394"/>
      <c r="AT240" s="1394"/>
      <c r="AU240" s="1392"/>
      <c r="AV240" s="1392"/>
    </row>
    <row r="241" spans="1:48" s="1412" customFormat="1" ht="12.75" thickBot="1">
      <c r="A241" s="1464" t="s">
        <v>1661</v>
      </c>
      <c r="B241" s="1456">
        <f>SUM(B234:B240)</f>
        <v>254</v>
      </c>
      <c r="C241" s="1443"/>
      <c r="D241" s="1456">
        <f>SUM(D234:D240)</f>
        <v>48</v>
      </c>
      <c r="E241" s="1443"/>
      <c r="F241" s="1456">
        <f>SUM(F234:F240)</f>
        <v>205.99999999999997</v>
      </c>
      <c r="G241" s="1396"/>
      <c r="H241" s="1398"/>
      <c r="I241" s="1397"/>
      <c r="J241" s="1444">
        <f>SUM(J234:J240)</f>
        <v>1963.0599999999997</v>
      </c>
      <c r="K241" s="1396"/>
      <c r="L241" s="1444">
        <f>SUM(L234:L240)</f>
        <v>1963.0599999999997</v>
      </c>
      <c r="M241" s="1396"/>
      <c r="N241" s="1456">
        <f>SUM(N234:N240)</f>
        <v>48</v>
      </c>
      <c r="O241" s="1400"/>
      <c r="P241" s="1456">
        <f>SUM(P234:P240)</f>
        <v>205.99999999999997</v>
      </c>
      <c r="Q241" s="1396"/>
      <c r="R241" s="1436"/>
      <c r="S241" s="1443"/>
      <c r="T241" s="1444">
        <f>SUM(T234:T240)</f>
        <v>2176.542292450546</v>
      </c>
      <c r="U241" s="1443"/>
      <c r="V241" s="1107"/>
      <c r="W241" s="1210"/>
      <c r="X241" s="1050"/>
      <c r="Y241" s="1047"/>
      <c r="Z241" s="1047"/>
      <c r="AA241" s="1047"/>
      <c r="AB241" s="1047"/>
      <c r="AC241" s="1047"/>
      <c r="AD241" s="1047"/>
      <c r="AE241" s="1047"/>
      <c r="AF241" s="1047"/>
      <c r="AG241" s="1047"/>
      <c r="AH241" s="1047"/>
      <c r="AI241" s="1093"/>
      <c r="AJ241" s="1108"/>
      <c r="AK241" s="1109"/>
      <c r="AL241" s="1096"/>
      <c r="AM241" s="1087"/>
      <c r="AN241" s="1087"/>
      <c r="AO241" s="1095"/>
      <c r="AP241" s="1087"/>
      <c r="AQ241" s="1087"/>
      <c r="AR241" s="1087"/>
      <c r="AS241" s="1087"/>
      <c r="AT241" s="1087"/>
      <c r="AU241" s="1095"/>
      <c r="AV241" s="1095"/>
    </row>
    <row r="242" spans="1:48" s="1412" customFormat="1" ht="12.75" thickTop="1">
      <c r="A242" s="1464"/>
      <c r="B242" s="1440"/>
      <c r="C242" s="1441"/>
      <c r="D242" s="1440"/>
      <c r="E242" s="1437"/>
      <c r="F242" s="1431"/>
      <c r="G242" s="1431"/>
      <c r="H242" s="1432"/>
      <c r="I242" s="1438"/>
      <c r="J242" s="1433"/>
      <c r="K242" s="1431"/>
      <c r="L242" s="1433"/>
      <c r="M242" s="1431"/>
      <c r="N242" s="1435"/>
      <c r="O242" s="1434"/>
      <c r="P242" s="1435"/>
      <c r="Q242" s="1431"/>
      <c r="R242" s="1436"/>
      <c r="S242" s="1438"/>
      <c r="T242" s="1393"/>
      <c r="U242" s="1438"/>
      <c r="V242" s="1107"/>
      <c r="W242" s="1210"/>
      <c r="X242" s="1050"/>
      <c r="Y242" s="1047"/>
      <c r="Z242" s="1047"/>
      <c r="AA242" s="1047"/>
      <c r="AB242" s="1047"/>
      <c r="AC242" s="1047"/>
      <c r="AD242" s="1047"/>
      <c r="AE242" s="1047"/>
      <c r="AF242" s="1047"/>
      <c r="AG242" s="1047"/>
      <c r="AH242" s="1047"/>
      <c r="AI242" s="1093"/>
      <c r="AJ242" s="1108"/>
      <c r="AK242" s="1109"/>
      <c r="AL242" s="1096"/>
      <c r="AM242" s="1087"/>
      <c r="AN242" s="1087"/>
      <c r="AO242" s="1095"/>
      <c r="AP242" s="1087"/>
      <c r="AQ242" s="1087"/>
      <c r="AR242" s="1087"/>
      <c r="AS242" s="1087"/>
      <c r="AT242" s="1087"/>
      <c r="AU242" s="1095"/>
      <c r="AV242" s="1095"/>
    </row>
    <row r="243" spans="1:48" s="1412" customFormat="1" ht="12.75" thickBot="1">
      <c r="A243" s="1465" t="s">
        <v>1660</v>
      </c>
      <c r="B243" s="1440"/>
      <c r="C243" s="1441"/>
      <c r="D243" s="1440"/>
      <c r="E243" s="1437"/>
      <c r="F243" s="1431"/>
      <c r="G243" s="1431"/>
      <c r="H243" s="1432"/>
      <c r="I243" s="1438"/>
      <c r="J243" s="1433"/>
      <c r="K243" s="1431"/>
      <c r="L243" s="1446">
        <f>+L241/$D241</f>
        <v>40.897083333333327</v>
      </c>
      <c r="M243" s="1431"/>
      <c r="N243" s="1435"/>
      <c r="O243" s="1434"/>
      <c r="P243" s="1435"/>
      <c r="Q243" s="1431"/>
      <c r="R243" s="1436"/>
      <c r="S243" s="1438"/>
      <c r="T243" s="1446">
        <f>+T241/$D241</f>
        <v>45.344631092719709</v>
      </c>
      <c r="U243" s="1438">
        <f>+T243-L243</f>
        <v>4.4475477593863815</v>
      </c>
      <c r="V243" s="1107"/>
      <c r="W243" s="1210"/>
      <c r="X243" s="1050"/>
      <c r="Y243" s="1047"/>
      <c r="Z243" s="1047"/>
      <c r="AA243" s="1047"/>
      <c r="AB243" s="1047"/>
      <c r="AC243" s="1047"/>
      <c r="AD243" s="1047"/>
      <c r="AE243" s="1047"/>
      <c r="AF243" s="1047"/>
      <c r="AG243" s="1047"/>
      <c r="AH243" s="1047"/>
      <c r="AI243" s="1093"/>
      <c r="AJ243" s="1108"/>
      <c r="AK243" s="1109"/>
      <c r="AL243" s="1096"/>
      <c r="AM243" s="1087"/>
      <c r="AN243" s="1087"/>
      <c r="AO243" s="1095"/>
      <c r="AP243" s="1087"/>
      <c r="AQ243" s="1087"/>
      <c r="AR243" s="1087"/>
      <c r="AS243" s="1087"/>
      <c r="AT243" s="1087"/>
      <c r="AU243" s="1095"/>
      <c r="AV243" s="1095"/>
    </row>
    <row r="244" spans="1:48" ht="12.75" thickTop="1">
      <c r="A244" s="1407" t="s">
        <v>1659</v>
      </c>
      <c r="B244" s="1431">
        <v>321</v>
      </c>
      <c r="C244" s="1437"/>
      <c r="D244" s="1431"/>
      <c r="E244" s="1437"/>
      <c r="F244" s="1431"/>
      <c r="G244" s="1431"/>
      <c r="H244" s="1432"/>
      <c r="I244" s="1437"/>
      <c r="J244" s="1433"/>
      <c r="K244" s="1431"/>
      <c r="L244" s="1433"/>
      <c r="M244" s="1431"/>
      <c r="N244" s="1435"/>
      <c r="O244" s="1434"/>
      <c r="P244" s="1435"/>
      <c r="Q244" s="1431"/>
      <c r="R244" s="1436"/>
      <c r="S244" s="1102"/>
      <c r="T244" s="1453"/>
      <c r="U244" s="1102"/>
      <c r="V244" s="1102"/>
      <c r="W244" s="1326"/>
      <c r="X244" s="1046"/>
      <c r="Y244" s="1036"/>
      <c r="Z244" s="1036"/>
      <c r="AA244" s="1036"/>
      <c r="AB244" s="1036"/>
      <c r="AC244" s="1036"/>
      <c r="AD244" s="1036"/>
      <c r="AE244" s="1036"/>
      <c r="AF244" s="1036"/>
      <c r="AG244" s="1036"/>
      <c r="AH244" s="1036"/>
      <c r="AI244" s="1088"/>
      <c r="AJ244" s="1103"/>
      <c r="AK244" s="1104"/>
      <c r="AL244" s="1415"/>
      <c r="AM244" s="1394"/>
      <c r="AN244" s="1394"/>
      <c r="AO244" s="1392"/>
      <c r="AP244" s="1394"/>
      <c r="AQ244" s="1394"/>
      <c r="AR244" s="1394"/>
      <c r="AS244" s="1394"/>
      <c r="AT244" s="1394"/>
      <c r="AU244" s="1392"/>
      <c r="AV244" s="1392"/>
    </row>
    <row r="245" spans="1:48">
      <c r="A245" s="1450" t="s">
        <v>582</v>
      </c>
      <c r="B245" s="1431"/>
      <c r="C245" s="1437"/>
      <c r="D245" s="1431">
        <v>114.99999999999999</v>
      </c>
      <c r="E245" s="1437"/>
      <c r="F245" s="1431"/>
      <c r="G245" s="1431"/>
      <c r="H245" s="1451">
        <v>11.99</v>
      </c>
      <c r="I245" s="1437"/>
      <c r="J245" s="1433">
        <f>+D245*H245</f>
        <v>1378.85</v>
      </c>
      <c r="K245" s="1431"/>
      <c r="L245" s="1433">
        <f>+J245</f>
        <v>1378.85</v>
      </c>
      <c r="M245" s="1431"/>
      <c r="N245" s="1435">
        <f>+D245</f>
        <v>114.99999999999999</v>
      </c>
      <c r="O245" s="1434"/>
      <c r="P245" s="1435"/>
      <c r="Q245" s="1431"/>
      <c r="R245" s="1452">
        <f>+H245*(1+$W$5)</f>
        <v>13.293909552679008</v>
      </c>
      <c r="S245" s="1102"/>
      <c r="T245" s="1453">
        <f>+N245*R245</f>
        <v>1528.7995985580858</v>
      </c>
      <c r="U245" s="1102"/>
      <c r="V245" s="1102"/>
      <c r="W245" s="1326"/>
      <c r="X245" s="1046"/>
      <c r="Y245" s="1036"/>
      <c r="Z245" s="1036"/>
      <c r="AA245" s="1036"/>
      <c r="AB245" s="1036"/>
      <c r="AC245" s="1036"/>
      <c r="AD245" s="1036"/>
      <c r="AE245" s="1036"/>
      <c r="AF245" s="1036"/>
      <c r="AG245" s="1036"/>
      <c r="AH245" s="1036"/>
      <c r="AI245" s="1088"/>
      <c r="AJ245" s="1103"/>
      <c r="AK245" s="1104"/>
      <c r="AL245" s="1415"/>
      <c r="AM245" s="1394"/>
      <c r="AN245" s="1394"/>
      <c r="AO245" s="1392"/>
      <c r="AP245" s="1394"/>
      <c r="AQ245" s="1394"/>
      <c r="AR245" s="1394"/>
      <c r="AS245" s="1394"/>
      <c r="AT245" s="1394"/>
      <c r="AU245" s="1392"/>
      <c r="AV245" s="1392"/>
    </row>
    <row r="246" spans="1:48">
      <c r="A246" s="1450" t="s">
        <v>642</v>
      </c>
      <c r="B246" s="1431"/>
      <c r="C246" s="1437"/>
      <c r="D246" s="1431"/>
      <c r="E246" s="1437"/>
      <c r="F246" s="1431">
        <v>209.00000000000003</v>
      </c>
      <c r="G246" s="1431"/>
      <c r="H246" s="1454">
        <v>6.79</v>
      </c>
      <c r="I246" s="1437"/>
      <c r="J246" s="1435">
        <f>+F246*H246</f>
        <v>1419.1100000000001</v>
      </c>
      <c r="K246" s="1431"/>
      <c r="L246" s="1433">
        <f t="shared" ref="L246:L250" si="108">+J246</f>
        <v>1419.1100000000001</v>
      </c>
      <c r="M246" s="1431"/>
      <c r="N246" s="1435"/>
      <c r="O246" s="1434"/>
      <c r="P246" s="1435">
        <f>+F246</f>
        <v>209.00000000000003</v>
      </c>
      <c r="Q246" s="1431"/>
      <c r="R246" s="1452">
        <f t="shared" ref="R246:R250" si="109">+H246*(1+$W$5)</f>
        <v>7.5284108309166351</v>
      </c>
      <c r="S246" s="1102"/>
      <c r="T246" s="1453">
        <f>+P246*R246</f>
        <v>1573.437863661577</v>
      </c>
      <c r="U246" s="1102"/>
      <c r="V246" s="1102"/>
      <c r="W246" s="1326"/>
      <c r="X246" s="1046"/>
      <c r="Y246" s="1036"/>
      <c r="Z246" s="1036"/>
      <c r="AA246" s="1036"/>
      <c r="AB246" s="1036"/>
      <c r="AC246" s="1036"/>
      <c r="AD246" s="1036"/>
      <c r="AE246" s="1036"/>
      <c r="AF246" s="1036"/>
      <c r="AG246" s="1036"/>
      <c r="AH246" s="1036"/>
      <c r="AI246" s="1088"/>
      <c r="AJ246" s="1103"/>
      <c r="AK246" s="1104"/>
      <c r="AL246" s="1415"/>
      <c r="AM246" s="1394"/>
      <c r="AN246" s="1394"/>
      <c r="AO246" s="1392"/>
      <c r="AP246" s="1394"/>
      <c r="AQ246" s="1394"/>
      <c r="AR246" s="1394"/>
      <c r="AS246" s="1394"/>
      <c r="AT246" s="1394"/>
      <c r="AU246" s="1392"/>
      <c r="AV246" s="1392"/>
    </row>
    <row r="247" spans="1:48">
      <c r="A247" s="1450" t="s">
        <v>862</v>
      </c>
      <c r="B247" s="1431"/>
      <c r="C247" s="1437"/>
      <c r="D247" s="1431"/>
      <c r="E247" s="1437"/>
      <c r="F247" s="1431">
        <v>0</v>
      </c>
      <c r="G247" s="1431"/>
      <c r="H247" s="1454">
        <v>6.23</v>
      </c>
      <c r="I247" s="1437"/>
      <c r="J247" s="1435">
        <f t="shared" ref="J247:J250" si="110">+F247*H247</f>
        <v>0</v>
      </c>
      <c r="K247" s="1431"/>
      <c r="L247" s="1433">
        <f t="shared" si="108"/>
        <v>0</v>
      </c>
      <c r="M247" s="1431"/>
      <c r="N247" s="1435"/>
      <c r="O247" s="1434"/>
      <c r="P247" s="1435">
        <f t="shared" ref="P247:P250" si="111">+F247</f>
        <v>0</v>
      </c>
      <c r="Q247" s="1431"/>
      <c r="R247" s="1452">
        <f t="shared" si="109"/>
        <v>6.9075109685729963</v>
      </c>
      <c r="S247" s="1102"/>
      <c r="T247" s="1453">
        <f t="shared" ref="T247:T250" si="112">+P247*R247</f>
        <v>0</v>
      </c>
      <c r="U247" s="1102"/>
      <c r="V247" s="1102"/>
      <c r="W247" s="1326"/>
      <c r="X247" s="1046"/>
      <c r="Y247" s="1036"/>
      <c r="Z247" s="1036"/>
      <c r="AA247" s="1036"/>
      <c r="AB247" s="1036"/>
      <c r="AC247" s="1036"/>
      <c r="AD247" s="1036"/>
      <c r="AE247" s="1036"/>
      <c r="AF247" s="1036"/>
      <c r="AG247" s="1036"/>
      <c r="AH247" s="1036"/>
      <c r="AI247" s="1088"/>
      <c r="AJ247" s="1103"/>
      <c r="AK247" s="1104"/>
      <c r="AL247" s="1415"/>
      <c r="AM247" s="1394"/>
      <c r="AN247" s="1394"/>
      <c r="AO247" s="1392"/>
      <c r="AP247" s="1394"/>
      <c r="AQ247" s="1394"/>
      <c r="AR247" s="1394"/>
      <c r="AS247" s="1394"/>
      <c r="AT247" s="1394"/>
      <c r="AU247" s="1392"/>
      <c r="AV247" s="1392"/>
    </row>
    <row r="248" spans="1:48">
      <c r="A248" s="1450" t="s">
        <v>863</v>
      </c>
      <c r="B248" s="1431"/>
      <c r="C248" s="1437"/>
      <c r="D248" s="1431"/>
      <c r="E248" s="1437"/>
      <c r="F248" s="1431">
        <v>0</v>
      </c>
      <c r="G248" s="1431"/>
      <c r="H248" s="1454">
        <v>5.68</v>
      </c>
      <c r="I248" s="1437"/>
      <c r="J248" s="1435">
        <f t="shared" si="110"/>
        <v>0</v>
      </c>
      <c r="K248" s="1431"/>
      <c r="L248" s="1433">
        <f t="shared" si="108"/>
        <v>0</v>
      </c>
      <c r="M248" s="1431"/>
      <c r="N248" s="1435"/>
      <c r="O248" s="1434"/>
      <c r="P248" s="1435">
        <f t="shared" si="111"/>
        <v>0</v>
      </c>
      <c r="Q248" s="1431"/>
      <c r="R248" s="1452">
        <f t="shared" si="109"/>
        <v>6.2976986037712059</v>
      </c>
      <c r="S248" s="1102"/>
      <c r="T248" s="1453">
        <f t="shared" si="112"/>
        <v>0</v>
      </c>
      <c r="U248" s="1102"/>
      <c r="V248" s="1102"/>
      <c r="W248" s="1326"/>
      <c r="X248" s="1046"/>
      <c r="Y248" s="1036"/>
      <c r="Z248" s="1036"/>
      <c r="AA248" s="1036"/>
      <c r="AB248" s="1036"/>
      <c r="AC248" s="1036"/>
      <c r="AD248" s="1036"/>
      <c r="AE248" s="1036"/>
      <c r="AF248" s="1036"/>
      <c r="AG248" s="1036"/>
      <c r="AH248" s="1036"/>
      <c r="AI248" s="1088"/>
      <c r="AJ248" s="1103"/>
      <c r="AK248" s="1104"/>
      <c r="AL248" s="1415"/>
      <c r="AM248" s="1394"/>
      <c r="AN248" s="1394"/>
      <c r="AO248" s="1392"/>
      <c r="AP248" s="1394"/>
      <c r="AQ248" s="1394"/>
      <c r="AR248" s="1394"/>
      <c r="AS248" s="1394"/>
      <c r="AT248" s="1394"/>
      <c r="AU248" s="1392"/>
      <c r="AV248" s="1392"/>
    </row>
    <row r="249" spans="1:48">
      <c r="A249" s="1450" t="s">
        <v>864</v>
      </c>
      <c r="B249" s="1431"/>
      <c r="C249" s="1437"/>
      <c r="D249" s="1431"/>
      <c r="E249" s="1437"/>
      <c r="F249" s="1431">
        <v>0</v>
      </c>
      <c r="G249" s="1431"/>
      <c r="H249" s="1454">
        <v>5.04</v>
      </c>
      <c r="I249" s="1437"/>
      <c r="J249" s="1435">
        <f t="shared" si="110"/>
        <v>0</v>
      </c>
      <c r="K249" s="1431"/>
      <c r="L249" s="1433">
        <f t="shared" si="108"/>
        <v>0</v>
      </c>
      <c r="M249" s="1431"/>
      <c r="N249" s="1435"/>
      <c r="O249" s="1434"/>
      <c r="P249" s="1435">
        <f t="shared" si="111"/>
        <v>0</v>
      </c>
      <c r="Q249" s="1431"/>
      <c r="R249" s="1452">
        <f t="shared" si="109"/>
        <v>5.5880987610927599</v>
      </c>
      <c r="S249" s="1102"/>
      <c r="T249" s="1453">
        <f t="shared" si="112"/>
        <v>0</v>
      </c>
      <c r="U249" s="1102"/>
      <c r="V249" s="1102"/>
      <c r="W249" s="1326"/>
      <c r="X249" s="1046"/>
      <c r="Y249" s="1036"/>
      <c r="Z249" s="1036"/>
      <c r="AA249" s="1036"/>
      <c r="AB249" s="1036"/>
      <c r="AC249" s="1036"/>
      <c r="AD249" s="1036"/>
      <c r="AE249" s="1036"/>
      <c r="AF249" s="1036"/>
      <c r="AG249" s="1036"/>
      <c r="AH249" s="1036"/>
      <c r="AI249" s="1088"/>
      <c r="AJ249" s="1103"/>
      <c r="AK249" s="1104"/>
      <c r="AL249" s="1415"/>
      <c r="AM249" s="1394"/>
      <c r="AN249" s="1394"/>
      <c r="AO249" s="1392"/>
      <c r="AP249" s="1394"/>
      <c r="AQ249" s="1394"/>
      <c r="AR249" s="1394"/>
      <c r="AS249" s="1394"/>
      <c r="AT249" s="1394"/>
      <c r="AU249" s="1392"/>
      <c r="AV249" s="1392"/>
    </row>
    <row r="250" spans="1:48">
      <c r="A250" s="1450" t="s">
        <v>876</v>
      </c>
      <c r="B250" s="1431"/>
      <c r="C250" s="1437"/>
      <c r="D250" s="1431"/>
      <c r="E250" s="1437"/>
      <c r="F250" s="1431">
        <v>0</v>
      </c>
      <c r="G250" s="1431"/>
      <c r="H250" s="1454">
        <v>4.4000000000000004</v>
      </c>
      <c r="I250" s="1437"/>
      <c r="J250" s="1435">
        <f t="shared" si="110"/>
        <v>0</v>
      </c>
      <c r="K250" s="1431"/>
      <c r="L250" s="1433">
        <f t="shared" si="108"/>
        <v>0</v>
      </c>
      <c r="M250" s="1431"/>
      <c r="N250" s="1435"/>
      <c r="O250" s="1434"/>
      <c r="P250" s="1435">
        <f t="shared" si="111"/>
        <v>0</v>
      </c>
      <c r="Q250" s="1431"/>
      <c r="R250" s="1452">
        <f t="shared" si="109"/>
        <v>4.8784989184143148</v>
      </c>
      <c r="S250" s="1102"/>
      <c r="T250" s="1453">
        <f t="shared" si="112"/>
        <v>0</v>
      </c>
      <c r="U250" s="1102"/>
      <c r="V250" s="1102"/>
      <c r="W250" s="1326"/>
      <c r="X250" s="1046"/>
      <c r="Y250" s="1036"/>
      <c r="Z250" s="1036"/>
      <c r="AA250" s="1036"/>
      <c r="AB250" s="1036"/>
      <c r="AC250" s="1036"/>
      <c r="AD250" s="1036"/>
      <c r="AE250" s="1036"/>
      <c r="AF250" s="1036"/>
      <c r="AG250" s="1036"/>
      <c r="AH250" s="1036"/>
      <c r="AI250" s="1088"/>
      <c r="AJ250" s="1103"/>
      <c r="AK250" s="1104"/>
      <c r="AL250" s="1415"/>
      <c r="AM250" s="1394"/>
      <c r="AN250" s="1394"/>
      <c r="AO250" s="1392"/>
      <c r="AP250" s="1394"/>
      <c r="AQ250" s="1394"/>
      <c r="AR250" s="1394"/>
      <c r="AS250" s="1394"/>
      <c r="AT250" s="1394"/>
      <c r="AU250" s="1392"/>
      <c r="AV250" s="1392"/>
    </row>
    <row r="251" spans="1:48" s="1412" customFormat="1" ht="12.75" thickBot="1">
      <c r="A251" s="1464" t="s">
        <v>1658</v>
      </c>
      <c r="B251" s="1456">
        <f>SUM(B244:B250)</f>
        <v>321</v>
      </c>
      <c r="C251" s="1443"/>
      <c r="D251" s="1456">
        <f>SUM(D244:D250)</f>
        <v>114.99999999999999</v>
      </c>
      <c r="E251" s="1443"/>
      <c r="F251" s="1456">
        <f>SUM(F244:F250)</f>
        <v>209.00000000000003</v>
      </c>
      <c r="G251" s="1396"/>
      <c r="H251" s="1398"/>
      <c r="I251" s="1397"/>
      <c r="J251" s="1444">
        <f>SUM(J244:J250)</f>
        <v>2797.96</v>
      </c>
      <c r="K251" s="1396"/>
      <c r="L251" s="1444">
        <f>SUM(L244:L250)</f>
        <v>2797.96</v>
      </c>
      <c r="M251" s="1396"/>
      <c r="N251" s="1456">
        <f>SUM(N244:N250)</f>
        <v>114.99999999999999</v>
      </c>
      <c r="O251" s="1400"/>
      <c r="P251" s="1456">
        <f>SUM(P244:P250)</f>
        <v>209.00000000000003</v>
      </c>
      <c r="Q251" s="1396"/>
      <c r="R251" s="1436"/>
      <c r="S251" s="1443"/>
      <c r="T251" s="1444">
        <f>SUM(T244:T250)</f>
        <v>3102.237462219663</v>
      </c>
      <c r="U251" s="1443"/>
      <c r="V251" s="1107"/>
      <c r="W251" s="1210"/>
      <c r="X251" s="1050"/>
      <c r="Y251" s="1047"/>
      <c r="Z251" s="1047"/>
      <c r="AA251" s="1047"/>
      <c r="AB251" s="1047"/>
      <c r="AC251" s="1047"/>
      <c r="AD251" s="1047"/>
      <c r="AE251" s="1047"/>
      <c r="AF251" s="1047"/>
      <c r="AG251" s="1047"/>
      <c r="AH251" s="1047"/>
      <c r="AI251" s="1093"/>
      <c r="AJ251" s="1108"/>
      <c r="AK251" s="1109"/>
      <c r="AL251" s="1096"/>
      <c r="AM251" s="1087"/>
      <c r="AN251" s="1087"/>
      <c r="AO251" s="1095"/>
      <c r="AP251" s="1087"/>
      <c r="AQ251" s="1087"/>
      <c r="AR251" s="1087"/>
      <c r="AS251" s="1087"/>
      <c r="AT251" s="1087"/>
      <c r="AU251" s="1095"/>
      <c r="AV251" s="1095"/>
    </row>
    <row r="252" spans="1:48" s="1412" customFormat="1" ht="12.75" thickTop="1">
      <c r="A252" s="1464"/>
      <c r="B252" s="1440"/>
      <c r="C252" s="1441"/>
      <c r="D252" s="1440"/>
      <c r="E252" s="1437"/>
      <c r="F252" s="1431"/>
      <c r="G252" s="1431"/>
      <c r="H252" s="1432"/>
      <c r="I252" s="1438"/>
      <c r="J252" s="1433"/>
      <c r="K252" s="1431"/>
      <c r="L252" s="1433"/>
      <c r="M252" s="1431"/>
      <c r="N252" s="1435"/>
      <c r="O252" s="1434"/>
      <c r="P252" s="1435"/>
      <c r="Q252" s="1431"/>
      <c r="R252" s="1436"/>
      <c r="S252" s="1438"/>
      <c r="T252" s="1393"/>
      <c r="U252" s="1438"/>
      <c r="V252" s="1107"/>
      <c r="W252" s="1210"/>
      <c r="X252" s="1050"/>
      <c r="Y252" s="1047"/>
      <c r="Z252" s="1047"/>
      <c r="AA252" s="1047"/>
      <c r="AB252" s="1047"/>
      <c r="AC252" s="1047"/>
      <c r="AD252" s="1047"/>
      <c r="AE252" s="1047"/>
      <c r="AF252" s="1047"/>
      <c r="AG252" s="1047"/>
      <c r="AH252" s="1047"/>
      <c r="AI252" s="1093"/>
      <c r="AJ252" s="1108"/>
      <c r="AK252" s="1109"/>
      <c r="AL252" s="1096"/>
      <c r="AM252" s="1087"/>
      <c r="AN252" s="1087"/>
      <c r="AO252" s="1095"/>
      <c r="AP252" s="1087"/>
      <c r="AQ252" s="1087"/>
      <c r="AR252" s="1087"/>
      <c r="AS252" s="1087"/>
      <c r="AT252" s="1087"/>
      <c r="AU252" s="1095"/>
      <c r="AV252" s="1095"/>
    </row>
    <row r="253" spans="1:48" ht="12.75" thickBot="1">
      <c r="A253" s="1465" t="s">
        <v>1657</v>
      </c>
      <c r="B253" s="1440"/>
      <c r="C253" s="1441"/>
      <c r="D253" s="1440"/>
      <c r="E253" s="1437"/>
      <c r="F253" s="1431"/>
      <c r="G253" s="1431"/>
      <c r="H253" s="1432"/>
      <c r="I253" s="1438"/>
      <c r="J253" s="1433"/>
      <c r="K253" s="1431"/>
      <c r="L253" s="1446">
        <f>+L251/$D251</f>
        <v>24.330086956521743</v>
      </c>
      <c r="M253" s="1431"/>
      <c r="N253" s="1435"/>
      <c r="O253" s="1434"/>
      <c r="P253" s="1435"/>
      <c r="Q253" s="1431"/>
      <c r="R253" s="1436"/>
      <c r="S253" s="1438"/>
      <c r="T253" s="1446">
        <f>+T251/$D251</f>
        <v>26.9759779323449</v>
      </c>
      <c r="U253" s="1438">
        <f>+T253-L253</f>
        <v>2.645890975823157</v>
      </c>
      <c r="V253" s="1102"/>
      <c r="W253" s="1326"/>
      <c r="X253" s="1046"/>
      <c r="Y253" s="1036"/>
      <c r="Z253" s="1036"/>
      <c r="AA253" s="1036"/>
      <c r="AB253" s="1036"/>
      <c r="AC253" s="1036"/>
      <c r="AD253" s="1036"/>
      <c r="AE253" s="1036"/>
      <c r="AF253" s="1036"/>
      <c r="AG253" s="1036"/>
      <c r="AH253" s="1036"/>
      <c r="AI253" s="1088"/>
      <c r="AJ253" s="1103"/>
      <c r="AK253" s="1104"/>
      <c r="AL253" s="1415"/>
      <c r="AM253" s="1394"/>
      <c r="AN253" s="1394"/>
      <c r="AO253" s="1392"/>
      <c r="AP253" s="1394"/>
      <c r="AQ253" s="1394"/>
      <c r="AR253" s="1394"/>
      <c r="AS253" s="1394"/>
      <c r="AT253" s="1394"/>
      <c r="AU253" s="1392"/>
      <c r="AV253" s="1392"/>
    </row>
    <row r="254" spans="1:48" ht="12.75" thickTop="1">
      <c r="A254" s="1407" t="s">
        <v>1656</v>
      </c>
      <c r="B254" s="1075">
        <v>19446</v>
      </c>
      <c r="C254" s="1437"/>
      <c r="D254" s="1431"/>
      <c r="E254" s="1437"/>
      <c r="I254" s="1437"/>
      <c r="K254" s="1431"/>
      <c r="L254" s="1433"/>
      <c r="M254" s="1431"/>
      <c r="N254" s="1435"/>
      <c r="O254" s="1434"/>
      <c r="P254" s="1435"/>
      <c r="Q254" s="1431"/>
      <c r="R254" s="1436"/>
      <c r="S254" s="1102"/>
      <c r="T254" s="1453"/>
      <c r="U254" s="1102"/>
      <c r="V254" s="1102"/>
      <c r="W254" s="1326"/>
      <c r="X254" s="1046"/>
      <c r="Y254" s="1036"/>
      <c r="Z254" s="1036"/>
      <c r="AA254" s="1036"/>
      <c r="AB254" s="1036"/>
      <c r="AC254" s="1036"/>
      <c r="AD254" s="1036"/>
      <c r="AE254" s="1036"/>
      <c r="AF254" s="1036"/>
      <c r="AG254" s="1036"/>
      <c r="AH254" s="1036"/>
      <c r="AI254" s="1088"/>
      <c r="AJ254" s="1103"/>
      <c r="AK254" s="1104"/>
      <c r="AL254" s="1415"/>
      <c r="AM254" s="1394"/>
      <c r="AN254" s="1394"/>
      <c r="AO254" s="1392"/>
      <c r="AP254" s="1394"/>
      <c r="AQ254" s="1394"/>
      <c r="AR254" s="1394"/>
      <c r="AS254" s="1394"/>
      <c r="AT254" s="1394"/>
      <c r="AU254" s="1392"/>
      <c r="AV254" s="1392"/>
    </row>
    <row r="255" spans="1:48">
      <c r="A255" s="1450" t="s">
        <v>582</v>
      </c>
      <c r="C255" s="1437"/>
      <c r="D255" s="1075">
        <v>5797.0000000000045</v>
      </c>
      <c r="E255" s="1437"/>
      <c r="H255" s="1451">
        <v>11.99</v>
      </c>
      <c r="I255" s="1437"/>
      <c r="J255" s="1433">
        <f>+D255*H255</f>
        <v>69506.030000000057</v>
      </c>
      <c r="K255" s="1431"/>
      <c r="L255" s="1433">
        <f>+J255</f>
        <v>69506.030000000057</v>
      </c>
      <c r="M255" s="1431"/>
      <c r="N255" s="1435">
        <f>+D255</f>
        <v>5797.0000000000045</v>
      </c>
      <c r="O255" s="1434"/>
      <c r="P255" s="1435"/>
      <c r="Q255" s="1431"/>
      <c r="R255" s="1452">
        <f>+H255*(1+$W$5)</f>
        <v>13.293909552679008</v>
      </c>
      <c r="S255" s="1102"/>
      <c r="T255" s="1453">
        <f>+N255*R255</f>
        <v>77064.793676880261</v>
      </c>
      <c r="U255" s="1102"/>
      <c r="V255" s="1102"/>
      <c r="W255" s="1326"/>
      <c r="X255" s="1046"/>
      <c r="Y255" s="1036"/>
      <c r="Z255" s="1036"/>
      <c r="AA255" s="1036"/>
      <c r="AB255" s="1036"/>
      <c r="AC255" s="1036"/>
      <c r="AD255" s="1036"/>
      <c r="AE255" s="1036"/>
      <c r="AF255" s="1036"/>
      <c r="AG255" s="1036"/>
      <c r="AH255" s="1036"/>
      <c r="AI255" s="1088"/>
      <c r="AJ255" s="1103"/>
      <c r="AK255" s="1104"/>
      <c r="AL255" s="1415"/>
      <c r="AM255" s="1394"/>
      <c r="AN255" s="1394"/>
      <c r="AO255" s="1392"/>
      <c r="AP255" s="1394"/>
      <c r="AQ255" s="1394"/>
      <c r="AR255" s="1394"/>
      <c r="AS255" s="1394"/>
      <c r="AT255" s="1394"/>
      <c r="AU255" s="1392"/>
      <c r="AV255" s="1392"/>
    </row>
    <row r="256" spans="1:48">
      <c r="A256" s="1450" t="s">
        <v>642</v>
      </c>
      <c r="C256" s="1437"/>
      <c r="E256" s="1437"/>
      <c r="F256" s="1075">
        <v>12932.000000000004</v>
      </c>
      <c r="H256" s="1454">
        <v>6.79</v>
      </c>
      <c r="I256" s="1437"/>
      <c r="J256" s="1435">
        <f>+F256*H256</f>
        <v>87808.280000000028</v>
      </c>
      <c r="K256" s="1431"/>
      <c r="L256" s="1433">
        <f t="shared" ref="L256:L260" si="113">+J256</f>
        <v>87808.280000000028</v>
      </c>
      <c r="M256" s="1431"/>
      <c r="N256" s="1435"/>
      <c r="O256" s="1434"/>
      <c r="P256" s="1435">
        <f>+F256</f>
        <v>12932.000000000004</v>
      </c>
      <c r="Q256" s="1431"/>
      <c r="R256" s="1452">
        <f t="shared" ref="R256:R260" si="114">+H256*(1+$W$5)</f>
        <v>7.5284108309166351</v>
      </c>
      <c r="S256" s="1102"/>
      <c r="T256" s="1453">
        <f>+P256*R256</f>
        <v>97357.408865413949</v>
      </c>
      <c r="U256" s="1102"/>
      <c r="V256" s="1102"/>
      <c r="W256" s="1326"/>
      <c r="X256" s="1046"/>
      <c r="Y256" s="1036"/>
      <c r="Z256" s="1036"/>
      <c r="AA256" s="1036"/>
      <c r="AB256" s="1036"/>
      <c r="AC256" s="1036"/>
      <c r="AD256" s="1036"/>
      <c r="AE256" s="1036"/>
      <c r="AF256" s="1036"/>
      <c r="AG256" s="1036"/>
      <c r="AH256" s="1036"/>
      <c r="AI256" s="1088"/>
      <c r="AJ256" s="1103"/>
      <c r="AK256" s="1104"/>
      <c r="AL256" s="1415"/>
      <c r="AM256" s="1394"/>
      <c r="AN256" s="1394"/>
      <c r="AO256" s="1392"/>
      <c r="AP256" s="1394"/>
      <c r="AQ256" s="1394"/>
      <c r="AR256" s="1394"/>
      <c r="AS256" s="1394"/>
      <c r="AT256" s="1394"/>
      <c r="AU256" s="1392"/>
      <c r="AV256" s="1392"/>
    </row>
    <row r="257" spans="1:48">
      <c r="A257" s="1450" t="s">
        <v>862</v>
      </c>
      <c r="C257" s="1437"/>
      <c r="E257" s="1437"/>
      <c r="F257" s="1075">
        <v>773.99999999999977</v>
      </c>
      <c r="H257" s="1454">
        <v>6.23</v>
      </c>
      <c r="I257" s="1437"/>
      <c r="J257" s="1435">
        <f t="shared" ref="J257:J260" si="115">+F257*H257</f>
        <v>4822.0199999999986</v>
      </c>
      <c r="K257" s="1431"/>
      <c r="L257" s="1433">
        <f t="shared" si="113"/>
        <v>4822.0199999999986</v>
      </c>
      <c r="M257" s="1431"/>
      <c r="N257" s="1435"/>
      <c r="O257" s="1434"/>
      <c r="P257" s="1435">
        <f t="shared" ref="P257:P260" si="116">+F257</f>
        <v>773.99999999999977</v>
      </c>
      <c r="Q257" s="1431"/>
      <c r="R257" s="1452">
        <f t="shared" si="114"/>
        <v>6.9075109685729963</v>
      </c>
      <c r="S257" s="1102"/>
      <c r="T257" s="1453">
        <f t="shared" ref="T257:T260" si="117">+P257*R257</f>
        <v>5346.4134896754977</v>
      </c>
      <c r="U257" s="1102"/>
      <c r="V257" s="1102"/>
      <c r="W257" s="1326"/>
      <c r="X257" s="1046"/>
      <c r="Y257" s="1036"/>
      <c r="Z257" s="1036"/>
      <c r="AA257" s="1036"/>
      <c r="AB257" s="1036"/>
      <c r="AC257" s="1036"/>
      <c r="AD257" s="1036"/>
      <c r="AE257" s="1036"/>
      <c r="AF257" s="1036"/>
      <c r="AG257" s="1036"/>
      <c r="AH257" s="1036"/>
      <c r="AI257" s="1088"/>
      <c r="AJ257" s="1103"/>
      <c r="AK257" s="1104"/>
      <c r="AL257" s="1415"/>
      <c r="AM257" s="1394"/>
      <c r="AN257" s="1394"/>
      <c r="AO257" s="1392"/>
      <c r="AP257" s="1394"/>
      <c r="AQ257" s="1394"/>
      <c r="AR257" s="1394"/>
      <c r="AS257" s="1394"/>
      <c r="AT257" s="1394"/>
      <c r="AU257" s="1392"/>
      <c r="AV257" s="1392"/>
    </row>
    <row r="258" spans="1:48">
      <c r="A258" s="1450" t="s">
        <v>863</v>
      </c>
      <c r="C258" s="1437"/>
      <c r="E258" s="1437"/>
      <c r="F258" s="1075">
        <v>250</v>
      </c>
      <c r="H258" s="1454">
        <v>5.68</v>
      </c>
      <c r="I258" s="1437"/>
      <c r="J258" s="1435">
        <f t="shared" si="115"/>
        <v>1420</v>
      </c>
      <c r="K258" s="1431"/>
      <c r="L258" s="1433">
        <f t="shared" si="113"/>
        <v>1420</v>
      </c>
      <c r="M258" s="1431"/>
      <c r="N258" s="1435"/>
      <c r="O258" s="1434"/>
      <c r="P258" s="1435">
        <f t="shared" si="116"/>
        <v>250</v>
      </c>
      <c r="Q258" s="1431"/>
      <c r="R258" s="1452">
        <f t="shared" si="114"/>
        <v>6.2976986037712059</v>
      </c>
      <c r="S258" s="1102"/>
      <c r="T258" s="1453">
        <f t="shared" si="117"/>
        <v>1574.4246509428015</v>
      </c>
      <c r="U258" s="1102"/>
      <c r="V258" s="1102"/>
      <c r="W258" s="1326"/>
      <c r="X258" s="1046"/>
      <c r="Y258" s="1036"/>
      <c r="Z258" s="1036"/>
      <c r="AA258" s="1036"/>
      <c r="AB258" s="1036"/>
      <c r="AC258" s="1036"/>
      <c r="AD258" s="1036"/>
      <c r="AE258" s="1036"/>
      <c r="AF258" s="1036"/>
      <c r="AG258" s="1036"/>
      <c r="AH258" s="1036"/>
      <c r="AI258" s="1088"/>
      <c r="AJ258" s="1103"/>
      <c r="AK258" s="1104"/>
      <c r="AL258" s="1415"/>
      <c r="AM258" s="1394"/>
      <c r="AN258" s="1394"/>
      <c r="AO258" s="1392"/>
      <c r="AP258" s="1394"/>
      <c r="AQ258" s="1394"/>
      <c r="AR258" s="1394"/>
      <c r="AS258" s="1394"/>
      <c r="AT258" s="1394"/>
      <c r="AU258" s="1392"/>
      <c r="AV258" s="1392"/>
    </row>
    <row r="259" spans="1:48">
      <c r="A259" s="1450" t="s">
        <v>864</v>
      </c>
      <c r="C259" s="1437"/>
      <c r="E259" s="1437"/>
      <c r="F259" s="1075">
        <v>177</v>
      </c>
      <c r="H259" s="1454">
        <v>5.04</v>
      </c>
      <c r="I259" s="1437"/>
      <c r="J259" s="1435">
        <f t="shared" si="115"/>
        <v>892.08</v>
      </c>
      <c r="K259" s="1431"/>
      <c r="L259" s="1433">
        <f t="shared" si="113"/>
        <v>892.08</v>
      </c>
      <c r="M259" s="1431"/>
      <c r="N259" s="1435"/>
      <c r="O259" s="1434"/>
      <c r="P259" s="1435">
        <f t="shared" si="116"/>
        <v>177</v>
      </c>
      <c r="Q259" s="1431"/>
      <c r="R259" s="1452">
        <f t="shared" si="114"/>
        <v>5.5880987610927599</v>
      </c>
      <c r="S259" s="1102"/>
      <c r="T259" s="1453">
        <f t="shared" si="117"/>
        <v>989.09348071341856</v>
      </c>
      <c r="U259" s="1102"/>
      <c r="V259" s="1102"/>
      <c r="W259" s="1326"/>
      <c r="X259" s="1046"/>
      <c r="Y259" s="1036"/>
      <c r="Z259" s="1036"/>
      <c r="AA259" s="1036"/>
      <c r="AB259" s="1036"/>
      <c r="AC259" s="1036"/>
      <c r="AD259" s="1036"/>
      <c r="AE259" s="1036"/>
      <c r="AF259" s="1036"/>
      <c r="AG259" s="1036"/>
      <c r="AH259" s="1036"/>
      <c r="AI259" s="1088"/>
      <c r="AJ259" s="1103"/>
      <c r="AK259" s="1104"/>
      <c r="AL259" s="1415"/>
      <c r="AM259" s="1394"/>
      <c r="AN259" s="1394"/>
      <c r="AO259" s="1392"/>
      <c r="AP259" s="1394"/>
      <c r="AQ259" s="1394"/>
      <c r="AR259" s="1394"/>
      <c r="AS259" s="1394"/>
      <c r="AT259" s="1394"/>
      <c r="AU259" s="1392"/>
      <c r="AV259" s="1392"/>
    </row>
    <row r="260" spans="1:48">
      <c r="A260" s="1450" t="s">
        <v>876</v>
      </c>
      <c r="C260" s="1437"/>
      <c r="E260" s="1437"/>
      <c r="F260" s="1075">
        <v>41</v>
      </c>
      <c r="H260" s="1454">
        <v>4.4000000000000004</v>
      </c>
      <c r="I260" s="1437"/>
      <c r="J260" s="1435">
        <f t="shared" si="115"/>
        <v>180.4</v>
      </c>
      <c r="K260" s="1431"/>
      <c r="L260" s="1433">
        <f t="shared" si="113"/>
        <v>180.4</v>
      </c>
      <c r="M260" s="1431"/>
      <c r="N260" s="1435"/>
      <c r="O260" s="1434"/>
      <c r="P260" s="1435">
        <f t="shared" si="116"/>
        <v>41</v>
      </c>
      <c r="Q260" s="1431"/>
      <c r="R260" s="1452">
        <f t="shared" si="114"/>
        <v>4.8784989184143148</v>
      </c>
      <c r="S260" s="1102"/>
      <c r="T260" s="1453">
        <f t="shared" si="117"/>
        <v>200.01845565498689</v>
      </c>
      <c r="U260" s="1102"/>
      <c r="V260" s="1102"/>
      <c r="W260" s="1326"/>
      <c r="X260" s="1046"/>
      <c r="Y260" s="1036"/>
      <c r="Z260" s="1036"/>
      <c r="AA260" s="1036"/>
      <c r="AB260" s="1036"/>
      <c r="AC260" s="1036"/>
      <c r="AD260" s="1036"/>
      <c r="AE260" s="1036"/>
      <c r="AF260" s="1036"/>
      <c r="AG260" s="1036"/>
      <c r="AH260" s="1036"/>
      <c r="AI260" s="1088"/>
      <c r="AJ260" s="1103"/>
      <c r="AK260" s="1104"/>
      <c r="AL260" s="1415"/>
      <c r="AM260" s="1394"/>
      <c r="AN260" s="1394"/>
      <c r="AO260" s="1392"/>
      <c r="AP260" s="1394"/>
      <c r="AQ260" s="1394"/>
      <c r="AR260" s="1394"/>
      <c r="AS260" s="1394"/>
      <c r="AT260" s="1394"/>
      <c r="AU260" s="1392"/>
      <c r="AV260" s="1392"/>
    </row>
    <row r="261" spans="1:48" s="1412" customFormat="1" ht="12.75" thickBot="1">
      <c r="A261" s="1464" t="s">
        <v>1655</v>
      </c>
      <c r="B261" s="1456">
        <f>SUM(B254:B260)</f>
        <v>19446</v>
      </c>
      <c r="C261" s="1443"/>
      <c r="D261" s="1456">
        <f>SUM(D254:D260)</f>
        <v>5797.0000000000045</v>
      </c>
      <c r="E261" s="1443"/>
      <c r="F261" s="1456">
        <f>SUM(F254:F260)</f>
        <v>14174.000000000004</v>
      </c>
      <c r="G261" s="1396"/>
      <c r="H261" s="1398"/>
      <c r="I261" s="1397"/>
      <c r="J261" s="1444">
        <f>SUM(J254:J260)</f>
        <v>164628.81000000006</v>
      </c>
      <c r="K261" s="1396"/>
      <c r="L261" s="1444">
        <f>SUM(L254:L260)</f>
        <v>164628.81000000006</v>
      </c>
      <c r="M261" s="1396"/>
      <c r="N261" s="1456">
        <f>SUM(N254:N260)</f>
        <v>5797.0000000000045</v>
      </c>
      <c r="O261" s="1400"/>
      <c r="P261" s="1456">
        <f>SUM(P254:P260)</f>
        <v>14174.000000000004</v>
      </c>
      <c r="Q261" s="1396"/>
      <c r="R261" s="1436"/>
      <c r="S261" s="1443"/>
      <c r="T261" s="1444">
        <f>SUM(T254:T260)</f>
        <v>182532.15261928094</v>
      </c>
      <c r="U261" s="1443"/>
      <c r="V261" s="1107"/>
      <c r="W261" s="1210"/>
      <c r="X261" s="1050"/>
      <c r="Y261" s="1047"/>
      <c r="Z261" s="1047"/>
      <c r="AA261" s="1047"/>
      <c r="AB261" s="1047"/>
      <c r="AC261" s="1047"/>
      <c r="AD261" s="1047"/>
      <c r="AE261" s="1047"/>
      <c r="AF261" s="1047"/>
      <c r="AG261" s="1047"/>
      <c r="AH261" s="1047"/>
      <c r="AI261" s="1093"/>
      <c r="AJ261" s="1108"/>
      <c r="AK261" s="1109"/>
      <c r="AL261" s="1096"/>
      <c r="AM261" s="1087"/>
      <c r="AN261" s="1087"/>
      <c r="AO261" s="1095"/>
      <c r="AP261" s="1087"/>
      <c r="AQ261" s="1087"/>
      <c r="AR261" s="1087"/>
      <c r="AS261" s="1087"/>
      <c r="AT261" s="1087"/>
      <c r="AU261" s="1095"/>
      <c r="AV261" s="1095"/>
    </row>
    <row r="262" spans="1:48" s="1412" customFormat="1" ht="12.75" thickTop="1">
      <c r="A262" s="1464"/>
      <c r="B262" s="1440"/>
      <c r="C262" s="1441"/>
      <c r="D262" s="1440"/>
      <c r="E262" s="1437"/>
      <c r="F262" s="1431"/>
      <c r="G262" s="1431"/>
      <c r="H262" s="1432"/>
      <c r="I262" s="1438"/>
      <c r="J262" s="1433"/>
      <c r="K262" s="1431"/>
      <c r="L262" s="1433"/>
      <c r="M262" s="1431"/>
      <c r="N262" s="1435"/>
      <c r="O262" s="1434"/>
      <c r="P262" s="1435"/>
      <c r="Q262" s="1431"/>
      <c r="R262" s="1436"/>
      <c r="S262" s="1438"/>
      <c r="T262" s="1393"/>
      <c r="U262" s="1438"/>
      <c r="V262" s="1107"/>
      <c r="W262" s="1210"/>
      <c r="X262" s="1050"/>
      <c r="Y262" s="1047"/>
      <c r="Z262" s="1047"/>
      <c r="AA262" s="1047"/>
      <c r="AB262" s="1047"/>
      <c r="AC262" s="1047"/>
      <c r="AD262" s="1047"/>
      <c r="AE262" s="1047"/>
      <c r="AF262" s="1047"/>
      <c r="AG262" s="1047"/>
      <c r="AH262" s="1047"/>
      <c r="AI262" s="1093"/>
      <c r="AJ262" s="1108"/>
      <c r="AK262" s="1109"/>
      <c r="AL262" s="1096"/>
      <c r="AM262" s="1087"/>
      <c r="AN262" s="1087"/>
      <c r="AO262" s="1095"/>
      <c r="AP262" s="1087"/>
      <c r="AQ262" s="1087"/>
      <c r="AR262" s="1087"/>
      <c r="AS262" s="1087"/>
      <c r="AT262" s="1087"/>
      <c r="AU262" s="1095"/>
      <c r="AV262" s="1095"/>
    </row>
    <row r="263" spans="1:48" ht="12.75" thickBot="1">
      <c r="A263" s="1465" t="s">
        <v>1654</v>
      </c>
      <c r="B263" s="1440"/>
      <c r="C263" s="1441"/>
      <c r="D263" s="1440"/>
      <c r="E263" s="1437"/>
      <c r="F263" s="1431"/>
      <c r="G263" s="1431"/>
      <c r="H263" s="1432"/>
      <c r="I263" s="1438"/>
      <c r="J263" s="1433"/>
      <c r="K263" s="1431"/>
      <c r="L263" s="1446">
        <f>+L261/$D261</f>
        <v>28.39896670691736</v>
      </c>
      <c r="M263" s="1431"/>
      <c r="N263" s="1435"/>
      <c r="O263" s="1434"/>
      <c r="P263" s="1435"/>
      <c r="Q263" s="1431"/>
      <c r="R263" s="1436"/>
      <c r="S263" s="1438"/>
      <c r="T263" s="1446">
        <f>+T261/$D261</f>
        <v>31.487347355404658</v>
      </c>
      <c r="U263" s="1438">
        <f>+T263-L263</f>
        <v>3.0883806484872984</v>
      </c>
      <c r="V263" s="1102"/>
      <c r="W263" s="1326"/>
      <c r="X263" s="1046"/>
      <c r="Y263" s="1036"/>
      <c r="Z263" s="1036"/>
      <c r="AA263" s="1036"/>
      <c r="AB263" s="1036"/>
      <c r="AC263" s="1036"/>
      <c r="AD263" s="1036"/>
      <c r="AE263" s="1036"/>
      <c r="AF263" s="1036"/>
      <c r="AG263" s="1036"/>
      <c r="AH263" s="1036"/>
      <c r="AI263" s="1088"/>
      <c r="AJ263" s="1103"/>
      <c r="AK263" s="1104"/>
      <c r="AL263" s="1415"/>
      <c r="AM263" s="1394"/>
      <c r="AN263" s="1394"/>
      <c r="AO263" s="1392"/>
      <c r="AP263" s="1394"/>
      <c r="AQ263" s="1394"/>
      <c r="AR263" s="1394"/>
      <c r="AS263" s="1394"/>
      <c r="AT263" s="1394"/>
      <c r="AU263" s="1392"/>
      <c r="AV263" s="1392"/>
    </row>
    <row r="264" spans="1:48" ht="12.75" thickTop="1">
      <c r="A264" s="1407" t="s">
        <v>1653</v>
      </c>
      <c r="B264" s="1075">
        <v>4944</v>
      </c>
      <c r="C264" s="1437"/>
      <c r="D264" s="1431"/>
      <c r="E264" s="1437"/>
      <c r="I264" s="1437"/>
      <c r="K264" s="1431"/>
      <c r="L264" s="1433"/>
      <c r="M264" s="1431"/>
      <c r="N264" s="1435"/>
      <c r="O264" s="1434"/>
      <c r="P264" s="1435"/>
      <c r="Q264" s="1431"/>
      <c r="R264" s="1436"/>
      <c r="S264" s="1102"/>
      <c r="T264" s="1453"/>
      <c r="U264" s="1102"/>
      <c r="V264" s="1102"/>
      <c r="W264" s="1326"/>
      <c r="X264" s="1046"/>
      <c r="Y264" s="1036"/>
      <c r="Z264" s="1036"/>
      <c r="AA264" s="1036"/>
      <c r="AB264" s="1036"/>
      <c r="AC264" s="1036"/>
      <c r="AD264" s="1036"/>
      <c r="AE264" s="1036"/>
      <c r="AF264" s="1036"/>
      <c r="AG264" s="1036"/>
      <c r="AH264" s="1036"/>
      <c r="AI264" s="1088"/>
      <c r="AJ264" s="1103"/>
      <c r="AK264" s="1104"/>
      <c r="AL264" s="1415"/>
      <c r="AM264" s="1394"/>
      <c r="AN264" s="1394"/>
      <c r="AO264" s="1392"/>
      <c r="AP264" s="1394"/>
      <c r="AQ264" s="1394"/>
      <c r="AR264" s="1394"/>
      <c r="AS264" s="1394"/>
      <c r="AT264" s="1394"/>
      <c r="AU264" s="1392"/>
      <c r="AV264" s="1392"/>
    </row>
    <row r="265" spans="1:48">
      <c r="A265" s="1450" t="s">
        <v>582</v>
      </c>
      <c r="C265" s="1437"/>
      <c r="D265" s="1431">
        <v>1243.9999999999995</v>
      </c>
      <c r="E265" s="1437"/>
      <c r="H265" s="1463">
        <v>11.99</v>
      </c>
      <c r="I265" s="1437"/>
      <c r="J265" s="1433">
        <f>+D265*H265</f>
        <v>14915.559999999994</v>
      </c>
      <c r="K265" s="1431"/>
      <c r="L265" s="1433">
        <f>+J265</f>
        <v>14915.559999999994</v>
      </c>
      <c r="M265" s="1431"/>
      <c r="N265" s="1435">
        <f>+D265</f>
        <v>1243.9999999999995</v>
      </c>
      <c r="O265" s="1434"/>
      <c r="P265" s="1435"/>
      <c r="Q265" s="1431"/>
      <c r="R265" s="1452">
        <f>+H265*(1+$W$5)</f>
        <v>13.293909552679008</v>
      </c>
      <c r="S265" s="1102"/>
      <c r="T265" s="1453">
        <f>+N265*R265</f>
        <v>16537.62348353268</v>
      </c>
      <c r="U265" s="1102"/>
      <c r="V265" s="1102"/>
      <c r="W265" s="1326"/>
      <c r="X265" s="1046"/>
      <c r="Y265" s="1036"/>
      <c r="Z265" s="1036"/>
      <c r="AA265" s="1036"/>
      <c r="AB265" s="1036"/>
      <c r="AC265" s="1036"/>
      <c r="AD265" s="1036"/>
      <c r="AE265" s="1036"/>
      <c r="AF265" s="1036"/>
      <c r="AG265" s="1036"/>
      <c r="AH265" s="1036"/>
      <c r="AI265" s="1088"/>
      <c r="AJ265" s="1103"/>
      <c r="AK265" s="1104"/>
      <c r="AL265" s="1415"/>
      <c r="AM265" s="1394"/>
      <c r="AN265" s="1394"/>
      <c r="AO265" s="1392"/>
      <c r="AP265" s="1394"/>
      <c r="AQ265" s="1394"/>
      <c r="AR265" s="1394"/>
      <c r="AS265" s="1394"/>
      <c r="AT265" s="1394"/>
      <c r="AU265" s="1392"/>
      <c r="AV265" s="1392"/>
    </row>
    <row r="266" spans="1:48">
      <c r="A266" s="1450" t="s">
        <v>642</v>
      </c>
      <c r="C266" s="1437"/>
      <c r="D266" s="1431"/>
      <c r="E266" s="1437"/>
      <c r="F266" s="1075">
        <v>2624</v>
      </c>
      <c r="H266" s="1466">
        <v>6.79</v>
      </c>
      <c r="I266" s="1455"/>
      <c r="J266" s="1435">
        <f>+F266*H266</f>
        <v>17816.96</v>
      </c>
      <c r="K266" s="1431"/>
      <c r="L266" s="1433">
        <f t="shared" ref="L266:L270" si="118">+J266</f>
        <v>17816.96</v>
      </c>
      <c r="M266" s="1431"/>
      <c r="N266" s="1435"/>
      <c r="O266" s="1434"/>
      <c r="P266" s="1435">
        <f>+F266</f>
        <v>2624</v>
      </c>
      <c r="Q266" s="1431"/>
      <c r="R266" s="1452">
        <f t="shared" ref="R266:R270" si="119">+H266*(1+$W$5)</f>
        <v>7.5284108309166351</v>
      </c>
      <c r="S266" s="1102"/>
      <c r="T266" s="1453">
        <f>+P266*R266</f>
        <v>19754.550020325252</v>
      </c>
      <c r="U266" s="1102"/>
      <c r="V266" s="1102"/>
      <c r="W266" s="1326"/>
      <c r="X266" s="1046"/>
      <c r="Y266" s="1036"/>
      <c r="Z266" s="1036"/>
      <c r="AA266" s="1036"/>
      <c r="AB266" s="1036"/>
      <c r="AC266" s="1036"/>
      <c r="AD266" s="1036"/>
      <c r="AE266" s="1036"/>
      <c r="AF266" s="1036"/>
      <c r="AG266" s="1036"/>
      <c r="AH266" s="1036"/>
      <c r="AI266" s="1088"/>
      <c r="AJ266" s="1103"/>
      <c r="AK266" s="1104"/>
      <c r="AL266" s="1415"/>
      <c r="AM266" s="1394"/>
      <c r="AN266" s="1394"/>
      <c r="AO266" s="1392"/>
      <c r="AP266" s="1394"/>
      <c r="AQ266" s="1394"/>
      <c r="AR266" s="1394"/>
      <c r="AS266" s="1394"/>
      <c r="AT266" s="1394"/>
      <c r="AU266" s="1392"/>
      <c r="AV266" s="1392"/>
    </row>
    <row r="267" spans="1:48">
      <c r="A267" s="1450" t="s">
        <v>862</v>
      </c>
      <c r="C267" s="1437"/>
      <c r="D267" s="1431"/>
      <c r="E267" s="1437"/>
      <c r="F267" s="1075">
        <v>426.00000000000006</v>
      </c>
      <c r="H267" s="1466">
        <v>6.23</v>
      </c>
      <c r="I267" s="1455"/>
      <c r="J267" s="1435">
        <f t="shared" ref="J267:J270" si="120">+F267*H267</f>
        <v>2653.9800000000005</v>
      </c>
      <c r="K267" s="1431"/>
      <c r="L267" s="1433">
        <f t="shared" si="118"/>
        <v>2653.9800000000005</v>
      </c>
      <c r="M267" s="1431"/>
      <c r="N267" s="1435"/>
      <c r="O267" s="1434"/>
      <c r="P267" s="1435">
        <f t="shared" ref="P267:P270" si="121">+F267</f>
        <v>426.00000000000006</v>
      </c>
      <c r="Q267" s="1431"/>
      <c r="R267" s="1452">
        <f t="shared" si="119"/>
        <v>6.9075109685729963</v>
      </c>
      <c r="S267" s="1102"/>
      <c r="T267" s="1453">
        <f t="shared" ref="T267:T270" si="122">+P267*R267</f>
        <v>2942.599672612097</v>
      </c>
      <c r="U267" s="1102"/>
      <c r="V267" s="1102"/>
      <c r="W267" s="1068"/>
      <c r="X267" s="1046"/>
      <c r="Y267" s="1036"/>
      <c r="Z267" s="1036"/>
      <c r="AA267" s="1036"/>
      <c r="AB267" s="1036"/>
      <c r="AC267" s="1036"/>
      <c r="AD267" s="1036"/>
      <c r="AE267" s="1036"/>
      <c r="AF267" s="1036"/>
      <c r="AG267" s="1036"/>
      <c r="AH267" s="1036"/>
      <c r="AI267" s="1088"/>
      <c r="AJ267" s="1103"/>
      <c r="AK267" s="1104"/>
      <c r="AL267" s="1415"/>
      <c r="AM267" s="1394"/>
      <c r="AN267" s="1394"/>
      <c r="AO267" s="1392"/>
      <c r="AP267" s="1394"/>
      <c r="AQ267" s="1394"/>
      <c r="AR267" s="1394"/>
      <c r="AS267" s="1394"/>
      <c r="AT267" s="1394"/>
      <c r="AU267" s="1392"/>
      <c r="AV267" s="1392"/>
    </row>
    <row r="268" spans="1:48">
      <c r="A268" s="1450" t="s">
        <v>863</v>
      </c>
      <c r="C268" s="1437"/>
      <c r="D268" s="1431"/>
      <c r="E268" s="1437"/>
      <c r="F268" s="1075">
        <v>129.99999999999997</v>
      </c>
      <c r="H268" s="1466">
        <v>5.68</v>
      </c>
      <c r="I268" s="1455"/>
      <c r="J268" s="1435">
        <f t="shared" si="120"/>
        <v>738.39999999999975</v>
      </c>
      <c r="K268" s="1431"/>
      <c r="L268" s="1433">
        <f t="shared" si="118"/>
        <v>738.39999999999975</v>
      </c>
      <c r="M268" s="1431"/>
      <c r="N268" s="1435"/>
      <c r="O268" s="1434"/>
      <c r="P268" s="1435">
        <f t="shared" si="121"/>
        <v>129.99999999999997</v>
      </c>
      <c r="Q268" s="1431"/>
      <c r="R268" s="1452">
        <f t="shared" si="119"/>
        <v>6.2976986037712059</v>
      </c>
      <c r="S268" s="1102"/>
      <c r="T268" s="1453">
        <f t="shared" si="122"/>
        <v>818.70081849025655</v>
      </c>
      <c r="U268" s="1102"/>
      <c r="V268" s="1102"/>
      <c r="W268" s="1068"/>
      <c r="X268" s="1046"/>
      <c r="Y268" s="1036"/>
      <c r="Z268" s="1036"/>
      <c r="AA268" s="1036"/>
      <c r="AB268" s="1036"/>
      <c r="AC268" s="1036"/>
      <c r="AD268" s="1036"/>
      <c r="AE268" s="1036"/>
      <c r="AF268" s="1036"/>
      <c r="AG268" s="1036"/>
      <c r="AH268" s="1036"/>
      <c r="AI268" s="1088"/>
      <c r="AJ268" s="1103"/>
      <c r="AK268" s="1104"/>
      <c r="AL268" s="1415"/>
      <c r="AM268" s="1394"/>
      <c r="AN268" s="1394"/>
      <c r="AO268" s="1392"/>
      <c r="AP268" s="1394"/>
      <c r="AQ268" s="1394"/>
      <c r="AR268" s="1394"/>
      <c r="AS268" s="1394"/>
      <c r="AT268" s="1394"/>
      <c r="AU268" s="1392"/>
      <c r="AV268" s="1392"/>
    </row>
    <row r="269" spans="1:48">
      <c r="A269" s="1450" t="s">
        <v>864</v>
      </c>
      <c r="C269" s="1437"/>
      <c r="D269" s="1431"/>
      <c r="E269" s="1437"/>
      <c r="F269" s="1075">
        <v>0</v>
      </c>
      <c r="H269" s="1466">
        <v>5.04</v>
      </c>
      <c r="I269" s="1455"/>
      <c r="J269" s="1435">
        <f t="shared" si="120"/>
        <v>0</v>
      </c>
      <c r="K269" s="1431"/>
      <c r="L269" s="1433">
        <f t="shared" si="118"/>
        <v>0</v>
      </c>
      <c r="M269" s="1431"/>
      <c r="N269" s="1435"/>
      <c r="O269" s="1434"/>
      <c r="P269" s="1435">
        <f t="shared" si="121"/>
        <v>0</v>
      </c>
      <c r="Q269" s="1431"/>
      <c r="R269" s="1452">
        <f t="shared" si="119"/>
        <v>5.5880987610927599</v>
      </c>
      <c r="S269" s="1102"/>
      <c r="T269" s="1453">
        <f t="shared" si="122"/>
        <v>0</v>
      </c>
      <c r="U269" s="1102"/>
      <c r="V269" s="1102"/>
      <c r="W269" s="1068"/>
      <c r="X269" s="1046"/>
      <c r="Y269" s="1036"/>
      <c r="Z269" s="1036"/>
      <c r="AA269" s="1036"/>
      <c r="AB269" s="1036"/>
      <c r="AC269" s="1036"/>
      <c r="AD269" s="1036"/>
      <c r="AE269" s="1036"/>
      <c r="AF269" s="1036"/>
      <c r="AG269" s="1036"/>
      <c r="AH269" s="1036"/>
      <c r="AI269" s="1088"/>
      <c r="AJ269" s="1103"/>
      <c r="AK269" s="1104"/>
      <c r="AL269" s="1415"/>
      <c r="AM269" s="1394"/>
      <c r="AN269" s="1394"/>
      <c r="AO269" s="1392"/>
      <c r="AP269" s="1394"/>
      <c r="AQ269" s="1394"/>
      <c r="AR269" s="1394"/>
      <c r="AS269" s="1394"/>
      <c r="AT269" s="1394"/>
      <c r="AU269" s="1392"/>
      <c r="AV269" s="1392"/>
    </row>
    <row r="270" spans="1:48">
      <c r="A270" s="1450" t="s">
        <v>876</v>
      </c>
      <c r="C270" s="1437"/>
      <c r="D270" s="1431"/>
      <c r="E270" s="1437"/>
      <c r="F270" s="1075">
        <v>0</v>
      </c>
      <c r="H270" s="1466">
        <v>4.4000000000000004</v>
      </c>
      <c r="I270" s="1455"/>
      <c r="J270" s="1435">
        <f t="shared" si="120"/>
        <v>0</v>
      </c>
      <c r="K270" s="1431"/>
      <c r="L270" s="1433">
        <f t="shared" si="118"/>
        <v>0</v>
      </c>
      <c r="M270" s="1431"/>
      <c r="N270" s="1435"/>
      <c r="O270" s="1434"/>
      <c r="P270" s="1435">
        <f t="shared" si="121"/>
        <v>0</v>
      </c>
      <c r="Q270" s="1431"/>
      <c r="R270" s="1452">
        <f t="shared" si="119"/>
        <v>4.8784989184143148</v>
      </c>
      <c r="S270" s="1102"/>
      <c r="T270" s="1453">
        <f t="shared" si="122"/>
        <v>0</v>
      </c>
      <c r="U270" s="1102"/>
      <c r="V270" s="1102"/>
      <c r="W270" s="1068"/>
      <c r="X270" s="1046"/>
      <c r="Y270" s="1036"/>
      <c r="Z270" s="1036"/>
      <c r="AA270" s="1036"/>
      <c r="AB270" s="1036"/>
      <c r="AC270" s="1036"/>
      <c r="AD270" s="1036"/>
      <c r="AE270" s="1036"/>
      <c r="AF270" s="1036"/>
      <c r="AG270" s="1036"/>
      <c r="AH270" s="1036"/>
      <c r="AI270" s="1088"/>
      <c r="AJ270" s="1103"/>
      <c r="AK270" s="1104"/>
      <c r="AL270" s="1415"/>
      <c r="AM270" s="1394"/>
      <c r="AN270" s="1394"/>
      <c r="AO270" s="1392"/>
      <c r="AP270" s="1394"/>
      <c r="AQ270" s="1394"/>
      <c r="AR270" s="1394"/>
      <c r="AS270" s="1394"/>
      <c r="AT270" s="1394"/>
      <c r="AU270" s="1392"/>
      <c r="AV270" s="1392"/>
    </row>
    <row r="271" spans="1:48" s="1412" customFormat="1" ht="12.75" thickBot="1">
      <c r="A271" s="1464" t="s">
        <v>1652</v>
      </c>
      <c r="B271" s="1456">
        <f>SUM(B264:B270)</f>
        <v>4944</v>
      </c>
      <c r="C271" s="1443"/>
      <c r="D271" s="1456">
        <f>SUM(D264:D270)</f>
        <v>1243.9999999999995</v>
      </c>
      <c r="E271" s="1443"/>
      <c r="F271" s="1456">
        <f>SUM(F264:F270)</f>
        <v>3180</v>
      </c>
      <c r="G271" s="1396"/>
      <c r="H271" s="1398"/>
      <c r="I271" s="1397"/>
      <c r="J271" s="1444">
        <f>SUM(J264:J270)</f>
        <v>36124.899999999994</v>
      </c>
      <c r="K271" s="1396"/>
      <c r="L271" s="1444">
        <f>SUM(L264:L270)</f>
        <v>36124.899999999994</v>
      </c>
      <c r="M271" s="1396"/>
      <c r="N271" s="1456">
        <f>SUM(N264:N270)</f>
        <v>1243.9999999999995</v>
      </c>
      <c r="O271" s="1400"/>
      <c r="P271" s="1456">
        <f>SUM(P264:P270)</f>
        <v>3180</v>
      </c>
      <c r="Q271" s="1396"/>
      <c r="R271" s="1436"/>
      <c r="S271" s="1443"/>
      <c r="T271" s="1444">
        <f>SUM(T264:T270)</f>
        <v>40053.473994960288</v>
      </c>
      <c r="U271" s="1443"/>
      <c r="V271" s="1107"/>
      <c r="W271" s="1083"/>
      <c r="X271" s="1050"/>
      <c r="Y271" s="1047"/>
      <c r="Z271" s="1047"/>
      <c r="AA271" s="1047"/>
      <c r="AB271" s="1047"/>
      <c r="AC271" s="1047"/>
      <c r="AD271" s="1047"/>
      <c r="AE271" s="1047"/>
      <c r="AF271" s="1047"/>
      <c r="AG271" s="1047"/>
      <c r="AH271" s="1047"/>
      <c r="AI271" s="1093"/>
      <c r="AJ271" s="1108"/>
      <c r="AK271" s="1109"/>
      <c r="AL271" s="1096"/>
      <c r="AM271" s="1087"/>
      <c r="AN271" s="1087"/>
      <c r="AO271" s="1095"/>
      <c r="AP271" s="1087"/>
      <c r="AQ271" s="1087"/>
      <c r="AR271" s="1087"/>
      <c r="AS271" s="1087"/>
      <c r="AT271" s="1087"/>
      <c r="AU271" s="1095"/>
      <c r="AV271" s="1095"/>
    </row>
    <row r="272" spans="1:48" s="1412" customFormat="1" ht="12.75" thickTop="1">
      <c r="A272" s="1464"/>
      <c r="B272" s="1440"/>
      <c r="C272" s="1441"/>
      <c r="D272" s="1440"/>
      <c r="E272" s="1437"/>
      <c r="F272" s="1431"/>
      <c r="G272" s="1431"/>
      <c r="H272" s="1432"/>
      <c r="I272" s="1438"/>
      <c r="J272" s="1433"/>
      <c r="K272" s="1431"/>
      <c r="L272" s="1433"/>
      <c r="M272" s="1431"/>
      <c r="N272" s="1435"/>
      <c r="O272" s="1434"/>
      <c r="P272" s="1435"/>
      <c r="Q272" s="1431"/>
      <c r="R272" s="1436"/>
      <c r="S272" s="1438"/>
      <c r="T272" s="1393"/>
      <c r="U272" s="1438"/>
      <c r="V272" s="1107"/>
      <c r="W272" s="1083"/>
      <c r="X272" s="1050"/>
      <c r="Y272" s="1047"/>
      <c r="Z272" s="1047"/>
      <c r="AA272" s="1047"/>
      <c r="AB272" s="1047"/>
      <c r="AC272" s="1047"/>
      <c r="AD272" s="1047"/>
      <c r="AE272" s="1047"/>
      <c r="AF272" s="1047"/>
      <c r="AG272" s="1047"/>
      <c r="AH272" s="1047"/>
      <c r="AI272" s="1093"/>
      <c r="AJ272" s="1108"/>
      <c r="AK272" s="1109"/>
      <c r="AL272" s="1096"/>
      <c r="AM272" s="1087"/>
      <c r="AN272" s="1087"/>
      <c r="AO272" s="1095"/>
      <c r="AP272" s="1087"/>
      <c r="AQ272" s="1087"/>
      <c r="AR272" s="1087"/>
      <c r="AS272" s="1087"/>
      <c r="AT272" s="1087"/>
      <c r="AU272" s="1095"/>
      <c r="AV272" s="1095"/>
    </row>
    <row r="273" spans="1:48" ht="12.75" thickBot="1">
      <c r="A273" s="1465" t="s">
        <v>1651</v>
      </c>
      <c r="B273" s="1440"/>
      <c r="C273" s="1441"/>
      <c r="D273" s="1440"/>
      <c r="E273" s="1437"/>
      <c r="F273" s="1431"/>
      <c r="G273" s="1431"/>
      <c r="H273" s="1432"/>
      <c r="I273" s="1438"/>
      <c r="J273" s="1433"/>
      <c r="K273" s="1431"/>
      <c r="L273" s="1446">
        <f>+L271/$D271</f>
        <v>29.039308681672033</v>
      </c>
      <c r="M273" s="1431"/>
      <c r="N273" s="1435"/>
      <c r="O273" s="1434"/>
      <c r="P273" s="1435"/>
      <c r="Q273" s="1431"/>
      <c r="R273" s="1436"/>
      <c r="S273" s="1438"/>
      <c r="T273" s="1446">
        <f>+T271/$D271</f>
        <v>32.197326362508285</v>
      </c>
      <c r="U273" s="1438">
        <f>+T273-L273</f>
        <v>3.1580176808362523</v>
      </c>
      <c r="V273" s="1102"/>
      <c r="W273" s="1068"/>
      <c r="X273" s="1046"/>
      <c r="Y273" s="1036"/>
      <c r="Z273" s="1036"/>
      <c r="AA273" s="1036"/>
      <c r="AB273" s="1036"/>
      <c r="AC273" s="1036"/>
      <c r="AD273" s="1036"/>
      <c r="AE273" s="1036"/>
      <c r="AF273" s="1036"/>
      <c r="AG273" s="1036"/>
      <c r="AH273" s="1036"/>
      <c r="AI273" s="1088"/>
      <c r="AJ273" s="1103"/>
      <c r="AK273" s="1104"/>
      <c r="AL273" s="1415"/>
      <c r="AM273" s="1394"/>
      <c r="AN273" s="1394"/>
      <c r="AO273" s="1392"/>
      <c r="AP273" s="1394"/>
      <c r="AQ273" s="1394"/>
      <c r="AR273" s="1394"/>
      <c r="AS273" s="1394"/>
      <c r="AT273" s="1394"/>
      <c r="AU273" s="1392"/>
      <c r="AV273" s="1392"/>
    </row>
    <row r="274" spans="1:48" ht="12.75" thickTop="1">
      <c r="A274" s="1407" t="s">
        <v>1650</v>
      </c>
      <c r="B274" s="1075">
        <v>198</v>
      </c>
      <c r="C274" s="1437"/>
      <c r="D274" s="1431"/>
      <c r="E274" s="1437"/>
      <c r="I274" s="1437"/>
      <c r="K274" s="1431"/>
      <c r="L274" s="1433"/>
      <c r="M274" s="1431"/>
      <c r="N274" s="1435"/>
      <c r="O274" s="1434"/>
      <c r="P274" s="1435"/>
      <c r="Q274" s="1431"/>
      <c r="R274" s="1436"/>
      <c r="S274" s="1102"/>
      <c r="T274" s="1453"/>
      <c r="U274" s="1102"/>
      <c r="V274" s="1102"/>
      <c r="W274" s="1068" t="s">
        <v>669</v>
      </c>
      <c r="X274" s="1046"/>
      <c r="Y274" s="1036"/>
      <c r="Z274" s="1036"/>
      <c r="AA274" s="1036"/>
      <c r="AB274" s="1036"/>
      <c r="AC274" s="1036"/>
      <c r="AD274" s="1036"/>
      <c r="AE274" s="1036"/>
      <c r="AF274" s="1036"/>
      <c r="AG274" s="1036"/>
      <c r="AH274" s="1036"/>
      <c r="AI274" s="1088"/>
      <c r="AJ274" s="1089"/>
      <c r="AK274" s="1392"/>
      <c r="AL274" s="1415"/>
      <c r="AM274" s="1394"/>
      <c r="AN274" s="1394"/>
      <c r="AO274" s="1392"/>
      <c r="AP274" s="1394"/>
      <c r="AQ274" s="1394"/>
      <c r="AR274" s="1394"/>
      <c r="AS274" s="1394"/>
      <c r="AT274" s="1394"/>
      <c r="AU274" s="1392"/>
      <c r="AV274" s="1392"/>
    </row>
    <row r="275" spans="1:48">
      <c r="A275" s="1450" t="s">
        <v>582</v>
      </c>
      <c r="C275" s="1437"/>
      <c r="D275" s="1431">
        <v>97.000000000000014</v>
      </c>
      <c r="E275" s="1437"/>
      <c r="H275" s="1463">
        <v>11.99</v>
      </c>
      <c r="I275" s="1437"/>
      <c r="J275" s="1433">
        <f>+D275*H275</f>
        <v>1163.0300000000002</v>
      </c>
      <c r="K275" s="1431"/>
      <c r="L275" s="1433">
        <f>+J275</f>
        <v>1163.0300000000002</v>
      </c>
      <c r="M275" s="1431"/>
      <c r="N275" s="1435">
        <f>+D275</f>
        <v>97.000000000000014</v>
      </c>
      <c r="O275" s="1434"/>
      <c r="P275" s="1435"/>
      <c r="Q275" s="1431"/>
      <c r="R275" s="1452">
        <f>+H275*(1+$W$5)</f>
        <v>13.293909552679008</v>
      </c>
      <c r="S275" s="1102"/>
      <c r="T275" s="1453">
        <f>+N275*R275</f>
        <v>1289.5092266098638</v>
      </c>
      <c r="U275" s="1102"/>
      <c r="V275" s="1102"/>
      <c r="W275" s="1068"/>
      <c r="X275" s="1046"/>
      <c r="Y275" s="1036"/>
      <c r="Z275" s="1036"/>
      <c r="AA275" s="1036"/>
      <c r="AB275" s="1036"/>
      <c r="AC275" s="1036"/>
      <c r="AD275" s="1036"/>
      <c r="AE275" s="1036"/>
      <c r="AF275" s="1036"/>
      <c r="AG275" s="1036"/>
      <c r="AH275" s="1036"/>
      <c r="AI275" s="1088"/>
      <c r="AJ275" s="1089"/>
      <c r="AK275" s="1392"/>
      <c r="AL275" s="1415"/>
      <c r="AM275" s="1394"/>
      <c r="AN275" s="1394"/>
      <c r="AO275" s="1392"/>
      <c r="AP275" s="1394"/>
      <c r="AQ275" s="1394"/>
      <c r="AR275" s="1394"/>
      <c r="AS275" s="1394"/>
      <c r="AT275" s="1394"/>
      <c r="AU275" s="1392"/>
      <c r="AV275" s="1392"/>
    </row>
    <row r="276" spans="1:48">
      <c r="A276" s="1450" t="s">
        <v>642</v>
      </c>
      <c r="C276" s="1437"/>
      <c r="D276" s="1431"/>
      <c r="E276" s="1437"/>
      <c r="F276" s="1075">
        <v>130</v>
      </c>
      <c r="H276" s="1466">
        <v>6.79</v>
      </c>
      <c r="I276" s="1437"/>
      <c r="J276" s="1435">
        <f>+F276*H276</f>
        <v>882.7</v>
      </c>
      <c r="K276" s="1431"/>
      <c r="L276" s="1433">
        <f t="shared" ref="L276:L280" si="123">+J276</f>
        <v>882.7</v>
      </c>
      <c r="M276" s="1431"/>
      <c r="N276" s="1435"/>
      <c r="O276" s="1434"/>
      <c r="P276" s="1435">
        <f>+F276</f>
        <v>130</v>
      </c>
      <c r="Q276" s="1431"/>
      <c r="R276" s="1452">
        <f t="shared" ref="R276:R280" si="124">+H276*(1+$W$5)</f>
        <v>7.5284108309166351</v>
      </c>
      <c r="S276" s="1102"/>
      <c r="T276" s="1453">
        <f>+P276*R276</f>
        <v>978.69340801916258</v>
      </c>
      <c r="U276" s="1102"/>
      <c r="V276" s="1102"/>
      <c r="W276" s="1068"/>
      <c r="X276" s="1046"/>
      <c r="Y276" s="1036"/>
      <c r="Z276" s="1036"/>
      <c r="AA276" s="1036"/>
      <c r="AB276" s="1036"/>
      <c r="AC276" s="1036"/>
      <c r="AD276" s="1036"/>
      <c r="AE276" s="1036"/>
      <c r="AF276" s="1036"/>
      <c r="AG276" s="1036"/>
      <c r="AH276" s="1036"/>
      <c r="AI276" s="1088"/>
      <c r="AJ276" s="1089"/>
      <c r="AK276" s="1392"/>
      <c r="AL276" s="1415"/>
      <c r="AM276" s="1394"/>
      <c r="AN276" s="1394"/>
      <c r="AO276" s="1392"/>
      <c r="AP276" s="1394"/>
      <c r="AQ276" s="1394"/>
      <c r="AR276" s="1394"/>
      <c r="AS276" s="1394"/>
      <c r="AT276" s="1394"/>
      <c r="AU276" s="1392"/>
      <c r="AV276" s="1392"/>
    </row>
    <row r="277" spans="1:48">
      <c r="A277" s="1450" t="s">
        <v>862</v>
      </c>
      <c r="C277" s="1437"/>
      <c r="D277" s="1431"/>
      <c r="E277" s="1437"/>
      <c r="F277" s="1075">
        <v>13</v>
      </c>
      <c r="H277" s="1466">
        <v>6.23</v>
      </c>
      <c r="I277" s="1437"/>
      <c r="J277" s="1435">
        <f t="shared" ref="J277:J280" si="125">+F277*H277</f>
        <v>80.990000000000009</v>
      </c>
      <c r="K277" s="1431"/>
      <c r="L277" s="1433">
        <f t="shared" si="123"/>
        <v>80.990000000000009</v>
      </c>
      <c r="M277" s="1431"/>
      <c r="N277" s="1435"/>
      <c r="O277" s="1434"/>
      <c r="P277" s="1435">
        <f t="shared" ref="P277:P280" si="126">+F277</f>
        <v>13</v>
      </c>
      <c r="Q277" s="1431"/>
      <c r="R277" s="1452">
        <f t="shared" si="124"/>
        <v>6.9075109685729963</v>
      </c>
      <c r="S277" s="1102"/>
      <c r="T277" s="1453">
        <f t="shared" ref="T277:T280" si="127">+P277*R277</f>
        <v>89.797642591448948</v>
      </c>
      <c r="U277" s="1102"/>
      <c r="V277" s="1102"/>
      <c r="W277" s="1068"/>
      <c r="X277" s="1046"/>
      <c r="Y277" s="1036"/>
      <c r="Z277" s="1036"/>
      <c r="AA277" s="1036"/>
      <c r="AB277" s="1036"/>
      <c r="AC277" s="1036"/>
      <c r="AD277" s="1036"/>
      <c r="AE277" s="1036"/>
      <c r="AF277" s="1036"/>
      <c r="AG277" s="1036"/>
      <c r="AH277" s="1036"/>
      <c r="AI277" s="1088"/>
      <c r="AJ277" s="1089"/>
      <c r="AK277" s="1392"/>
      <c r="AL277" s="1415"/>
      <c r="AM277" s="1394"/>
      <c r="AN277" s="1394"/>
      <c r="AO277" s="1392"/>
      <c r="AP277" s="1394"/>
      <c r="AQ277" s="1394"/>
      <c r="AR277" s="1394"/>
      <c r="AS277" s="1394"/>
      <c r="AT277" s="1394"/>
      <c r="AU277" s="1392"/>
      <c r="AV277" s="1392"/>
    </row>
    <row r="278" spans="1:48">
      <c r="A278" s="1450" t="s">
        <v>863</v>
      </c>
      <c r="C278" s="1437"/>
      <c r="D278" s="1431"/>
      <c r="E278" s="1437"/>
      <c r="F278" s="1075">
        <v>0</v>
      </c>
      <c r="H278" s="1466">
        <v>5.68</v>
      </c>
      <c r="I278" s="1437"/>
      <c r="J278" s="1435">
        <f t="shared" si="125"/>
        <v>0</v>
      </c>
      <c r="K278" s="1431"/>
      <c r="L278" s="1433">
        <f t="shared" si="123"/>
        <v>0</v>
      </c>
      <c r="M278" s="1431"/>
      <c r="N278" s="1435"/>
      <c r="O278" s="1434"/>
      <c r="P278" s="1435">
        <f t="shared" si="126"/>
        <v>0</v>
      </c>
      <c r="Q278" s="1431"/>
      <c r="R278" s="1452">
        <f t="shared" si="124"/>
        <v>6.2976986037712059</v>
      </c>
      <c r="S278" s="1102"/>
      <c r="T278" s="1453">
        <f t="shared" si="127"/>
        <v>0</v>
      </c>
      <c r="U278" s="1102"/>
      <c r="V278" s="1102"/>
      <c r="W278" s="1068"/>
      <c r="X278" s="1046"/>
      <c r="Y278" s="1036"/>
      <c r="Z278" s="1036"/>
      <c r="AA278" s="1036"/>
      <c r="AB278" s="1036"/>
      <c r="AC278" s="1036"/>
      <c r="AD278" s="1036"/>
      <c r="AE278" s="1036"/>
      <c r="AF278" s="1036"/>
      <c r="AG278" s="1036"/>
      <c r="AH278" s="1036"/>
      <c r="AI278" s="1088"/>
      <c r="AJ278" s="1089"/>
      <c r="AK278" s="1392"/>
      <c r="AL278" s="1415"/>
      <c r="AM278" s="1394"/>
      <c r="AN278" s="1394"/>
      <c r="AO278" s="1392"/>
      <c r="AP278" s="1394"/>
      <c r="AQ278" s="1394"/>
      <c r="AR278" s="1394"/>
      <c r="AS278" s="1394"/>
      <c r="AT278" s="1394"/>
      <c r="AU278" s="1392"/>
      <c r="AV278" s="1392"/>
    </row>
    <row r="279" spans="1:48">
      <c r="A279" s="1450" t="s">
        <v>864</v>
      </c>
      <c r="C279" s="1437"/>
      <c r="D279" s="1431"/>
      <c r="E279" s="1437"/>
      <c r="F279" s="1075">
        <v>0</v>
      </c>
      <c r="H279" s="1466">
        <v>5.04</v>
      </c>
      <c r="I279" s="1437"/>
      <c r="J279" s="1435">
        <f t="shared" si="125"/>
        <v>0</v>
      </c>
      <c r="K279" s="1431"/>
      <c r="L279" s="1433">
        <f t="shared" si="123"/>
        <v>0</v>
      </c>
      <c r="M279" s="1431"/>
      <c r="N279" s="1435"/>
      <c r="O279" s="1434"/>
      <c r="P279" s="1435">
        <f t="shared" si="126"/>
        <v>0</v>
      </c>
      <c r="Q279" s="1431"/>
      <c r="R279" s="1452">
        <f t="shared" si="124"/>
        <v>5.5880987610927599</v>
      </c>
      <c r="S279" s="1102"/>
      <c r="T279" s="1453">
        <f t="shared" si="127"/>
        <v>0</v>
      </c>
      <c r="U279" s="1102"/>
      <c r="V279" s="1102"/>
      <c r="W279" s="1068"/>
      <c r="X279" s="1046"/>
      <c r="Y279" s="1036"/>
      <c r="Z279" s="1036"/>
      <c r="AA279" s="1036"/>
      <c r="AB279" s="1036"/>
      <c r="AC279" s="1036"/>
      <c r="AD279" s="1036"/>
      <c r="AE279" s="1036"/>
      <c r="AF279" s="1036"/>
      <c r="AG279" s="1036"/>
      <c r="AH279" s="1036"/>
      <c r="AI279" s="1088"/>
      <c r="AJ279" s="1089"/>
      <c r="AK279" s="1392"/>
      <c r="AL279" s="1415"/>
      <c r="AM279" s="1394"/>
      <c r="AN279" s="1394"/>
      <c r="AO279" s="1392"/>
      <c r="AP279" s="1394"/>
      <c r="AQ279" s="1394"/>
      <c r="AR279" s="1394"/>
      <c r="AS279" s="1394"/>
      <c r="AT279" s="1394"/>
      <c r="AU279" s="1392"/>
      <c r="AV279" s="1392"/>
    </row>
    <row r="280" spans="1:48">
      <c r="A280" s="1450" t="s">
        <v>876</v>
      </c>
      <c r="C280" s="1437"/>
      <c r="D280" s="1431"/>
      <c r="E280" s="1437"/>
      <c r="F280" s="1075">
        <v>0</v>
      </c>
      <c r="H280" s="1466">
        <v>4.4000000000000004</v>
      </c>
      <c r="I280" s="1437"/>
      <c r="J280" s="1435">
        <f t="shared" si="125"/>
        <v>0</v>
      </c>
      <c r="K280" s="1431"/>
      <c r="L280" s="1433">
        <f t="shared" si="123"/>
        <v>0</v>
      </c>
      <c r="M280" s="1431"/>
      <c r="N280" s="1435"/>
      <c r="O280" s="1434"/>
      <c r="P280" s="1435">
        <f t="shared" si="126"/>
        <v>0</v>
      </c>
      <c r="Q280" s="1431"/>
      <c r="R280" s="1452">
        <f t="shared" si="124"/>
        <v>4.8784989184143148</v>
      </c>
      <c r="S280" s="1102"/>
      <c r="T280" s="1453">
        <f t="shared" si="127"/>
        <v>0</v>
      </c>
      <c r="U280" s="1102"/>
      <c r="V280" s="1102"/>
      <c r="W280" s="1068"/>
      <c r="X280" s="1046"/>
      <c r="Y280" s="1036"/>
      <c r="Z280" s="1036"/>
      <c r="AA280" s="1036"/>
      <c r="AB280" s="1036"/>
      <c r="AC280" s="1036"/>
      <c r="AD280" s="1036"/>
      <c r="AE280" s="1036"/>
      <c r="AF280" s="1036"/>
      <c r="AG280" s="1036"/>
      <c r="AH280" s="1036"/>
      <c r="AI280" s="1088"/>
      <c r="AJ280" s="1089"/>
      <c r="AK280" s="1392"/>
      <c r="AL280" s="1415"/>
      <c r="AM280" s="1394"/>
      <c r="AN280" s="1394"/>
      <c r="AO280" s="1392"/>
      <c r="AP280" s="1394"/>
      <c r="AQ280" s="1394"/>
      <c r="AR280" s="1394"/>
      <c r="AS280" s="1394"/>
      <c r="AT280" s="1394"/>
      <c r="AU280" s="1392"/>
      <c r="AV280" s="1392"/>
    </row>
    <row r="281" spans="1:48" s="1412" customFormat="1" ht="12.75" thickBot="1">
      <c r="A281" s="1464" t="s">
        <v>1649</v>
      </c>
      <c r="B281" s="1456">
        <f>SUM(B274:B280)</f>
        <v>198</v>
      </c>
      <c r="C281" s="1443"/>
      <c r="D281" s="1456">
        <f>SUM(D274:D280)</f>
        <v>97.000000000000014</v>
      </c>
      <c r="E281" s="1443"/>
      <c r="F281" s="1456">
        <f>SUM(F274:F280)</f>
        <v>143</v>
      </c>
      <c r="G281" s="1396"/>
      <c r="H281" s="1398"/>
      <c r="I281" s="1397"/>
      <c r="J281" s="1444">
        <f>SUM(J274:J280)</f>
        <v>2126.7200000000003</v>
      </c>
      <c r="K281" s="1396"/>
      <c r="L281" s="1444">
        <f>SUM(L274:L280)</f>
        <v>2126.7200000000003</v>
      </c>
      <c r="M281" s="1396"/>
      <c r="N281" s="1456">
        <f>SUM(N274:N280)</f>
        <v>97.000000000000014</v>
      </c>
      <c r="O281" s="1400"/>
      <c r="P281" s="1456">
        <f>SUM(P274:P280)</f>
        <v>143</v>
      </c>
      <c r="Q281" s="1396"/>
      <c r="R281" s="1436"/>
      <c r="S281" s="1443"/>
      <c r="T281" s="1444">
        <f>SUM(T274:T280)</f>
        <v>2358.0002772204753</v>
      </c>
      <c r="U281" s="1443"/>
      <c r="V281" s="1097"/>
      <c r="W281" s="1050"/>
      <c r="X281" s="1050"/>
      <c r="Y281" s="1047"/>
      <c r="Z281" s="1047"/>
      <c r="AA281" s="1047"/>
      <c r="AB281" s="1047"/>
      <c r="AC281" s="1047"/>
      <c r="AD281" s="1047"/>
      <c r="AE281" s="1047"/>
      <c r="AF281" s="1047"/>
      <c r="AG281" s="1047"/>
      <c r="AH281" s="1047"/>
      <c r="AI281" s="1093"/>
      <c r="AJ281" s="1094"/>
      <c r="AK281" s="1095"/>
      <c r="AL281" s="1096"/>
      <c r="AM281" s="1087"/>
      <c r="AN281" s="1087"/>
      <c r="AO281" s="1095"/>
      <c r="AP281" s="1087"/>
      <c r="AQ281" s="1087"/>
      <c r="AR281" s="1087"/>
      <c r="AS281" s="1087"/>
      <c r="AT281" s="1087"/>
      <c r="AU281" s="1095"/>
      <c r="AV281" s="1095"/>
    </row>
    <row r="282" spans="1:48" s="1412" customFormat="1" ht="12.75" thickTop="1">
      <c r="A282" s="1464"/>
      <c r="B282" s="1440"/>
      <c r="C282" s="1441"/>
      <c r="D282" s="1440"/>
      <c r="E282" s="1437"/>
      <c r="F282" s="1431"/>
      <c r="G282" s="1431"/>
      <c r="H282" s="1432"/>
      <c r="I282" s="1438"/>
      <c r="J282" s="1433"/>
      <c r="K282" s="1431"/>
      <c r="L282" s="1433"/>
      <c r="M282" s="1431"/>
      <c r="N282" s="1435"/>
      <c r="O282" s="1434"/>
      <c r="P282" s="1435"/>
      <c r="Q282" s="1431"/>
      <c r="R282" s="1436"/>
      <c r="S282" s="1438"/>
      <c r="T282" s="1393"/>
      <c r="U282" s="1438"/>
      <c r="V282" s="1097"/>
      <c r="W282" s="1050"/>
      <c r="X282" s="1050"/>
      <c r="Y282" s="1047"/>
      <c r="Z282" s="1047"/>
      <c r="AA282" s="1047"/>
      <c r="AB282" s="1047"/>
      <c r="AC282" s="1047"/>
      <c r="AD282" s="1047"/>
      <c r="AE282" s="1047"/>
      <c r="AF282" s="1047"/>
      <c r="AG282" s="1047"/>
      <c r="AH282" s="1047"/>
      <c r="AI282" s="1093"/>
      <c r="AJ282" s="1094"/>
      <c r="AK282" s="1095"/>
      <c r="AL282" s="1096"/>
      <c r="AM282" s="1087"/>
      <c r="AN282" s="1087"/>
      <c r="AO282" s="1095"/>
      <c r="AP282" s="1087"/>
      <c r="AQ282" s="1087"/>
      <c r="AR282" s="1087"/>
      <c r="AS282" s="1087"/>
      <c r="AT282" s="1087"/>
      <c r="AU282" s="1095"/>
      <c r="AV282" s="1095"/>
    </row>
    <row r="283" spans="1:48" ht="12.75" thickBot="1">
      <c r="A283" s="1467" t="s">
        <v>1648</v>
      </c>
      <c r="B283" s="1440"/>
      <c r="C283" s="1441"/>
      <c r="D283" s="1440"/>
      <c r="E283" s="1437"/>
      <c r="F283" s="1431"/>
      <c r="G283" s="1431"/>
      <c r="H283" s="1432"/>
      <c r="I283" s="1438"/>
      <c r="J283" s="1433"/>
      <c r="K283" s="1431"/>
      <c r="L283" s="1446">
        <f>+L281/$D281</f>
        <v>21.924948453608248</v>
      </c>
      <c r="M283" s="1431"/>
      <c r="N283" s="1435"/>
      <c r="O283" s="1434"/>
      <c r="P283" s="1435"/>
      <c r="Q283" s="1431"/>
      <c r="R283" s="1436"/>
      <c r="S283" s="1438"/>
      <c r="T283" s="1446">
        <f>+T281/$D281</f>
        <v>24.309281208458504</v>
      </c>
      <c r="U283" s="1438">
        <f>+T283-L283</f>
        <v>2.3843327548502558</v>
      </c>
      <c r="V283" s="1051"/>
      <c r="W283" s="1046"/>
      <c r="X283" s="1046"/>
      <c r="Y283" s="1036"/>
      <c r="Z283" s="1036"/>
      <c r="AA283" s="1036"/>
      <c r="AB283" s="1036"/>
      <c r="AC283" s="1036"/>
      <c r="AD283" s="1036"/>
      <c r="AE283" s="1036"/>
      <c r="AF283" s="1036"/>
      <c r="AG283" s="1036"/>
      <c r="AH283" s="1036"/>
      <c r="AI283" s="1088"/>
      <c r="AJ283" s="1089"/>
      <c r="AK283" s="1392"/>
      <c r="AL283" s="1415"/>
      <c r="AM283" s="1394"/>
      <c r="AN283" s="1394"/>
      <c r="AO283" s="1392"/>
      <c r="AP283" s="1394"/>
      <c r="AQ283" s="1394"/>
      <c r="AR283" s="1394"/>
      <c r="AS283" s="1394"/>
      <c r="AT283" s="1394"/>
      <c r="AU283" s="1392"/>
      <c r="AV283" s="1392"/>
    </row>
    <row r="284" spans="1:48" ht="12.75" thickTop="1">
      <c r="A284" s="1407" t="s">
        <v>1647</v>
      </c>
      <c r="B284" s="1431">
        <v>1234</v>
      </c>
      <c r="C284" s="1437"/>
      <c r="D284" s="1431"/>
      <c r="E284" s="1437"/>
      <c r="F284" s="1431"/>
      <c r="G284" s="1431"/>
      <c r="H284" s="1432"/>
      <c r="I284" s="1437"/>
      <c r="J284" s="1433"/>
      <c r="K284" s="1431"/>
      <c r="L284" s="1433"/>
      <c r="M284" s="1431"/>
      <c r="N284" s="1435"/>
      <c r="O284" s="1434"/>
      <c r="P284" s="1435"/>
      <c r="Q284" s="1431"/>
      <c r="R284" s="1436"/>
      <c r="S284" s="1468"/>
      <c r="T284" s="1453"/>
      <c r="U284" s="1112"/>
      <c r="V284" s="1112"/>
      <c r="W284" s="1046"/>
      <c r="X284" s="1046"/>
      <c r="Y284" s="1036"/>
      <c r="Z284" s="1036"/>
      <c r="AA284" s="1036"/>
      <c r="AB284" s="1036"/>
      <c r="AC284" s="1036"/>
      <c r="AD284" s="1036"/>
      <c r="AE284" s="1036"/>
      <c r="AF284" s="1036"/>
      <c r="AG284" s="1036"/>
      <c r="AH284" s="1036"/>
      <c r="AI284" s="1113"/>
      <c r="AJ284" s="1114"/>
      <c r="AK284" s="1115"/>
      <c r="AL284" s="1394"/>
      <c r="AM284" s="1394"/>
      <c r="AN284" s="1394"/>
      <c r="AO284" s="1394"/>
      <c r="AP284" s="1394"/>
      <c r="AQ284" s="1394"/>
      <c r="AR284" s="1394"/>
      <c r="AS284" s="1051"/>
      <c r="AT284" s="1051"/>
      <c r="AU284" s="1051"/>
      <c r="AV284" s="1051"/>
    </row>
    <row r="285" spans="1:48">
      <c r="A285" s="1450" t="s">
        <v>972</v>
      </c>
      <c r="B285" s="1431"/>
      <c r="C285" s="1437"/>
      <c r="D285" s="1431">
        <v>84.000000000000014</v>
      </c>
      <c r="E285" s="1437"/>
      <c r="F285" s="1431"/>
      <c r="G285" s="1431"/>
      <c r="H285" s="1451">
        <v>41.19</v>
      </c>
      <c r="I285" s="1437"/>
      <c r="J285" s="1433">
        <f>+D285*H285</f>
        <v>3459.9600000000005</v>
      </c>
      <c r="K285" s="1431"/>
      <c r="L285" s="1433">
        <f>+J285</f>
        <v>3459.9600000000005</v>
      </c>
      <c r="M285" s="1431"/>
      <c r="N285" s="1435">
        <f>+D285</f>
        <v>84.000000000000014</v>
      </c>
      <c r="O285" s="1434"/>
      <c r="P285" s="1435"/>
      <c r="Q285" s="1431"/>
      <c r="R285" s="1452">
        <f>+H285*(1+$W$5)</f>
        <v>45.669402374883092</v>
      </c>
      <c r="S285" s="1468"/>
      <c r="T285" s="1453">
        <f>+N285*R285</f>
        <v>3836.2297994901805</v>
      </c>
      <c r="U285" s="1112"/>
      <c r="V285" s="1112"/>
      <c r="W285" s="1046"/>
      <c r="X285" s="1046"/>
      <c r="Y285" s="1036"/>
      <c r="Z285" s="1036"/>
      <c r="AA285" s="1036"/>
      <c r="AB285" s="1036"/>
      <c r="AC285" s="1036"/>
      <c r="AD285" s="1036"/>
      <c r="AE285" s="1036"/>
      <c r="AF285" s="1036"/>
      <c r="AG285" s="1036"/>
      <c r="AH285" s="1036"/>
      <c r="AI285" s="1113"/>
      <c r="AJ285" s="1114"/>
      <c r="AK285" s="1115"/>
      <c r="AL285" s="1394"/>
      <c r="AM285" s="1394"/>
      <c r="AN285" s="1394"/>
      <c r="AO285" s="1394"/>
      <c r="AP285" s="1394"/>
      <c r="AQ285" s="1394"/>
      <c r="AR285" s="1394"/>
      <c r="AS285" s="1051"/>
      <c r="AT285" s="1051"/>
      <c r="AU285" s="1051"/>
      <c r="AV285" s="1051"/>
    </row>
    <row r="286" spans="1:48">
      <c r="A286" s="1450" t="s">
        <v>973</v>
      </c>
      <c r="B286" s="1431"/>
      <c r="C286" s="1437"/>
      <c r="D286" s="1431"/>
      <c r="E286" s="1437"/>
      <c r="F286" s="1431">
        <v>589</v>
      </c>
      <c r="G286" s="1431"/>
      <c r="H286" s="1454">
        <v>6.79</v>
      </c>
      <c r="I286" s="1437"/>
      <c r="J286" s="1435">
        <f>+F286*H286</f>
        <v>3999.31</v>
      </c>
      <c r="K286" s="1431"/>
      <c r="L286" s="1433">
        <f t="shared" ref="L286:L290" si="128">+J286</f>
        <v>3999.31</v>
      </c>
      <c r="M286" s="1431"/>
      <c r="N286" s="1435"/>
      <c r="O286" s="1434"/>
      <c r="P286" s="1435">
        <f>+F286</f>
        <v>589</v>
      </c>
      <c r="Q286" s="1431"/>
      <c r="R286" s="1452">
        <f t="shared" ref="R286:R290" si="129">+H286*(1+$W$5)</f>
        <v>7.5284108309166351</v>
      </c>
      <c r="S286" s="1468"/>
      <c r="T286" s="1453">
        <f>+P286*R286</f>
        <v>4434.233979409898</v>
      </c>
      <c r="U286" s="1112"/>
      <c r="V286" s="1112"/>
      <c r="W286" s="1046"/>
      <c r="X286" s="1046"/>
      <c r="Y286" s="1036"/>
      <c r="Z286" s="1036"/>
      <c r="AA286" s="1036"/>
      <c r="AB286" s="1036"/>
      <c r="AC286" s="1036"/>
      <c r="AD286" s="1036"/>
      <c r="AE286" s="1036"/>
      <c r="AF286" s="1036"/>
      <c r="AG286" s="1036"/>
      <c r="AH286" s="1036"/>
      <c r="AI286" s="1113"/>
      <c r="AJ286" s="1114"/>
      <c r="AK286" s="1115"/>
      <c r="AL286" s="1394"/>
      <c r="AM286" s="1394"/>
      <c r="AN286" s="1394"/>
      <c r="AO286" s="1394"/>
      <c r="AP286" s="1394"/>
      <c r="AQ286" s="1394"/>
      <c r="AR286" s="1394"/>
      <c r="AS286" s="1051"/>
      <c r="AT286" s="1051"/>
      <c r="AU286" s="1051"/>
      <c r="AV286" s="1051"/>
    </row>
    <row r="287" spans="1:48">
      <c r="A287" s="1450" t="s">
        <v>862</v>
      </c>
      <c r="B287" s="1431"/>
      <c r="C287" s="1437"/>
      <c r="D287" s="1431"/>
      <c r="E287" s="1437"/>
      <c r="F287" s="1431">
        <v>329</v>
      </c>
      <c r="G287" s="1431"/>
      <c r="H287" s="1454">
        <v>6.23</v>
      </c>
      <c r="I287" s="1437"/>
      <c r="J287" s="1435">
        <f t="shared" ref="J287:J290" si="130">+F287*H287</f>
        <v>2049.67</v>
      </c>
      <c r="K287" s="1431"/>
      <c r="L287" s="1433">
        <f t="shared" si="128"/>
        <v>2049.67</v>
      </c>
      <c r="M287" s="1431"/>
      <c r="N287" s="1435"/>
      <c r="O287" s="1434"/>
      <c r="P287" s="1435">
        <f t="shared" ref="P287:P290" si="131">+F287</f>
        <v>329</v>
      </c>
      <c r="Q287" s="1431"/>
      <c r="R287" s="1452">
        <f t="shared" si="129"/>
        <v>6.9075109685729963</v>
      </c>
      <c r="S287" s="1468"/>
      <c r="T287" s="1453">
        <f t="shared" ref="T287:T290" si="132">+P287*R287</f>
        <v>2272.5711086605156</v>
      </c>
      <c r="U287" s="1112"/>
      <c r="V287" s="1112"/>
      <c r="W287" s="1046"/>
      <c r="X287" s="1046"/>
      <c r="Y287" s="1036"/>
      <c r="Z287" s="1036"/>
      <c r="AA287" s="1036"/>
      <c r="AB287" s="1036"/>
      <c r="AC287" s="1036"/>
      <c r="AD287" s="1036"/>
      <c r="AE287" s="1036"/>
      <c r="AF287" s="1036"/>
      <c r="AG287" s="1036"/>
      <c r="AH287" s="1036"/>
      <c r="AI287" s="1113"/>
      <c r="AJ287" s="1114"/>
      <c r="AK287" s="1115"/>
      <c r="AL287" s="1394"/>
      <c r="AM287" s="1394"/>
      <c r="AN287" s="1394"/>
      <c r="AO287" s="1394"/>
      <c r="AP287" s="1394"/>
      <c r="AQ287" s="1394"/>
      <c r="AR287" s="1394"/>
      <c r="AS287" s="1051"/>
      <c r="AT287" s="1051"/>
      <c r="AU287" s="1051"/>
      <c r="AV287" s="1051"/>
    </row>
    <row r="288" spans="1:48">
      <c r="A288" s="1450" t="s">
        <v>863</v>
      </c>
      <c r="B288" s="1431"/>
      <c r="C288" s="1437"/>
      <c r="D288" s="1431"/>
      <c r="E288" s="1437"/>
      <c r="F288" s="1431">
        <v>104.00000000000001</v>
      </c>
      <c r="G288" s="1431"/>
      <c r="H288" s="1454">
        <v>5.68</v>
      </c>
      <c r="I288" s="1437"/>
      <c r="J288" s="1435">
        <f t="shared" si="130"/>
        <v>590.72</v>
      </c>
      <c r="K288" s="1431"/>
      <c r="L288" s="1433">
        <f t="shared" si="128"/>
        <v>590.72</v>
      </c>
      <c r="M288" s="1431"/>
      <c r="N288" s="1435"/>
      <c r="O288" s="1434"/>
      <c r="P288" s="1435">
        <f t="shared" si="131"/>
        <v>104.00000000000001</v>
      </c>
      <c r="Q288" s="1431"/>
      <c r="R288" s="1452">
        <f t="shared" si="129"/>
        <v>6.2976986037712059</v>
      </c>
      <c r="S288" s="1468"/>
      <c r="T288" s="1453">
        <f t="shared" si="132"/>
        <v>654.96065479220556</v>
      </c>
      <c r="U288" s="1112"/>
      <c r="V288" s="1112"/>
      <c r="W288" s="1046"/>
      <c r="X288" s="1046"/>
      <c r="Y288" s="1036"/>
      <c r="Z288" s="1036"/>
      <c r="AA288" s="1036"/>
      <c r="AB288" s="1036"/>
      <c r="AC288" s="1036"/>
      <c r="AD288" s="1036"/>
      <c r="AE288" s="1036"/>
      <c r="AF288" s="1036"/>
      <c r="AG288" s="1036"/>
      <c r="AH288" s="1036"/>
      <c r="AI288" s="1113"/>
      <c r="AJ288" s="1114"/>
      <c r="AK288" s="1115"/>
      <c r="AL288" s="1394"/>
      <c r="AM288" s="1394"/>
      <c r="AN288" s="1394"/>
      <c r="AO288" s="1394"/>
      <c r="AP288" s="1394"/>
      <c r="AQ288" s="1394"/>
      <c r="AR288" s="1394"/>
      <c r="AS288" s="1051"/>
      <c r="AT288" s="1051"/>
      <c r="AU288" s="1051"/>
      <c r="AV288" s="1051"/>
    </row>
    <row r="289" spans="1:48">
      <c r="A289" s="1450" t="s">
        <v>864</v>
      </c>
      <c r="B289" s="1431"/>
      <c r="C289" s="1437"/>
      <c r="D289" s="1431"/>
      <c r="E289" s="1437"/>
      <c r="F289" s="1431">
        <v>53</v>
      </c>
      <c r="G289" s="1431"/>
      <c r="H289" s="1454">
        <v>5.04</v>
      </c>
      <c r="I289" s="1437"/>
      <c r="J289" s="1435">
        <f t="shared" si="130"/>
        <v>267.12</v>
      </c>
      <c r="K289" s="1431"/>
      <c r="L289" s="1433">
        <f t="shared" si="128"/>
        <v>267.12</v>
      </c>
      <c r="M289" s="1431"/>
      <c r="N289" s="1435"/>
      <c r="O289" s="1434"/>
      <c r="P289" s="1435">
        <f t="shared" si="131"/>
        <v>53</v>
      </c>
      <c r="Q289" s="1431"/>
      <c r="R289" s="1452">
        <f t="shared" si="129"/>
        <v>5.5880987610927599</v>
      </c>
      <c r="S289" s="1468"/>
      <c r="T289" s="1453">
        <f t="shared" si="132"/>
        <v>296.16923433791629</v>
      </c>
      <c r="U289" s="1112"/>
      <c r="V289" s="1112"/>
      <c r="W289" s="1046"/>
      <c r="X289" s="1046"/>
      <c r="Y289" s="1036"/>
      <c r="Z289" s="1036"/>
      <c r="AA289" s="1036"/>
      <c r="AB289" s="1036"/>
      <c r="AC289" s="1036"/>
      <c r="AD289" s="1036"/>
      <c r="AE289" s="1036"/>
      <c r="AF289" s="1036"/>
      <c r="AG289" s="1036"/>
      <c r="AH289" s="1036"/>
      <c r="AI289" s="1113"/>
      <c r="AJ289" s="1114"/>
      <c r="AK289" s="1115"/>
      <c r="AL289" s="1394"/>
      <c r="AM289" s="1394"/>
      <c r="AN289" s="1394"/>
      <c r="AO289" s="1394"/>
      <c r="AP289" s="1394"/>
      <c r="AQ289" s="1394"/>
      <c r="AR289" s="1394"/>
      <c r="AS289" s="1051"/>
      <c r="AT289" s="1051"/>
      <c r="AU289" s="1051"/>
      <c r="AV289" s="1051"/>
    </row>
    <row r="290" spans="1:48">
      <c r="A290" s="1450" t="s">
        <v>876</v>
      </c>
      <c r="B290" s="1431"/>
      <c r="C290" s="1437"/>
      <c r="D290" s="1431"/>
      <c r="E290" s="1437"/>
      <c r="F290" s="1431">
        <v>0</v>
      </c>
      <c r="G290" s="1431"/>
      <c r="H290" s="1454">
        <v>4.4000000000000004</v>
      </c>
      <c r="I290" s="1437"/>
      <c r="J290" s="1435">
        <f t="shared" si="130"/>
        <v>0</v>
      </c>
      <c r="K290" s="1431"/>
      <c r="L290" s="1433">
        <f t="shared" si="128"/>
        <v>0</v>
      </c>
      <c r="M290" s="1431"/>
      <c r="N290" s="1435"/>
      <c r="O290" s="1434"/>
      <c r="P290" s="1435">
        <f t="shared" si="131"/>
        <v>0</v>
      </c>
      <c r="Q290" s="1431"/>
      <c r="R290" s="1452">
        <f t="shared" si="129"/>
        <v>4.8784989184143148</v>
      </c>
      <c r="S290" s="1468"/>
      <c r="T290" s="1453">
        <f t="shared" si="132"/>
        <v>0</v>
      </c>
      <c r="U290" s="1112"/>
      <c r="V290" s="1112"/>
      <c r="W290" s="1046"/>
      <c r="X290" s="1046"/>
      <c r="Y290" s="1036"/>
      <c r="Z290" s="1036"/>
      <c r="AA290" s="1036"/>
      <c r="AB290" s="1036"/>
      <c r="AC290" s="1036"/>
      <c r="AD290" s="1036"/>
      <c r="AE290" s="1036"/>
      <c r="AF290" s="1036"/>
      <c r="AG290" s="1036"/>
      <c r="AH290" s="1036"/>
      <c r="AI290" s="1113"/>
      <c r="AJ290" s="1114"/>
      <c r="AK290" s="1115"/>
      <c r="AL290" s="1394"/>
      <c r="AM290" s="1394"/>
      <c r="AN290" s="1394"/>
      <c r="AO290" s="1394"/>
      <c r="AP290" s="1394"/>
      <c r="AQ290" s="1394"/>
      <c r="AR290" s="1394"/>
      <c r="AS290" s="1051"/>
      <c r="AT290" s="1051"/>
      <c r="AU290" s="1051"/>
      <c r="AV290" s="1051"/>
    </row>
    <row r="291" spans="1:48" ht="12.75" thickBot="1">
      <c r="A291" s="1464" t="s">
        <v>1646</v>
      </c>
      <c r="B291" s="1456">
        <f>SUM(B284:B290)</f>
        <v>1234</v>
      </c>
      <c r="C291" s="1443"/>
      <c r="D291" s="1456">
        <f>SUM(D284:D290)</f>
        <v>84.000000000000014</v>
      </c>
      <c r="E291" s="1443"/>
      <c r="F291" s="1456">
        <f>SUM(F284:F290)</f>
        <v>1075</v>
      </c>
      <c r="G291" s="1396"/>
      <c r="H291" s="1398"/>
      <c r="I291" s="1397"/>
      <c r="J291" s="1444">
        <f>SUM(J284:J290)</f>
        <v>10366.780000000001</v>
      </c>
      <c r="K291" s="1396"/>
      <c r="L291" s="1444">
        <f>SUM(L284:L290)</f>
        <v>10366.780000000001</v>
      </c>
      <c r="M291" s="1396"/>
      <c r="N291" s="1456">
        <f>SUM(N284:N290)</f>
        <v>84.000000000000014</v>
      </c>
      <c r="O291" s="1400"/>
      <c r="P291" s="1456">
        <f>SUM(P284:P290)</f>
        <v>1075</v>
      </c>
      <c r="Q291" s="1396"/>
      <c r="R291" s="1436"/>
      <c r="S291" s="1443"/>
      <c r="T291" s="1444">
        <f>SUM(T284:T290)</f>
        <v>11494.164776690715</v>
      </c>
      <c r="U291" s="1443"/>
      <c r="V291" s="1112"/>
      <c r="W291" s="1046"/>
      <c r="X291" s="1046"/>
      <c r="Y291" s="1036"/>
      <c r="Z291" s="1036"/>
      <c r="AA291" s="1036"/>
      <c r="AB291" s="1036"/>
      <c r="AC291" s="1036"/>
      <c r="AD291" s="1036"/>
      <c r="AE291" s="1036"/>
      <c r="AF291" s="1036"/>
      <c r="AG291" s="1036"/>
      <c r="AH291" s="1036"/>
      <c r="AI291" s="1113"/>
      <c r="AJ291" s="1114"/>
      <c r="AK291" s="1115"/>
      <c r="AL291" s="1394"/>
      <c r="AM291" s="1394"/>
      <c r="AN291" s="1394"/>
      <c r="AO291" s="1394"/>
      <c r="AP291" s="1394"/>
      <c r="AQ291" s="1394"/>
      <c r="AR291" s="1394"/>
      <c r="AS291" s="1051"/>
      <c r="AT291" s="1051"/>
      <c r="AU291" s="1051"/>
      <c r="AV291" s="1051"/>
    </row>
    <row r="292" spans="1:48" ht="12.75" thickTop="1">
      <c r="A292" s="1464"/>
      <c r="B292" s="1440"/>
      <c r="C292" s="1441"/>
      <c r="D292" s="1440"/>
      <c r="E292" s="1437"/>
      <c r="F292" s="1431"/>
      <c r="G292" s="1431"/>
      <c r="H292" s="1432"/>
      <c r="I292" s="1438"/>
      <c r="J292" s="1433"/>
      <c r="K292" s="1431"/>
      <c r="L292" s="1433"/>
      <c r="M292" s="1431"/>
      <c r="N292" s="1435"/>
      <c r="O292" s="1434"/>
      <c r="P292" s="1435"/>
      <c r="Q292" s="1431"/>
      <c r="R292" s="1436"/>
      <c r="S292" s="1438"/>
      <c r="T292" s="1393"/>
      <c r="U292" s="1438"/>
      <c r="V292" s="1112"/>
      <c r="W292" s="1046"/>
      <c r="X292" s="1046"/>
      <c r="Y292" s="1036"/>
      <c r="Z292" s="1036"/>
      <c r="AA292" s="1036"/>
      <c r="AB292" s="1036"/>
      <c r="AC292" s="1036"/>
      <c r="AD292" s="1036"/>
      <c r="AE292" s="1036"/>
      <c r="AF292" s="1036"/>
      <c r="AG292" s="1036"/>
      <c r="AH292" s="1036"/>
      <c r="AI292" s="1113"/>
      <c r="AJ292" s="1114"/>
      <c r="AK292" s="1115"/>
      <c r="AL292" s="1394"/>
      <c r="AM292" s="1394"/>
      <c r="AN292" s="1394"/>
      <c r="AO292" s="1394"/>
      <c r="AP292" s="1394"/>
      <c r="AQ292" s="1394"/>
      <c r="AR292" s="1394"/>
      <c r="AS292" s="1051"/>
      <c r="AT292" s="1051"/>
      <c r="AU292" s="1051"/>
      <c r="AV292" s="1051"/>
    </row>
    <row r="293" spans="1:48" ht="12.75" thickBot="1">
      <c r="A293" s="1465" t="s">
        <v>1645</v>
      </c>
      <c r="B293" s="1440"/>
      <c r="C293" s="1441"/>
      <c r="D293" s="1440"/>
      <c r="E293" s="1437"/>
      <c r="F293" s="1431"/>
      <c r="G293" s="1431"/>
      <c r="H293" s="1432"/>
      <c r="I293" s="1438"/>
      <c r="J293" s="1433"/>
      <c r="K293" s="1431"/>
      <c r="L293" s="1446">
        <f>+L291/$D291</f>
        <v>123.41404761904761</v>
      </c>
      <c r="M293" s="1431"/>
      <c r="N293" s="1435"/>
      <c r="O293" s="1434"/>
      <c r="P293" s="1435"/>
      <c r="Q293" s="1431"/>
      <c r="R293" s="1436"/>
      <c r="S293" s="1438"/>
      <c r="T293" s="1446">
        <f>+T291/$D291</f>
        <v>136.83529496060373</v>
      </c>
      <c r="U293" s="1438">
        <f>+T293-L293</f>
        <v>13.421247341556125</v>
      </c>
      <c r="V293" s="1438">
        <f>U293/L293</f>
        <v>0.10874975418507141</v>
      </c>
      <c r="W293" s="1046"/>
      <c r="X293" s="1046"/>
      <c r="Y293" s="1036"/>
      <c r="Z293" s="1036"/>
      <c r="AA293" s="1036"/>
      <c r="AB293" s="1036"/>
      <c r="AC293" s="1036"/>
      <c r="AD293" s="1036"/>
      <c r="AE293" s="1036"/>
      <c r="AF293" s="1036"/>
      <c r="AG293" s="1036"/>
      <c r="AH293" s="1036"/>
      <c r="AI293" s="1113"/>
      <c r="AJ293" s="1114"/>
      <c r="AK293" s="1115"/>
      <c r="AL293" s="1394"/>
      <c r="AM293" s="1394"/>
      <c r="AN293" s="1394"/>
      <c r="AO293" s="1394"/>
      <c r="AP293" s="1394"/>
      <c r="AQ293" s="1394"/>
      <c r="AR293" s="1394"/>
      <c r="AS293" s="1051"/>
      <c r="AT293" s="1051"/>
      <c r="AU293" s="1051"/>
      <c r="AV293" s="1051"/>
    </row>
    <row r="294" spans="1:48" ht="12.75" thickTop="1">
      <c r="A294" s="1407" t="s">
        <v>1644</v>
      </c>
      <c r="B294" s="1431">
        <v>379</v>
      </c>
      <c r="C294" s="1437"/>
      <c r="D294" s="1431"/>
      <c r="E294" s="1437"/>
      <c r="F294" s="1431"/>
      <c r="G294" s="1431"/>
      <c r="H294" s="1432"/>
      <c r="I294" s="1437"/>
      <c r="J294" s="1433"/>
      <c r="K294" s="1431"/>
      <c r="L294" s="1421"/>
      <c r="M294" s="1431"/>
      <c r="N294" s="1435"/>
      <c r="O294" s="1434"/>
      <c r="P294" s="1409"/>
      <c r="Q294" s="1431"/>
      <c r="R294" s="1436"/>
      <c r="S294" s="1468"/>
      <c r="T294" s="1453"/>
      <c r="U294" s="1112"/>
      <c r="V294" s="1112"/>
      <c r="W294" s="1046"/>
      <c r="X294" s="1046"/>
      <c r="Y294" s="1036"/>
      <c r="Z294" s="1036"/>
      <c r="AA294" s="1036"/>
      <c r="AB294" s="1036"/>
      <c r="AC294" s="1036"/>
      <c r="AD294" s="1036"/>
      <c r="AE294" s="1036"/>
      <c r="AF294" s="1036"/>
      <c r="AG294" s="1036"/>
      <c r="AH294" s="1036"/>
      <c r="AI294" s="1113"/>
      <c r="AJ294" s="1114"/>
      <c r="AK294" s="1115"/>
      <c r="AL294" s="1394"/>
      <c r="AM294" s="1394"/>
      <c r="AN294" s="1394"/>
      <c r="AO294" s="1394"/>
      <c r="AP294" s="1394"/>
      <c r="AQ294" s="1394"/>
      <c r="AR294" s="1394"/>
      <c r="AS294" s="1051"/>
      <c r="AT294" s="1051"/>
      <c r="AU294" s="1051"/>
      <c r="AV294" s="1051"/>
    </row>
    <row r="295" spans="1:48">
      <c r="A295" s="1450" t="s">
        <v>972</v>
      </c>
      <c r="B295" s="1431"/>
      <c r="C295" s="1437"/>
      <c r="D295" s="1431">
        <v>36.000000000000014</v>
      </c>
      <c r="E295" s="1437"/>
      <c r="F295" s="1431"/>
      <c r="G295" s="1431"/>
      <c r="H295" s="1451">
        <v>41.19</v>
      </c>
      <c r="I295" s="1437"/>
      <c r="J295" s="1433">
        <f>+D295*H295</f>
        <v>1482.8400000000006</v>
      </c>
      <c r="K295" s="1431"/>
      <c r="L295" s="1433">
        <f>+J295</f>
        <v>1482.8400000000006</v>
      </c>
      <c r="M295" s="1431"/>
      <c r="N295" s="1435">
        <f>+D295</f>
        <v>36.000000000000014</v>
      </c>
      <c r="O295" s="1434"/>
      <c r="P295" s="1435"/>
      <c r="Q295" s="1431"/>
      <c r="R295" s="1452">
        <f>+H295*(1+$W$5)</f>
        <v>45.669402374883092</v>
      </c>
      <c r="S295" s="1468"/>
      <c r="T295" s="1453">
        <f>+N295*R295</f>
        <v>1644.0984854957919</v>
      </c>
      <c r="U295" s="1112"/>
      <c r="V295" s="1112"/>
      <c r="W295" s="1046"/>
      <c r="X295" s="1046"/>
      <c r="Y295" s="1036"/>
      <c r="Z295" s="1036"/>
      <c r="AA295" s="1036"/>
      <c r="AB295" s="1036"/>
      <c r="AC295" s="1036"/>
      <c r="AD295" s="1036"/>
      <c r="AE295" s="1036"/>
      <c r="AF295" s="1036"/>
      <c r="AG295" s="1036"/>
      <c r="AH295" s="1036"/>
      <c r="AI295" s="1113"/>
      <c r="AJ295" s="1114"/>
      <c r="AK295" s="1115"/>
      <c r="AL295" s="1394"/>
      <c r="AM295" s="1394"/>
      <c r="AN295" s="1394"/>
      <c r="AO295" s="1394"/>
      <c r="AP295" s="1394"/>
      <c r="AQ295" s="1394"/>
      <c r="AR295" s="1394"/>
      <c r="AS295" s="1051"/>
      <c r="AT295" s="1051"/>
      <c r="AU295" s="1051"/>
      <c r="AV295" s="1051"/>
    </row>
    <row r="296" spans="1:48">
      <c r="A296" s="1450" t="s">
        <v>973</v>
      </c>
      <c r="B296" s="1431"/>
      <c r="C296" s="1437"/>
      <c r="D296" s="1431"/>
      <c r="E296" s="1437"/>
      <c r="F296" s="1431">
        <v>48.999999999999986</v>
      </c>
      <c r="G296" s="1431"/>
      <c r="H296" s="1454">
        <v>6.79</v>
      </c>
      <c r="I296" s="1437"/>
      <c r="J296" s="1435">
        <f>+F296*H296</f>
        <v>332.70999999999992</v>
      </c>
      <c r="K296" s="1431"/>
      <c r="L296" s="1433">
        <f t="shared" ref="L296:L300" si="133">+J296</f>
        <v>332.70999999999992</v>
      </c>
      <c r="M296" s="1431"/>
      <c r="N296" s="1435"/>
      <c r="O296" s="1434"/>
      <c r="P296" s="1435">
        <f>+F296</f>
        <v>48.999999999999986</v>
      </c>
      <c r="Q296" s="1431"/>
      <c r="R296" s="1452">
        <f t="shared" ref="R296:R300" si="134">+H296*(1+$W$5)</f>
        <v>7.5284108309166351</v>
      </c>
      <c r="S296" s="1468"/>
      <c r="T296" s="1453">
        <f>+P296*R296</f>
        <v>368.89213071491503</v>
      </c>
      <c r="U296" s="1112"/>
      <c r="V296" s="1112"/>
      <c r="W296" s="1046"/>
      <c r="X296" s="1046"/>
      <c r="Y296" s="1036"/>
      <c r="Z296" s="1036"/>
      <c r="AA296" s="1036"/>
      <c r="AB296" s="1036"/>
      <c r="AC296" s="1036"/>
      <c r="AD296" s="1036"/>
      <c r="AE296" s="1036"/>
      <c r="AF296" s="1036"/>
      <c r="AG296" s="1036"/>
      <c r="AH296" s="1036"/>
      <c r="AI296" s="1113"/>
      <c r="AJ296" s="1114"/>
      <c r="AK296" s="1115"/>
      <c r="AL296" s="1394"/>
      <c r="AM296" s="1394"/>
      <c r="AN296" s="1394"/>
      <c r="AO296" s="1394"/>
      <c r="AP296" s="1394"/>
      <c r="AQ296" s="1394"/>
      <c r="AR296" s="1394"/>
      <c r="AS296" s="1051"/>
      <c r="AT296" s="1051"/>
      <c r="AU296" s="1051"/>
      <c r="AV296" s="1051"/>
    </row>
    <row r="297" spans="1:48">
      <c r="A297" s="1450" t="s">
        <v>862</v>
      </c>
      <c r="B297" s="1431"/>
      <c r="C297" s="1437"/>
      <c r="D297" s="1431"/>
      <c r="E297" s="1437"/>
      <c r="F297" s="1431">
        <v>102</v>
      </c>
      <c r="G297" s="1431"/>
      <c r="H297" s="1454">
        <v>6.23</v>
      </c>
      <c r="I297" s="1437"/>
      <c r="J297" s="1435">
        <f t="shared" ref="J297:J300" si="135">+F297*H297</f>
        <v>635.46</v>
      </c>
      <c r="K297" s="1431"/>
      <c r="L297" s="1433">
        <f t="shared" si="133"/>
        <v>635.46</v>
      </c>
      <c r="M297" s="1431"/>
      <c r="N297" s="1435"/>
      <c r="O297" s="1434"/>
      <c r="P297" s="1435">
        <f t="shared" ref="P297:P300" si="136">+F297</f>
        <v>102</v>
      </c>
      <c r="Q297" s="1431"/>
      <c r="R297" s="1452">
        <f t="shared" si="134"/>
        <v>6.9075109685729963</v>
      </c>
      <c r="S297" s="1468"/>
      <c r="T297" s="1453">
        <f t="shared" ref="T297:T300" si="137">+P297*R297</f>
        <v>704.56611879444563</v>
      </c>
      <c r="U297" s="1112"/>
      <c r="V297" s="1112"/>
      <c r="W297" s="1046"/>
      <c r="X297" s="1046"/>
      <c r="Y297" s="1036"/>
      <c r="Z297" s="1036"/>
      <c r="AA297" s="1036"/>
      <c r="AB297" s="1036"/>
      <c r="AC297" s="1036"/>
      <c r="AD297" s="1036"/>
      <c r="AE297" s="1036"/>
      <c r="AF297" s="1036"/>
      <c r="AG297" s="1036"/>
      <c r="AH297" s="1036"/>
      <c r="AI297" s="1113"/>
      <c r="AJ297" s="1114"/>
      <c r="AK297" s="1115"/>
      <c r="AL297" s="1394"/>
      <c r="AM297" s="1394"/>
      <c r="AN297" s="1394"/>
      <c r="AO297" s="1394"/>
      <c r="AP297" s="1394"/>
      <c r="AQ297" s="1394"/>
      <c r="AR297" s="1394"/>
      <c r="AS297" s="1051"/>
      <c r="AT297" s="1051"/>
      <c r="AU297" s="1051"/>
      <c r="AV297" s="1051"/>
    </row>
    <row r="298" spans="1:48">
      <c r="A298" s="1450" t="s">
        <v>863</v>
      </c>
      <c r="B298" s="1431"/>
      <c r="C298" s="1437"/>
      <c r="D298" s="1431"/>
      <c r="E298" s="1437"/>
      <c r="F298" s="1431">
        <v>89</v>
      </c>
      <c r="G298" s="1431"/>
      <c r="H298" s="1454">
        <v>5.68</v>
      </c>
      <c r="I298" s="1437"/>
      <c r="J298" s="1435">
        <f t="shared" si="135"/>
        <v>505.52</v>
      </c>
      <c r="K298" s="1431"/>
      <c r="L298" s="1433">
        <f t="shared" si="133"/>
        <v>505.52</v>
      </c>
      <c r="M298" s="1431"/>
      <c r="N298" s="1435"/>
      <c r="O298" s="1434"/>
      <c r="P298" s="1435">
        <f t="shared" si="136"/>
        <v>89</v>
      </c>
      <c r="Q298" s="1431"/>
      <c r="R298" s="1452">
        <f t="shared" si="134"/>
        <v>6.2976986037712059</v>
      </c>
      <c r="S298" s="1468"/>
      <c r="T298" s="1453">
        <f t="shared" si="137"/>
        <v>560.4951757356373</v>
      </c>
      <c r="U298" s="1112"/>
      <c r="V298" s="1112"/>
      <c r="W298" s="1046"/>
      <c r="X298" s="1046"/>
      <c r="Y298" s="1036"/>
      <c r="Z298" s="1036"/>
      <c r="AA298" s="1036"/>
      <c r="AB298" s="1036"/>
      <c r="AC298" s="1036"/>
      <c r="AD298" s="1036"/>
      <c r="AE298" s="1036"/>
      <c r="AF298" s="1036"/>
      <c r="AG298" s="1036"/>
      <c r="AH298" s="1036"/>
      <c r="AI298" s="1113"/>
      <c r="AJ298" s="1114"/>
      <c r="AK298" s="1115"/>
      <c r="AL298" s="1394"/>
      <c r="AM298" s="1394"/>
      <c r="AN298" s="1394"/>
      <c r="AO298" s="1394"/>
      <c r="AP298" s="1394"/>
      <c r="AQ298" s="1394"/>
      <c r="AR298" s="1394"/>
      <c r="AS298" s="1051"/>
      <c r="AT298" s="1051"/>
      <c r="AU298" s="1051"/>
      <c r="AV298" s="1051"/>
    </row>
    <row r="299" spans="1:48">
      <c r="A299" s="1450" t="s">
        <v>864</v>
      </c>
      <c r="B299" s="1431"/>
      <c r="C299" s="1437"/>
      <c r="D299" s="1431"/>
      <c r="E299" s="1437"/>
      <c r="F299" s="1431">
        <v>21</v>
      </c>
      <c r="G299" s="1431"/>
      <c r="H299" s="1454">
        <v>5.04</v>
      </c>
      <c r="I299" s="1437"/>
      <c r="J299" s="1435">
        <f t="shared" si="135"/>
        <v>105.84</v>
      </c>
      <c r="K299" s="1431"/>
      <c r="L299" s="1433">
        <f t="shared" si="133"/>
        <v>105.84</v>
      </c>
      <c r="M299" s="1431"/>
      <c r="N299" s="1435"/>
      <c r="O299" s="1434"/>
      <c r="P299" s="1435">
        <f t="shared" si="136"/>
        <v>21</v>
      </c>
      <c r="Q299" s="1431"/>
      <c r="R299" s="1452">
        <f t="shared" si="134"/>
        <v>5.5880987610927599</v>
      </c>
      <c r="S299" s="1468"/>
      <c r="T299" s="1453">
        <f t="shared" si="137"/>
        <v>117.35007398294796</v>
      </c>
      <c r="U299" s="1112"/>
      <c r="V299" s="1112"/>
      <c r="W299" s="1046"/>
      <c r="X299" s="1046"/>
      <c r="Y299" s="1036"/>
      <c r="Z299" s="1036"/>
      <c r="AA299" s="1036"/>
      <c r="AB299" s="1036"/>
      <c r="AC299" s="1036"/>
      <c r="AD299" s="1036"/>
      <c r="AE299" s="1036"/>
      <c r="AF299" s="1036"/>
      <c r="AG299" s="1036"/>
      <c r="AH299" s="1036"/>
      <c r="AI299" s="1113"/>
      <c r="AJ299" s="1114"/>
      <c r="AK299" s="1115"/>
      <c r="AL299" s="1394"/>
      <c r="AM299" s="1394"/>
      <c r="AN299" s="1394"/>
      <c r="AO299" s="1394"/>
      <c r="AP299" s="1394"/>
      <c r="AQ299" s="1394"/>
      <c r="AR299" s="1394"/>
      <c r="AS299" s="1051"/>
      <c r="AT299" s="1051"/>
      <c r="AU299" s="1051"/>
      <c r="AV299" s="1051"/>
    </row>
    <row r="300" spans="1:48">
      <c r="A300" s="1450" t="s">
        <v>876</v>
      </c>
      <c r="B300" s="1431"/>
      <c r="C300" s="1437"/>
      <c r="D300" s="1431"/>
      <c r="E300" s="1437"/>
      <c r="F300" s="1431">
        <v>0</v>
      </c>
      <c r="G300" s="1431"/>
      <c r="H300" s="1454">
        <v>4.4000000000000004</v>
      </c>
      <c r="I300" s="1437"/>
      <c r="J300" s="1435">
        <f t="shared" si="135"/>
        <v>0</v>
      </c>
      <c r="K300" s="1431"/>
      <c r="L300" s="1433">
        <f t="shared" si="133"/>
        <v>0</v>
      </c>
      <c r="M300" s="1431"/>
      <c r="N300" s="1435"/>
      <c r="O300" s="1434"/>
      <c r="P300" s="1435">
        <f t="shared" si="136"/>
        <v>0</v>
      </c>
      <c r="Q300" s="1431"/>
      <c r="R300" s="1452">
        <f t="shared" si="134"/>
        <v>4.8784989184143148</v>
      </c>
      <c r="S300" s="1468"/>
      <c r="T300" s="1453">
        <f t="shared" si="137"/>
        <v>0</v>
      </c>
      <c r="U300" s="1112"/>
      <c r="V300" s="1112"/>
      <c r="W300" s="1046"/>
      <c r="X300" s="1046"/>
      <c r="Y300" s="1036"/>
      <c r="Z300" s="1036"/>
      <c r="AA300" s="1036"/>
      <c r="AB300" s="1036"/>
      <c r="AC300" s="1036"/>
      <c r="AD300" s="1036"/>
      <c r="AE300" s="1036"/>
      <c r="AF300" s="1036"/>
      <c r="AG300" s="1036"/>
      <c r="AH300" s="1036"/>
      <c r="AI300" s="1113"/>
      <c r="AJ300" s="1114"/>
      <c r="AK300" s="1115"/>
      <c r="AL300" s="1394"/>
      <c r="AM300" s="1394"/>
      <c r="AN300" s="1394"/>
      <c r="AO300" s="1394"/>
      <c r="AP300" s="1394"/>
      <c r="AQ300" s="1394"/>
      <c r="AR300" s="1394"/>
      <c r="AS300" s="1051"/>
      <c r="AT300" s="1051"/>
      <c r="AU300" s="1051"/>
      <c r="AV300" s="1051"/>
    </row>
    <row r="301" spans="1:48" ht="12.75" thickBot="1">
      <c r="A301" s="1464" t="s">
        <v>1643</v>
      </c>
      <c r="B301" s="1456">
        <f>SUM(B294:B300)</f>
        <v>379</v>
      </c>
      <c r="C301" s="1443"/>
      <c r="D301" s="1456">
        <f>SUM(D294:D300)</f>
        <v>36.000000000000014</v>
      </c>
      <c r="E301" s="1443"/>
      <c r="F301" s="1456">
        <f>SUM(F294:F300)</f>
        <v>261</v>
      </c>
      <c r="G301" s="1396"/>
      <c r="H301" s="1398"/>
      <c r="I301" s="1397"/>
      <c r="J301" s="1444">
        <f>SUM(J294:J300)</f>
        <v>3062.3700000000008</v>
      </c>
      <c r="K301" s="1396"/>
      <c r="L301" s="1444">
        <f>SUM(L294:L300)</f>
        <v>3062.3700000000008</v>
      </c>
      <c r="M301" s="1396"/>
      <c r="N301" s="1456">
        <f>SUM(N294:N300)</f>
        <v>36.000000000000014</v>
      </c>
      <c r="O301" s="1400"/>
      <c r="P301" s="1456">
        <f>SUM(P294:P300)</f>
        <v>261</v>
      </c>
      <c r="Q301" s="1396"/>
      <c r="R301" s="1436"/>
      <c r="S301" s="1443"/>
      <c r="T301" s="1444">
        <f>SUM(T294:T300)</f>
        <v>3395.4019847237378</v>
      </c>
      <c r="U301" s="1443"/>
      <c r="V301" s="1112"/>
      <c r="W301" s="1046"/>
      <c r="X301" s="1046"/>
      <c r="Y301" s="1036"/>
      <c r="Z301" s="1036"/>
      <c r="AA301" s="1036"/>
      <c r="AB301" s="1036"/>
      <c r="AC301" s="1036"/>
      <c r="AD301" s="1036"/>
      <c r="AE301" s="1036"/>
      <c r="AF301" s="1036"/>
      <c r="AG301" s="1036"/>
      <c r="AH301" s="1036"/>
      <c r="AI301" s="1113"/>
      <c r="AJ301" s="1114"/>
      <c r="AK301" s="1115"/>
      <c r="AL301" s="1394"/>
      <c r="AM301" s="1394"/>
      <c r="AN301" s="1394"/>
      <c r="AO301" s="1394"/>
      <c r="AP301" s="1394"/>
      <c r="AQ301" s="1394"/>
      <c r="AR301" s="1394"/>
      <c r="AS301" s="1051"/>
      <c r="AT301" s="1051"/>
      <c r="AU301" s="1051"/>
      <c r="AV301" s="1051"/>
    </row>
    <row r="302" spans="1:48" ht="12.75" thickTop="1">
      <c r="A302" s="1464"/>
      <c r="B302" s="1440"/>
      <c r="C302" s="1441"/>
      <c r="D302" s="1440"/>
      <c r="E302" s="1437"/>
      <c r="F302" s="1431"/>
      <c r="G302" s="1431"/>
      <c r="H302" s="1432"/>
      <c r="I302" s="1438"/>
      <c r="J302" s="1433"/>
      <c r="K302" s="1431"/>
      <c r="L302" s="1433"/>
      <c r="M302" s="1431"/>
      <c r="N302" s="1435"/>
      <c r="O302" s="1434"/>
      <c r="P302" s="1435"/>
      <c r="Q302" s="1431"/>
      <c r="R302" s="1436"/>
      <c r="S302" s="1438"/>
      <c r="T302" s="1393"/>
      <c r="U302" s="1438"/>
      <c r="V302" s="1112"/>
      <c r="W302" s="1046"/>
      <c r="X302" s="1046"/>
      <c r="Y302" s="1036"/>
      <c r="Z302" s="1036"/>
      <c r="AA302" s="1036"/>
      <c r="AB302" s="1036"/>
      <c r="AC302" s="1036"/>
      <c r="AD302" s="1036"/>
      <c r="AE302" s="1036"/>
      <c r="AF302" s="1036"/>
      <c r="AG302" s="1036"/>
      <c r="AH302" s="1036"/>
      <c r="AI302" s="1113"/>
      <c r="AJ302" s="1114"/>
      <c r="AK302" s="1115"/>
      <c r="AL302" s="1394"/>
      <c r="AM302" s="1394"/>
      <c r="AN302" s="1394"/>
      <c r="AO302" s="1394"/>
      <c r="AP302" s="1394"/>
      <c r="AQ302" s="1394"/>
      <c r="AR302" s="1394"/>
      <c r="AS302" s="1051"/>
      <c r="AT302" s="1051"/>
      <c r="AU302" s="1051"/>
      <c r="AV302" s="1051"/>
    </row>
    <row r="303" spans="1:48" ht="12.75" thickBot="1">
      <c r="A303" s="1465" t="s">
        <v>1642</v>
      </c>
      <c r="B303" s="1440"/>
      <c r="C303" s="1441"/>
      <c r="D303" s="1440"/>
      <c r="E303" s="1437"/>
      <c r="F303" s="1431"/>
      <c r="G303" s="1431"/>
      <c r="H303" s="1432"/>
      <c r="I303" s="1438"/>
      <c r="J303" s="1433"/>
      <c r="K303" s="1431"/>
      <c r="L303" s="1446">
        <f>+L301/$D301</f>
        <v>85.065833333333316</v>
      </c>
      <c r="M303" s="1431"/>
      <c r="N303" s="1435"/>
      <c r="O303" s="1434"/>
      <c r="P303" s="1435"/>
      <c r="Q303" s="1431"/>
      <c r="R303" s="1436"/>
      <c r="S303" s="1438"/>
      <c r="T303" s="1446">
        <f>+T301/$D301</f>
        <v>94.31672179788157</v>
      </c>
      <c r="U303" s="1438">
        <f>+T303-L303</f>
        <v>9.2508884645482539</v>
      </c>
      <c r="V303" s="1438">
        <f>U303/L303</f>
        <v>0.10874975418507143</v>
      </c>
      <c r="W303" s="1046"/>
      <c r="X303" s="1046"/>
      <c r="Y303" s="1036"/>
      <c r="Z303" s="1036"/>
      <c r="AA303" s="1036"/>
      <c r="AB303" s="1036"/>
      <c r="AC303" s="1036"/>
      <c r="AD303" s="1036"/>
      <c r="AE303" s="1036"/>
      <c r="AF303" s="1036"/>
      <c r="AG303" s="1036"/>
      <c r="AH303" s="1036"/>
      <c r="AI303" s="1113"/>
      <c r="AJ303" s="1114"/>
      <c r="AK303" s="1115"/>
      <c r="AL303" s="1394"/>
      <c r="AM303" s="1394"/>
      <c r="AN303" s="1394"/>
      <c r="AO303" s="1394"/>
      <c r="AP303" s="1394"/>
      <c r="AQ303" s="1394"/>
      <c r="AR303" s="1394"/>
      <c r="AS303" s="1051"/>
      <c r="AT303" s="1051"/>
      <c r="AU303" s="1051"/>
      <c r="AV303" s="1051"/>
    </row>
    <row r="304" spans="1:48" ht="12.75" thickTop="1">
      <c r="A304" s="1407" t="s">
        <v>1641</v>
      </c>
      <c r="B304" s="1431">
        <v>211</v>
      </c>
      <c r="C304" s="1437"/>
      <c r="D304" s="1431"/>
      <c r="E304" s="1437"/>
      <c r="F304" s="1431"/>
      <c r="G304" s="1431"/>
      <c r="I304" s="1437"/>
      <c r="J304" s="1433"/>
      <c r="K304" s="1431"/>
      <c r="L304" s="1433"/>
      <c r="M304" s="1431"/>
      <c r="N304" s="1435"/>
      <c r="O304" s="1434"/>
      <c r="P304" s="1435"/>
      <c r="Q304" s="1431"/>
      <c r="R304" s="1436"/>
      <c r="S304" s="1468"/>
      <c r="T304" s="1453"/>
      <c r="U304" s="1112"/>
      <c r="V304" s="1112"/>
      <c r="W304" s="1046"/>
      <c r="X304" s="1046"/>
      <c r="Y304" s="1036"/>
      <c r="Z304" s="1036"/>
      <c r="AA304" s="1036"/>
      <c r="AB304" s="1036"/>
      <c r="AC304" s="1036"/>
      <c r="AD304" s="1036"/>
      <c r="AE304" s="1036"/>
      <c r="AF304" s="1036"/>
      <c r="AG304" s="1036"/>
      <c r="AH304" s="1036"/>
      <c r="AI304" s="1113"/>
      <c r="AJ304" s="1114"/>
      <c r="AK304" s="1115"/>
      <c r="AL304" s="1394"/>
      <c r="AM304" s="1394"/>
      <c r="AN304" s="1394"/>
      <c r="AO304" s="1394"/>
      <c r="AP304" s="1394"/>
      <c r="AQ304" s="1394"/>
      <c r="AR304" s="1394"/>
      <c r="AS304" s="1051"/>
      <c r="AT304" s="1051"/>
      <c r="AU304" s="1051"/>
      <c r="AV304" s="1051"/>
    </row>
    <row r="305" spans="1:48">
      <c r="A305" s="1450" t="s">
        <v>972</v>
      </c>
      <c r="B305" s="1431"/>
      <c r="C305" s="1437"/>
      <c r="D305" s="1431">
        <v>36.000000000000007</v>
      </c>
      <c r="E305" s="1437"/>
      <c r="F305" s="1431"/>
      <c r="G305" s="1431"/>
      <c r="H305" s="1451">
        <v>41.19</v>
      </c>
      <c r="I305" s="1437"/>
      <c r="J305" s="1433">
        <f>+D305*H305</f>
        <v>1482.8400000000001</v>
      </c>
      <c r="K305" s="1431"/>
      <c r="L305" s="1433">
        <f>+J305</f>
        <v>1482.8400000000001</v>
      </c>
      <c r="M305" s="1431"/>
      <c r="N305" s="1435">
        <f>+D305</f>
        <v>36.000000000000007</v>
      </c>
      <c r="O305" s="1434"/>
      <c r="P305" s="1435"/>
      <c r="Q305" s="1431"/>
      <c r="R305" s="1452">
        <f>+H305*(1+$W$5)</f>
        <v>45.669402374883092</v>
      </c>
      <c r="S305" s="1468"/>
      <c r="T305" s="1453">
        <f>+N305*R305</f>
        <v>1644.0984854957917</v>
      </c>
      <c r="U305" s="1112"/>
      <c r="V305" s="1112"/>
      <c r="W305" s="1046"/>
      <c r="X305" s="1046"/>
      <c r="Y305" s="1036"/>
      <c r="Z305" s="1036"/>
      <c r="AA305" s="1036"/>
      <c r="AB305" s="1036"/>
      <c r="AC305" s="1036"/>
      <c r="AD305" s="1036"/>
      <c r="AE305" s="1036"/>
      <c r="AF305" s="1036"/>
      <c r="AG305" s="1036"/>
      <c r="AH305" s="1036"/>
      <c r="AI305" s="1113"/>
      <c r="AJ305" s="1114"/>
      <c r="AK305" s="1115"/>
      <c r="AL305" s="1394"/>
      <c r="AM305" s="1394"/>
      <c r="AN305" s="1394"/>
      <c r="AO305" s="1394"/>
      <c r="AP305" s="1394"/>
      <c r="AQ305" s="1394"/>
      <c r="AR305" s="1394"/>
      <c r="AS305" s="1051"/>
      <c r="AT305" s="1051"/>
      <c r="AU305" s="1051"/>
      <c r="AV305" s="1051"/>
    </row>
    <row r="306" spans="1:48">
      <c r="A306" s="1450" t="s">
        <v>973</v>
      </c>
      <c r="B306" s="1431"/>
      <c r="C306" s="1437"/>
      <c r="D306" s="1431"/>
      <c r="E306" s="1437"/>
      <c r="F306" s="1431">
        <v>58</v>
      </c>
      <c r="G306" s="1431"/>
      <c r="H306" s="1454">
        <v>6.79</v>
      </c>
      <c r="I306" s="1437"/>
      <c r="J306" s="1435">
        <f>+F306*H306</f>
        <v>393.82</v>
      </c>
      <c r="K306" s="1431"/>
      <c r="L306" s="1433">
        <f t="shared" ref="L306:L310" si="138">+J306</f>
        <v>393.82</v>
      </c>
      <c r="M306" s="1431"/>
      <c r="N306" s="1435"/>
      <c r="O306" s="1434"/>
      <c r="P306" s="1435">
        <f>+F306</f>
        <v>58</v>
      </c>
      <c r="Q306" s="1431"/>
      <c r="R306" s="1452">
        <f t="shared" ref="R306:R310" si="139">+H306*(1+$W$5)</f>
        <v>7.5284108309166351</v>
      </c>
      <c r="S306" s="1468"/>
      <c r="T306" s="1453">
        <f>+P306*R306</f>
        <v>436.64782819316486</v>
      </c>
      <c r="U306" s="1112"/>
      <c r="V306" s="1112"/>
      <c r="W306" s="1046"/>
      <c r="X306" s="1046"/>
      <c r="Y306" s="1036"/>
      <c r="Z306" s="1036"/>
      <c r="AA306" s="1036"/>
      <c r="AB306" s="1036"/>
      <c r="AC306" s="1036"/>
      <c r="AD306" s="1036"/>
      <c r="AE306" s="1036"/>
      <c r="AF306" s="1036"/>
      <c r="AG306" s="1036"/>
      <c r="AH306" s="1036"/>
      <c r="AI306" s="1113"/>
      <c r="AJ306" s="1114"/>
      <c r="AK306" s="1115"/>
      <c r="AL306" s="1394"/>
      <c r="AM306" s="1394"/>
      <c r="AN306" s="1394"/>
      <c r="AO306" s="1394"/>
      <c r="AP306" s="1394"/>
      <c r="AQ306" s="1394"/>
      <c r="AR306" s="1394"/>
      <c r="AS306" s="1051"/>
      <c r="AT306" s="1051"/>
      <c r="AU306" s="1051"/>
      <c r="AV306" s="1051"/>
    </row>
    <row r="307" spans="1:48">
      <c r="A307" s="1450" t="s">
        <v>862</v>
      </c>
      <c r="B307" s="1431"/>
      <c r="C307" s="1437"/>
      <c r="D307" s="1431"/>
      <c r="E307" s="1437"/>
      <c r="F307" s="1431">
        <v>41.999999999999993</v>
      </c>
      <c r="G307" s="1431"/>
      <c r="H307" s="1454">
        <v>6.23</v>
      </c>
      <c r="I307" s="1437"/>
      <c r="J307" s="1435">
        <f t="shared" ref="J307:J310" si="140">+F307*H307</f>
        <v>261.65999999999997</v>
      </c>
      <c r="K307" s="1431"/>
      <c r="L307" s="1433">
        <f t="shared" si="138"/>
        <v>261.65999999999997</v>
      </c>
      <c r="M307" s="1431"/>
      <c r="N307" s="1435"/>
      <c r="O307" s="1434"/>
      <c r="P307" s="1435">
        <f t="shared" ref="P307:P310" si="141">+F307</f>
        <v>41.999999999999993</v>
      </c>
      <c r="Q307" s="1431"/>
      <c r="R307" s="1452">
        <f t="shared" si="139"/>
        <v>6.9075109685729963</v>
      </c>
      <c r="S307" s="1468"/>
      <c r="T307" s="1453">
        <f t="shared" ref="T307:T310" si="142">+P307*R307</f>
        <v>290.11546068006578</v>
      </c>
      <c r="U307" s="1112"/>
      <c r="V307" s="1112"/>
      <c r="W307" s="1046"/>
      <c r="X307" s="1046"/>
      <c r="Y307" s="1036"/>
      <c r="Z307" s="1036"/>
      <c r="AA307" s="1036"/>
      <c r="AB307" s="1036"/>
      <c r="AC307" s="1036"/>
      <c r="AD307" s="1036"/>
      <c r="AE307" s="1036"/>
      <c r="AF307" s="1036"/>
      <c r="AG307" s="1036"/>
      <c r="AH307" s="1036"/>
      <c r="AI307" s="1113"/>
      <c r="AJ307" s="1114"/>
      <c r="AK307" s="1115"/>
      <c r="AL307" s="1394"/>
      <c r="AM307" s="1394"/>
      <c r="AN307" s="1394"/>
      <c r="AO307" s="1394"/>
      <c r="AP307" s="1394"/>
      <c r="AQ307" s="1394"/>
      <c r="AR307" s="1394"/>
      <c r="AS307" s="1051"/>
      <c r="AT307" s="1051"/>
      <c r="AU307" s="1051"/>
      <c r="AV307" s="1051"/>
    </row>
    <row r="308" spans="1:48">
      <c r="A308" s="1450" t="s">
        <v>863</v>
      </c>
      <c r="B308" s="1431"/>
      <c r="C308" s="1437"/>
      <c r="D308" s="1431"/>
      <c r="E308" s="1437"/>
      <c r="F308" s="1431">
        <v>0</v>
      </c>
      <c r="G308" s="1431"/>
      <c r="H308" s="1454">
        <v>5.68</v>
      </c>
      <c r="I308" s="1437"/>
      <c r="J308" s="1435">
        <f t="shared" si="140"/>
        <v>0</v>
      </c>
      <c r="K308" s="1431"/>
      <c r="L308" s="1433">
        <f t="shared" si="138"/>
        <v>0</v>
      </c>
      <c r="M308" s="1431"/>
      <c r="N308" s="1435"/>
      <c r="O308" s="1434"/>
      <c r="P308" s="1435">
        <f t="shared" si="141"/>
        <v>0</v>
      </c>
      <c r="Q308" s="1431"/>
      <c r="R308" s="1452">
        <f t="shared" si="139"/>
        <v>6.2976986037712059</v>
      </c>
      <c r="S308" s="1468"/>
      <c r="T308" s="1453">
        <f t="shared" si="142"/>
        <v>0</v>
      </c>
      <c r="U308" s="1112"/>
      <c r="V308" s="1112"/>
      <c r="W308" s="1046"/>
      <c r="X308" s="1046"/>
      <c r="Y308" s="1036"/>
      <c r="Z308" s="1036"/>
      <c r="AA308" s="1036"/>
      <c r="AB308" s="1036"/>
      <c r="AC308" s="1036"/>
      <c r="AD308" s="1036"/>
      <c r="AE308" s="1036"/>
      <c r="AF308" s="1036"/>
      <c r="AG308" s="1036"/>
      <c r="AH308" s="1036"/>
      <c r="AI308" s="1113"/>
      <c r="AJ308" s="1114"/>
      <c r="AK308" s="1115"/>
      <c r="AL308" s="1394"/>
      <c r="AM308" s="1394"/>
      <c r="AN308" s="1394"/>
      <c r="AO308" s="1394"/>
      <c r="AP308" s="1394"/>
      <c r="AQ308" s="1394"/>
      <c r="AR308" s="1394"/>
      <c r="AS308" s="1051"/>
      <c r="AT308" s="1051"/>
      <c r="AU308" s="1051"/>
      <c r="AV308" s="1051"/>
    </row>
    <row r="309" spans="1:48">
      <c r="A309" s="1450" t="s">
        <v>864</v>
      </c>
      <c r="B309" s="1431"/>
      <c r="C309" s="1437"/>
      <c r="D309" s="1431"/>
      <c r="E309" s="1437"/>
      <c r="F309" s="1431">
        <v>0</v>
      </c>
      <c r="G309" s="1431"/>
      <c r="H309" s="1454">
        <v>5.04</v>
      </c>
      <c r="I309" s="1437"/>
      <c r="J309" s="1435">
        <f t="shared" si="140"/>
        <v>0</v>
      </c>
      <c r="K309" s="1431"/>
      <c r="L309" s="1433">
        <f t="shared" si="138"/>
        <v>0</v>
      </c>
      <c r="M309" s="1431"/>
      <c r="N309" s="1435"/>
      <c r="O309" s="1434"/>
      <c r="P309" s="1435">
        <f t="shared" si="141"/>
        <v>0</v>
      </c>
      <c r="Q309" s="1431"/>
      <c r="R309" s="1452">
        <f t="shared" si="139"/>
        <v>5.5880987610927599</v>
      </c>
      <c r="S309" s="1468"/>
      <c r="T309" s="1453">
        <f t="shared" si="142"/>
        <v>0</v>
      </c>
      <c r="U309" s="1112"/>
      <c r="V309" s="1112"/>
      <c r="W309" s="1046"/>
      <c r="X309" s="1046"/>
      <c r="Y309" s="1036"/>
      <c r="Z309" s="1036"/>
      <c r="AA309" s="1036"/>
      <c r="AB309" s="1036"/>
      <c r="AC309" s="1036"/>
      <c r="AD309" s="1036"/>
      <c r="AE309" s="1036"/>
      <c r="AF309" s="1036"/>
      <c r="AG309" s="1036"/>
      <c r="AH309" s="1036"/>
      <c r="AI309" s="1113"/>
      <c r="AJ309" s="1114"/>
      <c r="AK309" s="1115"/>
      <c r="AL309" s="1394"/>
      <c r="AM309" s="1394"/>
      <c r="AN309" s="1394"/>
      <c r="AO309" s="1394"/>
      <c r="AP309" s="1394"/>
      <c r="AQ309" s="1394"/>
      <c r="AR309" s="1394"/>
      <c r="AS309" s="1051"/>
      <c r="AT309" s="1051"/>
      <c r="AU309" s="1051"/>
      <c r="AV309" s="1051"/>
    </row>
    <row r="310" spans="1:48">
      <c r="A310" s="1450" t="s">
        <v>876</v>
      </c>
      <c r="B310" s="1431"/>
      <c r="C310" s="1437"/>
      <c r="D310" s="1431"/>
      <c r="E310" s="1437"/>
      <c r="F310" s="1431">
        <v>0</v>
      </c>
      <c r="G310" s="1431"/>
      <c r="H310" s="1454">
        <v>4.4000000000000004</v>
      </c>
      <c r="I310" s="1437"/>
      <c r="J310" s="1435">
        <f t="shared" si="140"/>
        <v>0</v>
      </c>
      <c r="K310" s="1431"/>
      <c r="L310" s="1433">
        <f t="shared" si="138"/>
        <v>0</v>
      </c>
      <c r="M310" s="1431"/>
      <c r="N310" s="1435"/>
      <c r="O310" s="1434"/>
      <c r="P310" s="1435">
        <f t="shared" si="141"/>
        <v>0</v>
      </c>
      <c r="Q310" s="1431"/>
      <c r="R310" s="1452">
        <f t="shared" si="139"/>
        <v>4.8784989184143148</v>
      </c>
      <c r="S310" s="1468"/>
      <c r="T310" s="1453">
        <f t="shared" si="142"/>
        <v>0</v>
      </c>
      <c r="U310" s="1112"/>
      <c r="V310" s="1112"/>
      <c r="W310" s="1046"/>
      <c r="X310" s="1046"/>
      <c r="Y310" s="1036"/>
      <c r="Z310" s="1036"/>
      <c r="AA310" s="1036"/>
      <c r="AB310" s="1036"/>
      <c r="AC310" s="1036"/>
      <c r="AD310" s="1036"/>
      <c r="AE310" s="1036"/>
      <c r="AF310" s="1036"/>
      <c r="AG310" s="1036"/>
      <c r="AH310" s="1036"/>
      <c r="AI310" s="1113"/>
      <c r="AJ310" s="1114"/>
      <c r="AK310" s="1115"/>
      <c r="AL310" s="1394"/>
      <c r="AM310" s="1394"/>
      <c r="AN310" s="1394"/>
      <c r="AO310" s="1394"/>
      <c r="AP310" s="1394"/>
      <c r="AQ310" s="1394"/>
      <c r="AR310" s="1394"/>
      <c r="AS310" s="1051"/>
      <c r="AT310" s="1051"/>
      <c r="AU310" s="1051"/>
      <c r="AV310" s="1051"/>
    </row>
    <row r="311" spans="1:48" ht="12.75" thickBot="1">
      <c r="A311" s="1464" t="s">
        <v>1640</v>
      </c>
      <c r="B311" s="1456">
        <f>SUM(B304:B310)</f>
        <v>211</v>
      </c>
      <c r="C311" s="1443"/>
      <c r="D311" s="1456">
        <f>SUM(D304:D310)</f>
        <v>36.000000000000007</v>
      </c>
      <c r="E311" s="1443"/>
      <c r="F311" s="1456">
        <f>SUM(F304:F310)</f>
        <v>100</v>
      </c>
      <c r="G311" s="1396"/>
      <c r="H311" s="1398"/>
      <c r="I311" s="1397"/>
      <c r="J311" s="1444">
        <f>SUM(J304:J310)</f>
        <v>2138.3200000000002</v>
      </c>
      <c r="K311" s="1396"/>
      <c r="L311" s="1444">
        <f>SUM(L304:L310)</f>
        <v>2138.3200000000002</v>
      </c>
      <c r="M311" s="1396"/>
      <c r="N311" s="1456">
        <f>SUM(N304:N310)</f>
        <v>36.000000000000007</v>
      </c>
      <c r="O311" s="1400"/>
      <c r="P311" s="1456">
        <f>SUM(P304:P310)</f>
        <v>100</v>
      </c>
      <c r="Q311" s="1396"/>
      <c r="R311" s="1436"/>
      <c r="S311" s="1443"/>
      <c r="T311" s="1444">
        <f>SUM(T304:T310)</f>
        <v>2370.861774369022</v>
      </c>
      <c r="U311" s="1443"/>
      <c r="V311" s="1112"/>
      <c r="W311" s="1046"/>
      <c r="X311" s="1046"/>
      <c r="Y311" s="1036"/>
      <c r="Z311" s="1036"/>
      <c r="AA311" s="1036"/>
      <c r="AB311" s="1036"/>
      <c r="AC311" s="1036"/>
      <c r="AD311" s="1036"/>
      <c r="AE311" s="1036"/>
      <c r="AF311" s="1036"/>
      <c r="AG311" s="1036"/>
      <c r="AH311" s="1036"/>
      <c r="AI311" s="1113"/>
      <c r="AJ311" s="1114"/>
      <c r="AK311" s="1115"/>
      <c r="AL311" s="1394"/>
      <c r="AM311" s="1394"/>
      <c r="AN311" s="1394"/>
      <c r="AO311" s="1394"/>
      <c r="AP311" s="1394"/>
      <c r="AQ311" s="1394"/>
      <c r="AR311" s="1394"/>
      <c r="AS311" s="1051"/>
      <c r="AT311" s="1051"/>
      <c r="AU311" s="1051"/>
      <c r="AV311" s="1051"/>
    </row>
    <row r="312" spans="1:48" ht="12.75" thickTop="1">
      <c r="A312" s="1464"/>
      <c r="B312" s="1440"/>
      <c r="C312" s="1441"/>
      <c r="D312" s="1440"/>
      <c r="E312" s="1437"/>
      <c r="F312" s="1431"/>
      <c r="G312" s="1431"/>
      <c r="H312" s="1432"/>
      <c r="I312" s="1438"/>
      <c r="J312" s="1433"/>
      <c r="K312" s="1431"/>
      <c r="L312" s="1433"/>
      <c r="M312" s="1431"/>
      <c r="N312" s="1435"/>
      <c r="O312" s="1434"/>
      <c r="P312" s="1435"/>
      <c r="Q312" s="1431"/>
      <c r="R312" s="1436"/>
      <c r="S312" s="1438"/>
      <c r="T312" s="1393"/>
      <c r="U312" s="1438"/>
      <c r="V312" s="1112"/>
      <c r="W312" s="1046"/>
      <c r="X312" s="1046"/>
      <c r="Y312" s="1036"/>
      <c r="Z312" s="1036"/>
      <c r="AA312" s="1036"/>
      <c r="AB312" s="1036"/>
      <c r="AC312" s="1036"/>
      <c r="AD312" s="1036"/>
      <c r="AE312" s="1036"/>
      <c r="AF312" s="1036"/>
      <c r="AG312" s="1036"/>
      <c r="AH312" s="1036"/>
      <c r="AI312" s="1113"/>
      <c r="AJ312" s="1114"/>
      <c r="AK312" s="1115"/>
      <c r="AL312" s="1394"/>
      <c r="AM312" s="1394"/>
      <c r="AN312" s="1394"/>
      <c r="AO312" s="1394"/>
      <c r="AP312" s="1394"/>
      <c r="AQ312" s="1394"/>
      <c r="AR312" s="1394"/>
      <c r="AS312" s="1051"/>
      <c r="AT312" s="1051"/>
      <c r="AU312" s="1051"/>
      <c r="AV312" s="1051"/>
    </row>
    <row r="313" spans="1:48" ht="12.75" thickBot="1">
      <c r="A313" s="1465" t="s">
        <v>1639</v>
      </c>
      <c r="B313" s="1440"/>
      <c r="C313" s="1441"/>
      <c r="D313" s="1440"/>
      <c r="E313" s="1437"/>
      <c r="F313" s="1431"/>
      <c r="G313" s="1431"/>
      <c r="H313" s="1432"/>
      <c r="I313" s="1438"/>
      <c r="J313" s="1433"/>
      <c r="K313" s="1431"/>
      <c r="L313" s="1446">
        <f>+L311/$D311</f>
        <v>59.397777777777769</v>
      </c>
      <c r="M313" s="1431"/>
      <c r="N313" s="1435"/>
      <c r="O313" s="1434"/>
      <c r="P313" s="1435"/>
      <c r="Q313" s="1431"/>
      <c r="R313" s="1436"/>
      <c r="S313" s="1438"/>
      <c r="T313" s="1446">
        <f>+T311/$D311</f>
        <v>65.857271510250598</v>
      </c>
      <c r="U313" s="1438">
        <f>+T313-L313</f>
        <v>6.4594937324728292</v>
      </c>
      <c r="V313" s="1438">
        <f>U313/L313</f>
        <v>0.10874975418507141</v>
      </c>
      <c r="W313" s="1046"/>
      <c r="X313" s="1046"/>
      <c r="Y313" s="1036"/>
      <c r="Z313" s="1036"/>
      <c r="AA313" s="1036"/>
      <c r="AB313" s="1036"/>
      <c r="AC313" s="1036"/>
      <c r="AD313" s="1036"/>
      <c r="AE313" s="1036"/>
      <c r="AF313" s="1036"/>
      <c r="AG313" s="1036"/>
      <c r="AH313" s="1036"/>
      <c r="AI313" s="1113"/>
      <c r="AJ313" s="1114"/>
      <c r="AK313" s="1115"/>
      <c r="AL313" s="1394"/>
      <c r="AM313" s="1394"/>
      <c r="AN313" s="1394"/>
      <c r="AO313" s="1394"/>
      <c r="AP313" s="1394"/>
      <c r="AQ313" s="1394"/>
      <c r="AR313" s="1394"/>
      <c r="AS313" s="1051"/>
      <c r="AT313" s="1051"/>
      <c r="AU313" s="1051"/>
      <c r="AV313" s="1051"/>
    </row>
    <row r="314" spans="1:48" ht="12.75" thickTop="1">
      <c r="A314" s="1407" t="s">
        <v>1638</v>
      </c>
      <c r="B314" s="1431">
        <v>199</v>
      </c>
      <c r="C314" s="1437"/>
      <c r="D314" s="1431"/>
      <c r="E314" s="1437"/>
      <c r="F314" s="1431"/>
      <c r="G314" s="1431"/>
      <c r="H314" s="1432"/>
      <c r="I314" s="1437"/>
      <c r="J314" s="1433"/>
      <c r="K314" s="1431"/>
      <c r="L314" s="1433"/>
      <c r="M314" s="1431"/>
      <c r="N314" s="1435"/>
      <c r="O314" s="1434"/>
      <c r="P314" s="1435"/>
      <c r="Q314" s="1431"/>
      <c r="R314" s="1436"/>
      <c r="S314" s="1468"/>
      <c r="T314" s="1453"/>
      <c r="U314" s="1112"/>
      <c r="V314" s="1112"/>
      <c r="W314" s="1046"/>
      <c r="X314" s="1046"/>
      <c r="Y314" s="1036"/>
      <c r="Z314" s="1036"/>
      <c r="AA314" s="1036"/>
      <c r="AB314" s="1036"/>
      <c r="AC314" s="1036"/>
      <c r="AD314" s="1036"/>
      <c r="AE314" s="1036"/>
      <c r="AF314" s="1036"/>
      <c r="AG314" s="1036"/>
      <c r="AH314" s="1036"/>
      <c r="AI314" s="1113"/>
      <c r="AJ314" s="1114"/>
      <c r="AK314" s="1115"/>
      <c r="AL314" s="1394"/>
      <c r="AM314" s="1394"/>
      <c r="AN314" s="1394"/>
      <c r="AO314" s="1394"/>
      <c r="AP314" s="1394"/>
      <c r="AQ314" s="1394"/>
      <c r="AR314" s="1394"/>
      <c r="AS314" s="1051"/>
      <c r="AT314" s="1051"/>
      <c r="AU314" s="1051"/>
      <c r="AV314" s="1051"/>
    </row>
    <row r="315" spans="1:48">
      <c r="A315" s="1450" t="s">
        <v>975</v>
      </c>
      <c r="B315" s="1431"/>
      <c r="C315" s="1437"/>
      <c r="D315" s="1431">
        <v>24</v>
      </c>
      <c r="E315" s="1437"/>
      <c r="F315" s="1431"/>
      <c r="G315" s="1431"/>
      <c r="H315" s="1451">
        <v>80.59</v>
      </c>
      <c r="I315" s="1437"/>
      <c r="J315" s="1433">
        <f>+D315*H315</f>
        <v>1934.16</v>
      </c>
      <c r="K315" s="1431"/>
      <c r="L315" s="1433">
        <f>+J315</f>
        <v>1934.16</v>
      </c>
      <c r="M315" s="1431"/>
      <c r="N315" s="1435">
        <f>+D315</f>
        <v>24</v>
      </c>
      <c r="O315" s="1434"/>
      <c r="P315" s="1435"/>
      <c r="Q315" s="1431"/>
      <c r="R315" s="1452">
        <f>+H315*(1+$W$5)</f>
        <v>89.354142689774918</v>
      </c>
      <c r="S315" s="1468"/>
      <c r="T315" s="1453">
        <f>+N315*R315</f>
        <v>2144.4994245545981</v>
      </c>
      <c r="U315" s="1112"/>
      <c r="V315" s="1112"/>
      <c r="W315" s="1046"/>
      <c r="X315" s="1046"/>
      <c r="Y315" s="1036"/>
      <c r="Z315" s="1036"/>
      <c r="AA315" s="1036"/>
      <c r="AB315" s="1036"/>
      <c r="AC315" s="1036"/>
      <c r="AD315" s="1036"/>
      <c r="AE315" s="1036"/>
      <c r="AF315" s="1036"/>
      <c r="AG315" s="1036"/>
      <c r="AH315" s="1036"/>
      <c r="AI315" s="1113"/>
      <c r="AJ315" s="1114"/>
      <c r="AK315" s="1115"/>
      <c r="AL315" s="1394"/>
      <c r="AM315" s="1394"/>
      <c r="AN315" s="1394"/>
      <c r="AO315" s="1394"/>
      <c r="AP315" s="1394"/>
      <c r="AQ315" s="1394"/>
      <c r="AR315" s="1394"/>
      <c r="AS315" s="1051"/>
      <c r="AT315" s="1051"/>
      <c r="AU315" s="1051"/>
      <c r="AV315" s="1051"/>
    </row>
    <row r="316" spans="1:48">
      <c r="A316" s="1450" t="s">
        <v>976</v>
      </c>
      <c r="B316" s="1431"/>
      <c r="C316" s="1437"/>
      <c r="D316" s="1431"/>
      <c r="E316" s="1437"/>
      <c r="F316" s="1431">
        <v>36</v>
      </c>
      <c r="G316" s="1431"/>
      <c r="H316" s="1454">
        <v>6.23</v>
      </c>
      <c r="I316" s="1437"/>
      <c r="J316" s="1435">
        <f>+F316*H316</f>
        <v>224.28000000000003</v>
      </c>
      <c r="K316" s="1431"/>
      <c r="L316" s="1433">
        <f t="shared" ref="L316:L319" si="143">+J316</f>
        <v>224.28000000000003</v>
      </c>
      <c r="M316" s="1431"/>
      <c r="N316" s="1435"/>
      <c r="O316" s="1434"/>
      <c r="P316" s="1435">
        <f>+F316</f>
        <v>36</v>
      </c>
      <c r="Q316" s="1431"/>
      <c r="R316" s="1452">
        <f t="shared" ref="R316:R319" si="144">+H316*(1+$W$5)</f>
        <v>6.9075109685729963</v>
      </c>
      <c r="S316" s="1468"/>
      <c r="T316" s="1453">
        <f>+P316*R316</f>
        <v>248.67039486862785</v>
      </c>
      <c r="U316" s="1112"/>
      <c r="V316" s="1112"/>
      <c r="W316" s="1046"/>
      <c r="X316" s="1046"/>
      <c r="Y316" s="1036"/>
      <c r="Z316" s="1036"/>
      <c r="AA316" s="1036"/>
      <c r="AB316" s="1036"/>
      <c r="AC316" s="1036"/>
      <c r="AD316" s="1036"/>
      <c r="AE316" s="1036"/>
      <c r="AF316" s="1036"/>
      <c r="AG316" s="1036"/>
      <c r="AH316" s="1036"/>
      <c r="AI316" s="1113"/>
      <c r="AJ316" s="1114"/>
      <c r="AK316" s="1115"/>
      <c r="AL316" s="1394"/>
      <c r="AM316" s="1394"/>
      <c r="AN316" s="1394"/>
      <c r="AO316" s="1394"/>
      <c r="AP316" s="1394"/>
      <c r="AQ316" s="1394"/>
      <c r="AR316" s="1394"/>
      <c r="AS316" s="1051"/>
      <c r="AT316" s="1051"/>
      <c r="AU316" s="1051"/>
      <c r="AV316" s="1051"/>
    </row>
    <row r="317" spans="1:48">
      <c r="A317" s="1450" t="s">
        <v>863</v>
      </c>
      <c r="B317" s="1431"/>
      <c r="C317" s="1437"/>
      <c r="D317" s="1431"/>
      <c r="E317" s="1437"/>
      <c r="F317" s="1431">
        <v>25</v>
      </c>
      <c r="G317" s="1431"/>
      <c r="H317" s="1454">
        <v>5.68</v>
      </c>
      <c r="I317" s="1437"/>
      <c r="J317" s="1435">
        <f t="shared" ref="J317:J319" si="145">+F317*H317</f>
        <v>142</v>
      </c>
      <c r="K317" s="1431"/>
      <c r="L317" s="1433">
        <f t="shared" si="143"/>
        <v>142</v>
      </c>
      <c r="M317" s="1431"/>
      <c r="N317" s="1435"/>
      <c r="O317" s="1434"/>
      <c r="P317" s="1435">
        <f t="shared" ref="P317:P319" si="146">+F317</f>
        <v>25</v>
      </c>
      <c r="Q317" s="1431"/>
      <c r="R317" s="1452">
        <f t="shared" si="144"/>
        <v>6.2976986037712059</v>
      </c>
      <c r="S317" s="1468"/>
      <c r="T317" s="1453">
        <f t="shared" ref="T317:T319" si="147">+P317*R317</f>
        <v>157.44246509428015</v>
      </c>
      <c r="U317" s="1112"/>
      <c r="V317" s="1112"/>
      <c r="W317" s="1046"/>
      <c r="X317" s="1046"/>
      <c r="Y317" s="1036"/>
      <c r="Z317" s="1036"/>
      <c r="AA317" s="1036"/>
      <c r="AB317" s="1036"/>
      <c r="AC317" s="1036"/>
      <c r="AD317" s="1036"/>
      <c r="AE317" s="1036"/>
      <c r="AF317" s="1036"/>
      <c r="AG317" s="1036"/>
      <c r="AH317" s="1036"/>
      <c r="AI317" s="1113"/>
      <c r="AJ317" s="1114"/>
      <c r="AK317" s="1115"/>
      <c r="AL317" s="1394"/>
      <c r="AM317" s="1394"/>
      <c r="AN317" s="1394"/>
      <c r="AO317" s="1394"/>
      <c r="AP317" s="1394"/>
      <c r="AQ317" s="1394"/>
      <c r="AR317" s="1394"/>
      <c r="AS317" s="1051"/>
      <c r="AT317" s="1051"/>
      <c r="AU317" s="1051"/>
      <c r="AV317" s="1051"/>
    </row>
    <row r="318" spans="1:48">
      <c r="A318" s="1450" t="s">
        <v>864</v>
      </c>
      <c r="B318" s="1431"/>
      <c r="C318" s="1437"/>
      <c r="D318" s="1431"/>
      <c r="E318" s="1437"/>
      <c r="F318" s="1431">
        <v>6</v>
      </c>
      <c r="G318" s="1431"/>
      <c r="H318" s="1454">
        <v>5.04</v>
      </c>
      <c r="I318" s="1437"/>
      <c r="J318" s="1435">
        <f t="shared" si="145"/>
        <v>30.240000000000002</v>
      </c>
      <c r="K318" s="1431"/>
      <c r="L318" s="1433">
        <f t="shared" si="143"/>
        <v>30.240000000000002</v>
      </c>
      <c r="M318" s="1431"/>
      <c r="N318" s="1435"/>
      <c r="O318" s="1434"/>
      <c r="P318" s="1435">
        <f t="shared" si="146"/>
        <v>6</v>
      </c>
      <c r="Q318" s="1431"/>
      <c r="R318" s="1452">
        <f t="shared" si="144"/>
        <v>5.5880987610927599</v>
      </c>
      <c r="S318" s="1468"/>
      <c r="T318" s="1453">
        <f t="shared" si="147"/>
        <v>33.528592566556561</v>
      </c>
      <c r="U318" s="1112"/>
      <c r="V318" s="1112"/>
      <c r="W318" s="1046"/>
      <c r="X318" s="1046"/>
      <c r="Y318" s="1036"/>
      <c r="Z318" s="1036"/>
      <c r="AA318" s="1036"/>
      <c r="AB318" s="1036"/>
      <c r="AC318" s="1036"/>
      <c r="AD318" s="1036"/>
      <c r="AE318" s="1036"/>
      <c r="AF318" s="1036"/>
      <c r="AG318" s="1036"/>
      <c r="AH318" s="1036"/>
      <c r="AI318" s="1113"/>
      <c r="AJ318" s="1114"/>
      <c r="AK318" s="1115"/>
      <c r="AL318" s="1394"/>
      <c r="AM318" s="1394"/>
      <c r="AN318" s="1394"/>
      <c r="AO318" s="1394"/>
      <c r="AP318" s="1394"/>
      <c r="AQ318" s="1394"/>
      <c r="AR318" s="1394"/>
      <c r="AS318" s="1051"/>
      <c r="AT318" s="1051"/>
      <c r="AU318" s="1051"/>
      <c r="AV318" s="1051"/>
    </row>
    <row r="319" spans="1:48">
      <c r="A319" s="1450" t="s">
        <v>876</v>
      </c>
      <c r="B319" s="1431"/>
      <c r="C319" s="1437"/>
      <c r="D319" s="1431"/>
      <c r="E319" s="1437"/>
      <c r="F319" s="1431">
        <v>0</v>
      </c>
      <c r="G319" s="1431"/>
      <c r="H319" s="1454">
        <v>4.4000000000000004</v>
      </c>
      <c r="I319" s="1437"/>
      <c r="J319" s="1435">
        <f t="shared" si="145"/>
        <v>0</v>
      </c>
      <c r="K319" s="1431"/>
      <c r="L319" s="1433">
        <f t="shared" si="143"/>
        <v>0</v>
      </c>
      <c r="M319" s="1431"/>
      <c r="N319" s="1435"/>
      <c r="O319" s="1434"/>
      <c r="P319" s="1435">
        <f t="shared" si="146"/>
        <v>0</v>
      </c>
      <c r="Q319" s="1431"/>
      <c r="R319" s="1452">
        <f t="shared" si="144"/>
        <v>4.8784989184143148</v>
      </c>
      <c r="S319" s="1468"/>
      <c r="T319" s="1453">
        <f t="shared" si="147"/>
        <v>0</v>
      </c>
      <c r="U319" s="1112"/>
      <c r="V319" s="1112"/>
      <c r="W319" s="1046"/>
      <c r="X319" s="1046"/>
      <c r="Y319" s="1036"/>
      <c r="Z319" s="1036"/>
      <c r="AA319" s="1036"/>
      <c r="AB319" s="1036"/>
      <c r="AC319" s="1036"/>
      <c r="AD319" s="1036"/>
      <c r="AE319" s="1036"/>
      <c r="AF319" s="1036"/>
      <c r="AG319" s="1036"/>
      <c r="AH319" s="1036"/>
      <c r="AI319" s="1113"/>
      <c r="AJ319" s="1114"/>
      <c r="AK319" s="1115"/>
      <c r="AL319" s="1394"/>
      <c r="AM319" s="1394"/>
      <c r="AN319" s="1394"/>
      <c r="AO319" s="1394"/>
      <c r="AP319" s="1394"/>
      <c r="AQ319" s="1394"/>
      <c r="AR319" s="1394"/>
      <c r="AS319" s="1051"/>
      <c r="AT319" s="1051"/>
      <c r="AU319" s="1051"/>
      <c r="AV319" s="1051"/>
    </row>
    <row r="320" spans="1:48" s="1412" customFormat="1" ht="12.75" thickBot="1">
      <c r="A320" s="1464" t="s">
        <v>1637</v>
      </c>
      <c r="B320" s="1456">
        <f>SUM(B313:B319)</f>
        <v>199</v>
      </c>
      <c r="C320" s="1443"/>
      <c r="D320" s="1456">
        <f>SUM(D313:D319)</f>
        <v>24</v>
      </c>
      <c r="E320" s="1443"/>
      <c r="F320" s="1456">
        <f>SUM(F313:F319)</f>
        <v>67</v>
      </c>
      <c r="G320" s="1396"/>
      <c r="H320" s="1398"/>
      <c r="I320" s="1397"/>
      <c r="J320" s="1444">
        <f>SUM(J313:J319)</f>
        <v>2330.6799999999998</v>
      </c>
      <c r="K320" s="1396"/>
      <c r="L320" s="1444">
        <f>SUM(L313:L319)</f>
        <v>2390.0777777777776</v>
      </c>
      <c r="M320" s="1396"/>
      <c r="N320" s="1456">
        <f>SUM(N313:N319)</f>
        <v>24</v>
      </c>
      <c r="O320" s="1400"/>
      <c r="P320" s="1456">
        <f>SUM(P313:P319)</f>
        <v>67</v>
      </c>
      <c r="Q320" s="1396"/>
      <c r="R320" s="1436"/>
      <c r="S320" s="1443"/>
      <c r="T320" s="1444">
        <f>SUM(T313:T319)</f>
        <v>2649.9981485943131</v>
      </c>
      <c r="U320" s="1443"/>
      <c r="V320" s="1086"/>
      <c r="W320" s="1050"/>
      <c r="X320" s="1050"/>
      <c r="Y320" s="1047"/>
      <c r="Z320" s="1047"/>
      <c r="AA320" s="1047"/>
      <c r="AB320" s="1047"/>
      <c r="AC320" s="1047"/>
      <c r="AD320" s="1047"/>
      <c r="AE320" s="1047"/>
      <c r="AF320" s="1047"/>
      <c r="AG320" s="1047"/>
      <c r="AH320" s="1047"/>
      <c r="AI320" s="1116"/>
      <c r="AJ320" s="1117"/>
      <c r="AK320" s="1118"/>
      <c r="AL320" s="1087"/>
      <c r="AM320" s="1087"/>
      <c r="AN320" s="1087"/>
      <c r="AO320" s="1087"/>
      <c r="AP320" s="1087"/>
      <c r="AQ320" s="1087"/>
      <c r="AR320" s="1087"/>
      <c r="AS320" s="1097"/>
      <c r="AT320" s="1097"/>
      <c r="AU320" s="1097"/>
      <c r="AV320" s="1097"/>
    </row>
    <row r="321" spans="1:48" s="1412" customFormat="1" ht="12.75" thickTop="1">
      <c r="A321" s="1464"/>
      <c r="B321" s="1440"/>
      <c r="C321" s="1441"/>
      <c r="D321" s="1440"/>
      <c r="E321" s="1437"/>
      <c r="F321" s="1431"/>
      <c r="G321" s="1431"/>
      <c r="H321" s="1432"/>
      <c r="I321" s="1438"/>
      <c r="J321" s="1433"/>
      <c r="K321" s="1431"/>
      <c r="L321" s="1433"/>
      <c r="M321" s="1431"/>
      <c r="N321" s="1435"/>
      <c r="O321" s="1434"/>
      <c r="P321" s="1435"/>
      <c r="Q321" s="1431"/>
      <c r="R321" s="1436"/>
      <c r="S321" s="1438"/>
      <c r="T321" s="1393"/>
      <c r="U321" s="1438"/>
      <c r="V321" s="1086"/>
      <c r="W321" s="1050"/>
      <c r="X321" s="1050"/>
      <c r="Y321" s="1047"/>
      <c r="Z321" s="1047"/>
      <c r="AA321" s="1047"/>
      <c r="AB321" s="1047"/>
      <c r="AC321" s="1047"/>
      <c r="AD321" s="1047"/>
      <c r="AE321" s="1047"/>
      <c r="AF321" s="1047"/>
      <c r="AG321" s="1047"/>
      <c r="AH321" s="1047"/>
      <c r="AI321" s="1116"/>
      <c r="AJ321" s="1117"/>
      <c r="AK321" s="1118"/>
      <c r="AL321" s="1087"/>
      <c r="AM321" s="1087"/>
      <c r="AN321" s="1087"/>
      <c r="AO321" s="1087"/>
      <c r="AP321" s="1087"/>
      <c r="AQ321" s="1087"/>
      <c r="AR321" s="1087"/>
      <c r="AS321" s="1097"/>
      <c r="AT321" s="1097"/>
      <c r="AU321" s="1097"/>
      <c r="AV321" s="1097"/>
    </row>
    <row r="322" spans="1:48" ht="12.75" thickBot="1">
      <c r="A322" s="1465" t="s">
        <v>1636</v>
      </c>
      <c r="B322" s="1440"/>
      <c r="C322" s="1441"/>
      <c r="D322" s="1440"/>
      <c r="E322" s="1437"/>
      <c r="F322" s="1431"/>
      <c r="G322" s="1431"/>
      <c r="H322" s="1432"/>
      <c r="I322" s="1438"/>
      <c r="J322" s="1433"/>
      <c r="K322" s="1431"/>
      <c r="L322" s="1446">
        <f>+L320/$D320</f>
        <v>99.586574074074065</v>
      </c>
      <c r="M322" s="1431"/>
      <c r="N322" s="1435"/>
      <c r="O322" s="1434"/>
      <c r="P322" s="1435"/>
      <c r="Q322" s="1431"/>
      <c r="R322" s="1436"/>
      <c r="S322" s="1438"/>
      <c r="T322" s="1446">
        <f>+T320/$D320</f>
        <v>110.41658952476304</v>
      </c>
      <c r="U322" s="1438">
        <f>+T322-L322</f>
        <v>10.830015450688975</v>
      </c>
      <c r="V322" s="1112"/>
      <c r="W322" s="1046"/>
      <c r="X322" s="1046"/>
      <c r="Y322" s="1036"/>
      <c r="Z322" s="1036"/>
      <c r="AA322" s="1036"/>
      <c r="AB322" s="1036"/>
      <c r="AC322" s="1036"/>
      <c r="AD322" s="1036"/>
      <c r="AE322" s="1036"/>
      <c r="AF322" s="1036"/>
      <c r="AG322" s="1036"/>
      <c r="AH322" s="1036"/>
      <c r="AI322" s="1113"/>
      <c r="AJ322" s="1114"/>
      <c r="AK322" s="1115"/>
      <c r="AL322" s="1394"/>
      <c r="AM322" s="1394"/>
      <c r="AN322" s="1394"/>
      <c r="AO322" s="1394"/>
      <c r="AP322" s="1394"/>
      <c r="AQ322" s="1394"/>
      <c r="AR322" s="1394"/>
      <c r="AS322" s="1051"/>
      <c r="AT322" s="1051"/>
      <c r="AU322" s="1051"/>
      <c r="AV322" s="1051"/>
    </row>
    <row r="323" spans="1:48" ht="12.75" thickTop="1">
      <c r="A323" s="1407" t="s">
        <v>1635</v>
      </c>
      <c r="B323" s="1431">
        <v>1761</v>
      </c>
      <c r="C323" s="1437"/>
      <c r="D323" s="1431"/>
      <c r="E323" s="1437"/>
      <c r="F323" s="1431"/>
      <c r="G323" s="1431"/>
      <c r="H323" s="1432"/>
      <c r="I323" s="1437"/>
      <c r="J323" s="1433"/>
      <c r="K323" s="1431"/>
      <c r="L323" s="1433"/>
      <c r="M323" s="1431"/>
      <c r="N323" s="1435"/>
      <c r="O323" s="1434"/>
      <c r="P323" s="1435"/>
      <c r="Q323" s="1431"/>
      <c r="R323" s="1436"/>
      <c r="S323" s="1468"/>
      <c r="T323" s="1453"/>
      <c r="U323" s="1112"/>
      <c r="V323" s="1112"/>
      <c r="W323" s="1046"/>
      <c r="X323" s="1046"/>
      <c r="Y323" s="1036"/>
      <c r="Z323" s="1036"/>
      <c r="AA323" s="1036"/>
      <c r="AB323" s="1036"/>
      <c r="AC323" s="1036"/>
      <c r="AD323" s="1036"/>
      <c r="AE323" s="1036"/>
      <c r="AF323" s="1036"/>
      <c r="AG323" s="1036"/>
      <c r="AH323" s="1036"/>
      <c r="AI323" s="1113"/>
      <c r="AJ323" s="1114"/>
      <c r="AK323" s="1115"/>
      <c r="AL323" s="1394"/>
      <c r="AM323" s="1394"/>
      <c r="AN323" s="1394"/>
      <c r="AO323" s="1394"/>
      <c r="AP323" s="1394"/>
      <c r="AQ323" s="1394"/>
      <c r="AR323" s="1394"/>
      <c r="AS323" s="1051"/>
      <c r="AT323" s="1051"/>
      <c r="AU323" s="1051"/>
      <c r="AV323" s="1051"/>
    </row>
    <row r="324" spans="1:48">
      <c r="A324" s="1450" t="s">
        <v>975</v>
      </c>
      <c r="B324" s="1431"/>
      <c r="C324" s="1437"/>
      <c r="D324" s="1431">
        <v>23.999999999999993</v>
      </c>
      <c r="E324" s="1437"/>
      <c r="F324" s="1431"/>
      <c r="G324" s="1431"/>
      <c r="H324" s="1451">
        <v>80.59</v>
      </c>
      <c r="I324" s="1437"/>
      <c r="J324" s="1433">
        <f>+D324*H324</f>
        <v>1934.1599999999994</v>
      </c>
      <c r="K324" s="1431"/>
      <c r="L324" s="1433">
        <f>+J324</f>
        <v>1934.1599999999994</v>
      </c>
      <c r="M324" s="1431"/>
      <c r="N324" s="1435">
        <f>+D324</f>
        <v>23.999999999999993</v>
      </c>
      <c r="O324" s="1434"/>
      <c r="P324" s="1435"/>
      <c r="Q324" s="1431"/>
      <c r="R324" s="1452">
        <f>+H324*(1+$W$5)</f>
        <v>89.354142689774918</v>
      </c>
      <c r="S324" s="1468"/>
      <c r="T324" s="1453">
        <f>+N324*R324</f>
        <v>2144.4994245545972</v>
      </c>
      <c r="U324" s="1112"/>
      <c r="V324" s="1112"/>
      <c r="W324" s="1046"/>
      <c r="X324" s="1046"/>
      <c r="Y324" s="1036"/>
      <c r="Z324" s="1036"/>
      <c r="AA324" s="1036"/>
      <c r="AB324" s="1036"/>
      <c r="AC324" s="1036"/>
      <c r="AD324" s="1036"/>
      <c r="AE324" s="1036"/>
      <c r="AF324" s="1036"/>
      <c r="AG324" s="1036"/>
      <c r="AH324" s="1036"/>
      <c r="AI324" s="1113"/>
      <c r="AJ324" s="1114"/>
      <c r="AK324" s="1115"/>
      <c r="AL324" s="1394"/>
      <c r="AM324" s="1394"/>
      <c r="AN324" s="1394"/>
      <c r="AO324" s="1394"/>
      <c r="AP324" s="1394"/>
      <c r="AQ324" s="1394"/>
      <c r="AR324" s="1394"/>
      <c r="AS324" s="1051"/>
      <c r="AT324" s="1051"/>
      <c r="AU324" s="1051"/>
      <c r="AV324" s="1051"/>
    </row>
    <row r="325" spans="1:48">
      <c r="A325" s="1450" t="s">
        <v>976</v>
      </c>
      <c r="B325" s="1431"/>
      <c r="C325" s="1437"/>
      <c r="D325" s="1431"/>
      <c r="E325" s="1437"/>
      <c r="F325" s="1431">
        <v>168</v>
      </c>
      <c r="G325" s="1431"/>
      <c r="H325" s="1454">
        <v>6.23</v>
      </c>
      <c r="I325" s="1437"/>
      <c r="J325" s="1435">
        <f>+F325*H325</f>
        <v>1046.6400000000001</v>
      </c>
      <c r="K325" s="1431"/>
      <c r="L325" s="1433">
        <f t="shared" ref="L325:L328" si="148">+J325</f>
        <v>1046.6400000000001</v>
      </c>
      <c r="M325" s="1431"/>
      <c r="N325" s="1435"/>
      <c r="O325" s="1434"/>
      <c r="P325" s="1435">
        <f>+F325</f>
        <v>168</v>
      </c>
      <c r="Q325" s="1431"/>
      <c r="R325" s="1452">
        <f t="shared" ref="R325:R328" si="149">+H325*(1+$W$5)</f>
        <v>6.9075109685729963</v>
      </c>
      <c r="S325" s="1468"/>
      <c r="T325" s="1453">
        <f>+P325*R325</f>
        <v>1160.4618427202633</v>
      </c>
      <c r="U325" s="1112"/>
      <c r="V325" s="1112"/>
      <c r="W325" s="1046"/>
      <c r="X325" s="1046"/>
      <c r="Y325" s="1036"/>
      <c r="Z325" s="1036"/>
      <c r="AA325" s="1036"/>
      <c r="AB325" s="1036"/>
      <c r="AC325" s="1036"/>
      <c r="AD325" s="1036"/>
      <c r="AE325" s="1036"/>
      <c r="AF325" s="1036"/>
      <c r="AG325" s="1036"/>
      <c r="AH325" s="1036"/>
      <c r="AI325" s="1113"/>
      <c r="AJ325" s="1114"/>
      <c r="AK325" s="1115"/>
      <c r="AL325" s="1394"/>
      <c r="AM325" s="1394"/>
      <c r="AN325" s="1394"/>
      <c r="AO325" s="1394"/>
      <c r="AP325" s="1394"/>
      <c r="AQ325" s="1394"/>
      <c r="AR325" s="1394"/>
      <c r="AS325" s="1051"/>
      <c r="AT325" s="1051"/>
      <c r="AU325" s="1051"/>
      <c r="AV325" s="1051"/>
    </row>
    <row r="326" spans="1:48">
      <c r="A326" s="1450" t="s">
        <v>863</v>
      </c>
      <c r="B326" s="1431"/>
      <c r="C326" s="1437"/>
      <c r="D326" s="1431"/>
      <c r="E326" s="1437"/>
      <c r="F326" s="1431">
        <v>300</v>
      </c>
      <c r="G326" s="1431"/>
      <c r="H326" s="1454">
        <v>5.68</v>
      </c>
      <c r="I326" s="1437"/>
      <c r="J326" s="1435">
        <f t="shared" ref="J326:J328" si="150">+F326*H326</f>
        <v>1704</v>
      </c>
      <c r="K326" s="1431"/>
      <c r="L326" s="1433">
        <f t="shared" si="148"/>
        <v>1704</v>
      </c>
      <c r="M326" s="1431"/>
      <c r="N326" s="1435"/>
      <c r="O326" s="1434"/>
      <c r="P326" s="1435">
        <f t="shared" ref="P326:P328" si="151">+F326</f>
        <v>300</v>
      </c>
      <c r="Q326" s="1431"/>
      <c r="R326" s="1452">
        <f t="shared" si="149"/>
        <v>6.2976986037712059</v>
      </c>
      <c r="S326" s="1468"/>
      <c r="T326" s="1453">
        <f t="shared" ref="T326:T328" si="152">+P326*R326</f>
        <v>1889.3095811313617</v>
      </c>
      <c r="U326" s="1112"/>
      <c r="V326" s="1112"/>
      <c r="W326" s="1046"/>
      <c r="X326" s="1046"/>
      <c r="Y326" s="1036"/>
      <c r="Z326" s="1036"/>
      <c r="AA326" s="1036"/>
      <c r="AB326" s="1036"/>
      <c r="AC326" s="1036"/>
      <c r="AD326" s="1036"/>
      <c r="AE326" s="1036"/>
      <c r="AF326" s="1036"/>
      <c r="AG326" s="1036"/>
      <c r="AH326" s="1036"/>
      <c r="AI326" s="1113"/>
      <c r="AJ326" s="1114"/>
      <c r="AK326" s="1115"/>
      <c r="AL326" s="1394"/>
      <c r="AM326" s="1394"/>
      <c r="AN326" s="1394"/>
      <c r="AO326" s="1394"/>
      <c r="AP326" s="1394"/>
      <c r="AQ326" s="1394"/>
      <c r="AR326" s="1394"/>
      <c r="AS326" s="1051"/>
      <c r="AT326" s="1051"/>
      <c r="AU326" s="1051"/>
      <c r="AV326" s="1051"/>
    </row>
    <row r="327" spans="1:48">
      <c r="A327" s="1450" t="s">
        <v>864</v>
      </c>
      <c r="B327" s="1431"/>
      <c r="C327" s="1437"/>
      <c r="D327" s="1431"/>
      <c r="E327" s="1437"/>
      <c r="F327" s="1431">
        <v>600</v>
      </c>
      <c r="G327" s="1431"/>
      <c r="H327" s="1454">
        <v>5.04</v>
      </c>
      <c r="I327" s="1437"/>
      <c r="J327" s="1435">
        <f t="shared" si="150"/>
        <v>3024</v>
      </c>
      <c r="K327" s="1431"/>
      <c r="L327" s="1433">
        <f t="shared" si="148"/>
        <v>3024</v>
      </c>
      <c r="M327" s="1431"/>
      <c r="N327" s="1435"/>
      <c r="O327" s="1434"/>
      <c r="P327" s="1435">
        <f t="shared" si="151"/>
        <v>600</v>
      </c>
      <c r="Q327" s="1431"/>
      <c r="R327" s="1452">
        <f t="shared" si="149"/>
        <v>5.5880987610927599</v>
      </c>
      <c r="S327" s="1468"/>
      <c r="T327" s="1453">
        <f t="shared" si="152"/>
        <v>3352.8592566556558</v>
      </c>
      <c r="U327" s="1112"/>
      <c r="V327" s="1112"/>
      <c r="W327" s="1046"/>
      <c r="X327" s="1046"/>
      <c r="Y327" s="1036"/>
      <c r="Z327" s="1036"/>
      <c r="AA327" s="1036"/>
      <c r="AB327" s="1036"/>
      <c r="AC327" s="1036"/>
      <c r="AD327" s="1036"/>
      <c r="AE327" s="1036"/>
      <c r="AF327" s="1036"/>
      <c r="AG327" s="1036"/>
      <c r="AH327" s="1036"/>
      <c r="AI327" s="1113"/>
      <c r="AJ327" s="1114"/>
      <c r="AK327" s="1115"/>
      <c r="AL327" s="1394"/>
      <c r="AM327" s="1394"/>
      <c r="AN327" s="1394"/>
      <c r="AO327" s="1394"/>
      <c r="AP327" s="1394"/>
      <c r="AQ327" s="1394"/>
      <c r="AR327" s="1394"/>
      <c r="AS327" s="1051"/>
      <c r="AT327" s="1051"/>
      <c r="AU327" s="1051"/>
      <c r="AV327" s="1051"/>
    </row>
    <row r="328" spans="1:48">
      <c r="A328" s="1450" t="s">
        <v>876</v>
      </c>
      <c r="B328" s="1431"/>
      <c r="C328" s="1437"/>
      <c r="D328" s="1431"/>
      <c r="E328" s="1437"/>
      <c r="F328" s="1431">
        <v>530.00000000000011</v>
      </c>
      <c r="G328" s="1431"/>
      <c r="H328" s="1454">
        <v>4.4000000000000004</v>
      </c>
      <c r="I328" s="1437"/>
      <c r="J328" s="1435">
        <f t="shared" si="150"/>
        <v>2332.0000000000009</v>
      </c>
      <c r="K328" s="1431"/>
      <c r="L328" s="1433">
        <f t="shared" si="148"/>
        <v>2332.0000000000009</v>
      </c>
      <c r="M328" s="1431"/>
      <c r="N328" s="1435"/>
      <c r="O328" s="1434"/>
      <c r="P328" s="1435">
        <f t="shared" si="151"/>
        <v>530.00000000000011</v>
      </c>
      <c r="Q328" s="1431"/>
      <c r="R328" s="1452">
        <f t="shared" si="149"/>
        <v>4.8784989184143148</v>
      </c>
      <c r="S328" s="1468"/>
      <c r="T328" s="1453">
        <f t="shared" si="152"/>
        <v>2585.6044267595876</v>
      </c>
      <c r="U328" s="1112"/>
      <c r="V328" s="1112"/>
      <c r="W328" s="1046"/>
      <c r="X328" s="1046"/>
      <c r="Y328" s="1036"/>
      <c r="Z328" s="1036"/>
      <c r="AA328" s="1036"/>
      <c r="AB328" s="1036"/>
      <c r="AC328" s="1036"/>
      <c r="AD328" s="1036"/>
      <c r="AE328" s="1036"/>
      <c r="AF328" s="1036"/>
      <c r="AG328" s="1036"/>
      <c r="AH328" s="1036"/>
      <c r="AI328" s="1113"/>
      <c r="AJ328" s="1114"/>
      <c r="AK328" s="1115"/>
      <c r="AL328" s="1394"/>
      <c r="AM328" s="1394"/>
      <c r="AN328" s="1394"/>
      <c r="AO328" s="1394"/>
      <c r="AP328" s="1394"/>
      <c r="AQ328" s="1394"/>
      <c r="AR328" s="1394"/>
      <c r="AS328" s="1051"/>
      <c r="AT328" s="1051"/>
      <c r="AU328" s="1051"/>
      <c r="AV328" s="1051"/>
    </row>
    <row r="329" spans="1:48" s="1412" customFormat="1" ht="12.75" thickBot="1">
      <c r="A329" s="1464" t="s">
        <v>1634</v>
      </c>
      <c r="B329" s="1442">
        <f>SUM(B323:B328)</f>
        <v>1761</v>
      </c>
      <c r="C329" s="1443"/>
      <c r="D329" s="1442">
        <f>SUM(D323:D328)</f>
        <v>23.999999999999993</v>
      </c>
      <c r="E329" s="1443"/>
      <c r="F329" s="1442">
        <f>SUM(F323:F328)</f>
        <v>1598</v>
      </c>
      <c r="G329" s="1396"/>
      <c r="H329" s="1398"/>
      <c r="I329" s="1397"/>
      <c r="J329" s="1458">
        <f>SUM(J324:J328)</f>
        <v>10040.799999999999</v>
      </c>
      <c r="K329" s="1396"/>
      <c r="L329" s="1458">
        <f>SUM(L324:L328)</f>
        <v>10040.799999999999</v>
      </c>
      <c r="M329" s="1396"/>
      <c r="N329" s="1442">
        <f>SUM(N323:N328)</f>
        <v>23.999999999999993</v>
      </c>
      <c r="O329" s="1400"/>
      <c r="P329" s="1442">
        <f>SUM(P323:P328)</f>
        <v>1598</v>
      </c>
      <c r="Q329" s="1396"/>
      <c r="R329" s="1452"/>
      <c r="S329" s="1443"/>
      <c r="T329" s="1458">
        <f>SUM(T324:T328)</f>
        <v>11132.734531821467</v>
      </c>
      <c r="U329" s="1443"/>
      <c r="V329" s="1086"/>
      <c r="W329" s="1050"/>
      <c r="X329" s="1050"/>
      <c r="Y329" s="1047"/>
      <c r="Z329" s="1047"/>
      <c r="AA329" s="1047"/>
      <c r="AB329" s="1047"/>
      <c r="AC329" s="1047"/>
      <c r="AD329" s="1047"/>
      <c r="AE329" s="1047"/>
      <c r="AF329" s="1047"/>
      <c r="AG329" s="1047"/>
      <c r="AH329" s="1047"/>
      <c r="AI329" s="1116"/>
      <c r="AJ329" s="1117"/>
      <c r="AK329" s="1118"/>
      <c r="AL329" s="1087"/>
      <c r="AM329" s="1087"/>
      <c r="AN329" s="1087"/>
      <c r="AO329" s="1087"/>
      <c r="AP329" s="1087"/>
      <c r="AQ329" s="1087"/>
      <c r="AR329" s="1087"/>
      <c r="AS329" s="1097"/>
      <c r="AT329" s="1097"/>
      <c r="AU329" s="1097"/>
      <c r="AV329" s="1097"/>
    </row>
    <row r="330" spans="1:48" s="1412" customFormat="1" ht="12.75" thickTop="1">
      <c r="A330" s="1464"/>
      <c r="B330" s="1440"/>
      <c r="C330" s="1441"/>
      <c r="D330" s="1440"/>
      <c r="E330" s="1437"/>
      <c r="F330" s="1431"/>
      <c r="G330" s="1431"/>
      <c r="H330" s="1432"/>
      <c r="I330" s="1438"/>
      <c r="J330" s="1433"/>
      <c r="K330" s="1431"/>
      <c r="L330" s="1433"/>
      <c r="M330" s="1431"/>
      <c r="N330" s="1435"/>
      <c r="O330" s="1434"/>
      <c r="P330" s="1435"/>
      <c r="Q330" s="1431"/>
      <c r="R330" s="1436"/>
      <c r="S330" s="1438"/>
      <c r="T330" s="1393"/>
      <c r="U330" s="1438"/>
      <c r="V330" s="1086"/>
      <c r="W330" s="1050"/>
      <c r="X330" s="1050"/>
      <c r="Y330" s="1047"/>
      <c r="Z330" s="1047"/>
      <c r="AA330" s="1047"/>
      <c r="AB330" s="1047"/>
      <c r="AC330" s="1047"/>
      <c r="AD330" s="1047"/>
      <c r="AE330" s="1047"/>
      <c r="AF330" s="1047"/>
      <c r="AG330" s="1047"/>
      <c r="AH330" s="1047"/>
      <c r="AI330" s="1116"/>
      <c r="AJ330" s="1117"/>
      <c r="AK330" s="1118"/>
      <c r="AL330" s="1087"/>
      <c r="AM330" s="1087"/>
      <c r="AN330" s="1087"/>
      <c r="AO330" s="1087"/>
      <c r="AP330" s="1087"/>
      <c r="AQ330" s="1087"/>
      <c r="AR330" s="1087"/>
      <c r="AS330" s="1097"/>
      <c r="AT330" s="1097"/>
      <c r="AU330" s="1097"/>
      <c r="AV330" s="1097"/>
    </row>
    <row r="331" spans="1:48" ht="12.75" thickBot="1">
      <c r="A331" s="1465" t="s">
        <v>1633</v>
      </c>
      <c r="B331" s="1440"/>
      <c r="C331" s="1441"/>
      <c r="D331" s="1440"/>
      <c r="E331" s="1437"/>
      <c r="F331" s="1431"/>
      <c r="G331" s="1431"/>
      <c r="H331" s="1432"/>
      <c r="I331" s="1438"/>
      <c r="J331" s="1433"/>
      <c r="K331" s="1431"/>
      <c r="L331" s="1446">
        <f>+L329/$D329</f>
        <v>418.36666666666679</v>
      </c>
      <c r="M331" s="1431"/>
      <c r="N331" s="1435"/>
      <c r="O331" s="1434"/>
      <c r="P331" s="1435"/>
      <c r="Q331" s="1431"/>
      <c r="R331" s="1436"/>
      <c r="S331" s="1438"/>
      <c r="T331" s="1446">
        <f>+T329/$D329</f>
        <v>463.86393882589459</v>
      </c>
      <c r="U331" s="1438">
        <f>+T331-L331</f>
        <v>45.497272159227805</v>
      </c>
      <c r="V331" s="1112"/>
      <c r="W331" s="1046"/>
      <c r="X331" s="1046"/>
      <c r="Y331" s="1036"/>
      <c r="Z331" s="1036"/>
      <c r="AA331" s="1036"/>
      <c r="AB331" s="1036"/>
      <c r="AC331" s="1036"/>
      <c r="AD331" s="1036"/>
      <c r="AE331" s="1036"/>
      <c r="AF331" s="1036"/>
      <c r="AG331" s="1036"/>
      <c r="AH331" s="1036"/>
      <c r="AI331" s="1113"/>
      <c r="AJ331" s="1114"/>
      <c r="AK331" s="1115"/>
      <c r="AL331" s="1394"/>
      <c r="AM331" s="1394"/>
      <c r="AN331" s="1394"/>
      <c r="AO331" s="1394"/>
      <c r="AP331" s="1394"/>
      <c r="AQ331" s="1394"/>
      <c r="AR331" s="1394"/>
      <c r="AS331" s="1051"/>
      <c r="AT331" s="1051"/>
      <c r="AU331" s="1051"/>
      <c r="AV331" s="1051"/>
    </row>
    <row r="332" spans="1:48" ht="12.75" thickTop="1">
      <c r="A332" s="1407" t="s">
        <v>1632</v>
      </c>
      <c r="B332" s="1431">
        <v>304</v>
      </c>
      <c r="C332" s="1437"/>
      <c r="D332" s="1431"/>
      <c r="E332" s="1437"/>
      <c r="F332" s="1431"/>
      <c r="G332" s="1431"/>
      <c r="I332" s="1437"/>
      <c r="K332" s="1431"/>
      <c r="L332" s="1433"/>
      <c r="M332" s="1431"/>
      <c r="N332" s="1435"/>
      <c r="O332" s="1434"/>
      <c r="P332" s="1435"/>
      <c r="Q332" s="1431"/>
      <c r="R332" s="1436"/>
      <c r="S332" s="1468"/>
      <c r="T332" s="1453"/>
      <c r="U332" s="1112"/>
      <c r="V332" s="1112"/>
      <c r="W332" s="1046"/>
      <c r="X332" s="1046"/>
      <c r="Y332" s="1036"/>
      <c r="Z332" s="1036"/>
      <c r="AA332" s="1036"/>
      <c r="AB332" s="1036"/>
      <c r="AC332" s="1036"/>
      <c r="AD332" s="1036"/>
      <c r="AE332" s="1036"/>
      <c r="AF332" s="1036"/>
      <c r="AG332" s="1036"/>
      <c r="AH332" s="1036"/>
      <c r="AI332" s="1113"/>
      <c r="AJ332" s="1114"/>
      <c r="AK332" s="1115"/>
      <c r="AL332" s="1394"/>
      <c r="AM332" s="1394"/>
      <c r="AN332" s="1394"/>
      <c r="AO332" s="1394"/>
      <c r="AP332" s="1394"/>
      <c r="AQ332" s="1394"/>
      <c r="AR332" s="1394"/>
      <c r="AS332" s="1051"/>
      <c r="AT332" s="1051"/>
      <c r="AU332" s="1051"/>
      <c r="AV332" s="1051"/>
    </row>
    <row r="333" spans="1:48">
      <c r="A333" s="1450" t="s">
        <v>978</v>
      </c>
      <c r="B333" s="1431"/>
      <c r="C333" s="1437"/>
      <c r="D333" s="1431">
        <v>12</v>
      </c>
      <c r="E333" s="1437"/>
      <c r="F333" s="1431"/>
      <c r="G333" s="1431"/>
      <c r="H333" s="1451">
        <v>120.48</v>
      </c>
      <c r="I333" s="1437"/>
      <c r="J333" s="1433">
        <f>+D333*H333</f>
        <v>1445.76</v>
      </c>
      <c r="K333" s="1431"/>
      <c r="L333" s="1433">
        <f>+J333</f>
        <v>1445.76</v>
      </c>
      <c r="M333" s="1431"/>
      <c r="N333" s="1435">
        <f>+D333</f>
        <v>12</v>
      </c>
      <c r="O333" s="1434"/>
      <c r="P333" s="1435"/>
      <c r="Q333" s="1431"/>
      <c r="R333" s="1452">
        <f>+H333*(1+$W$5)</f>
        <v>133.58217038421742</v>
      </c>
      <c r="S333" s="1468"/>
      <c r="T333" s="1453">
        <f>+N333*R333</f>
        <v>1602.986044610609</v>
      </c>
      <c r="U333" s="1112"/>
      <c r="V333" s="1112"/>
      <c r="W333" s="1046"/>
      <c r="X333" s="1046"/>
      <c r="Y333" s="1036"/>
      <c r="Z333" s="1036"/>
      <c r="AA333" s="1036"/>
      <c r="AB333" s="1036"/>
      <c r="AC333" s="1036"/>
      <c r="AD333" s="1036"/>
      <c r="AE333" s="1036"/>
      <c r="AF333" s="1036"/>
      <c r="AG333" s="1036"/>
      <c r="AH333" s="1036"/>
      <c r="AI333" s="1113"/>
      <c r="AJ333" s="1114"/>
      <c r="AK333" s="1115"/>
      <c r="AL333" s="1394"/>
      <c r="AM333" s="1394"/>
      <c r="AN333" s="1394"/>
      <c r="AO333" s="1394"/>
      <c r="AP333" s="1394"/>
      <c r="AQ333" s="1394"/>
      <c r="AR333" s="1394"/>
      <c r="AS333" s="1051"/>
      <c r="AT333" s="1051"/>
      <c r="AU333" s="1051"/>
      <c r="AV333" s="1051"/>
    </row>
    <row r="334" spans="1:48">
      <c r="A334" s="1450" t="s">
        <v>979</v>
      </c>
      <c r="B334" s="1431"/>
      <c r="C334" s="1437"/>
      <c r="D334" s="1431"/>
      <c r="E334" s="1437"/>
      <c r="F334" s="1431">
        <v>72</v>
      </c>
      <c r="G334" s="1431"/>
      <c r="H334" s="1454">
        <v>6.23</v>
      </c>
      <c r="I334" s="1437"/>
      <c r="J334" s="1435">
        <f>+F334*H334</f>
        <v>448.56000000000006</v>
      </c>
      <c r="K334" s="1431"/>
      <c r="L334" s="1433">
        <f t="shared" ref="L334:L337" si="153">+J334</f>
        <v>448.56000000000006</v>
      </c>
      <c r="M334" s="1431"/>
      <c r="N334" s="1435"/>
      <c r="O334" s="1434"/>
      <c r="P334" s="1435">
        <f>+F334</f>
        <v>72</v>
      </c>
      <c r="Q334" s="1431"/>
      <c r="R334" s="1452">
        <f t="shared" ref="R334:R337" si="154">+H334*(1+$W$5)</f>
        <v>6.9075109685729963</v>
      </c>
      <c r="S334" s="1468"/>
      <c r="T334" s="1453">
        <f>+P334*R334</f>
        <v>497.3407897372557</v>
      </c>
      <c r="U334" s="1112"/>
      <c r="V334" s="1112"/>
      <c r="W334" s="1046"/>
      <c r="X334" s="1046"/>
      <c r="Y334" s="1036"/>
      <c r="Z334" s="1036"/>
      <c r="AA334" s="1036"/>
      <c r="AB334" s="1036"/>
      <c r="AC334" s="1036"/>
      <c r="AD334" s="1036"/>
      <c r="AE334" s="1036"/>
      <c r="AF334" s="1036"/>
      <c r="AG334" s="1036"/>
      <c r="AH334" s="1036"/>
      <c r="AI334" s="1113"/>
      <c r="AJ334" s="1114"/>
      <c r="AK334" s="1115"/>
      <c r="AL334" s="1394"/>
      <c r="AM334" s="1394"/>
      <c r="AN334" s="1394"/>
      <c r="AO334" s="1394"/>
      <c r="AP334" s="1394"/>
      <c r="AQ334" s="1394"/>
      <c r="AR334" s="1394"/>
      <c r="AS334" s="1051"/>
      <c r="AT334" s="1051"/>
      <c r="AU334" s="1051"/>
      <c r="AV334" s="1051"/>
    </row>
    <row r="335" spans="1:48">
      <c r="A335" s="1450" t="s">
        <v>863</v>
      </c>
      <c r="B335" s="1431"/>
      <c r="C335" s="1437"/>
      <c r="D335" s="1431"/>
      <c r="E335" s="1437"/>
      <c r="F335" s="1431">
        <v>29.999999999999996</v>
      </c>
      <c r="G335" s="1431"/>
      <c r="H335" s="1454">
        <v>5.68</v>
      </c>
      <c r="I335" s="1437"/>
      <c r="J335" s="1435">
        <f t="shared" ref="J335:J337" si="155">+F335*H335</f>
        <v>170.39999999999998</v>
      </c>
      <c r="K335" s="1431"/>
      <c r="L335" s="1433">
        <f t="shared" si="153"/>
        <v>170.39999999999998</v>
      </c>
      <c r="M335" s="1431"/>
      <c r="N335" s="1435"/>
      <c r="O335" s="1434"/>
      <c r="P335" s="1435">
        <f t="shared" ref="P335:P337" si="156">+F335</f>
        <v>29.999999999999996</v>
      </c>
      <c r="Q335" s="1431"/>
      <c r="R335" s="1452">
        <f t="shared" si="154"/>
        <v>6.2976986037712059</v>
      </c>
      <c r="S335" s="1468"/>
      <c r="T335" s="1453">
        <f t="shared" ref="T335:T337" si="157">+P335*R335</f>
        <v>188.93095811313614</v>
      </c>
      <c r="U335" s="1112"/>
      <c r="V335" s="1112"/>
      <c r="W335" s="1046"/>
      <c r="X335" s="1046"/>
      <c r="Y335" s="1036"/>
      <c r="Z335" s="1036"/>
      <c r="AA335" s="1036"/>
      <c r="AB335" s="1036"/>
      <c r="AC335" s="1036"/>
      <c r="AD335" s="1036"/>
      <c r="AE335" s="1036"/>
      <c r="AF335" s="1036"/>
      <c r="AG335" s="1036"/>
      <c r="AH335" s="1036"/>
      <c r="AI335" s="1113"/>
      <c r="AJ335" s="1114"/>
      <c r="AK335" s="1115"/>
      <c r="AL335" s="1394"/>
      <c r="AM335" s="1394"/>
      <c r="AN335" s="1394"/>
      <c r="AO335" s="1394"/>
      <c r="AP335" s="1394"/>
      <c r="AQ335" s="1394"/>
      <c r="AR335" s="1394"/>
      <c r="AS335" s="1051"/>
      <c r="AT335" s="1051"/>
      <c r="AU335" s="1051"/>
      <c r="AV335" s="1051"/>
    </row>
    <row r="336" spans="1:48">
      <c r="A336" s="1450" t="s">
        <v>864</v>
      </c>
      <c r="B336" s="1431"/>
      <c r="C336" s="1437"/>
      <c r="D336" s="1431"/>
      <c r="E336" s="1437"/>
      <c r="F336" s="1431">
        <v>0</v>
      </c>
      <c r="G336" s="1431"/>
      <c r="H336" s="1454">
        <v>5.04</v>
      </c>
      <c r="I336" s="1437"/>
      <c r="J336" s="1435">
        <f t="shared" si="155"/>
        <v>0</v>
      </c>
      <c r="K336" s="1431"/>
      <c r="L336" s="1433">
        <f t="shared" si="153"/>
        <v>0</v>
      </c>
      <c r="M336" s="1431"/>
      <c r="N336" s="1435"/>
      <c r="O336" s="1434"/>
      <c r="P336" s="1435">
        <f t="shared" si="156"/>
        <v>0</v>
      </c>
      <c r="Q336" s="1431"/>
      <c r="R336" s="1452">
        <f t="shared" si="154"/>
        <v>5.5880987610927599</v>
      </c>
      <c r="S336" s="1468"/>
      <c r="T336" s="1453">
        <f t="shared" si="157"/>
        <v>0</v>
      </c>
      <c r="U336" s="1112"/>
      <c r="V336" s="1112"/>
      <c r="W336" s="1046"/>
      <c r="X336" s="1046"/>
      <c r="Y336" s="1036"/>
      <c r="Z336" s="1036"/>
      <c r="AA336" s="1036"/>
      <c r="AB336" s="1036"/>
      <c r="AC336" s="1036"/>
      <c r="AD336" s="1036"/>
      <c r="AE336" s="1036"/>
      <c r="AF336" s="1036"/>
      <c r="AG336" s="1036"/>
      <c r="AH336" s="1036"/>
      <c r="AI336" s="1113"/>
      <c r="AJ336" s="1114"/>
      <c r="AK336" s="1115"/>
      <c r="AL336" s="1394"/>
      <c r="AM336" s="1394"/>
      <c r="AN336" s="1394"/>
      <c r="AO336" s="1394"/>
      <c r="AP336" s="1394"/>
      <c r="AQ336" s="1394"/>
      <c r="AR336" s="1394"/>
      <c r="AS336" s="1051"/>
      <c r="AT336" s="1051"/>
      <c r="AU336" s="1051"/>
      <c r="AV336" s="1051"/>
    </row>
    <row r="337" spans="1:48">
      <c r="A337" s="1450" t="s">
        <v>876</v>
      </c>
      <c r="B337" s="1431"/>
      <c r="C337" s="1437"/>
      <c r="D337" s="1431"/>
      <c r="E337" s="1437"/>
      <c r="F337" s="1431">
        <v>0</v>
      </c>
      <c r="G337" s="1431"/>
      <c r="H337" s="1454">
        <v>4.4000000000000004</v>
      </c>
      <c r="I337" s="1437"/>
      <c r="J337" s="1435">
        <f t="shared" si="155"/>
        <v>0</v>
      </c>
      <c r="K337" s="1431"/>
      <c r="L337" s="1433">
        <f t="shared" si="153"/>
        <v>0</v>
      </c>
      <c r="M337" s="1431"/>
      <c r="N337" s="1435"/>
      <c r="O337" s="1434"/>
      <c r="P337" s="1435">
        <f t="shared" si="156"/>
        <v>0</v>
      </c>
      <c r="Q337" s="1431"/>
      <c r="R337" s="1452">
        <f t="shared" si="154"/>
        <v>4.8784989184143148</v>
      </c>
      <c r="S337" s="1468"/>
      <c r="T337" s="1453">
        <f t="shared" si="157"/>
        <v>0</v>
      </c>
      <c r="U337" s="1112"/>
      <c r="V337" s="1112"/>
      <c r="W337" s="1046"/>
      <c r="X337" s="1046"/>
      <c r="Y337" s="1036"/>
      <c r="Z337" s="1036"/>
      <c r="AA337" s="1036"/>
      <c r="AB337" s="1036"/>
      <c r="AC337" s="1036"/>
      <c r="AD337" s="1036"/>
      <c r="AE337" s="1036"/>
      <c r="AF337" s="1036"/>
      <c r="AG337" s="1036"/>
      <c r="AH337" s="1036"/>
      <c r="AI337" s="1113"/>
      <c r="AJ337" s="1114"/>
      <c r="AK337" s="1115"/>
      <c r="AL337" s="1394"/>
      <c r="AM337" s="1394"/>
      <c r="AN337" s="1394"/>
      <c r="AO337" s="1394"/>
      <c r="AP337" s="1394"/>
      <c r="AQ337" s="1394"/>
      <c r="AR337" s="1394"/>
      <c r="AS337" s="1051"/>
      <c r="AT337" s="1051"/>
      <c r="AU337" s="1051"/>
      <c r="AV337" s="1051"/>
    </row>
    <row r="338" spans="1:48" ht="12.75" thickBot="1">
      <c r="A338" s="1411" t="s">
        <v>1631</v>
      </c>
      <c r="B338" s="1442">
        <f>SUM(B332:B337)</f>
        <v>304</v>
      </c>
      <c r="C338" s="1443"/>
      <c r="D338" s="1442">
        <f>SUM(D332:D337)</f>
        <v>12</v>
      </c>
      <c r="E338" s="1443"/>
      <c r="F338" s="1442">
        <f>SUM(F332:F337)</f>
        <v>102</v>
      </c>
      <c r="G338" s="1396"/>
      <c r="H338" s="1398"/>
      <c r="I338" s="1397"/>
      <c r="J338" s="1458">
        <f>SUM(J333:J337)</f>
        <v>2064.7200000000003</v>
      </c>
      <c r="K338" s="1396"/>
      <c r="L338" s="1458">
        <f>SUM(L333:L337)</f>
        <v>2064.7200000000003</v>
      </c>
      <c r="M338" s="1396"/>
      <c r="N338" s="1442">
        <f>SUM(N332:N337)</f>
        <v>12</v>
      </c>
      <c r="O338" s="1400"/>
      <c r="P338" s="1442">
        <f>SUM(P332:P337)</f>
        <v>102</v>
      </c>
      <c r="Q338" s="1396"/>
      <c r="R338" s="1452"/>
      <c r="S338" s="1443"/>
      <c r="T338" s="1458">
        <f>SUM(T333:T337)</f>
        <v>2289.2577924610009</v>
      </c>
      <c r="U338" s="1443"/>
      <c r="V338" s="1112"/>
      <c r="W338" s="1046"/>
      <c r="X338" s="1046"/>
      <c r="Y338" s="1036"/>
      <c r="Z338" s="1036"/>
      <c r="AA338" s="1036"/>
      <c r="AB338" s="1036"/>
      <c r="AC338" s="1036"/>
      <c r="AD338" s="1036"/>
      <c r="AE338" s="1036"/>
      <c r="AF338" s="1036"/>
      <c r="AG338" s="1036"/>
      <c r="AH338" s="1036"/>
      <c r="AI338" s="1113"/>
      <c r="AJ338" s="1114"/>
      <c r="AK338" s="1115"/>
      <c r="AL338" s="1394"/>
      <c r="AM338" s="1394"/>
      <c r="AN338" s="1394"/>
      <c r="AO338" s="1394"/>
      <c r="AP338" s="1394"/>
      <c r="AQ338" s="1394"/>
      <c r="AR338" s="1394"/>
      <c r="AS338" s="1051"/>
      <c r="AT338" s="1051"/>
      <c r="AU338" s="1051"/>
      <c r="AV338" s="1051"/>
    </row>
    <row r="339" spans="1:48" ht="12.75" thickTop="1">
      <c r="A339" s="1411"/>
      <c r="B339" s="1440"/>
      <c r="C339" s="1441"/>
      <c r="D339" s="1440"/>
      <c r="E339" s="1437"/>
      <c r="F339" s="1431"/>
      <c r="G339" s="1431"/>
      <c r="H339" s="1432"/>
      <c r="I339" s="1438"/>
      <c r="J339" s="1433"/>
      <c r="K339" s="1431"/>
      <c r="L339" s="1433"/>
      <c r="M339" s="1431"/>
      <c r="N339" s="1435"/>
      <c r="O339" s="1434"/>
      <c r="P339" s="1435"/>
      <c r="Q339" s="1431"/>
      <c r="R339" s="1436"/>
      <c r="S339" s="1438"/>
      <c r="T339" s="1393"/>
      <c r="U339" s="1438"/>
      <c r="V339" s="1112"/>
      <c r="W339" s="1046"/>
      <c r="X339" s="1046"/>
      <c r="Y339" s="1036"/>
      <c r="Z339" s="1036"/>
      <c r="AA339" s="1036"/>
      <c r="AB339" s="1036"/>
      <c r="AC339" s="1036"/>
      <c r="AD339" s="1036"/>
      <c r="AE339" s="1036"/>
      <c r="AF339" s="1036"/>
      <c r="AG339" s="1036"/>
      <c r="AH339" s="1036"/>
      <c r="AI339" s="1113"/>
      <c r="AJ339" s="1114"/>
      <c r="AK339" s="1115"/>
      <c r="AL339" s="1394"/>
      <c r="AM339" s="1394"/>
      <c r="AN339" s="1394"/>
      <c r="AO339" s="1394"/>
      <c r="AP339" s="1394"/>
      <c r="AQ339" s="1394"/>
      <c r="AR339" s="1394"/>
      <c r="AS339" s="1051"/>
      <c r="AT339" s="1051"/>
      <c r="AU339" s="1051"/>
      <c r="AV339" s="1051"/>
    </row>
    <row r="340" spans="1:48" ht="12.75" thickBot="1">
      <c r="A340" s="1413" t="s">
        <v>1630</v>
      </c>
      <c r="B340" s="1440"/>
      <c r="C340" s="1441"/>
      <c r="D340" s="1440"/>
      <c r="E340" s="1437"/>
      <c r="F340" s="1431"/>
      <c r="G340" s="1431"/>
      <c r="H340" s="1432"/>
      <c r="I340" s="1438"/>
      <c r="J340" s="1433"/>
      <c r="K340" s="1431"/>
      <c r="L340" s="1446">
        <f>+L338/$D338</f>
        <v>172.06000000000003</v>
      </c>
      <c r="M340" s="1431"/>
      <c r="N340" s="1435"/>
      <c r="O340" s="1434"/>
      <c r="P340" s="1435"/>
      <c r="Q340" s="1431"/>
      <c r="R340" s="1436"/>
      <c r="S340" s="1438"/>
      <c r="T340" s="1446">
        <f>+T338/$D338</f>
        <v>190.7714827050834</v>
      </c>
      <c r="U340" s="1438">
        <f>+T340-L340</f>
        <v>18.71148270508337</v>
      </c>
      <c r="V340" s="1112"/>
      <c r="W340" s="1046"/>
      <c r="X340" s="1046"/>
      <c r="Y340" s="1036"/>
      <c r="Z340" s="1036"/>
      <c r="AA340" s="1036"/>
      <c r="AB340" s="1036"/>
      <c r="AC340" s="1036"/>
      <c r="AD340" s="1036"/>
      <c r="AE340" s="1036"/>
      <c r="AF340" s="1036"/>
      <c r="AG340" s="1036"/>
      <c r="AH340" s="1036"/>
      <c r="AI340" s="1113"/>
      <c r="AJ340" s="1114"/>
      <c r="AK340" s="1115"/>
      <c r="AL340" s="1394"/>
      <c r="AM340" s="1394"/>
      <c r="AN340" s="1394"/>
      <c r="AO340" s="1394"/>
      <c r="AP340" s="1394"/>
      <c r="AQ340" s="1394"/>
      <c r="AR340" s="1394"/>
      <c r="AS340" s="1051"/>
      <c r="AT340" s="1051"/>
      <c r="AU340" s="1051"/>
      <c r="AV340" s="1051"/>
    </row>
    <row r="341" spans="1:48" ht="12.75" thickTop="1">
      <c r="A341" s="1407" t="s">
        <v>1629</v>
      </c>
      <c r="B341" s="1431">
        <v>1471</v>
      </c>
      <c r="C341" s="1437"/>
      <c r="D341" s="1431"/>
      <c r="E341" s="1437"/>
      <c r="F341" s="1431"/>
      <c r="G341" s="1431"/>
      <c r="H341" s="1432"/>
      <c r="I341" s="1437"/>
      <c r="J341" s="1433"/>
      <c r="K341" s="1431"/>
      <c r="L341" s="1433"/>
      <c r="M341" s="1431"/>
      <c r="N341" s="1435"/>
      <c r="O341" s="1434"/>
      <c r="P341" s="1435"/>
      <c r="Q341" s="1431"/>
      <c r="R341" s="1436"/>
      <c r="S341" s="1468"/>
      <c r="T341" s="1453"/>
      <c r="U341" s="1112"/>
      <c r="V341" s="1112"/>
      <c r="W341" s="1046"/>
      <c r="X341" s="1046"/>
      <c r="Y341" s="1036"/>
      <c r="Z341" s="1036"/>
      <c r="AA341" s="1036"/>
      <c r="AB341" s="1036"/>
      <c r="AC341" s="1036"/>
      <c r="AD341" s="1036"/>
      <c r="AE341" s="1036"/>
      <c r="AF341" s="1036"/>
      <c r="AG341" s="1036"/>
      <c r="AH341" s="1036"/>
      <c r="AI341" s="1113"/>
      <c r="AJ341" s="1114"/>
      <c r="AK341" s="1115"/>
      <c r="AL341" s="1394"/>
      <c r="AM341" s="1394"/>
      <c r="AN341" s="1394"/>
      <c r="AO341" s="1394"/>
      <c r="AP341" s="1394"/>
      <c r="AQ341" s="1394"/>
      <c r="AR341" s="1394"/>
      <c r="AS341" s="1051"/>
      <c r="AT341" s="1051"/>
      <c r="AU341" s="1051"/>
      <c r="AV341" s="1051"/>
    </row>
    <row r="342" spans="1:48">
      <c r="A342" s="1450" t="s">
        <v>978</v>
      </c>
      <c r="B342" s="1431"/>
      <c r="C342" s="1437"/>
      <c r="D342" s="1431">
        <v>16</v>
      </c>
      <c r="E342" s="1437"/>
      <c r="F342" s="1431"/>
      <c r="G342" s="1431"/>
      <c r="H342" s="1451">
        <v>120.48</v>
      </c>
      <c r="I342" s="1437"/>
      <c r="J342" s="1433">
        <f>+D342*H342</f>
        <v>1927.68</v>
      </c>
      <c r="K342" s="1431"/>
      <c r="L342" s="1433">
        <f>+J342</f>
        <v>1927.68</v>
      </c>
      <c r="M342" s="1431"/>
      <c r="N342" s="1435">
        <f>+D342</f>
        <v>16</v>
      </c>
      <c r="O342" s="1434"/>
      <c r="P342" s="1435"/>
      <c r="Q342" s="1431"/>
      <c r="R342" s="1452">
        <f>+H342*(1+$W$5)</f>
        <v>133.58217038421742</v>
      </c>
      <c r="S342" s="1468"/>
      <c r="T342" s="1453">
        <f>+N342*R342</f>
        <v>2137.3147261474787</v>
      </c>
      <c r="U342" s="1112"/>
      <c r="V342" s="1112"/>
      <c r="W342" s="1046"/>
      <c r="X342" s="1046"/>
      <c r="Y342" s="1036"/>
      <c r="Z342" s="1036"/>
      <c r="AA342" s="1036"/>
      <c r="AB342" s="1036"/>
      <c r="AC342" s="1036"/>
      <c r="AD342" s="1036"/>
      <c r="AE342" s="1036"/>
      <c r="AF342" s="1036"/>
      <c r="AG342" s="1036"/>
      <c r="AH342" s="1036"/>
      <c r="AI342" s="1113"/>
      <c r="AJ342" s="1114"/>
      <c r="AK342" s="1115"/>
      <c r="AL342" s="1394"/>
      <c r="AM342" s="1394"/>
      <c r="AN342" s="1394"/>
      <c r="AO342" s="1394"/>
      <c r="AP342" s="1394"/>
      <c r="AQ342" s="1394"/>
      <c r="AR342" s="1394"/>
      <c r="AS342" s="1051"/>
      <c r="AT342" s="1051"/>
      <c r="AU342" s="1051"/>
      <c r="AV342" s="1051"/>
    </row>
    <row r="343" spans="1:48">
      <c r="A343" s="1450" t="s">
        <v>979</v>
      </c>
      <c r="B343" s="1431"/>
      <c r="C343" s="1437"/>
      <c r="D343" s="1431"/>
      <c r="E343" s="1437"/>
      <c r="F343" s="1431">
        <v>72</v>
      </c>
      <c r="G343" s="1431"/>
      <c r="H343" s="1454">
        <v>6.23</v>
      </c>
      <c r="I343" s="1437"/>
      <c r="J343" s="1435">
        <f>+F343*H343</f>
        <v>448.56000000000006</v>
      </c>
      <c r="K343" s="1431"/>
      <c r="L343" s="1433">
        <f t="shared" ref="L343:L346" si="158">+J343</f>
        <v>448.56000000000006</v>
      </c>
      <c r="M343" s="1431"/>
      <c r="N343" s="1435"/>
      <c r="O343" s="1434"/>
      <c r="P343" s="1435">
        <f>+F343</f>
        <v>72</v>
      </c>
      <c r="Q343" s="1431"/>
      <c r="R343" s="1452">
        <f t="shared" ref="R343:R346" si="159">+H343*(1+$W$5)</f>
        <v>6.9075109685729963</v>
      </c>
      <c r="S343" s="1468"/>
      <c r="T343" s="1453">
        <f>+P343*R343</f>
        <v>497.3407897372557</v>
      </c>
      <c r="U343" s="1112"/>
      <c r="V343" s="1112"/>
      <c r="W343" s="1046"/>
      <c r="X343" s="1046"/>
      <c r="Y343" s="1036"/>
      <c r="Z343" s="1036"/>
      <c r="AA343" s="1036"/>
      <c r="AB343" s="1036"/>
      <c r="AC343" s="1036"/>
      <c r="AD343" s="1036"/>
      <c r="AE343" s="1036"/>
      <c r="AF343" s="1036"/>
      <c r="AG343" s="1036"/>
      <c r="AH343" s="1036"/>
      <c r="AI343" s="1113"/>
      <c r="AJ343" s="1114"/>
      <c r="AK343" s="1115"/>
      <c r="AL343" s="1394"/>
      <c r="AM343" s="1394"/>
      <c r="AN343" s="1394"/>
      <c r="AO343" s="1394"/>
      <c r="AP343" s="1394"/>
      <c r="AQ343" s="1394"/>
      <c r="AR343" s="1394"/>
      <c r="AS343" s="1051"/>
      <c r="AT343" s="1051"/>
      <c r="AU343" s="1051"/>
      <c r="AV343" s="1051"/>
    </row>
    <row r="344" spans="1:48">
      <c r="A344" s="1450" t="s">
        <v>863</v>
      </c>
      <c r="B344" s="1431"/>
      <c r="C344" s="1437"/>
      <c r="D344" s="1431"/>
      <c r="E344" s="1437"/>
      <c r="F344" s="1431">
        <v>225</v>
      </c>
      <c r="G344" s="1431"/>
      <c r="H344" s="1454">
        <v>5.68</v>
      </c>
      <c r="I344" s="1437"/>
      <c r="J344" s="1435">
        <f t="shared" ref="J344:J346" si="160">+F344*H344</f>
        <v>1278</v>
      </c>
      <c r="K344" s="1431"/>
      <c r="L344" s="1433">
        <f t="shared" si="158"/>
        <v>1278</v>
      </c>
      <c r="M344" s="1431"/>
      <c r="N344" s="1435"/>
      <c r="O344" s="1434"/>
      <c r="P344" s="1435">
        <f t="shared" ref="P344:P346" si="161">+F344</f>
        <v>225</v>
      </c>
      <c r="Q344" s="1431"/>
      <c r="R344" s="1452">
        <f t="shared" si="159"/>
        <v>6.2976986037712059</v>
      </c>
      <c r="S344" s="1468"/>
      <c r="T344" s="1453">
        <f t="shared" ref="T344:T346" si="162">+P344*R344</f>
        <v>1416.9821858485213</v>
      </c>
      <c r="U344" s="1112"/>
      <c r="V344" s="1112"/>
      <c r="W344" s="1046"/>
      <c r="X344" s="1046"/>
      <c r="Y344" s="1036"/>
      <c r="Z344" s="1036"/>
      <c r="AA344" s="1036"/>
      <c r="AB344" s="1036"/>
      <c r="AC344" s="1036"/>
      <c r="AD344" s="1036"/>
      <c r="AE344" s="1036"/>
      <c r="AF344" s="1036"/>
      <c r="AG344" s="1036"/>
      <c r="AH344" s="1036"/>
      <c r="AI344" s="1113"/>
      <c r="AJ344" s="1114"/>
      <c r="AK344" s="1115"/>
      <c r="AL344" s="1394"/>
      <c r="AM344" s="1394"/>
      <c r="AN344" s="1394"/>
      <c r="AO344" s="1394"/>
      <c r="AP344" s="1394"/>
      <c r="AQ344" s="1394"/>
      <c r="AR344" s="1394"/>
      <c r="AS344" s="1051"/>
      <c r="AT344" s="1051"/>
      <c r="AU344" s="1051"/>
      <c r="AV344" s="1051"/>
    </row>
    <row r="345" spans="1:48">
      <c r="A345" s="1450" t="s">
        <v>864</v>
      </c>
      <c r="B345" s="1431"/>
      <c r="C345" s="1437"/>
      <c r="D345" s="1431"/>
      <c r="E345" s="1437"/>
      <c r="F345" s="1431">
        <v>319</v>
      </c>
      <c r="G345" s="1431"/>
      <c r="H345" s="1454">
        <v>5.04</v>
      </c>
      <c r="I345" s="1437"/>
      <c r="J345" s="1435">
        <f t="shared" si="160"/>
        <v>1607.76</v>
      </c>
      <c r="K345" s="1431"/>
      <c r="L345" s="1433">
        <f t="shared" si="158"/>
        <v>1607.76</v>
      </c>
      <c r="M345" s="1431"/>
      <c r="N345" s="1435"/>
      <c r="O345" s="1434"/>
      <c r="P345" s="1435">
        <f t="shared" si="161"/>
        <v>319</v>
      </c>
      <c r="Q345" s="1431"/>
      <c r="R345" s="1452">
        <f t="shared" si="159"/>
        <v>5.5880987610927599</v>
      </c>
      <c r="S345" s="1468"/>
      <c r="T345" s="1453">
        <f t="shared" si="162"/>
        <v>1782.6035047885905</v>
      </c>
      <c r="U345" s="1112"/>
      <c r="V345" s="1112"/>
      <c r="W345" s="1046"/>
      <c r="X345" s="1046"/>
      <c r="Y345" s="1036"/>
      <c r="Z345" s="1036"/>
      <c r="AA345" s="1036"/>
      <c r="AB345" s="1036"/>
      <c r="AC345" s="1036"/>
      <c r="AD345" s="1036"/>
      <c r="AE345" s="1036"/>
      <c r="AF345" s="1036"/>
      <c r="AG345" s="1036"/>
      <c r="AH345" s="1036"/>
      <c r="AI345" s="1113"/>
      <c r="AJ345" s="1114"/>
      <c r="AK345" s="1115"/>
      <c r="AL345" s="1394"/>
      <c r="AM345" s="1394"/>
      <c r="AN345" s="1394"/>
      <c r="AO345" s="1394"/>
      <c r="AP345" s="1394"/>
      <c r="AQ345" s="1394"/>
      <c r="AR345" s="1394"/>
      <c r="AS345" s="1051"/>
      <c r="AT345" s="1051"/>
      <c r="AU345" s="1051"/>
      <c r="AV345" s="1051"/>
    </row>
    <row r="346" spans="1:48">
      <c r="A346" s="1450" t="s">
        <v>876</v>
      </c>
      <c r="B346" s="1431"/>
      <c r="C346" s="1437"/>
      <c r="D346" s="1431"/>
      <c r="E346" s="1437"/>
      <c r="F346" s="1431">
        <v>649</v>
      </c>
      <c r="G346" s="1431"/>
      <c r="H346" s="1454">
        <v>4.4000000000000004</v>
      </c>
      <c r="I346" s="1437"/>
      <c r="J346" s="1435">
        <f t="shared" si="160"/>
        <v>2855.6000000000004</v>
      </c>
      <c r="K346" s="1431"/>
      <c r="L346" s="1433">
        <f t="shared" si="158"/>
        <v>2855.6000000000004</v>
      </c>
      <c r="M346" s="1431"/>
      <c r="N346" s="1435"/>
      <c r="O346" s="1434"/>
      <c r="P346" s="1435">
        <f t="shared" si="161"/>
        <v>649</v>
      </c>
      <c r="Q346" s="1431"/>
      <c r="R346" s="1452">
        <f t="shared" si="159"/>
        <v>4.8784989184143148</v>
      </c>
      <c r="S346" s="1468"/>
      <c r="T346" s="1453">
        <f t="shared" si="162"/>
        <v>3166.1457980508903</v>
      </c>
      <c r="U346" s="1112"/>
      <c r="V346" s="1112"/>
      <c r="W346" s="1046"/>
      <c r="X346" s="1046"/>
      <c r="Y346" s="1036"/>
      <c r="Z346" s="1036"/>
      <c r="AA346" s="1036"/>
      <c r="AB346" s="1036"/>
      <c r="AC346" s="1036"/>
      <c r="AD346" s="1036"/>
      <c r="AE346" s="1036"/>
      <c r="AF346" s="1036"/>
      <c r="AG346" s="1036"/>
      <c r="AH346" s="1036"/>
      <c r="AI346" s="1113"/>
      <c r="AJ346" s="1114"/>
      <c r="AK346" s="1115"/>
      <c r="AL346" s="1394"/>
      <c r="AM346" s="1394"/>
      <c r="AN346" s="1394"/>
      <c r="AO346" s="1394"/>
      <c r="AP346" s="1394"/>
      <c r="AQ346" s="1394"/>
      <c r="AR346" s="1394"/>
      <c r="AS346" s="1051"/>
      <c r="AT346" s="1051"/>
      <c r="AU346" s="1051"/>
      <c r="AV346" s="1051"/>
    </row>
    <row r="347" spans="1:48" ht="12.75" thickBot="1">
      <c r="A347" s="1464" t="s">
        <v>1628</v>
      </c>
      <c r="B347" s="1442">
        <f>SUM(B341:B346)</f>
        <v>1471</v>
      </c>
      <c r="C347" s="1443"/>
      <c r="D347" s="1442">
        <f>SUM(D341:D346)</f>
        <v>16</v>
      </c>
      <c r="E347" s="1443"/>
      <c r="F347" s="1442">
        <f>SUM(F341:F346)</f>
        <v>1265</v>
      </c>
      <c r="G347" s="1396"/>
      <c r="H347" s="1398"/>
      <c r="I347" s="1397"/>
      <c r="J347" s="1458">
        <f>SUM(J342:J346)</f>
        <v>8117.6</v>
      </c>
      <c r="K347" s="1396"/>
      <c r="L347" s="1458">
        <f>SUM(L342:L346)</f>
        <v>8117.6</v>
      </c>
      <c r="M347" s="1396"/>
      <c r="N347" s="1442">
        <f>SUM(N341:N346)</f>
        <v>16</v>
      </c>
      <c r="O347" s="1400"/>
      <c r="P347" s="1442">
        <f>SUM(P341:P346)</f>
        <v>1265</v>
      </c>
      <c r="Q347" s="1396"/>
      <c r="R347" s="1452"/>
      <c r="S347" s="1443"/>
      <c r="T347" s="1458">
        <f>SUM(T342:T346)</f>
        <v>9000.3870045727381</v>
      </c>
      <c r="U347" s="1443"/>
      <c r="V347" s="1112"/>
      <c r="W347" s="1046"/>
      <c r="X347" s="1046"/>
      <c r="Y347" s="1036"/>
      <c r="Z347" s="1036"/>
      <c r="AA347" s="1036"/>
      <c r="AB347" s="1036"/>
      <c r="AC347" s="1036"/>
      <c r="AD347" s="1036"/>
      <c r="AE347" s="1036"/>
      <c r="AF347" s="1036"/>
      <c r="AG347" s="1036"/>
      <c r="AH347" s="1036"/>
      <c r="AI347" s="1113"/>
      <c r="AJ347" s="1114"/>
      <c r="AK347" s="1115"/>
      <c r="AL347" s="1394"/>
      <c r="AM347" s="1394"/>
      <c r="AN347" s="1394"/>
      <c r="AO347" s="1394"/>
      <c r="AP347" s="1394"/>
      <c r="AQ347" s="1394"/>
      <c r="AR347" s="1394"/>
      <c r="AS347" s="1051"/>
      <c r="AT347" s="1051"/>
      <c r="AU347" s="1051"/>
      <c r="AV347" s="1051"/>
    </row>
    <row r="348" spans="1:48" ht="12.75" thickTop="1">
      <c r="A348" s="1464"/>
      <c r="B348" s="1440"/>
      <c r="C348" s="1441"/>
      <c r="D348" s="1440"/>
      <c r="E348" s="1437"/>
      <c r="F348" s="1431"/>
      <c r="G348" s="1431"/>
      <c r="H348" s="1432"/>
      <c r="I348" s="1438"/>
      <c r="J348" s="1433"/>
      <c r="K348" s="1431"/>
      <c r="L348" s="1433"/>
      <c r="M348" s="1431"/>
      <c r="N348" s="1435"/>
      <c r="O348" s="1434"/>
      <c r="P348" s="1435"/>
      <c r="Q348" s="1431"/>
      <c r="R348" s="1436"/>
      <c r="S348" s="1438"/>
      <c r="T348" s="1393"/>
      <c r="U348" s="1438"/>
      <c r="V348" s="1112"/>
      <c r="W348" s="1046"/>
      <c r="X348" s="1046"/>
      <c r="Y348" s="1036"/>
      <c r="Z348" s="1036"/>
      <c r="AA348" s="1036"/>
      <c r="AB348" s="1036"/>
      <c r="AC348" s="1036"/>
      <c r="AD348" s="1036"/>
      <c r="AE348" s="1036"/>
      <c r="AF348" s="1036"/>
      <c r="AG348" s="1036"/>
      <c r="AH348" s="1036"/>
      <c r="AI348" s="1113"/>
      <c r="AJ348" s="1114"/>
      <c r="AK348" s="1115"/>
      <c r="AL348" s="1394"/>
      <c r="AM348" s="1394"/>
      <c r="AN348" s="1394"/>
      <c r="AO348" s="1394"/>
      <c r="AP348" s="1394"/>
      <c r="AQ348" s="1394"/>
      <c r="AR348" s="1394"/>
      <c r="AS348" s="1051"/>
      <c r="AT348" s="1051"/>
      <c r="AU348" s="1051"/>
      <c r="AV348" s="1051"/>
    </row>
    <row r="349" spans="1:48" ht="12.75" thickBot="1">
      <c r="A349" s="1465" t="s">
        <v>1627</v>
      </c>
      <c r="B349" s="1440"/>
      <c r="C349" s="1441"/>
      <c r="D349" s="1440"/>
      <c r="E349" s="1437"/>
      <c r="F349" s="1431"/>
      <c r="G349" s="1431"/>
      <c r="H349" s="1432"/>
      <c r="I349" s="1438"/>
      <c r="J349" s="1433"/>
      <c r="K349" s="1431"/>
      <c r="L349" s="1446">
        <f>+L347/$D347</f>
        <v>507.35</v>
      </c>
      <c r="M349" s="1431"/>
      <c r="N349" s="1435"/>
      <c r="O349" s="1434"/>
      <c r="P349" s="1435"/>
      <c r="Q349" s="1431"/>
      <c r="R349" s="1436"/>
      <c r="S349" s="1438"/>
      <c r="T349" s="1446">
        <f>+T347/$D347</f>
        <v>562.52418778579613</v>
      </c>
      <c r="U349" s="1438">
        <f>+T349-L349</f>
        <v>55.174187785796107</v>
      </c>
      <c r="V349" s="1112"/>
      <c r="W349" s="1046"/>
      <c r="X349" s="1046"/>
      <c r="Y349" s="1036"/>
      <c r="Z349" s="1036"/>
      <c r="AA349" s="1036"/>
      <c r="AB349" s="1036"/>
      <c r="AC349" s="1036"/>
      <c r="AD349" s="1036"/>
      <c r="AE349" s="1036"/>
      <c r="AF349" s="1036"/>
      <c r="AG349" s="1036"/>
      <c r="AH349" s="1036"/>
      <c r="AI349" s="1113"/>
      <c r="AJ349" s="1114"/>
      <c r="AK349" s="1115"/>
      <c r="AL349" s="1394"/>
      <c r="AM349" s="1394"/>
      <c r="AN349" s="1394"/>
      <c r="AO349" s="1394"/>
      <c r="AP349" s="1394"/>
      <c r="AQ349" s="1394"/>
      <c r="AR349" s="1394"/>
      <c r="AS349" s="1051"/>
      <c r="AT349" s="1051"/>
      <c r="AU349" s="1051"/>
      <c r="AV349" s="1051"/>
    </row>
    <row r="350" spans="1:48" ht="12.75" thickTop="1">
      <c r="A350" s="1407" t="s">
        <v>1626</v>
      </c>
      <c r="B350" s="1431">
        <v>4157</v>
      </c>
      <c r="C350" s="1437"/>
      <c r="D350" s="1431"/>
      <c r="E350" s="1437"/>
      <c r="F350" s="1431"/>
      <c r="G350" s="1431"/>
      <c r="H350" s="1432"/>
      <c r="I350" s="1437"/>
      <c r="J350" s="1433"/>
      <c r="K350" s="1431"/>
      <c r="L350" s="1433"/>
      <c r="M350" s="1431"/>
      <c r="N350" s="1435"/>
      <c r="O350" s="1434"/>
      <c r="P350" s="1435"/>
      <c r="Q350" s="1431"/>
      <c r="R350" s="1436"/>
      <c r="S350" s="1468"/>
      <c r="T350" s="1453"/>
      <c r="U350" s="1112"/>
      <c r="V350" s="1112"/>
      <c r="W350" s="1046"/>
      <c r="X350" s="1046"/>
      <c r="Y350" s="1036"/>
      <c r="Z350" s="1036"/>
      <c r="AA350" s="1036"/>
      <c r="AB350" s="1036"/>
      <c r="AC350" s="1036"/>
      <c r="AD350" s="1036"/>
      <c r="AE350" s="1036"/>
      <c r="AF350" s="1036"/>
      <c r="AG350" s="1036"/>
      <c r="AH350" s="1036"/>
      <c r="AI350" s="1113"/>
      <c r="AJ350" s="1114"/>
      <c r="AK350" s="1115"/>
      <c r="AL350" s="1394"/>
      <c r="AM350" s="1394"/>
      <c r="AN350" s="1394"/>
      <c r="AO350" s="1394"/>
      <c r="AP350" s="1394"/>
      <c r="AQ350" s="1394"/>
      <c r="AR350" s="1394"/>
      <c r="AS350" s="1051"/>
      <c r="AT350" s="1051"/>
      <c r="AU350" s="1051"/>
      <c r="AV350" s="1051"/>
    </row>
    <row r="351" spans="1:48">
      <c r="A351" s="1450" t="s">
        <v>978</v>
      </c>
      <c r="B351" s="1431"/>
      <c r="C351" s="1437"/>
      <c r="D351" s="1431">
        <v>59.999999999999915</v>
      </c>
      <c r="E351" s="1437"/>
      <c r="F351" s="1431"/>
      <c r="G351" s="1431"/>
      <c r="H351" s="1451">
        <v>120.48</v>
      </c>
      <c r="I351" s="1437"/>
      <c r="J351" s="1433">
        <f>+D351*H351</f>
        <v>7228.7999999999902</v>
      </c>
      <c r="K351" s="1431"/>
      <c r="L351" s="1433">
        <f>+J351</f>
        <v>7228.7999999999902</v>
      </c>
      <c r="M351" s="1431"/>
      <c r="N351" s="1435">
        <f>+D351</f>
        <v>59.999999999999915</v>
      </c>
      <c r="O351" s="1434"/>
      <c r="P351" s="1435"/>
      <c r="Q351" s="1431"/>
      <c r="R351" s="1452">
        <f>+H351*(1+$W$5)</f>
        <v>133.58217038421742</v>
      </c>
      <c r="S351" s="1468"/>
      <c r="T351" s="1453">
        <f>+N351*R351</f>
        <v>8014.9302230530338</v>
      </c>
      <c r="U351" s="1112"/>
      <c r="V351" s="1112"/>
      <c r="W351" s="1046"/>
      <c r="X351" s="1046"/>
      <c r="Y351" s="1036"/>
      <c r="Z351" s="1036"/>
      <c r="AA351" s="1036"/>
      <c r="AB351" s="1036"/>
      <c r="AC351" s="1036"/>
      <c r="AD351" s="1036"/>
      <c r="AE351" s="1036"/>
      <c r="AF351" s="1036"/>
      <c r="AG351" s="1036"/>
      <c r="AH351" s="1036"/>
      <c r="AI351" s="1113"/>
      <c r="AJ351" s="1114"/>
      <c r="AK351" s="1115"/>
      <c r="AL351" s="1394"/>
      <c r="AM351" s="1394"/>
      <c r="AN351" s="1394"/>
      <c r="AO351" s="1394"/>
      <c r="AP351" s="1394"/>
      <c r="AQ351" s="1394"/>
      <c r="AR351" s="1394"/>
      <c r="AS351" s="1051"/>
      <c r="AT351" s="1051"/>
      <c r="AU351" s="1051"/>
      <c r="AV351" s="1051"/>
    </row>
    <row r="352" spans="1:48">
      <c r="A352" s="1450" t="s">
        <v>979</v>
      </c>
      <c r="B352" s="1431"/>
      <c r="C352" s="1437"/>
      <c r="D352" s="1431"/>
      <c r="E352" s="1437"/>
      <c r="F352" s="1431">
        <v>287.99999999999989</v>
      </c>
      <c r="G352" s="1431"/>
      <c r="H352" s="1454">
        <v>6.23</v>
      </c>
      <c r="I352" s="1437"/>
      <c r="J352" s="1435">
        <f>+F352*H352</f>
        <v>1794.2399999999993</v>
      </c>
      <c r="K352" s="1431"/>
      <c r="L352" s="1433">
        <f t="shared" ref="L352:L355" si="163">+J352</f>
        <v>1794.2399999999993</v>
      </c>
      <c r="M352" s="1431"/>
      <c r="N352" s="1435"/>
      <c r="O352" s="1434"/>
      <c r="P352" s="1435">
        <f>+F352</f>
        <v>287.99999999999989</v>
      </c>
      <c r="Q352" s="1431"/>
      <c r="R352" s="1452">
        <f t="shared" ref="R352:R355" si="164">+H352*(1+$W$5)</f>
        <v>6.9075109685729963</v>
      </c>
      <c r="S352" s="1468"/>
      <c r="T352" s="1453">
        <f>+P352*R352</f>
        <v>1989.3631589490221</v>
      </c>
      <c r="U352" s="1112"/>
      <c r="V352" s="1112"/>
      <c r="W352" s="1046"/>
      <c r="X352" s="1046"/>
      <c r="Y352" s="1036"/>
      <c r="Z352" s="1036"/>
      <c r="AA352" s="1036"/>
      <c r="AB352" s="1036"/>
      <c r="AC352" s="1036"/>
      <c r="AD352" s="1036"/>
      <c r="AE352" s="1036"/>
      <c r="AF352" s="1036"/>
      <c r="AG352" s="1036"/>
      <c r="AH352" s="1036"/>
      <c r="AI352" s="1113"/>
      <c r="AJ352" s="1114"/>
      <c r="AK352" s="1115"/>
      <c r="AL352" s="1394"/>
      <c r="AM352" s="1394"/>
      <c r="AN352" s="1394"/>
      <c r="AO352" s="1394"/>
      <c r="AP352" s="1394"/>
      <c r="AQ352" s="1394"/>
      <c r="AR352" s="1394"/>
      <c r="AS352" s="1051"/>
      <c r="AT352" s="1051"/>
      <c r="AU352" s="1051"/>
      <c r="AV352" s="1051"/>
    </row>
    <row r="353" spans="1:48">
      <c r="A353" s="1450" t="s">
        <v>863</v>
      </c>
      <c r="B353" s="1431"/>
      <c r="C353" s="1437"/>
      <c r="D353" s="1431"/>
      <c r="E353" s="1437"/>
      <c r="F353" s="1431">
        <v>846</v>
      </c>
      <c r="G353" s="1431"/>
      <c r="H353" s="1454">
        <v>5.68</v>
      </c>
      <c r="I353" s="1437"/>
      <c r="J353" s="1435">
        <f t="shared" ref="J353:J355" si="165">+F353*H353</f>
        <v>4805.28</v>
      </c>
      <c r="K353" s="1431"/>
      <c r="L353" s="1433">
        <f t="shared" si="163"/>
        <v>4805.28</v>
      </c>
      <c r="M353" s="1431"/>
      <c r="N353" s="1435"/>
      <c r="O353" s="1434"/>
      <c r="P353" s="1435">
        <f t="shared" ref="P353:P355" si="166">+F353</f>
        <v>846</v>
      </c>
      <c r="Q353" s="1431"/>
      <c r="R353" s="1452">
        <f t="shared" si="164"/>
        <v>6.2976986037712059</v>
      </c>
      <c r="S353" s="1468"/>
      <c r="T353" s="1453">
        <f t="shared" ref="T353:T355" si="167">+P353*R353</f>
        <v>5327.8530187904398</v>
      </c>
      <c r="U353" s="1112"/>
      <c r="V353" s="1112"/>
      <c r="W353" s="1046"/>
      <c r="X353" s="1046"/>
      <c r="Y353" s="1036"/>
      <c r="Z353" s="1036"/>
      <c r="AA353" s="1036"/>
      <c r="AB353" s="1036"/>
      <c r="AC353" s="1036"/>
      <c r="AD353" s="1036"/>
      <c r="AE353" s="1036"/>
      <c r="AF353" s="1036"/>
      <c r="AG353" s="1036"/>
      <c r="AH353" s="1036"/>
      <c r="AI353" s="1113"/>
      <c r="AJ353" s="1114"/>
      <c r="AK353" s="1115"/>
      <c r="AL353" s="1394"/>
      <c r="AM353" s="1394"/>
      <c r="AN353" s="1394"/>
      <c r="AO353" s="1394"/>
      <c r="AP353" s="1394"/>
      <c r="AQ353" s="1394"/>
      <c r="AR353" s="1394"/>
      <c r="AS353" s="1051"/>
      <c r="AT353" s="1051"/>
      <c r="AU353" s="1051"/>
      <c r="AV353" s="1051"/>
    </row>
    <row r="354" spans="1:48">
      <c r="A354" s="1450" t="s">
        <v>864</v>
      </c>
      <c r="B354" s="1431"/>
      <c r="C354" s="1437"/>
      <c r="D354" s="1431"/>
      <c r="E354" s="1437"/>
      <c r="F354" s="1431">
        <v>1395</v>
      </c>
      <c r="G354" s="1431"/>
      <c r="H354" s="1454">
        <v>5.04</v>
      </c>
      <c r="I354" s="1437"/>
      <c r="J354" s="1435">
        <f t="shared" si="165"/>
        <v>7030.8</v>
      </c>
      <c r="K354" s="1431"/>
      <c r="L354" s="1433">
        <f t="shared" si="163"/>
        <v>7030.8</v>
      </c>
      <c r="M354" s="1431"/>
      <c r="N354" s="1435"/>
      <c r="O354" s="1434"/>
      <c r="P354" s="1435">
        <f t="shared" si="166"/>
        <v>1395</v>
      </c>
      <c r="Q354" s="1431"/>
      <c r="R354" s="1452">
        <f t="shared" si="164"/>
        <v>5.5880987610927599</v>
      </c>
      <c r="S354" s="1468"/>
      <c r="T354" s="1453">
        <f t="shared" si="167"/>
        <v>7795.3977717243997</v>
      </c>
      <c r="U354" s="1112"/>
      <c r="V354" s="1112"/>
      <c r="W354" s="1040"/>
      <c r="X354" s="1040"/>
      <c r="Z354" s="1036"/>
      <c r="AA354" s="1036"/>
      <c r="AB354" s="1036"/>
      <c r="AC354" s="1036"/>
      <c r="AD354" s="1036"/>
      <c r="AE354" s="1036"/>
      <c r="AF354" s="1036"/>
      <c r="AG354" s="1036"/>
      <c r="AH354" s="1036"/>
      <c r="AI354" s="1113"/>
      <c r="AJ354" s="1114"/>
      <c r="AK354" s="1115"/>
      <c r="AL354" s="1394"/>
      <c r="AM354" s="1394"/>
      <c r="AN354" s="1394"/>
      <c r="AO354" s="1394"/>
      <c r="AP354" s="1394"/>
      <c r="AQ354" s="1394"/>
      <c r="AR354" s="1394"/>
      <c r="AS354" s="1051"/>
      <c r="AT354" s="1051"/>
      <c r="AU354" s="1051"/>
      <c r="AV354" s="1051"/>
    </row>
    <row r="355" spans="1:48" ht="11.25" customHeight="1">
      <c r="A355" s="1450" t="s">
        <v>876</v>
      </c>
      <c r="B355" s="1431"/>
      <c r="C355" s="1437"/>
      <c r="D355" s="1431"/>
      <c r="E355" s="1437"/>
      <c r="F355" s="1431">
        <v>947.00000000000023</v>
      </c>
      <c r="G355" s="1431"/>
      <c r="H355" s="1454">
        <v>4.4000000000000004</v>
      </c>
      <c r="I355" s="1437"/>
      <c r="J355" s="1435">
        <f t="shared" si="165"/>
        <v>4166.8000000000011</v>
      </c>
      <c r="K355" s="1431"/>
      <c r="L355" s="1433">
        <f t="shared" si="163"/>
        <v>4166.8000000000011</v>
      </c>
      <c r="M355" s="1431"/>
      <c r="N355" s="1435"/>
      <c r="O355" s="1434"/>
      <c r="P355" s="1435">
        <f t="shared" si="166"/>
        <v>947.00000000000023</v>
      </c>
      <c r="Q355" s="1431"/>
      <c r="R355" s="1452">
        <f t="shared" si="164"/>
        <v>4.8784989184143148</v>
      </c>
      <c r="S355" s="1468"/>
      <c r="T355" s="1453">
        <f t="shared" si="167"/>
        <v>4619.9384757383568</v>
      </c>
      <c r="U355" s="1112"/>
      <c r="V355" s="1112"/>
      <c r="W355" s="1040"/>
      <c r="X355" s="1040"/>
      <c r="Z355" s="1036"/>
      <c r="AA355" s="1036"/>
      <c r="AB355" s="1036"/>
      <c r="AC355" s="1036"/>
      <c r="AD355" s="1036"/>
      <c r="AE355" s="1036"/>
      <c r="AF355" s="1036"/>
      <c r="AG355" s="1036"/>
      <c r="AH355" s="1036"/>
      <c r="AI355" s="1113"/>
      <c r="AJ355" s="1114"/>
      <c r="AK355" s="1115"/>
      <c r="AL355" s="1394"/>
      <c r="AM355" s="1394"/>
      <c r="AN355" s="1394"/>
      <c r="AO355" s="1394"/>
      <c r="AP355" s="1394"/>
      <c r="AQ355" s="1394"/>
      <c r="AR355" s="1394"/>
      <c r="AS355" s="1051"/>
      <c r="AT355" s="1051"/>
      <c r="AU355" s="1051"/>
      <c r="AV355" s="1051"/>
    </row>
    <row r="356" spans="1:48" ht="12.75" thickBot="1">
      <c r="A356" s="1464" t="s">
        <v>1625</v>
      </c>
      <c r="B356" s="1442">
        <f>SUM(B350:B355)</f>
        <v>4157</v>
      </c>
      <c r="C356" s="1443"/>
      <c r="D356" s="1442">
        <f>SUM(D350:D355)</f>
        <v>59.999999999999915</v>
      </c>
      <c r="E356" s="1443"/>
      <c r="F356" s="1442">
        <f>SUM(F350:F355)</f>
        <v>3476</v>
      </c>
      <c r="G356" s="1396"/>
      <c r="H356" s="1398"/>
      <c r="I356" s="1397"/>
      <c r="J356" s="1458">
        <f>SUM(J351:J355)</f>
        <v>25025.919999999991</v>
      </c>
      <c r="K356" s="1396"/>
      <c r="L356" s="1458">
        <f>SUM(L351:L355)</f>
        <v>25025.919999999991</v>
      </c>
      <c r="M356" s="1396"/>
      <c r="N356" s="1442">
        <f>SUM(N350:N355)</f>
        <v>59.999999999999915</v>
      </c>
      <c r="O356" s="1400"/>
      <c r="P356" s="1442">
        <f>SUM(P350:P355)</f>
        <v>3476</v>
      </c>
      <c r="Q356" s="1396"/>
      <c r="R356" s="1452"/>
      <c r="S356" s="1443"/>
      <c r="T356" s="1458">
        <f>SUM(T351:T355)</f>
        <v>27747.482648255249</v>
      </c>
      <c r="U356" s="1443"/>
      <c r="V356" s="1112"/>
      <c r="W356" s="1040"/>
      <c r="X356" s="1040"/>
      <c r="Z356" s="1036"/>
      <c r="AA356" s="1036"/>
      <c r="AB356" s="1036"/>
      <c r="AC356" s="1036"/>
      <c r="AD356" s="1036"/>
      <c r="AE356" s="1036"/>
      <c r="AF356" s="1036"/>
      <c r="AG356" s="1036"/>
      <c r="AH356" s="1036"/>
      <c r="AI356" s="1113"/>
      <c r="AJ356" s="1114"/>
      <c r="AK356" s="1115"/>
      <c r="AL356" s="1394"/>
      <c r="AM356" s="1394"/>
      <c r="AN356" s="1394"/>
      <c r="AO356" s="1394"/>
      <c r="AP356" s="1394"/>
      <c r="AQ356" s="1394"/>
      <c r="AR356" s="1394"/>
      <c r="AS356" s="1051"/>
      <c r="AT356" s="1051"/>
      <c r="AU356" s="1051"/>
      <c r="AV356" s="1051"/>
    </row>
    <row r="357" spans="1:48" ht="12.75" thickTop="1">
      <c r="A357" s="1464"/>
      <c r="B357" s="1440"/>
      <c r="C357" s="1441"/>
      <c r="D357" s="1440"/>
      <c r="E357" s="1437"/>
      <c r="F357" s="1431"/>
      <c r="G357" s="1431"/>
      <c r="H357" s="1432"/>
      <c r="I357" s="1438"/>
      <c r="J357" s="1433"/>
      <c r="K357" s="1431"/>
      <c r="L357" s="1433"/>
      <c r="M357" s="1431"/>
      <c r="N357" s="1435"/>
      <c r="O357" s="1434"/>
      <c r="P357" s="1435"/>
      <c r="Q357" s="1431"/>
      <c r="R357" s="1436"/>
      <c r="S357" s="1438"/>
      <c r="T357" s="1393"/>
      <c r="U357" s="1438"/>
      <c r="V357" s="1112"/>
      <c r="W357" s="1119"/>
      <c r="X357" s="1120"/>
      <c r="Y357" s="1121"/>
      <c r="Z357" s="1036"/>
      <c r="AA357" s="1036"/>
      <c r="AB357" s="1036"/>
      <c r="AC357" s="1036"/>
      <c r="AD357" s="1036"/>
      <c r="AE357" s="1036"/>
      <c r="AF357" s="1036"/>
      <c r="AG357" s="1036"/>
      <c r="AH357" s="1036"/>
      <c r="AI357" s="1113"/>
      <c r="AJ357" s="1114"/>
      <c r="AK357" s="1115"/>
      <c r="AL357" s="1394"/>
      <c r="AM357" s="1394"/>
      <c r="AN357" s="1394"/>
      <c r="AO357" s="1394"/>
      <c r="AP357" s="1394"/>
      <c r="AQ357" s="1394"/>
      <c r="AR357" s="1394"/>
      <c r="AS357" s="1051"/>
      <c r="AT357" s="1051"/>
      <c r="AU357" s="1051"/>
      <c r="AV357" s="1051"/>
    </row>
    <row r="358" spans="1:48" s="1424" customFormat="1" ht="12.75" thickBot="1">
      <c r="A358" s="1425" t="s">
        <v>1624</v>
      </c>
      <c r="B358" s="1440"/>
      <c r="C358" s="1441"/>
      <c r="D358" s="1440"/>
      <c r="E358" s="1437"/>
      <c r="F358" s="1431"/>
      <c r="G358" s="1431"/>
      <c r="H358" s="1432"/>
      <c r="I358" s="1438"/>
      <c r="J358" s="1433"/>
      <c r="K358" s="1431"/>
      <c r="L358" s="1446">
        <f>+L356/$D356</f>
        <v>417.0986666666671</v>
      </c>
      <c r="M358" s="1431"/>
      <c r="N358" s="1435"/>
      <c r="O358" s="1434"/>
      <c r="P358" s="1435"/>
      <c r="Q358" s="1431"/>
      <c r="R358" s="1436"/>
      <c r="S358" s="1438"/>
      <c r="T358" s="1446">
        <f>+T356/$D356</f>
        <v>462.45804413758816</v>
      </c>
      <c r="U358" s="1438">
        <f>+T358-L358</f>
        <v>45.359377470921061</v>
      </c>
      <c r="V358" s="1051"/>
      <c r="W358" s="1122"/>
      <c r="X358" s="1123"/>
      <c r="Y358" s="1124"/>
      <c r="Z358" s="1070"/>
      <c r="AA358" s="1070"/>
      <c r="AB358" s="1070"/>
      <c r="AC358" s="1070"/>
      <c r="AD358" s="1070"/>
      <c r="AE358" s="1070"/>
      <c r="AF358" s="1070"/>
      <c r="AG358" s="1070"/>
      <c r="AH358" s="1070"/>
      <c r="AI358" s="1113"/>
      <c r="AJ358" s="1114"/>
      <c r="AK358" s="1115"/>
      <c r="AL358" s="1394"/>
      <c r="AM358" s="1394"/>
      <c r="AN358" s="1394"/>
      <c r="AO358" s="1394"/>
      <c r="AP358" s="1394"/>
      <c r="AQ358" s="1394"/>
      <c r="AR358" s="1394"/>
      <c r="AS358" s="1051"/>
      <c r="AT358" s="1051"/>
      <c r="AU358" s="1051"/>
      <c r="AV358" s="1051"/>
    </row>
    <row r="359" spans="1:48" s="1424" customFormat="1" ht="12.75" thickTop="1">
      <c r="B359" s="1400"/>
      <c r="C359" s="1394"/>
      <c r="D359" s="1400"/>
      <c r="E359" s="1394"/>
      <c r="F359" s="1400"/>
      <c r="G359" s="1434"/>
      <c r="H359" s="1436"/>
      <c r="I359" s="1394"/>
      <c r="J359" s="1423"/>
      <c r="K359" s="1434"/>
      <c r="L359" s="1423"/>
      <c r="M359" s="1434"/>
      <c r="N359" s="1418"/>
      <c r="O359" s="1434"/>
      <c r="P359" s="1418"/>
      <c r="Q359" s="1400"/>
      <c r="R359" s="1402"/>
      <c r="S359" s="1391"/>
      <c r="T359" s="1391"/>
      <c r="U359" s="1051"/>
      <c r="V359" s="1051"/>
      <c r="W359" s="1122"/>
      <c r="X359" s="1123"/>
      <c r="Y359" s="1124"/>
      <c r="Z359" s="1070"/>
      <c r="AA359" s="1070"/>
      <c r="AB359" s="1070"/>
      <c r="AC359" s="1070"/>
      <c r="AD359" s="1070"/>
      <c r="AE359" s="1070"/>
      <c r="AF359" s="1070"/>
      <c r="AG359" s="1070"/>
      <c r="AH359" s="1070"/>
      <c r="AI359" s="1113"/>
      <c r="AJ359" s="1114"/>
      <c r="AK359" s="1115"/>
      <c r="AL359" s="1394"/>
      <c r="AM359" s="1394"/>
      <c r="AN359" s="1394"/>
      <c r="AO359" s="1394"/>
      <c r="AP359" s="1394"/>
      <c r="AQ359" s="1394"/>
      <c r="AR359" s="1394"/>
      <c r="AS359" s="1051"/>
      <c r="AT359" s="1051"/>
      <c r="AU359" s="1051"/>
      <c r="AV359" s="1051"/>
    </row>
    <row r="360" spans="1:48" s="1424" customFormat="1">
      <c r="A360" s="1425"/>
      <c r="B360" s="1400"/>
      <c r="C360" s="1394"/>
      <c r="D360" s="1400"/>
      <c r="E360" s="1394"/>
      <c r="F360" s="1400"/>
      <c r="G360" s="1434"/>
      <c r="H360" s="1436"/>
      <c r="I360" s="1394"/>
      <c r="J360" s="1423"/>
      <c r="K360" s="1434"/>
      <c r="L360" s="1423"/>
      <c r="M360" s="1434"/>
      <c r="N360" s="1418"/>
      <c r="O360" s="1434"/>
      <c r="P360" s="1418"/>
      <c r="Q360" s="1400"/>
      <c r="R360" s="1402"/>
      <c r="S360" s="1391"/>
      <c r="T360" s="1391"/>
      <c r="U360" s="1051"/>
      <c r="V360" s="1051"/>
      <c r="W360" s="1122"/>
      <c r="X360" s="1123"/>
      <c r="Y360" s="1124"/>
      <c r="Z360" s="1070"/>
      <c r="AA360" s="1070"/>
      <c r="AB360" s="1070"/>
      <c r="AC360" s="1070"/>
      <c r="AD360" s="1070"/>
      <c r="AE360" s="1070"/>
      <c r="AF360" s="1070"/>
      <c r="AG360" s="1070"/>
      <c r="AH360" s="1070"/>
      <c r="AI360" s="1113"/>
      <c r="AJ360" s="1114"/>
      <c r="AK360" s="1115"/>
      <c r="AL360" s="1394"/>
      <c r="AM360" s="1394"/>
      <c r="AN360" s="1394"/>
      <c r="AO360" s="1394"/>
      <c r="AP360" s="1394"/>
      <c r="AQ360" s="1394"/>
      <c r="AR360" s="1394"/>
      <c r="AS360" s="1051"/>
      <c r="AT360" s="1051"/>
      <c r="AU360" s="1051"/>
      <c r="AV360" s="1051"/>
    </row>
    <row r="361" spans="1:48">
      <c r="A361" s="1416" t="s">
        <v>1623</v>
      </c>
      <c r="B361" s="1440">
        <v>0</v>
      </c>
      <c r="C361" s="1441"/>
      <c r="D361" s="1440">
        <v>648</v>
      </c>
      <c r="E361" s="1437"/>
      <c r="F361" s="1431">
        <v>0</v>
      </c>
      <c r="G361" s="1431"/>
      <c r="H361" s="1408">
        <v>4.43</v>
      </c>
      <c r="I361" s="1438"/>
      <c r="J361" s="1433">
        <v>2870.64</v>
      </c>
      <c r="K361" s="1431"/>
      <c r="L361" s="1433">
        <v>2870.64</v>
      </c>
      <c r="M361" s="1431"/>
      <c r="N361" s="1435">
        <v>648</v>
      </c>
      <c r="O361" s="1434"/>
      <c r="P361" s="1435"/>
      <c r="Q361" s="1431"/>
      <c r="R361" s="1452">
        <f>+H361*(1+$W$5)</f>
        <v>4.9117614110398664</v>
      </c>
      <c r="S361" s="1437"/>
      <c r="T361" s="1453">
        <f>+N361*R361</f>
        <v>3182.8213943538335</v>
      </c>
      <c r="U361" s="1437"/>
      <c r="V361" s="1437"/>
      <c r="W361" s="1068"/>
      <c r="X361" s="1069"/>
      <c r="Y361" s="1070"/>
      <c r="Z361" s="1070"/>
      <c r="AA361" s="1070"/>
      <c r="AB361" s="1070"/>
      <c r="AC361" s="1070"/>
      <c r="AD361" s="1088"/>
      <c r="AE361" s="1089"/>
      <c r="AF361" s="1392"/>
      <c r="AG361" s="1415"/>
      <c r="AH361" s="1394"/>
      <c r="AI361" s="1394"/>
      <c r="AJ361" s="1392"/>
      <c r="AK361" s="1051"/>
      <c r="AL361" s="1394"/>
      <c r="AM361" s="1051"/>
      <c r="AN361" s="1394"/>
      <c r="AO361" s="1051"/>
      <c r="AP361" s="1051"/>
      <c r="AQ361" s="1051"/>
      <c r="AR361" s="1051"/>
      <c r="AS361" s="1051"/>
      <c r="AT361" s="1051"/>
      <c r="AU361" s="1051"/>
      <c r="AV361" s="1051"/>
    </row>
    <row r="362" spans="1:48" ht="12.75" thickBot="1">
      <c r="A362" s="1411" t="s">
        <v>1622</v>
      </c>
      <c r="B362" s="1442">
        <f>SUM(B361)</f>
        <v>0</v>
      </c>
      <c r="C362" s="1441"/>
      <c r="D362" s="1442">
        <f>SUM(D361)</f>
        <v>648</v>
      </c>
      <c r="E362" s="1437"/>
      <c r="F362" s="1442">
        <f>SUM(F361)</f>
        <v>0</v>
      </c>
      <c r="G362" s="1431"/>
      <c r="H362" s="1432"/>
      <c r="I362" s="1438"/>
      <c r="J362" s="1444">
        <f>J361</f>
        <v>2870.64</v>
      </c>
      <c r="K362" s="1431"/>
      <c r="L362" s="1444">
        <f>+L361</f>
        <v>2870.64</v>
      </c>
      <c r="M362" s="1431"/>
      <c r="N362" s="1445">
        <f>+N361</f>
        <v>648</v>
      </c>
      <c r="O362" s="1434"/>
      <c r="P362" s="1445">
        <f>+P361</f>
        <v>0</v>
      </c>
      <c r="Q362" s="1431"/>
      <c r="R362" s="1436"/>
      <c r="S362" s="1437"/>
      <c r="T362" s="1444">
        <f>+T361</f>
        <v>3182.8213943538335</v>
      </c>
      <c r="U362" s="1437"/>
      <c r="V362" s="1437"/>
      <c r="W362" s="1068"/>
      <c r="X362" s="1069"/>
      <c r="Y362" s="1070"/>
      <c r="Z362" s="1070"/>
      <c r="AA362" s="1070"/>
      <c r="AB362" s="1070"/>
      <c r="AC362" s="1070"/>
      <c r="AD362" s="1088"/>
      <c r="AE362" s="1089"/>
      <c r="AF362" s="1392"/>
      <c r="AG362" s="1415"/>
      <c r="AH362" s="1394"/>
      <c r="AI362" s="1394"/>
      <c r="AJ362" s="1392"/>
      <c r="AK362" s="1051"/>
      <c r="AL362" s="1394"/>
      <c r="AM362" s="1051"/>
      <c r="AN362" s="1394"/>
      <c r="AO362" s="1051"/>
      <c r="AP362" s="1051"/>
      <c r="AQ362" s="1051"/>
      <c r="AR362" s="1051"/>
      <c r="AS362" s="1051"/>
      <c r="AT362" s="1051"/>
      <c r="AU362" s="1051"/>
      <c r="AV362" s="1051"/>
    </row>
    <row r="363" spans="1:48" ht="12.75" thickTop="1">
      <c r="A363" s="1416"/>
      <c r="B363" s="1440"/>
      <c r="C363" s="1441"/>
      <c r="D363" s="1440"/>
      <c r="E363" s="1437"/>
      <c r="F363" s="1431"/>
      <c r="G363" s="1431"/>
      <c r="H363" s="1432"/>
      <c r="I363" s="1438"/>
      <c r="J363" s="1433"/>
      <c r="K363" s="1431"/>
      <c r="L363" s="1433"/>
      <c r="M363" s="1431"/>
      <c r="N363" s="1435"/>
      <c r="O363" s="1434"/>
      <c r="P363" s="1435"/>
      <c r="Q363" s="1431"/>
      <c r="R363" s="1436"/>
      <c r="S363" s="1437"/>
      <c r="T363" s="1439"/>
      <c r="U363" s="1437"/>
      <c r="V363" s="1437"/>
      <c r="W363" s="1068"/>
      <c r="X363" s="1069"/>
      <c r="Y363" s="1070"/>
      <c r="Z363" s="1070"/>
      <c r="AA363" s="1070"/>
      <c r="AB363" s="1070"/>
      <c r="AC363" s="1070"/>
      <c r="AD363" s="1088"/>
      <c r="AE363" s="1089"/>
      <c r="AF363" s="1392"/>
      <c r="AG363" s="1415"/>
      <c r="AH363" s="1394"/>
      <c r="AI363" s="1394"/>
      <c r="AJ363" s="1392"/>
      <c r="AK363" s="1051"/>
      <c r="AL363" s="1394"/>
      <c r="AM363" s="1051"/>
      <c r="AN363" s="1394"/>
      <c r="AO363" s="1051"/>
      <c r="AP363" s="1051"/>
      <c r="AQ363" s="1051"/>
      <c r="AR363" s="1051"/>
      <c r="AS363" s="1051"/>
      <c r="AT363" s="1051"/>
      <c r="AU363" s="1051"/>
      <c r="AV363" s="1051"/>
    </row>
    <row r="364" spans="1:48" ht="12.75" thickBot="1">
      <c r="A364" s="1413" t="s">
        <v>1621</v>
      </c>
      <c r="B364" s="1440"/>
      <c r="C364" s="1441"/>
      <c r="D364" s="1440"/>
      <c r="E364" s="1437"/>
      <c r="F364" s="1431"/>
      <c r="G364" s="1431"/>
      <c r="H364" s="1432"/>
      <c r="I364" s="1438"/>
      <c r="J364" s="1433"/>
      <c r="K364" s="1431"/>
      <c r="L364" s="1446">
        <f>+L362/$D362</f>
        <v>4.43</v>
      </c>
      <c r="M364" s="1431"/>
      <c r="N364" s="1435"/>
      <c r="O364" s="1434"/>
      <c r="P364" s="1435"/>
      <c r="Q364" s="1431"/>
      <c r="R364" s="1436"/>
      <c r="S364" s="1438"/>
      <c r="T364" s="1446">
        <f>+T362/$D362</f>
        <v>4.9117614110398664</v>
      </c>
      <c r="U364" s="1438">
        <f>+T364-L364</f>
        <v>0.48176141103986669</v>
      </c>
      <c r="V364" s="1437"/>
      <c r="W364" s="1068"/>
      <c r="X364" s="1069"/>
      <c r="Y364" s="1070"/>
      <c r="Z364" s="1070"/>
      <c r="AA364" s="1070"/>
      <c r="AB364" s="1070"/>
      <c r="AC364" s="1070"/>
      <c r="AD364" s="1088"/>
      <c r="AE364" s="1089"/>
      <c r="AF364" s="1392"/>
      <c r="AG364" s="1415"/>
      <c r="AH364" s="1394"/>
      <c r="AI364" s="1394"/>
      <c r="AJ364" s="1392"/>
      <c r="AK364" s="1051"/>
      <c r="AL364" s="1394"/>
      <c r="AM364" s="1051"/>
      <c r="AN364" s="1394"/>
      <c r="AO364" s="1051"/>
      <c r="AP364" s="1051"/>
      <c r="AQ364" s="1051"/>
      <c r="AR364" s="1051"/>
      <c r="AS364" s="1051"/>
      <c r="AT364" s="1051"/>
      <c r="AU364" s="1051"/>
      <c r="AV364" s="1051"/>
    </row>
    <row r="365" spans="1:48" ht="12.75" thickTop="1">
      <c r="A365" s="1416" t="s">
        <v>1620</v>
      </c>
      <c r="B365" s="1440">
        <v>0</v>
      </c>
      <c r="C365" s="1441"/>
      <c r="D365" s="1440">
        <v>144</v>
      </c>
      <c r="E365" s="1437"/>
      <c r="F365" s="1431">
        <v>0</v>
      </c>
      <c r="G365" s="1431"/>
      <c r="H365" s="1408">
        <v>19.93</v>
      </c>
      <c r="I365" s="1438"/>
      <c r="J365" s="1433">
        <v>2869.92</v>
      </c>
      <c r="K365" s="1431"/>
      <c r="L365" s="1433">
        <v>2869.92</v>
      </c>
      <c r="M365" s="1431"/>
      <c r="N365" s="1435">
        <v>144</v>
      </c>
      <c r="O365" s="1434"/>
      <c r="P365" s="1435"/>
      <c r="Q365" s="1431"/>
      <c r="R365" s="1452">
        <f>+H365*(1+$W$5)</f>
        <v>22.097382600908475</v>
      </c>
      <c r="S365" s="1437"/>
      <c r="T365" s="1453">
        <f>+N365*R365</f>
        <v>3182.0230945308203</v>
      </c>
      <c r="U365" s="1437"/>
      <c r="V365" s="1437"/>
      <c r="W365" s="1068"/>
      <c r="X365" s="1069"/>
      <c r="Y365" s="1070"/>
      <c r="Z365" s="1070"/>
      <c r="AA365" s="1070"/>
      <c r="AB365" s="1070"/>
      <c r="AC365" s="1070"/>
      <c r="AD365" s="1088"/>
      <c r="AE365" s="1089"/>
      <c r="AF365" s="1392"/>
      <c r="AG365" s="1415"/>
      <c r="AH365" s="1394"/>
      <c r="AI365" s="1394"/>
      <c r="AJ365" s="1392"/>
      <c r="AK365" s="1051"/>
      <c r="AL365" s="1394"/>
      <c r="AM365" s="1051"/>
      <c r="AN365" s="1394"/>
      <c r="AO365" s="1051"/>
      <c r="AP365" s="1051"/>
      <c r="AQ365" s="1051"/>
      <c r="AR365" s="1051"/>
      <c r="AS365" s="1051"/>
      <c r="AT365" s="1051"/>
      <c r="AU365" s="1051"/>
      <c r="AV365" s="1051"/>
    </row>
    <row r="366" spans="1:48" ht="12.75" thickBot="1">
      <c r="A366" s="1411" t="s">
        <v>1619</v>
      </c>
      <c r="B366" s="1442">
        <f>SUM(B365)</f>
        <v>0</v>
      </c>
      <c r="C366" s="1441"/>
      <c r="D366" s="1442">
        <f>SUM(D365)</f>
        <v>144</v>
      </c>
      <c r="E366" s="1437"/>
      <c r="F366" s="1442">
        <f>SUM(F365)</f>
        <v>0</v>
      </c>
      <c r="G366" s="1431"/>
      <c r="H366" s="1432"/>
      <c r="I366" s="1438"/>
      <c r="J366" s="1444">
        <f>J365</f>
        <v>2869.92</v>
      </c>
      <c r="K366" s="1431"/>
      <c r="L366" s="1444">
        <f>+L365</f>
        <v>2869.92</v>
      </c>
      <c r="M366" s="1431"/>
      <c r="N366" s="1445">
        <f>+N365</f>
        <v>144</v>
      </c>
      <c r="O366" s="1434"/>
      <c r="P366" s="1445">
        <f>+P365</f>
        <v>0</v>
      </c>
      <c r="Q366" s="1431"/>
      <c r="R366" s="1436"/>
      <c r="S366" s="1437"/>
      <c r="T366" s="1444">
        <f>+T365</f>
        <v>3182.0230945308203</v>
      </c>
      <c r="U366" s="1438"/>
      <c r="V366" s="1437"/>
      <c r="W366" s="1068"/>
      <c r="X366" s="1069"/>
      <c r="Y366" s="1070"/>
      <c r="Z366" s="1070"/>
      <c r="AA366" s="1070"/>
      <c r="AB366" s="1070"/>
      <c r="AC366" s="1070"/>
      <c r="AD366" s="1088"/>
      <c r="AE366" s="1089"/>
      <c r="AF366" s="1392"/>
      <c r="AG366" s="1415"/>
      <c r="AH366" s="1394"/>
      <c r="AI366" s="1394"/>
      <c r="AJ366" s="1392"/>
      <c r="AK366" s="1051"/>
      <c r="AL366" s="1394"/>
      <c r="AM366" s="1051"/>
      <c r="AN366" s="1394"/>
      <c r="AO366" s="1051"/>
      <c r="AP366" s="1051"/>
      <c r="AQ366" s="1051"/>
      <c r="AR366" s="1051"/>
      <c r="AS366" s="1051"/>
      <c r="AT366" s="1051"/>
      <c r="AU366" s="1051"/>
      <c r="AV366" s="1051"/>
    </row>
    <row r="367" spans="1:48" ht="12.75" thickTop="1">
      <c r="A367" s="1416"/>
      <c r="B367" s="1440"/>
      <c r="C367" s="1441"/>
      <c r="D367" s="1440"/>
      <c r="E367" s="1437"/>
      <c r="F367" s="1431"/>
      <c r="G367" s="1431"/>
      <c r="H367" s="1432"/>
      <c r="I367" s="1438"/>
      <c r="J367" s="1433"/>
      <c r="K367" s="1431"/>
      <c r="L367" s="1433"/>
      <c r="M367" s="1431"/>
      <c r="N367" s="1435"/>
      <c r="O367" s="1434"/>
      <c r="P367" s="1435"/>
      <c r="Q367" s="1431"/>
      <c r="R367" s="1436"/>
      <c r="S367" s="1437"/>
      <c r="T367" s="1439"/>
      <c r="U367" s="1437"/>
      <c r="V367" s="1437"/>
      <c r="W367" s="1784" t="s">
        <v>66</v>
      </c>
      <c r="X367" s="1784"/>
      <c r="Y367" s="1784"/>
      <c r="Z367" s="1070"/>
      <c r="AA367" s="1070"/>
      <c r="AB367" s="1070"/>
      <c r="AC367" s="1070"/>
      <c r="AD367" s="1088"/>
      <c r="AE367" s="1089"/>
      <c r="AF367" s="1392"/>
      <c r="AG367" s="1415"/>
      <c r="AH367" s="1394"/>
      <c r="AI367" s="1394"/>
      <c r="AJ367" s="1392"/>
      <c r="AK367" s="1051"/>
      <c r="AL367" s="1394"/>
      <c r="AM367" s="1051"/>
      <c r="AN367" s="1394"/>
      <c r="AO367" s="1051"/>
      <c r="AP367" s="1051"/>
      <c r="AQ367" s="1051"/>
      <c r="AR367" s="1051"/>
      <c r="AS367" s="1051"/>
      <c r="AT367" s="1051"/>
      <c r="AU367" s="1051"/>
      <c r="AV367" s="1051"/>
    </row>
    <row r="368" spans="1:48" ht="24.75" thickBot="1">
      <c r="A368" s="1413" t="s">
        <v>1618</v>
      </c>
      <c r="B368" s="1440"/>
      <c r="C368" s="1441"/>
      <c r="D368" s="1440"/>
      <c r="E368" s="1437"/>
      <c r="F368" s="1431"/>
      <c r="G368" s="1431"/>
      <c r="H368" s="1432"/>
      <c r="I368" s="1438"/>
      <c r="J368" s="1433"/>
      <c r="K368" s="1431"/>
      <c r="L368" s="1446">
        <f>+L366/$D366</f>
        <v>19.93</v>
      </c>
      <c r="M368" s="1431"/>
      <c r="N368" s="1435"/>
      <c r="O368" s="1434"/>
      <c r="P368" s="1435"/>
      <c r="Q368" s="1431"/>
      <c r="R368" s="1436"/>
      <c r="S368" s="1438"/>
      <c r="T368" s="1446">
        <f>+T366/$D366</f>
        <v>22.097382600908475</v>
      </c>
      <c r="U368" s="1438">
        <f>+T368-L368</f>
        <v>2.1673826009084749</v>
      </c>
      <c r="V368" s="1437"/>
      <c r="W368" s="1125" t="s">
        <v>1617</v>
      </c>
      <c r="X368" s="1125" t="s">
        <v>1616</v>
      </c>
      <c r="Y368" s="1036" t="s">
        <v>670</v>
      </c>
      <c r="Z368" s="1070"/>
      <c r="AA368" s="1070"/>
      <c r="AB368" s="1070"/>
      <c r="AC368" s="1070"/>
      <c r="AD368" s="1088"/>
      <c r="AE368" s="1089"/>
      <c r="AF368" s="1392"/>
      <c r="AG368" s="1415"/>
      <c r="AH368" s="1394"/>
      <c r="AI368" s="1394"/>
      <c r="AJ368" s="1392"/>
      <c r="AK368" s="1051"/>
      <c r="AL368" s="1394"/>
      <c r="AM368" s="1051"/>
      <c r="AN368" s="1394"/>
      <c r="AO368" s="1051"/>
      <c r="AP368" s="1051"/>
      <c r="AQ368" s="1051"/>
      <c r="AR368" s="1051"/>
      <c r="AS368" s="1051"/>
      <c r="AT368" s="1051"/>
      <c r="AU368" s="1051"/>
      <c r="AV368" s="1051"/>
    </row>
    <row r="369" spans="1:25" ht="13.5" thickTop="1">
      <c r="A369" s="1469"/>
      <c r="B369" s="1469"/>
      <c r="C369" s="1469"/>
      <c r="D369" s="1469"/>
      <c r="E369" s="1469"/>
      <c r="F369" s="1469"/>
      <c r="G369" s="1469"/>
      <c r="H369" s="1469"/>
      <c r="I369" s="1469"/>
      <c r="J369" s="1469"/>
      <c r="K369" s="1469"/>
      <c r="L369" s="1469"/>
      <c r="M369" s="1469"/>
      <c r="N369" s="1469"/>
      <c r="O369" s="1469"/>
      <c r="P369" s="1469"/>
      <c r="Q369" s="1469"/>
      <c r="R369" s="1469"/>
      <c r="S369" s="1469"/>
      <c r="T369" s="1469"/>
      <c r="W369" s="1119">
        <f>L356+L347+L338+L329+L320+L311+L301+L291+L281+L271+L261+L251+L241+L231+L362+L366</f>
        <v>283458.15777777787</v>
      </c>
      <c r="X369" s="1120">
        <v>277645.8670666666</v>
      </c>
      <c r="Y369" s="1121">
        <f>W369-X369</f>
        <v>5812.2907111112727</v>
      </c>
    </row>
    <row r="370" spans="1:25" s="1412" customFormat="1" ht="12.75" thickBot="1">
      <c r="A370" s="1404" t="s">
        <v>1615</v>
      </c>
      <c r="B370" s="1448">
        <f>+B366+B362+B356+B347+B338+B329+B320+B311+B301+B291+B281+B271+B261+B251+B241+B231</f>
        <v>35715</v>
      </c>
      <c r="D370" s="1448">
        <f>+D366+D362+D356+D347+D338+D329+D320+D311+D301+D291+D281+D271+D261+D251+D241+D231</f>
        <v>8613.0000000000036</v>
      </c>
      <c r="F370" s="1448">
        <f>+F366+F362+F356+F347+F338+F329+F320+F311+F301+F291+F281+F271+F261+F251+F241+F231</f>
        <v>26467.000000000004</v>
      </c>
      <c r="G370" s="1426"/>
      <c r="H370" s="1427"/>
      <c r="J370" s="1387">
        <f>+J366+J362+J356+J347+J338+J329+J320+J311+J301+J291+J281+J271+J261+J251+J241+J231</f>
        <v>283398.76000000007</v>
      </c>
      <c r="K370" s="1385"/>
      <c r="L370" s="1387">
        <f>+L366+L362+L356+L347+L338+L329+L320+L311+L301+L291+L281+L271+L261+L251+L241+L231</f>
        <v>283458.15777777781</v>
      </c>
      <c r="M370" s="1426"/>
      <c r="N370" s="1448">
        <f>+N366+N362+N356+N347+N338+N329+N320+N311+N301+N291+N281+N271+N261+N251+N241+N231</f>
        <v>8613.0000000000036</v>
      </c>
      <c r="O370" s="1428"/>
      <c r="P370" s="1448">
        <f>+P366+P362+P356+P347+P338+P329+P320+P311+P301+P291+P281+P271+P261+P251+P241+P231</f>
        <v>26467.000000000004</v>
      </c>
      <c r="Q370" s="1426"/>
      <c r="R370" s="1429"/>
      <c r="T370" s="1387">
        <f>+T366+T362+T356+T347+T338+T329+T320+T311+T301+T291+T281+T271+T261+T251+T241+T231</f>
        <v>314284.1627578644</v>
      </c>
      <c r="W370" s="1127"/>
      <c r="X370" s="1128"/>
      <c r="Y370" s="1129"/>
    </row>
    <row r="371" spans="1:25" ht="14.25" thickTop="1" thickBot="1">
      <c r="A371" s="1469"/>
      <c r="B371" s="1469"/>
      <c r="C371" s="1469"/>
      <c r="D371" s="1469"/>
      <c r="E371" s="1469"/>
      <c r="F371" s="1469"/>
      <c r="G371" s="1469"/>
      <c r="H371" s="1469"/>
      <c r="I371" s="1469"/>
      <c r="J371" s="1469"/>
      <c r="K371" s="1469"/>
      <c r="L371" s="1469"/>
      <c r="M371" s="1469"/>
      <c r="N371" s="1469"/>
      <c r="O371" s="1430"/>
      <c r="P371" s="1469"/>
      <c r="Q371" s="1469"/>
      <c r="R371" s="1469"/>
      <c r="S371" s="1469"/>
      <c r="T371" s="1469"/>
      <c r="W371" s="1786" t="s">
        <v>66</v>
      </c>
      <c r="X371" s="1786"/>
      <c r="Y371" s="1130"/>
    </row>
    <row r="372" spans="1:25" ht="13.5" thickBot="1">
      <c r="A372" s="1469"/>
      <c r="B372" s="1469"/>
      <c r="C372" s="1469"/>
      <c r="D372" s="1469"/>
      <c r="E372" s="1469"/>
      <c r="F372" s="1469"/>
      <c r="G372" s="1469"/>
      <c r="H372" s="1469"/>
      <c r="I372" s="1469"/>
      <c r="J372" s="1469"/>
      <c r="K372" s="1469"/>
      <c r="L372" s="1469"/>
      <c r="M372" s="1469"/>
      <c r="N372" s="1469"/>
      <c r="O372" s="1430"/>
      <c r="P372" s="1469"/>
      <c r="Q372" s="1469"/>
      <c r="R372" s="1469"/>
      <c r="S372" s="1469"/>
      <c r="T372" s="1469"/>
      <c r="W372" s="1131">
        <f>W369-L370</f>
        <v>0</v>
      </c>
      <c r="X372" s="1132" t="s">
        <v>1613</v>
      </c>
      <c r="Y372" s="1121"/>
    </row>
    <row r="373" spans="1:25" s="1412" customFormat="1" ht="12.75" thickBot="1">
      <c r="A373" s="1412" t="s">
        <v>1614</v>
      </c>
      <c r="B373" s="1448">
        <f>+B370+B221</f>
        <v>439666.14399999997</v>
      </c>
      <c r="D373" s="1448">
        <f>+D370+D221</f>
        <v>82417.999999999898</v>
      </c>
      <c r="F373" s="1448">
        <f>+F370+F221</f>
        <v>341171.26923076907</v>
      </c>
      <c r="G373" s="1426"/>
      <c r="H373" s="1427"/>
      <c r="J373" s="1448">
        <f>+J370+J221</f>
        <v>2103753.4699999988</v>
      </c>
      <c r="K373" s="1426"/>
      <c r="L373" s="1448">
        <f>+L370+L221</f>
        <v>2103812.8677777764</v>
      </c>
      <c r="M373" s="1426"/>
      <c r="N373" s="1448">
        <f>+N370+N221</f>
        <v>82417.999999999898</v>
      </c>
      <c r="O373" s="1428"/>
      <c r="P373" s="1448">
        <f>+P370+P221</f>
        <v>341171.26923076907</v>
      </c>
      <c r="Q373" s="1426"/>
      <c r="R373" s="1429"/>
      <c r="T373" s="1448">
        <f>+T370+T221</f>
        <v>2332602</v>
      </c>
    </row>
    <row r="374" spans="1:25" ht="12.75" thickTop="1"/>
    <row r="375" spans="1:25">
      <c r="L375" s="1099">
        <f>+'Sch.B-I.S'!F67</f>
        <v>2066451.4</v>
      </c>
    </row>
    <row r="376" spans="1:25">
      <c r="L376" s="1099">
        <f>+L373-L375</f>
        <v>37361.467777776532</v>
      </c>
      <c r="P376" s="1105"/>
      <c r="R376" s="1080"/>
      <c r="W376" s="1134">
        <f>W369+W219</f>
        <v>2103812.8677777769</v>
      </c>
      <c r="X376" s="1134">
        <f>X369+X219</f>
        <v>2000241.1086000004</v>
      </c>
      <c r="Y376" s="1121">
        <f>W376-X376</f>
        <v>103571.75917777652</v>
      </c>
    </row>
    <row r="377" spans="1:25">
      <c r="L377" s="1135">
        <f>+L376/L375</f>
        <v>1.8080012807354932E-2</v>
      </c>
    </row>
    <row r="378" spans="1:25" ht="12.75" thickBot="1">
      <c r="W378" s="1785" t="s">
        <v>391</v>
      </c>
      <c r="X378" s="1785"/>
    </row>
    <row r="379" spans="1:25" ht="12.75" thickBot="1">
      <c r="W379" s="1136">
        <f>W376-L373</f>
        <v>0</v>
      </c>
      <c r="X379" s="1132" t="s">
        <v>1613</v>
      </c>
    </row>
  </sheetData>
  <mergeCells count="3">
    <mergeCell ref="W367:Y367"/>
    <mergeCell ref="W378:X378"/>
    <mergeCell ref="W371:X371"/>
  </mergeCells>
  <pageMargins left="0.25" right="0.25" top="0.75" bottom="0.75" header="0.3" footer="0.3"/>
  <pageSetup fitToHeight="0" orientation="landscape" r:id="rId1"/>
  <rowBreaks count="2" manualBreakCount="2">
    <brk id="221" max="16383" man="1"/>
    <brk id="323" max="19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8"/>
  <sheetViews>
    <sheetView showGridLines="0" topLeftCell="H22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6.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#REF!</f>
        <v>#REF!</v>
      </c>
      <c r="S2" s="518"/>
      <c r="T2" s="519" t="e">
        <f>#REF!</f>
        <v>#REF!</v>
      </c>
    </row>
    <row r="3" spans="1:20">
      <c r="A3" s="513" t="s">
        <v>529</v>
      </c>
      <c r="M3" s="520" t="s">
        <v>522</v>
      </c>
      <c r="R3" s="519" t="e">
        <f>#REF!</f>
        <v>#REF!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#REF!</f>
        <v>#REF!</v>
      </c>
      <c r="S4" s="518"/>
      <c r="T4" s="519" t="e">
        <f>#REF!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#REF!</f>
        <v>#REF!</v>
      </c>
      <c r="S5" s="518"/>
      <c r="T5" s="519" t="e">
        <f>#REF!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#REF!</f>
        <v>#REF!</v>
      </c>
      <c r="S6" s="518"/>
      <c r="T6" s="519" t="e">
        <f>#REF!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 t="e">
        <f>#REF!</f>
        <v>#REF!</v>
      </c>
      <c r="S7" s="518"/>
      <c r="T7" s="519" t="e">
        <f>#REF!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34" si="0">P10*1000</f>
        <v>0</v>
      </c>
      <c r="C10" s="532">
        <v>81</v>
      </c>
      <c r="D10" s="533"/>
      <c r="E10" s="533">
        <f>C10</f>
        <v>81</v>
      </c>
      <c r="F10" s="533"/>
      <c r="G10" s="533">
        <f t="shared" ref="G10:G34" si="1">A10*C10</f>
        <v>0</v>
      </c>
      <c r="H10" s="533"/>
      <c r="I10" s="533">
        <f>G10</f>
        <v>0</v>
      </c>
      <c r="J10" s="533"/>
      <c r="K10" s="533">
        <f t="shared" ref="K10:K34" si="2">$E$34-E10</f>
        <v>150</v>
      </c>
      <c r="L10" s="533"/>
      <c r="M10" s="533">
        <f t="shared" ref="M10:M34" si="3">(A10*K10)+I10</f>
        <v>0</v>
      </c>
      <c r="O10" s="534">
        <f t="shared" ref="O10:O34" si="4">I10/$I$34</f>
        <v>0</v>
      </c>
      <c r="P10" s="532">
        <v>0</v>
      </c>
      <c r="R10" s="535"/>
      <c r="S10" s="513"/>
      <c r="T10" s="536" t="e">
        <f t="shared" ref="T10:T34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35</v>
      </c>
      <c r="D11" s="533"/>
      <c r="E11" s="533">
        <f t="shared" ref="E11:E34" si="6">E10+C11</f>
        <v>116</v>
      </c>
      <c r="F11" s="533"/>
      <c r="G11" s="533">
        <f t="shared" si="1"/>
        <v>35000</v>
      </c>
      <c r="H11" s="533"/>
      <c r="I11" s="533">
        <f t="shared" ref="I11:I34" si="7">I10+G11</f>
        <v>35000</v>
      </c>
      <c r="J11" s="533"/>
      <c r="K11" s="533">
        <f t="shared" si="2"/>
        <v>115</v>
      </c>
      <c r="L11" s="533"/>
      <c r="M11" s="533">
        <f t="shared" si="3"/>
        <v>150000</v>
      </c>
      <c r="O11" s="534">
        <f t="shared" si="4"/>
        <v>3.5496957403651115E-2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18</v>
      </c>
      <c r="D12" s="533"/>
      <c r="E12" s="533">
        <f t="shared" si="6"/>
        <v>134</v>
      </c>
      <c r="F12" s="533"/>
      <c r="G12" s="533">
        <f t="shared" si="1"/>
        <v>36000</v>
      </c>
      <c r="H12" s="533"/>
      <c r="I12" s="533">
        <f t="shared" si="7"/>
        <v>71000</v>
      </c>
      <c r="J12" s="533"/>
      <c r="K12" s="533">
        <f t="shared" si="2"/>
        <v>97</v>
      </c>
      <c r="L12" s="533"/>
      <c r="M12" s="533">
        <f t="shared" si="3"/>
        <v>265000</v>
      </c>
      <c r="O12" s="534">
        <f t="shared" si="4"/>
        <v>7.2008113590263698E-2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11</v>
      </c>
      <c r="D13" s="533"/>
      <c r="E13" s="533">
        <f t="shared" si="6"/>
        <v>145</v>
      </c>
      <c r="F13" s="533"/>
      <c r="G13" s="533">
        <f t="shared" si="1"/>
        <v>33000</v>
      </c>
      <c r="H13" s="533"/>
      <c r="I13" s="533">
        <f t="shared" si="7"/>
        <v>104000</v>
      </c>
      <c r="J13" s="533"/>
      <c r="K13" s="533">
        <f t="shared" si="2"/>
        <v>86</v>
      </c>
      <c r="L13" s="533"/>
      <c r="M13" s="533">
        <f t="shared" si="3"/>
        <v>362000</v>
      </c>
      <c r="N13" s="515"/>
      <c r="O13" s="534">
        <f t="shared" si="4"/>
        <v>0.10547667342799188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6</v>
      </c>
      <c r="D14" s="533"/>
      <c r="E14" s="533">
        <f t="shared" si="6"/>
        <v>151</v>
      </c>
      <c r="F14" s="533"/>
      <c r="G14" s="533">
        <f t="shared" si="1"/>
        <v>24000</v>
      </c>
      <c r="H14" s="533"/>
      <c r="I14" s="533">
        <f t="shared" si="7"/>
        <v>128000</v>
      </c>
      <c r="J14" s="533"/>
      <c r="K14" s="533">
        <f t="shared" si="2"/>
        <v>80</v>
      </c>
      <c r="L14" s="533"/>
      <c r="M14" s="533">
        <f t="shared" si="3"/>
        <v>448000</v>
      </c>
      <c r="N14" s="515"/>
      <c r="O14" s="534">
        <f t="shared" si="4"/>
        <v>0.12981744421906694</v>
      </c>
      <c r="P14" s="532">
        <v>4</v>
      </c>
      <c r="T14" s="536" t="e">
        <f t="shared" si="5"/>
        <v>#REF!</v>
      </c>
    </row>
    <row r="15" spans="1:20">
      <c r="A15" s="552">
        <f t="shared" si="0"/>
        <v>5000</v>
      </c>
      <c r="B15" s="515"/>
      <c r="C15" s="532">
        <v>8</v>
      </c>
      <c r="D15" s="533"/>
      <c r="E15" s="533">
        <f t="shared" si="6"/>
        <v>159</v>
      </c>
      <c r="F15" s="533"/>
      <c r="G15" s="533">
        <f t="shared" si="1"/>
        <v>40000</v>
      </c>
      <c r="H15" s="533"/>
      <c r="I15" s="533">
        <f t="shared" si="7"/>
        <v>168000</v>
      </c>
      <c r="J15" s="533"/>
      <c r="K15" s="533">
        <f t="shared" si="2"/>
        <v>72</v>
      </c>
      <c r="L15" s="533"/>
      <c r="M15" s="533">
        <f t="shared" si="3"/>
        <v>528000</v>
      </c>
      <c r="N15" s="515"/>
      <c r="O15" s="534">
        <f t="shared" si="4"/>
        <v>0.17038539553752535</v>
      </c>
      <c r="P15" s="532">
        <v>5</v>
      </c>
      <c r="T15" s="536" t="e">
        <f t="shared" si="5"/>
        <v>#REF!</v>
      </c>
    </row>
    <row r="16" spans="1:20">
      <c r="A16" s="552">
        <f t="shared" si="0"/>
        <v>6000</v>
      </c>
      <c r="B16" s="515"/>
      <c r="C16" s="532">
        <v>12</v>
      </c>
      <c r="D16" s="533"/>
      <c r="E16" s="533">
        <f t="shared" si="6"/>
        <v>171</v>
      </c>
      <c r="F16" s="533"/>
      <c r="G16" s="533">
        <f t="shared" si="1"/>
        <v>72000</v>
      </c>
      <c r="H16" s="533"/>
      <c r="I16" s="533">
        <f t="shared" si="7"/>
        <v>240000</v>
      </c>
      <c r="J16" s="533"/>
      <c r="K16" s="533">
        <f t="shared" si="2"/>
        <v>60</v>
      </c>
      <c r="L16" s="533"/>
      <c r="M16" s="533">
        <f t="shared" si="3"/>
        <v>600000</v>
      </c>
      <c r="N16" s="515"/>
      <c r="O16" s="534">
        <f t="shared" si="4"/>
        <v>0.2434077079107505</v>
      </c>
      <c r="P16" s="532">
        <v>6</v>
      </c>
      <c r="T16" s="536" t="e">
        <f t="shared" si="5"/>
        <v>#REF!</v>
      </c>
    </row>
    <row r="17" spans="1:20">
      <c r="A17" s="552">
        <f t="shared" si="0"/>
        <v>7000</v>
      </c>
      <c r="B17" s="515"/>
      <c r="C17" s="532">
        <v>7</v>
      </c>
      <c r="D17" s="533"/>
      <c r="E17" s="533">
        <f t="shared" si="6"/>
        <v>178</v>
      </c>
      <c r="F17" s="533"/>
      <c r="G17" s="533">
        <f t="shared" si="1"/>
        <v>49000</v>
      </c>
      <c r="H17" s="533"/>
      <c r="I17" s="533">
        <f t="shared" si="7"/>
        <v>289000</v>
      </c>
      <c r="J17" s="533"/>
      <c r="K17" s="533">
        <f t="shared" si="2"/>
        <v>53</v>
      </c>
      <c r="L17" s="533"/>
      <c r="M17" s="533">
        <f t="shared" si="3"/>
        <v>660000</v>
      </c>
      <c r="N17" s="515"/>
      <c r="O17" s="534">
        <f t="shared" si="4"/>
        <v>0.29310344827586204</v>
      </c>
      <c r="P17" s="532">
        <v>7</v>
      </c>
      <c r="T17" s="536" t="e">
        <f t="shared" si="5"/>
        <v>#REF!</v>
      </c>
    </row>
    <row r="18" spans="1:20">
      <c r="A18" s="552">
        <f t="shared" si="0"/>
        <v>8000</v>
      </c>
      <c r="B18" s="515"/>
      <c r="C18" s="532">
        <v>7</v>
      </c>
      <c r="D18" s="533"/>
      <c r="E18" s="533">
        <f t="shared" si="6"/>
        <v>185</v>
      </c>
      <c r="F18" s="533"/>
      <c r="G18" s="533">
        <f t="shared" si="1"/>
        <v>56000</v>
      </c>
      <c r="H18" s="533"/>
      <c r="I18" s="533">
        <f t="shared" si="7"/>
        <v>345000</v>
      </c>
      <c r="J18" s="533"/>
      <c r="K18" s="533">
        <f t="shared" si="2"/>
        <v>46</v>
      </c>
      <c r="L18" s="533"/>
      <c r="M18" s="533">
        <f t="shared" si="3"/>
        <v>713000</v>
      </c>
      <c r="N18" s="515"/>
      <c r="O18" s="534">
        <f t="shared" si="4"/>
        <v>0.34989858012170383</v>
      </c>
      <c r="P18" s="532">
        <v>8</v>
      </c>
      <c r="T18" s="536" t="e">
        <f t="shared" si="5"/>
        <v>#REF!</v>
      </c>
    </row>
    <row r="19" spans="1:20">
      <c r="A19" s="552">
        <f t="shared" si="0"/>
        <v>9000</v>
      </c>
      <c r="B19" s="515"/>
      <c r="C19" s="532">
        <v>4</v>
      </c>
      <c r="D19" s="533"/>
      <c r="E19" s="533">
        <f t="shared" si="6"/>
        <v>189</v>
      </c>
      <c r="F19" s="533"/>
      <c r="G19" s="533">
        <f t="shared" si="1"/>
        <v>36000</v>
      </c>
      <c r="H19" s="533"/>
      <c r="I19" s="533">
        <f t="shared" si="7"/>
        <v>381000</v>
      </c>
      <c r="J19" s="533"/>
      <c r="K19" s="533">
        <f t="shared" si="2"/>
        <v>42</v>
      </c>
      <c r="L19" s="533"/>
      <c r="M19" s="533">
        <f t="shared" si="3"/>
        <v>759000</v>
      </c>
      <c r="N19" s="515"/>
      <c r="O19" s="534">
        <f t="shared" si="4"/>
        <v>0.38640973630831643</v>
      </c>
      <c r="P19" s="532">
        <v>9</v>
      </c>
      <c r="T19" s="536" t="e">
        <f t="shared" si="5"/>
        <v>#REF!</v>
      </c>
    </row>
    <row r="20" spans="1:20">
      <c r="A20" s="552">
        <f t="shared" si="0"/>
        <v>10000</v>
      </c>
      <c r="B20" s="515"/>
      <c r="C20" s="532">
        <v>11</v>
      </c>
      <c r="D20" s="533"/>
      <c r="E20" s="533">
        <f t="shared" si="6"/>
        <v>200</v>
      </c>
      <c r="F20" s="533"/>
      <c r="G20" s="533">
        <f t="shared" si="1"/>
        <v>110000</v>
      </c>
      <c r="H20" s="533"/>
      <c r="I20" s="533">
        <f t="shared" si="7"/>
        <v>491000</v>
      </c>
      <c r="J20" s="533"/>
      <c r="K20" s="533">
        <f t="shared" si="2"/>
        <v>31</v>
      </c>
      <c r="L20" s="533"/>
      <c r="M20" s="533">
        <f t="shared" si="3"/>
        <v>801000</v>
      </c>
      <c r="N20" s="515"/>
      <c r="O20" s="534">
        <f t="shared" si="4"/>
        <v>0.49797160243407707</v>
      </c>
      <c r="P20" s="532">
        <v>10</v>
      </c>
      <c r="T20" s="536" t="e">
        <f t="shared" si="5"/>
        <v>#REF!</v>
      </c>
    </row>
    <row r="21" spans="1:20">
      <c r="A21" s="552">
        <f t="shared" si="0"/>
        <v>11000</v>
      </c>
      <c r="B21" s="515"/>
      <c r="C21" s="532">
        <v>3</v>
      </c>
      <c r="D21" s="533"/>
      <c r="E21" s="533">
        <f t="shared" si="6"/>
        <v>203</v>
      </c>
      <c r="F21" s="533"/>
      <c r="G21" s="533">
        <f t="shared" si="1"/>
        <v>33000</v>
      </c>
      <c r="H21" s="533"/>
      <c r="I21" s="533">
        <f t="shared" si="7"/>
        <v>524000</v>
      </c>
      <c r="J21" s="533"/>
      <c r="K21" s="533">
        <f t="shared" si="2"/>
        <v>28</v>
      </c>
      <c r="L21" s="533"/>
      <c r="M21" s="533">
        <f t="shared" si="3"/>
        <v>832000</v>
      </c>
      <c r="N21" s="515"/>
      <c r="O21" s="534">
        <f t="shared" si="4"/>
        <v>0.53144016227180524</v>
      </c>
      <c r="P21" s="532">
        <v>11</v>
      </c>
      <c r="T21" s="536" t="e">
        <f t="shared" si="5"/>
        <v>#REF!</v>
      </c>
    </row>
    <row r="22" spans="1:20">
      <c r="A22" s="552">
        <f t="shared" si="0"/>
        <v>12000</v>
      </c>
      <c r="B22" s="515"/>
      <c r="C22" s="532">
        <v>5</v>
      </c>
      <c r="D22" s="533"/>
      <c r="E22" s="533">
        <f t="shared" si="6"/>
        <v>208</v>
      </c>
      <c r="F22" s="533"/>
      <c r="G22" s="533">
        <f t="shared" si="1"/>
        <v>60000</v>
      </c>
      <c r="H22" s="533"/>
      <c r="I22" s="533">
        <f t="shared" si="7"/>
        <v>584000</v>
      </c>
      <c r="J22" s="533"/>
      <c r="K22" s="533">
        <f t="shared" si="2"/>
        <v>23</v>
      </c>
      <c r="L22" s="533"/>
      <c r="M22" s="533">
        <f t="shared" si="3"/>
        <v>860000</v>
      </c>
      <c r="N22" s="515"/>
      <c r="O22" s="534">
        <f t="shared" si="4"/>
        <v>0.59229208924949295</v>
      </c>
      <c r="P22" s="532">
        <v>12</v>
      </c>
      <c r="T22" s="536" t="e">
        <f t="shared" si="5"/>
        <v>#REF!</v>
      </c>
    </row>
    <row r="23" spans="1:20">
      <c r="A23" s="552">
        <f t="shared" si="0"/>
        <v>13000</v>
      </c>
      <c r="B23" s="515"/>
      <c r="C23" s="532">
        <v>7</v>
      </c>
      <c r="D23" s="533"/>
      <c r="E23" s="533">
        <f t="shared" si="6"/>
        <v>215</v>
      </c>
      <c r="F23" s="533"/>
      <c r="G23" s="533">
        <f t="shared" si="1"/>
        <v>91000</v>
      </c>
      <c r="H23" s="533"/>
      <c r="I23" s="533">
        <f t="shared" si="7"/>
        <v>675000</v>
      </c>
      <c r="J23" s="533"/>
      <c r="K23" s="533">
        <f t="shared" si="2"/>
        <v>16</v>
      </c>
      <c r="L23" s="533"/>
      <c r="M23" s="533">
        <f t="shared" si="3"/>
        <v>883000</v>
      </c>
      <c r="N23" s="515"/>
      <c r="O23" s="534">
        <f t="shared" si="4"/>
        <v>0.68458417849898578</v>
      </c>
      <c r="P23" s="532">
        <v>13</v>
      </c>
      <c r="T23" s="536" t="e">
        <f t="shared" si="5"/>
        <v>#REF!</v>
      </c>
    </row>
    <row r="24" spans="1:20">
      <c r="A24" s="552">
        <f t="shared" si="0"/>
        <v>14000</v>
      </c>
      <c r="B24" s="515"/>
      <c r="C24" s="532">
        <v>2</v>
      </c>
      <c r="D24" s="533"/>
      <c r="E24" s="533">
        <f t="shared" si="6"/>
        <v>217</v>
      </c>
      <c r="F24" s="533"/>
      <c r="G24" s="533">
        <f t="shared" si="1"/>
        <v>28000</v>
      </c>
      <c r="H24" s="533"/>
      <c r="I24" s="533">
        <f t="shared" si="7"/>
        <v>703000</v>
      </c>
      <c r="J24" s="533"/>
      <c r="K24" s="533">
        <f t="shared" si="2"/>
        <v>14</v>
      </c>
      <c r="L24" s="533"/>
      <c r="M24" s="533">
        <f t="shared" si="3"/>
        <v>899000</v>
      </c>
      <c r="N24" s="515"/>
      <c r="O24" s="534">
        <f t="shared" si="4"/>
        <v>0.71298174442190665</v>
      </c>
      <c r="P24" s="532">
        <v>14</v>
      </c>
      <c r="T24" s="536" t="e">
        <f t="shared" si="5"/>
        <v>#REF!</v>
      </c>
    </row>
    <row r="25" spans="1:20">
      <c r="A25" s="552">
        <f t="shared" si="0"/>
        <v>15000</v>
      </c>
      <c r="B25" s="515"/>
      <c r="C25" s="532">
        <v>2</v>
      </c>
      <c r="D25" s="533"/>
      <c r="E25" s="533">
        <f t="shared" si="6"/>
        <v>219</v>
      </c>
      <c r="F25" s="533"/>
      <c r="G25" s="533">
        <f t="shared" si="1"/>
        <v>30000</v>
      </c>
      <c r="H25" s="533"/>
      <c r="I25" s="533">
        <f t="shared" si="7"/>
        <v>733000</v>
      </c>
      <c r="J25" s="533"/>
      <c r="K25" s="533">
        <f t="shared" si="2"/>
        <v>12</v>
      </c>
      <c r="L25" s="533"/>
      <c r="M25" s="533">
        <f t="shared" si="3"/>
        <v>913000</v>
      </c>
      <c r="N25" s="515"/>
      <c r="O25" s="534">
        <f t="shared" si="4"/>
        <v>0.7434077079107505</v>
      </c>
      <c r="P25" s="532">
        <v>15</v>
      </c>
      <c r="T25" s="536" t="e">
        <f t="shared" si="5"/>
        <v>#REF!</v>
      </c>
    </row>
    <row r="26" spans="1:20">
      <c r="A26" s="552">
        <f t="shared" si="0"/>
        <v>16000</v>
      </c>
      <c r="B26" s="515"/>
      <c r="C26" s="532">
        <v>1</v>
      </c>
      <c r="D26" s="533"/>
      <c r="E26" s="533">
        <f t="shared" si="6"/>
        <v>220</v>
      </c>
      <c r="F26" s="533"/>
      <c r="G26" s="533">
        <f t="shared" si="1"/>
        <v>16000</v>
      </c>
      <c r="H26" s="533"/>
      <c r="I26" s="533">
        <f t="shared" si="7"/>
        <v>749000</v>
      </c>
      <c r="J26" s="533"/>
      <c r="K26" s="533">
        <f t="shared" si="2"/>
        <v>11</v>
      </c>
      <c r="L26" s="533"/>
      <c r="M26" s="533">
        <f t="shared" si="3"/>
        <v>925000</v>
      </c>
      <c r="N26" s="515"/>
      <c r="O26" s="534">
        <f t="shared" si="4"/>
        <v>0.75963488843813387</v>
      </c>
      <c r="P26" s="532">
        <v>16</v>
      </c>
      <c r="T26" s="536" t="e">
        <f t="shared" si="5"/>
        <v>#REF!</v>
      </c>
    </row>
    <row r="27" spans="1:20">
      <c r="A27" s="552">
        <f t="shared" si="0"/>
        <v>17000</v>
      </c>
      <c r="B27" s="515"/>
      <c r="C27" s="532">
        <v>1</v>
      </c>
      <c r="D27" s="533"/>
      <c r="E27" s="533">
        <f t="shared" si="6"/>
        <v>221</v>
      </c>
      <c r="F27" s="533"/>
      <c r="G27" s="533">
        <f t="shared" si="1"/>
        <v>17000</v>
      </c>
      <c r="H27" s="533"/>
      <c r="I27" s="533">
        <f t="shared" si="7"/>
        <v>766000</v>
      </c>
      <c r="J27" s="533"/>
      <c r="K27" s="533">
        <f t="shared" si="2"/>
        <v>10</v>
      </c>
      <c r="L27" s="533"/>
      <c r="M27" s="533">
        <f t="shared" si="3"/>
        <v>936000</v>
      </c>
      <c r="N27" s="515"/>
      <c r="O27" s="534">
        <f t="shared" si="4"/>
        <v>0.77687626774847873</v>
      </c>
      <c r="P27" s="532">
        <v>17</v>
      </c>
      <c r="T27" s="536" t="e">
        <f t="shared" si="5"/>
        <v>#REF!</v>
      </c>
    </row>
    <row r="28" spans="1:20">
      <c r="A28" s="552">
        <f t="shared" si="0"/>
        <v>18000</v>
      </c>
      <c r="B28" s="515"/>
      <c r="C28" s="532">
        <v>1</v>
      </c>
      <c r="D28" s="533"/>
      <c r="E28" s="533">
        <f t="shared" si="6"/>
        <v>222</v>
      </c>
      <c r="F28" s="533"/>
      <c r="G28" s="533">
        <f t="shared" si="1"/>
        <v>18000</v>
      </c>
      <c r="H28" s="533"/>
      <c r="I28" s="533">
        <f t="shared" si="7"/>
        <v>784000</v>
      </c>
      <c r="J28" s="533"/>
      <c r="K28" s="533">
        <f t="shared" si="2"/>
        <v>9</v>
      </c>
      <c r="L28" s="533"/>
      <c r="M28" s="533">
        <f t="shared" si="3"/>
        <v>946000</v>
      </c>
      <c r="N28" s="515"/>
      <c r="O28" s="534">
        <f t="shared" si="4"/>
        <v>0.79513184584178498</v>
      </c>
      <c r="P28" s="532">
        <v>18</v>
      </c>
      <c r="T28" s="536" t="e">
        <f t="shared" si="5"/>
        <v>#REF!</v>
      </c>
    </row>
    <row r="29" spans="1:20">
      <c r="A29" s="531">
        <f t="shared" si="0"/>
        <v>19000</v>
      </c>
      <c r="B29" s="515"/>
      <c r="C29" s="532">
        <v>4</v>
      </c>
      <c r="D29" s="533"/>
      <c r="E29" s="533">
        <f t="shared" si="6"/>
        <v>226</v>
      </c>
      <c r="F29" s="533"/>
      <c r="G29" s="533">
        <f t="shared" si="1"/>
        <v>76000</v>
      </c>
      <c r="H29" s="533"/>
      <c r="I29" s="533">
        <f t="shared" si="7"/>
        <v>860000</v>
      </c>
      <c r="J29" s="533"/>
      <c r="K29" s="533">
        <f t="shared" si="2"/>
        <v>5</v>
      </c>
      <c r="L29" s="533"/>
      <c r="M29" s="533">
        <f t="shared" si="3"/>
        <v>955000</v>
      </c>
      <c r="N29" s="515"/>
      <c r="O29" s="534">
        <f t="shared" si="4"/>
        <v>0.87221095334685594</v>
      </c>
      <c r="P29" s="532">
        <v>19</v>
      </c>
      <c r="T29" s="536" t="e">
        <f t="shared" si="5"/>
        <v>#REF!</v>
      </c>
    </row>
    <row r="30" spans="1:20">
      <c r="A30" s="531">
        <f t="shared" si="0"/>
        <v>20000</v>
      </c>
      <c r="B30" s="515"/>
      <c r="C30" s="532">
        <v>1</v>
      </c>
      <c r="D30" s="533"/>
      <c r="E30" s="533">
        <f t="shared" si="6"/>
        <v>227</v>
      </c>
      <c r="F30" s="533"/>
      <c r="G30" s="533">
        <f t="shared" si="1"/>
        <v>20000</v>
      </c>
      <c r="H30" s="533"/>
      <c r="I30" s="533">
        <f t="shared" si="7"/>
        <v>880000</v>
      </c>
      <c r="J30" s="533"/>
      <c r="K30" s="533">
        <f t="shared" si="2"/>
        <v>4</v>
      </c>
      <c r="L30" s="533"/>
      <c r="M30" s="533">
        <f t="shared" si="3"/>
        <v>960000</v>
      </c>
      <c r="N30" s="515"/>
      <c r="O30" s="534">
        <f t="shared" si="4"/>
        <v>0.89249492900608518</v>
      </c>
      <c r="P30" s="532">
        <v>20</v>
      </c>
      <c r="T30" s="536" t="e">
        <f t="shared" si="5"/>
        <v>#REF!</v>
      </c>
    </row>
    <row r="31" spans="1:20">
      <c r="A31" s="531">
        <f t="shared" si="0"/>
        <v>21000</v>
      </c>
      <c r="B31" s="515"/>
      <c r="C31" s="532">
        <v>1</v>
      </c>
      <c r="D31" s="533"/>
      <c r="E31" s="533">
        <f t="shared" si="6"/>
        <v>228</v>
      </c>
      <c r="F31" s="533"/>
      <c r="G31" s="533">
        <f t="shared" si="1"/>
        <v>21000</v>
      </c>
      <c r="H31" s="533"/>
      <c r="I31" s="533">
        <f t="shared" si="7"/>
        <v>901000</v>
      </c>
      <c r="J31" s="533"/>
      <c r="K31" s="533">
        <f t="shared" si="2"/>
        <v>3</v>
      </c>
      <c r="L31" s="533"/>
      <c r="M31" s="533">
        <f t="shared" si="3"/>
        <v>964000</v>
      </c>
      <c r="N31" s="515"/>
      <c r="O31" s="534">
        <f t="shared" si="4"/>
        <v>0.91379310344827591</v>
      </c>
      <c r="P31" s="532">
        <v>21</v>
      </c>
      <c r="T31" s="536" t="e">
        <f t="shared" si="5"/>
        <v>#REF!</v>
      </c>
    </row>
    <row r="32" spans="1:20">
      <c r="A32" s="531">
        <f t="shared" si="0"/>
        <v>24000</v>
      </c>
      <c r="B32" s="515"/>
      <c r="C32" s="532">
        <v>1</v>
      </c>
      <c r="D32" s="533"/>
      <c r="E32" s="533">
        <f t="shared" si="6"/>
        <v>229</v>
      </c>
      <c r="F32" s="533"/>
      <c r="G32" s="533">
        <f t="shared" si="1"/>
        <v>24000</v>
      </c>
      <c r="H32" s="533"/>
      <c r="I32" s="533">
        <f t="shared" si="7"/>
        <v>925000</v>
      </c>
      <c r="J32" s="533"/>
      <c r="K32" s="533">
        <f t="shared" si="2"/>
        <v>2</v>
      </c>
      <c r="L32" s="533"/>
      <c r="M32" s="533">
        <f t="shared" si="3"/>
        <v>973000</v>
      </c>
      <c r="N32" s="515"/>
      <c r="O32" s="534">
        <f t="shared" si="4"/>
        <v>0.93813387423935091</v>
      </c>
      <c r="P32" s="532">
        <v>24</v>
      </c>
      <c r="T32" s="536" t="e">
        <f t="shared" si="5"/>
        <v>#REF!</v>
      </c>
    </row>
    <row r="33" spans="1:20">
      <c r="A33" s="531">
        <f t="shared" si="0"/>
        <v>25000</v>
      </c>
      <c r="B33" s="515"/>
      <c r="C33" s="532">
        <v>1</v>
      </c>
      <c r="D33" s="533"/>
      <c r="E33" s="533">
        <f t="shared" si="6"/>
        <v>230</v>
      </c>
      <c r="F33" s="533"/>
      <c r="G33" s="533">
        <f t="shared" si="1"/>
        <v>25000</v>
      </c>
      <c r="H33" s="533"/>
      <c r="I33" s="533">
        <f t="shared" si="7"/>
        <v>950000</v>
      </c>
      <c r="J33" s="533"/>
      <c r="K33" s="533">
        <f t="shared" si="2"/>
        <v>1</v>
      </c>
      <c r="L33" s="533"/>
      <c r="M33" s="533">
        <f t="shared" si="3"/>
        <v>975000</v>
      </c>
      <c r="N33" s="515"/>
      <c r="O33" s="534">
        <f t="shared" si="4"/>
        <v>0.9634888438133874</v>
      </c>
      <c r="P33" s="532">
        <v>25</v>
      </c>
      <c r="T33" s="536" t="e">
        <f t="shared" si="5"/>
        <v>#REF!</v>
      </c>
    </row>
    <row r="34" spans="1:20">
      <c r="A34" s="531">
        <f t="shared" si="0"/>
        <v>36000</v>
      </c>
      <c r="B34" s="515"/>
      <c r="C34" s="532">
        <v>1</v>
      </c>
      <c r="D34" s="533"/>
      <c r="E34" s="533">
        <f t="shared" si="6"/>
        <v>231</v>
      </c>
      <c r="F34" s="533"/>
      <c r="G34" s="533">
        <f t="shared" si="1"/>
        <v>36000</v>
      </c>
      <c r="H34" s="533"/>
      <c r="I34" s="533">
        <f t="shared" si="7"/>
        <v>986000</v>
      </c>
      <c r="J34" s="533"/>
      <c r="K34" s="533">
        <f t="shared" si="2"/>
        <v>0</v>
      </c>
      <c r="L34" s="533"/>
      <c r="M34" s="533">
        <f t="shared" si="3"/>
        <v>986000</v>
      </c>
      <c r="N34" s="515"/>
      <c r="O34" s="534">
        <f t="shared" si="4"/>
        <v>1</v>
      </c>
      <c r="P34" s="532">
        <v>36</v>
      </c>
      <c r="T34" s="536" t="e">
        <f t="shared" si="5"/>
        <v>#REF!</v>
      </c>
    </row>
    <row r="35" spans="1:20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T35" s="536"/>
    </row>
    <row r="36" spans="1:20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20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  <c r="T37" s="539" t="e">
        <f>SUM(T10:T32)</f>
        <v>#REF!</v>
      </c>
    </row>
    <row r="38" spans="1:20" hidden="1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  <c r="T38" s="513">
        <v>3795</v>
      </c>
    </row>
    <row r="39" spans="1:20" hidden="1">
      <c r="A39" s="531"/>
      <c r="B39" s="544"/>
      <c r="C39" s="561"/>
      <c r="D39" s="545"/>
      <c r="E39" s="533"/>
      <c r="F39" s="533"/>
      <c r="G39" s="533"/>
      <c r="H39" s="533"/>
      <c r="I39" s="533"/>
      <c r="J39" s="545"/>
      <c r="K39" s="533"/>
      <c r="L39" s="545"/>
      <c r="M39" s="533"/>
      <c r="O39" s="534"/>
      <c r="P39" s="547"/>
      <c r="T39" s="540" t="e">
        <f>T37-T38</f>
        <v>#REF!</v>
      </c>
    </row>
    <row r="40" spans="1:20" hidden="1">
      <c r="A40" s="531"/>
      <c r="B40" s="515"/>
      <c r="C40" s="561"/>
      <c r="D40" s="515"/>
      <c r="E40" s="533"/>
      <c r="F40" s="533"/>
      <c r="G40" s="533"/>
      <c r="H40" s="533"/>
      <c r="I40" s="533"/>
      <c r="J40" s="515"/>
      <c r="K40" s="533"/>
      <c r="L40" s="515"/>
      <c r="M40" s="533"/>
      <c r="N40" s="515"/>
      <c r="O40" s="534"/>
      <c r="P40" s="547"/>
      <c r="T40" s="555" t="e">
        <f>T39/T37</f>
        <v>#REF!</v>
      </c>
    </row>
    <row r="41" spans="1:20">
      <c r="A41" s="531"/>
      <c r="B41" s="515"/>
      <c r="C41" s="561"/>
      <c r="D41" s="515"/>
      <c r="E41" s="533"/>
      <c r="F41" s="533"/>
      <c r="G41" s="533"/>
      <c r="H41" s="533"/>
      <c r="I41" s="533"/>
      <c r="J41" s="515"/>
      <c r="K41" s="533"/>
      <c r="L41" s="515"/>
      <c r="M41" s="533"/>
      <c r="N41" s="515"/>
      <c r="O41" s="534"/>
      <c r="P41" s="547"/>
    </row>
    <row r="42" spans="1:20">
      <c r="A42" s="531"/>
      <c r="B42" s="529"/>
      <c r="C42" s="561"/>
      <c r="D42" s="529"/>
      <c r="E42" s="533"/>
      <c r="F42" s="533"/>
      <c r="G42" s="533"/>
      <c r="H42" s="533"/>
      <c r="I42" s="533"/>
      <c r="J42" s="529"/>
      <c r="K42" s="533"/>
      <c r="L42" s="529"/>
      <c r="M42" s="533"/>
      <c r="N42" s="529"/>
      <c r="O42" s="534"/>
      <c r="P42" s="547"/>
    </row>
    <row r="43" spans="1:20">
      <c r="A43" s="531"/>
      <c r="B43" s="523"/>
      <c r="C43" s="561"/>
      <c r="D43" s="523"/>
      <c r="E43" s="533"/>
      <c r="F43" s="533"/>
      <c r="G43" s="533"/>
      <c r="H43" s="533"/>
      <c r="I43" s="533"/>
      <c r="J43" s="523"/>
      <c r="K43" s="533"/>
      <c r="L43" s="523"/>
      <c r="M43" s="533"/>
      <c r="N43" s="523"/>
      <c r="O43" s="534"/>
      <c r="P43" s="547"/>
    </row>
    <row r="44" spans="1:20">
      <c r="A44" s="531"/>
      <c r="B44" s="525"/>
      <c r="C44" s="561"/>
      <c r="D44" s="525"/>
      <c r="E44" s="533"/>
      <c r="F44" s="533"/>
      <c r="G44" s="533"/>
      <c r="H44" s="533"/>
      <c r="I44" s="533"/>
      <c r="J44" s="525"/>
      <c r="K44" s="533"/>
      <c r="L44" s="525"/>
      <c r="M44" s="533"/>
      <c r="N44" s="525"/>
      <c r="O44" s="534"/>
      <c r="P44" s="547"/>
    </row>
    <row r="45" spans="1:20">
      <c r="A45" s="531"/>
      <c r="B45" s="525"/>
      <c r="C45" s="561"/>
      <c r="D45" s="525"/>
      <c r="E45" s="533"/>
      <c r="F45" s="533"/>
      <c r="G45" s="533"/>
      <c r="H45" s="533"/>
      <c r="I45" s="533"/>
      <c r="J45" s="525"/>
      <c r="K45" s="533"/>
      <c r="L45" s="525"/>
      <c r="M45" s="533"/>
      <c r="N45" s="525"/>
      <c r="O45" s="534"/>
      <c r="P45" s="547"/>
    </row>
    <row r="46" spans="1:20">
      <c r="A46" s="531"/>
      <c r="B46" s="525"/>
      <c r="C46" s="561"/>
      <c r="D46" s="525"/>
      <c r="E46" s="533"/>
      <c r="F46" s="533"/>
      <c r="G46" s="533"/>
      <c r="H46" s="533"/>
      <c r="I46" s="533"/>
      <c r="J46" s="525"/>
      <c r="K46" s="533"/>
      <c r="L46" s="525"/>
      <c r="M46" s="533"/>
      <c r="N46" s="525"/>
      <c r="O46" s="534"/>
      <c r="P46" s="547"/>
    </row>
    <row r="47" spans="1:20">
      <c r="A47" s="531"/>
      <c r="B47" s="515"/>
      <c r="C47" s="561"/>
      <c r="D47" s="529"/>
      <c r="E47" s="533"/>
      <c r="F47" s="533"/>
      <c r="G47" s="533"/>
      <c r="H47" s="533"/>
      <c r="I47" s="533"/>
      <c r="J47" s="529"/>
      <c r="K47" s="533"/>
      <c r="L47" s="529"/>
      <c r="M47" s="533"/>
      <c r="N47" s="529"/>
      <c r="O47" s="534"/>
      <c r="P47" s="547"/>
    </row>
    <row r="48" spans="1:20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31"/>
      <c r="B54" s="515"/>
      <c r="C54" s="561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</row>
    <row r="55" spans="1:16">
      <c r="A55" s="531"/>
      <c r="B55" s="515"/>
      <c r="C55" s="561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</row>
    <row r="56" spans="1:16">
      <c r="A56" s="531"/>
      <c r="B56" s="515"/>
      <c r="C56" s="561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O75" s="541"/>
    </row>
    <row r="76" spans="1:15">
      <c r="A76" s="580"/>
      <c r="C76" s="545"/>
      <c r="D76" s="545"/>
      <c r="E76" s="545"/>
      <c r="F76" s="545"/>
      <c r="G76" s="545"/>
      <c r="H76" s="545"/>
      <c r="I76" s="545"/>
      <c r="J76" s="545"/>
      <c r="K76" s="545"/>
      <c r="L76" s="545"/>
      <c r="M76" s="545"/>
      <c r="O76" s="541"/>
    </row>
    <row r="77" spans="1:15">
      <c r="A77" s="580"/>
      <c r="C77" s="545"/>
      <c r="D77" s="545"/>
      <c r="E77" s="545"/>
      <c r="F77" s="545"/>
      <c r="G77" s="545"/>
      <c r="H77" s="545"/>
      <c r="I77" s="545"/>
      <c r="J77" s="545"/>
      <c r="K77" s="545"/>
      <c r="L77" s="545"/>
      <c r="M77" s="545"/>
      <c r="O77" s="541"/>
    </row>
    <row r="78" spans="1:15">
      <c r="A78" s="580"/>
      <c r="C78" s="545"/>
      <c r="D78" s="545"/>
      <c r="E78" s="545"/>
      <c r="F78" s="545"/>
      <c r="G78" s="545"/>
      <c r="H78" s="545"/>
      <c r="I78" s="545"/>
      <c r="J78" s="545"/>
      <c r="K78" s="545"/>
      <c r="L78" s="545"/>
      <c r="M78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1"/>
  <sheetViews>
    <sheetView showGridLines="0" topLeftCell="H10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875" style="513" customWidth="1"/>
    <col min="20" max="20" width="13.12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'16081-170'!T2</f>
        <v>#REF!</v>
      </c>
    </row>
    <row r="3" spans="1:20">
      <c r="A3" s="513" t="s">
        <v>529</v>
      </c>
      <c r="M3" s="520" t="s">
        <v>522</v>
      </c>
      <c r="R3" s="518" t="s">
        <v>274</v>
      </c>
      <c r="S3" s="518"/>
      <c r="T3" s="519" t="e">
        <f>'16081-170'!T3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'16081-170'!T4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'16081-170'!T5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'16081-170'!T6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'16081-170'!T7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8" si="0">P10*1000</f>
        <v>0</v>
      </c>
      <c r="C10" s="532">
        <v>19</v>
      </c>
      <c r="D10" s="533"/>
      <c r="E10" s="533">
        <f>C10</f>
        <v>19</v>
      </c>
      <c r="F10" s="533"/>
      <c r="G10" s="533">
        <f t="shared" ref="G10:G28" si="1">A10*C10</f>
        <v>0</v>
      </c>
      <c r="H10" s="533"/>
      <c r="I10" s="533">
        <f>G10</f>
        <v>0</v>
      </c>
      <c r="J10" s="533"/>
      <c r="K10" s="533">
        <f t="shared" ref="K10:K28" si="2">$E$28-E10</f>
        <v>113</v>
      </c>
      <c r="L10" s="533"/>
      <c r="M10" s="533">
        <f t="shared" ref="M10:M28" si="3">(A10*K10)+I10</f>
        <v>0</v>
      </c>
      <c r="O10" s="534">
        <f t="shared" ref="O10:O28" si="4">I10/$I$28</f>
        <v>0</v>
      </c>
      <c r="P10" s="532">
        <v>0</v>
      </c>
      <c r="R10" s="535"/>
      <c r="S10" s="513"/>
      <c r="T10" s="536" t="e">
        <f t="shared" ref="T10:T28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25</v>
      </c>
      <c r="D11" s="533"/>
      <c r="E11" s="533">
        <f t="shared" ref="E11:E28" si="6">E10+C11</f>
        <v>44</v>
      </c>
      <c r="F11" s="533"/>
      <c r="G11" s="533">
        <f t="shared" si="1"/>
        <v>25000</v>
      </c>
      <c r="H11" s="533"/>
      <c r="I11" s="533">
        <f t="shared" ref="I11:I28" si="7">I10+G11</f>
        <v>25000</v>
      </c>
      <c r="J11" s="533"/>
      <c r="K11" s="533">
        <f t="shared" si="2"/>
        <v>88</v>
      </c>
      <c r="L11" s="533"/>
      <c r="M11" s="533">
        <f t="shared" si="3"/>
        <v>113000</v>
      </c>
      <c r="O11" s="534">
        <f t="shared" si="4"/>
        <v>4.3327556325823226E-2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18</v>
      </c>
      <c r="D12" s="533"/>
      <c r="E12" s="533">
        <f t="shared" si="6"/>
        <v>62</v>
      </c>
      <c r="F12" s="533"/>
      <c r="G12" s="533">
        <f t="shared" si="1"/>
        <v>36000</v>
      </c>
      <c r="H12" s="533"/>
      <c r="I12" s="533">
        <f t="shared" si="7"/>
        <v>61000</v>
      </c>
      <c r="J12" s="533"/>
      <c r="K12" s="533">
        <f t="shared" si="2"/>
        <v>70</v>
      </c>
      <c r="L12" s="533"/>
      <c r="M12" s="533">
        <f t="shared" si="3"/>
        <v>201000</v>
      </c>
      <c r="O12" s="534">
        <f t="shared" si="4"/>
        <v>0.10571923743500866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12</v>
      </c>
      <c r="D13" s="533"/>
      <c r="E13" s="533">
        <f t="shared" si="6"/>
        <v>74</v>
      </c>
      <c r="F13" s="533"/>
      <c r="G13" s="533">
        <f t="shared" si="1"/>
        <v>36000</v>
      </c>
      <c r="H13" s="533"/>
      <c r="I13" s="533">
        <f t="shared" si="7"/>
        <v>97000</v>
      </c>
      <c r="J13" s="533"/>
      <c r="K13" s="533">
        <f t="shared" si="2"/>
        <v>58</v>
      </c>
      <c r="L13" s="533"/>
      <c r="M13" s="533">
        <f t="shared" si="3"/>
        <v>271000</v>
      </c>
      <c r="N13" s="515"/>
      <c r="O13" s="534">
        <f t="shared" si="4"/>
        <v>0.1681109185441941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17</v>
      </c>
      <c r="D14" s="533"/>
      <c r="E14" s="533">
        <f t="shared" si="6"/>
        <v>91</v>
      </c>
      <c r="F14" s="533"/>
      <c r="G14" s="533">
        <f t="shared" si="1"/>
        <v>68000</v>
      </c>
      <c r="H14" s="533"/>
      <c r="I14" s="533">
        <f t="shared" si="7"/>
        <v>165000</v>
      </c>
      <c r="J14" s="533"/>
      <c r="K14" s="533">
        <f t="shared" si="2"/>
        <v>41</v>
      </c>
      <c r="L14" s="533"/>
      <c r="M14" s="533">
        <f t="shared" si="3"/>
        <v>329000</v>
      </c>
      <c r="N14" s="515"/>
      <c r="O14" s="534">
        <f t="shared" si="4"/>
        <v>0.28596187175043325</v>
      </c>
      <c r="P14" s="532">
        <v>4</v>
      </c>
      <c r="T14" s="536" t="e">
        <f t="shared" si="5"/>
        <v>#REF!</v>
      </c>
    </row>
    <row r="15" spans="1:20">
      <c r="A15" s="552">
        <f t="shared" si="0"/>
        <v>5000</v>
      </c>
      <c r="B15" s="515"/>
      <c r="C15" s="532">
        <v>9</v>
      </c>
      <c r="D15" s="533"/>
      <c r="E15" s="533">
        <f t="shared" si="6"/>
        <v>100</v>
      </c>
      <c r="F15" s="533"/>
      <c r="G15" s="533">
        <f t="shared" si="1"/>
        <v>45000</v>
      </c>
      <c r="H15" s="533"/>
      <c r="I15" s="533">
        <f t="shared" si="7"/>
        <v>210000</v>
      </c>
      <c r="J15" s="533"/>
      <c r="K15" s="533">
        <f t="shared" si="2"/>
        <v>32</v>
      </c>
      <c r="L15" s="533"/>
      <c r="M15" s="533">
        <f t="shared" si="3"/>
        <v>370000</v>
      </c>
      <c r="N15" s="515"/>
      <c r="O15" s="534">
        <f t="shared" si="4"/>
        <v>0.36395147313691506</v>
      </c>
      <c r="P15" s="532">
        <v>5</v>
      </c>
      <c r="T15" s="536" t="e">
        <f t="shared" si="5"/>
        <v>#REF!</v>
      </c>
    </row>
    <row r="16" spans="1:20">
      <c r="A16" s="552">
        <f t="shared" si="0"/>
        <v>6000</v>
      </c>
      <c r="B16" s="515"/>
      <c r="C16" s="532">
        <v>9</v>
      </c>
      <c r="D16" s="533"/>
      <c r="E16" s="533">
        <f t="shared" si="6"/>
        <v>109</v>
      </c>
      <c r="F16" s="533"/>
      <c r="G16" s="533">
        <f t="shared" si="1"/>
        <v>54000</v>
      </c>
      <c r="H16" s="533"/>
      <c r="I16" s="533">
        <f t="shared" si="7"/>
        <v>264000</v>
      </c>
      <c r="J16" s="533"/>
      <c r="K16" s="533">
        <f t="shared" si="2"/>
        <v>23</v>
      </c>
      <c r="L16" s="533"/>
      <c r="M16" s="533">
        <f t="shared" si="3"/>
        <v>402000</v>
      </c>
      <c r="N16" s="515"/>
      <c r="O16" s="534">
        <f t="shared" si="4"/>
        <v>0.45753899480069327</v>
      </c>
      <c r="P16" s="532">
        <v>6</v>
      </c>
      <c r="T16" s="536" t="e">
        <f t="shared" si="5"/>
        <v>#REF!</v>
      </c>
    </row>
    <row r="17" spans="1:20">
      <c r="A17" s="552">
        <f t="shared" si="0"/>
        <v>7000</v>
      </c>
      <c r="B17" s="515"/>
      <c r="C17" s="532">
        <v>3</v>
      </c>
      <c r="D17" s="533"/>
      <c r="E17" s="533">
        <f t="shared" si="6"/>
        <v>112</v>
      </c>
      <c r="F17" s="533"/>
      <c r="G17" s="533">
        <f t="shared" si="1"/>
        <v>21000</v>
      </c>
      <c r="H17" s="533"/>
      <c r="I17" s="533">
        <f t="shared" si="7"/>
        <v>285000</v>
      </c>
      <c r="J17" s="533"/>
      <c r="K17" s="533">
        <f t="shared" si="2"/>
        <v>20</v>
      </c>
      <c r="L17" s="533"/>
      <c r="M17" s="533">
        <f t="shared" si="3"/>
        <v>425000</v>
      </c>
      <c r="N17" s="515"/>
      <c r="O17" s="534">
        <f t="shared" si="4"/>
        <v>0.49393414211438474</v>
      </c>
      <c r="P17" s="532">
        <v>7</v>
      </c>
      <c r="T17" s="536" t="e">
        <f t="shared" si="5"/>
        <v>#REF!</v>
      </c>
    </row>
    <row r="18" spans="1:20">
      <c r="A18" s="552">
        <f t="shared" si="0"/>
        <v>8000</v>
      </c>
      <c r="B18" s="515"/>
      <c r="C18" s="532">
        <v>3</v>
      </c>
      <c r="D18" s="533"/>
      <c r="E18" s="533">
        <f t="shared" si="6"/>
        <v>115</v>
      </c>
      <c r="F18" s="533"/>
      <c r="G18" s="533">
        <f t="shared" si="1"/>
        <v>24000</v>
      </c>
      <c r="H18" s="533"/>
      <c r="I18" s="533">
        <f t="shared" si="7"/>
        <v>309000</v>
      </c>
      <c r="J18" s="533"/>
      <c r="K18" s="533">
        <f t="shared" si="2"/>
        <v>17</v>
      </c>
      <c r="L18" s="533"/>
      <c r="M18" s="533">
        <f t="shared" si="3"/>
        <v>445000</v>
      </c>
      <c r="N18" s="515"/>
      <c r="O18" s="534">
        <f t="shared" si="4"/>
        <v>0.53552859618717508</v>
      </c>
      <c r="P18" s="532">
        <v>8</v>
      </c>
      <c r="T18" s="536" t="e">
        <f t="shared" si="5"/>
        <v>#REF!</v>
      </c>
    </row>
    <row r="19" spans="1:20">
      <c r="A19" s="552">
        <f t="shared" si="0"/>
        <v>11000</v>
      </c>
      <c r="B19" s="515"/>
      <c r="C19" s="532">
        <v>3</v>
      </c>
      <c r="D19" s="533"/>
      <c r="E19" s="533">
        <f t="shared" si="6"/>
        <v>118</v>
      </c>
      <c r="F19" s="533"/>
      <c r="G19" s="533">
        <f t="shared" si="1"/>
        <v>33000</v>
      </c>
      <c r="H19" s="533"/>
      <c r="I19" s="533">
        <f t="shared" si="7"/>
        <v>342000</v>
      </c>
      <c r="J19" s="533"/>
      <c r="K19" s="533">
        <f t="shared" si="2"/>
        <v>14</v>
      </c>
      <c r="L19" s="533"/>
      <c r="M19" s="533">
        <f t="shared" si="3"/>
        <v>496000</v>
      </c>
      <c r="N19" s="515"/>
      <c r="O19" s="534">
        <f t="shared" si="4"/>
        <v>0.59272097053726169</v>
      </c>
      <c r="P19" s="532">
        <v>11</v>
      </c>
      <c r="T19" s="536" t="e">
        <f t="shared" si="5"/>
        <v>#REF!</v>
      </c>
    </row>
    <row r="20" spans="1:20">
      <c r="A20" s="552">
        <f t="shared" si="0"/>
        <v>13000</v>
      </c>
      <c r="B20" s="515"/>
      <c r="C20" s="532">
        <v>2</v>
      </c>
      <c r="D20" s="533"/>
      <c r="E20" s="533">
        <f t="shared" si="6"/>
        <v>120</v>
      </c>
      <c r="F20" s="533"/>
      <c r="G20" s="533">
        <f t="shared" si="1"/>
        <v>26000</v>
      </c>
      <c r="H20" s="533"/>
      <c r="I20" s="533">
        <f t="shared" si="7"/>
        <v>368000</v>
      </c>
      <c r="J20" s="533"/>
      <c r="K20" s="533">
        <f t="shared" si="2"/>
        <v>12</v>
      </c>
      <c r="L20" s="533"/>
      <c r="M20" s="533">
        <f t="shared" si="3"/>
        <v>524000</v>
      </c>
      <c r="N20" s="515"/>
      <c r="O20" s="534">
        <f t="shared" si="4"/>
        <v>0.6377816291161178</v>
      </c>
      <c r="P20" s="532">
        <v>13</v>
      </c>
      <c r="T20" s="536" t="e">
        <f t="shared" si="5"/>
        <v>#REF!</v>
      </c>
    </row>
    <row r="21" spans="1:20">
      <c r="A21" s="552">
        <f t="shared" si="0"/>
        <v>14000</v>
      </c>
      <c r="B21" s="515"/>
      <c r="C21" s="532">
        <v>3</v>
      </c>
      <c r="D21" s="533"/>
      <c r="E21" s="533">
        <f t="shared" si="6"/>
        <v>123</v>
      </c>
      <c r="F21" s="533"/>
      <c r="G21" s="533">
        <f t="shared" si="1"/>
        <v>42000</v>
      </c>
      <c r="H21" s="533"/>
      <c r="I21" s="533">
        <f t="shared" si="7"/>
        <v>410000</v>
      </c>
      <c r="J21" s="533"/>
      <c r="K21" s="533">
        <f t="shared" si="2"/>
        <v>9</v>
      </c>
      <c r="L21" s="533"/>
      <c r="M21" s="533">
        <f t="shared" si="3"/>
        <v>536000</v>
      </c>
      <c r="N21" s="515"/>
      <c r="O21" s="534">
        <f t="shared" si="4"/>
        <v>0.71057192374350087</v>
      </c>
      <c r="P21" s="532">
        <v>14</v>
      </c>
      <c r="T21" s="536" t="e">
        <f t="shared" si="5"/>
        <v>#REF!</v>
      </c>
    </row>
    <row r="22" spans="1:20">
      <c r="A22" s="552">
        <f t="shared" si="0"/>
        <v>15000</v>
      </c>
      <c r="B22" s="515"/>
      <c r="C22" s="532">
        <v>2</v>
      </c>
      <c r="D22" s="533"/>
      <c r="E22" s="533">
        <f t="shared" si="6"/>
        <v>125</v>
      </c>
      <c r="F22" s="533"/>
      <c r="G22" s="533">
        <f t="shared" si="1"/>
        <v>30000</v>
      </c>
      <c r="H22" s="533"/>
      <c r="I22" s="533">
        <f t="shared" si="7"/>
        <v>440000</v>
      </c>
      <c r="J22" s="533"/>
      <c r="K22" s="533">
        <f t="shared" si="2"/>
        <v>7</v>
      </c>
      <c r="L22" s="533"/>
      <c r="M22" s="533">
        <f t="shared" si="3"/>
        <v>545000</v>
      </c>
      <c r="N22" s="515"/>
      <c r="O22" s="534">
        <f t="shared" si="4"/>
        <v>0.76256499133448874</v>
      </c>
      <c r="P22" s="532">
        <v>15</v>
      </c>
      <c r="T22" s="536" t="e">
        <f t="shared" si="5"/>
        <v>#REF!</v>
      </c>
    </row>
    <row r="23" spans="1:20">
      <c r="A23" s="552">
        <f t="shared" si="0"/>
        <v>16000</v>
      </c>
      <c r="B23" s="515"/>
      <c r="C23" s="532">
        <v>2</v>
      </c>
      <c r="D23" s="533"/>
      <c r="E23" s="533">
        <f t="shared" si="6"/>
        <v>127</v>
      </c>
      <c r="F23" s="533"/>
      <c r="G23" s="533">
        <f t="shared" si="1"/>
        <v>32000</v>
      </c>
      <c r="H23" s="533"/>
      <c r="I23" s="533">
        <f t="shared" si="7"/>
        <v>472000</v>
      </c>
      <c r="J23" s="533"/>
      <c r="K23" s="533">
        <f t="shared" si="2"/>
        <v>5</v>
      </c>
      <c r="L23" s="533"/>
      <c r="M23" s="533">
        <f t="shared" si="3"/>
        <v>552000</v>
      </c>
      <c r="N23" s="515"/>
      <c r="O23" s="534">
        <f t="shared" si="4"/>
        <v>0.81802426343154244</v>
      </c>
      <c r="P23" s="532">
        <v>16</v>
      </c>
      <c r="T23" s="536" t="e">
        <f t="shared" si="5"/>
        <v>#REF!</v>
      </c>
    </row>
    <row r="24" spans="1:20">
      <c r="A24" s="552">
        <f t="shared" si="0"/>
        <v>18000</v>
      </c>
      <c r="B24" s="515"/>
      <c r="C24" s="532">
        <v>1</v>
      </c>
      <c r="D24" s="533"/>
      <c r="E24" s="533">
        <f t="shared" si="6"/>
        <v>128</v>
      </c>
      <c r="F24" s="533"/>
      <c r="G24" s="533">
        <f t="shared" si="1"/>
        <v>18000</v>
      </c>
      <c r="H24" s="533"/>
      <c r="I24" s="533">
        <f t="shared" si="7"/>
        <v>490000</v>
      </c>
      <c r="J24" s="533"/>
      <c r="K24" s="533">
        <f t="shared" si="2"/>
        <v>4</v>
      </c>
      <c r="L24" s="533"/>
      <c r="M24" s="533">
        <f t="shared" si="3"/>
        <v>562000</v>
      </c>
      <c r="N24" s="515"/>
      <c r="O24" s="534">
        <f t="shared" si="4"/>
        <v>0.84922010398613523</v>
      </c>
      <c r="P24" s="532">
        <v>18</v>
      </c>
      <c r="T24" s="536" t="e">
        <f t="shared" si="5"/>
        <v>#REF!</v>
      </c>
    </row>
    <row r="25" spans="1:20">
      <c r="A25" s="552">
        <f t="shared" si="0"/>
        <v>19000</v>
      </c>
      <c r="B25" s="515"/>
      <c r="C25" s="532">
        <v>1</v>
      </c>
      <c r="D25" s="533"/>
      <c r="E25" s="533">
        <f t="shared" si="6"/>
        <v>129</v>
      </c>
      <c r="F25" s="533"/>
      <c r="G25" s="533">
        <f t="shared" si="1"/>
        <v>19000</v>
      </c>
      <c r="H25" s="533"/>
      <c r="I25" s="533">
        <f t="shared" si="7"/>
        <v>509000</v>
      </c>
      <c r="J25" s="533"/>
      <c r="K25" s="533">
        <f t="shared" si="2"/>
        <v>3</v>
      </c>
      <c r="L25" s="533"/>
      <c r="M25" s="533">
        <f t="shared" si="3"/>
        <v>566000</v>
      </c>
      <c r="N25" s="515"/>
      <c r="O25" s="534">
        <f t="shared" si="4"/>
        <v>0.88214904679376083</v>
      </c>
      <c r="P25" s="532">
        <v>19</v>
      </c>
      <c r="T25" s="536" t="e">
        <f t="shared" si="5"/>
        <v>#REF!</v>
      </c>
    </row>
    <row r="26" spans="1:20">
      <c r="A26" s="552">
        <f t="shared" si="0"/>
        <v>21000</v>
      </c>
      <c r="B26" s="515"/>
      <c r="C26" s="532">
        <v>1</v>
      </c>
      <c r="D26" s="533"/>
      <c r="E26" s="533">
        <f t="shared" si="6"/>
        <v>130</v>
      </c>
      <c r="F26" s="533"/>
      <c r="G26" s="533">
        <f t="shared" si="1"/>
        <v>21000</v>
      </c>
      <c r="H26" s="533"/>
      <c r="I26" s="533">
        <f t="shared" si="7"/>
        <v>530000</v>
      </c>
      <c r="J26" s="533"/>
      <c r="K26" s="533">
        <f t="shared" si="2"/>
        <v>2</v>
      </c>
      <c r="L26" s="533"/>
      <c r="M26" s="533">
        <f t="shared" si="3"/>
        <v>572000</v>
      </c>
      <c r="N26" s="515"/>
      <c r="O26" s="534">
        <f t="shared" si="4"/>
        <v>0.91854419410745236</v>
      </c>
      <c r="P26" s="532">
        <v>21</v>
      </c>
      <c r="T26" s="536" t="e">
        <f t="shared" si="5"/>
        <v>#REF!</v>
      </c>
    </row>
    <row r="27" spans="1:20">
      <c r="A27" s="552">
        <f t="shared" si="0"/>
        <v>23000</v>
      </c>
      <c r="B27" s="515"/>
      <c r="C27" s="532">
        <v>1</v>
      </c>
      <c r="D27" s="533"/>
      <c r="E27" s="533">
        <f t="shared" si="6"/>
        <v>131</v>
      </c>
      <c r="F27" s="533"/>
      <c r="G27" s="533">
        <f t="shared" si="1"/>
        <v>23000</v>
      </c>
      <c r="H27" s="533"/>
      <c r="I27" s="533">
        <f t="shared" si="7"/>
        <v>553000</v>
      </c>
      <c r="J27" s="533"/>
      <c r="K27" s="533">
        <f t="shared" si="2"/>
        <v>1</v>
      </c>
      <c r="L27" s="533"/>
      <c r="M27" s="533">
        <f t="shared" si="3"/>
        <v>576000</v>
      </c>
      <c r="N27" s="515"/>
      <c r="O27" s="534">
        <f t="shared" si="4"/>
        <v>0.95840554592720972</v>
      </c>
      <c r="P27" s="532">
        <v>23</v>
      </c>
      <c r="T27" s="536" t="e">
        <f t="shared" si="5"/>
        <v>#REF!</v>
      </c>
    </row>
    <row r="28" spans="1:20">
      <c r="A28" s="552">
        <f t="shared" si="0"/>
        <v>24000</v>
      </c>
      <c r="B28" s="515"/>
      <c r="C28" s="532">
        <v>1</v>
      </c>
      <c r="D28" s="533"/>
      <c r="E28" s="533">
        <f t="shared" si="6"/>
        <v>132</v>
      </c>
      <c r="F28" s="533"/>
      <c r="G28" s="533">
        <f t="shared" si="1"/>
        <v>24000</v>
      </c>
      <c r="H28" s="533"/>
      <c r="I28" s="533">
        <f t="shared" si="7"/>
        <v>577000</v>
      </c>
      <c r="J28" s="533"/>
      <c r="K28" s="533">
        <f t="shared" si="2"/>
        <v>0</v>
      </c>
      <c r="L28" s="533"/>
      <c r="M28" s="533">
        <f t="shared" si="3"/>
        <v>577000</v>
      </c>
      <c r="N28" s="515"/>
      <c r="O28" s="534">
        <f t="shared" si="4"/>
        <v>1</v>
      </c>
      <c r="P28" s="532">
        <v>24</v>
      </c>
      <c r="T28" s="536" t="e">
        <f t="shared" si="5"/>
        <v>#REF!</v>
      </c>
    </row>
    <row r="29" spans="1:20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T29" s="536"/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T30" s="554" t="e">
        <f>SUM(T10:T28)</f>
        <v>#REF!</v>
      </c>
    </row>
    <row r="31" spans="1:20" hidden="1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T31" s="536">
        <v>2127</v>
      </c>
    </row>
    <row r="32" spans="1:20" hidden="1">
      <c r="A32" s="531"/>
      <c r="B32" s="544"/>
      <c r="C32" s="561"/>
      <c r="D32" s="545"/>
      <c r="E32" s="533"/>
      <c r="F32" s="533"/>
      <c r="G32" s="533"/>
      <c r="H32" s="533"/>
      <c r="I32" s="533"/>
      <c r="J32" s="545"/>
      <c r="K32" s="533"/>
      <c r="L32" s="545"/>
      <c r="M32" s="533"/>
      <c r="O32" s="534"/>
      <c r="P32" s="547"/>
      <c r="T32" s="536" t="e">
        <f>T30-T31</f>
        <v>#REF!</v>
      </c>
    </row>
    <row r="33" spans="1:20" hidden="1">
      <c r="A33" s="531"/>
      <c r="B33" s="515"/>
      <c r="C33" s="561"/>
      <c r="D33" s="515"/>
      <c r="E33" s="533"/>
      <c r="F33" s="533"/>
      <c r="G33" s="533"/>
      <c r="H33" s="533"/>
      <c r="I33" s="533"/>
      <c r="J33" s="515"/>
      <c r="K33" s="533"/>
      <c r="L33" s="515"/>
      <c r="M33" s="533"/>
      <c r="N33" s="515"/>
      <c r="O33" s="534"/>
      <c r="P33" s="547"/>
      <c r="T33" s="513" t="e">
        <f>T32/T30</f>
        <v>#REF!</v>
      </c>
    </row>
    <row r="34" spans="1:20">
      <c r="A34" s="531"/>
      <c r="B34" s="515"/>
      <c r="C34" s="561"/>
      <c r="D34" s="515"/>
      <c r="E34" s="533"/>
      <c r="F34" s="533"/>
      <c r="G34" s="533"/>
      <c r="H34" s="533"/>
      <c r="I34" s="533"/>
      <c r="J34" s="515"/>
      <c r="K34" s="533"/>
      <c r="L34" s="515"/>
      <c r="M34" s="533"/>
      <c r="N34" s="515"/>
      <c r="O34" s="534"/>
      <c r="P34" s="547"/>
    </row>
    <row r="35" spans="1:20">
      <c r="A35" s="531"/>
      <c r="B35" s="529"/>
      <c r="C35" s="561"/>
      <c r="D35" s="529"/>
      <c r="E35" s="533"/>
      <c r="F35" s="533"/>
      <c r="G35" s="533"/>
      <c r="H35" s="533"/>
      <c r="I35" s="533"/>
      <c r="J35" s="529"/>
      <c r="K35" s="533"/>
      <c r="L35" s="529"/>
      <c r="M35" s="533"/>
      <c r="N35" s="529"/>
      <c r="O35" s="534"/>
      <c r="P35" s="547"/>
    </row>
    <row r="36" spans="1:20">
      <c r="A36" s="531"/>
      <c r="B36" s="523"/>
      <c r="C36" s="561"/>
      <c r="D36" s="523"/>
      <c r="E36" s="533"/>
      <c r="F36" s="533"/>
      <c r="G36" s="533"/>
      <c r="H36" s="533"/>
      <c r="I36" s="533"/>
      <c r="J36" s="523"/>
      <c r="K36" s="533"/>
      <c r="L36" s="523"/>
      <c r="M36" s="533"/>
      <c r="N36" s="523"/>
      <c r="O36" s="534"/>
      <c r="P36" s="547"/>
    </row>
    <row r="37" spans="1:20">
      <c r="A37" s="531"/>
      <c r="B37" s="525"/>
      <c r="C37" s="561"/>
      <c r="D37" s="525"/>
      <c r="E37" s="533"/>
      <c r="F37" s="533"/>
      <c r="G37" s="533"/>
      <c r="H37" s="533"/>
      <c r="I37" s="533"/>
      <c r="J37" s="525"/>
      <c r="K37" s="533"/>
      <c r="L37" s="525"/>
      <c r="M37" s="533"/>
      <c r="N37" s="525"/>
      <c r="O37" s="534"/>
      <c r="P37" s="547"/>
    </row>
    <row r="38" spans="1:20">
      <c r="A38" s="531"/>
      <c r="B38" s="525"/>
      <c r="C38" s="561"/>
      <c r="D38" s="525"/>
      <c r="E38" s="533"/>
      <c r="F38" s="533"/>
      <c r="G38" s="533"/>
      <c r="H38" s="533"/>
      <c r="I38" s="533"/>
      <c r="J38" s="525"/>
      <c r="K38" s="533"/>
      <c r="L38" s="525"/>
      <c r="M38" s="533"/>
      <c r="N38" s="525"/>
      <c r="O38" s="534"/>
      <c r="P38" s="547"/>
    </row>
    <row r="39" spans="1:20">
      <c r="A39" s="531"/>
      <c r="B39" s="525"/>
      <c r="C39" s="561"/>
      <c r="D39" s="525"/>
      <c r="E39" s="533"/>
      <c r="F39" s="533"/>
      <c r="G39" s="533"/>
      <c r="H39" s="533"/>
      <c r="I39" s="533"/>
      <c r="J39" s="525"/>
      <c r="K39" s="533"/>
      <c r="L39" s="525"/>
      <c r="M39" s="533"/>
      <c r="N39" s="525"/>
      <c r="O39" s="534"/>
      <c r="P39" s="547"/>
    </row>
    <row r="40" spans="1:20">
      <c r="A40" s="531"/>
      <c r="B40" s="515"/>
      <c r="C40" s="561"/>
      <c r="D40" s="529"/>
      <c r="E40" s="533"/>
      <c r="F40" s="533"/>
      <c r="G40" s="533"/>
      <c r="H40" s="533"/>
      <c r="I40" s="533"/>
      <c r="J40" s="529"/>
      <c r="K40" s="533"/>
      <c r="L40" s="529"/>
      <c r="M40" s="533"/>
      <c r="N40" s="529"/>
      <c r="O40" s="534"/>
      <c r="P40" s="547"/>
    </row>
    <row r="41" spans="1:20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20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20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20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20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20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20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20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6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6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6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8"/>
  <sheetViews>
    <sheetView showGridLines="0" topLeftCell="H1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3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'16081-171'!T2</f>
        <v>#REF!</v>
      </c>
    </row>
    <row r="3" spans="1:20">
      <c r="A3" s="513" t="s">
        <v>529</v>
      </c>
      <c r="M3" s="520" t="s">
        <v>522</v>
      </c>
      <c r="R3" s="518" t="s">
        <v>274</v>
      </c>
      <c r="S3" s="518"/>
      <c r="T3" s="519" t="e">
        <f>'16081-171'!T3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'16081-171'!T4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'16081-171'!T5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'16081-171'!T6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'16081-171'!T7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5" si="0">P10*1000</f>
        <v>0</v>
      </c>
      <c r="C10" s="532">
        <v>26</v>
      </c>
      <c r="D10" s="533"/>
      <c r="E10" s="533">
        <f>C10</f>
        <v>26</v>
      </c>
      <c r="F10" s="533"/>
      <c r="G10" s="533">
        <f t="shared" ref="G10:G15" si="1">A10*C10</f>
        <v>0</v>
      </c>
      <c r="H10" s="533"/>
      <c r="I10" s="533">
        <f>G10</f>
        <v>0</v>
      </c>
      <c r="J10" s="533"/>
      <c r="K10" s="533">
        <f t="shared" ref="K10:K15" si="2">$E$15-E10</f>
        <v>40</v>
      </c>
      <c r="L10" s="533"/>
      <c r="M10" s="533">
        <f t="shared" ref="M10:M15" si="3">(A10*K10)+I10</f>
        <v>0</v>
      </c>
      <c r="O10" s="534">
        <f t="shared" ref="O10:O15" si="4">I10/$I$15</f>
        <v>0</v>
      </c>
      <c r="P10" s="532">
        <v>0</v>
      </c>
      <c r="R10" s="535"/>
      <c r="S10" s="513"/>
      <c r="T10" s="536" t="e">
        <f t="shared" ref="T10:T15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30</v>
      </c>
      <c r="D11" s="533"/>
      <c r="E11" s="533">
        <f>E10+C11</f>
        <v>56</v>
      </c>
      <c r="F11" s="533"/>
      <c r="G11" s="533">
        <f t="shared" si="1"/>
        <v>30000</v>
      </c>
      <c r="H11" s="533"/>
      <c r="I11" s="533">
        <f>I10+G11</f>
        <v>30000</v>
      </c>
      <c r="J11" s="533"/>
      <c r="K11" s="533">
        <f t="shared" si="2"/>
        <v>10</v>
      </c>
      <c r="L11" s="533"/>
      <c r="M11" s="533">
        <f t="shared" si="3"/>
        <v>40000</v>
      </c>
      <c r="O11" s="534">
        <f t="shared" si="4"/>
        <v>0.45454545454545453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6</v>
      </c>
      <c r="D12" s="533"/>
      <c r="E12" s="533">
        <f>E11+C12</f>
        <v>62</v>
      </c>
      <c r="F12" s="533"/>
      <c r="G12" s="533">
        <f t="shared" si="1"/>
        <v>12000</v>
      </c>
      <c r="H12" s="533"/>
      <c r="I12" s="533">
        <f>I11+G12</f>
        <v>42000</v>
      </c>
      <c r="J12" s="533"/>
      <c r="K12" s="533">
        <f t="shared" si="2"/>
        <v>4</v>
      </c>
      <c r="L12" s="533"/>
      <c r="M12" s="533">
        <f t="shared" si="3"/>
        <v>50000</v>
      </c>
      <c r="O12" s="534">
        <f t="shared" si="4"/>
        <v>0.63636363636363635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2</v>
      </c>
      <c r="D13" s="533"/>
      <c r="E13" s="533">
        <f>E12+C13</f>
        <v>64</v>
      </c>
      <c r="F13" s="533"/>
      <c r="G13" s="533">
        <f t="shared" si="1"/>
        <v>6000</v>
      </c>
      <c r="H13" s="533"/>
      <c r="I13" s="533">
        <f>I12+G13</f>
        <v>48000</v>
      </c>
      <c r="J13" s="533"/>
      <c r="K13" s="533">
        <f t="shared" si="2"/>
        <v>2</v>
      </c>
      <c r="L13" s="533"/>
      <c r="M13" s="533">
        <f t="shared" si="3"/>
        <v>54000</v>
      </c>
      <c r="N13" s="515"/>
      <c r="O13" s="534">
        <f t="shared" si="4"/>
        <v>0.72727272727272729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1</v>
      </c>
      <c r="D14" s="533"/>
      <c r="E14" s="533">
        <f>E13+C14</f>
        <v>65</v>
      </c>
      <c r="F14" s="533"/>
      <c r="G14" s="533">
        <f t="shared" si="1"/>
        <v>4000</v>
      </c>
      <c r="H14" s="533"/>
      <c r="I14" s="533">
        <f>I13+G14</f>
        <v>52000</v>
      </c>
      <c r="J14" s="533"/>
      <c r="K14" s="533">
        <f t="shared" si="2"/>
        <v>1</v>
      </c>
      <c r="L14" s="533"/>
      <c r="M14" s="533">
        <f t="shared" si="3"/>
        <v>56000</v>
      </c>
      <c r="N14" s="515"/>
      <c r="O14" s="534">
        <f t="shared" si="4"/>
        <v>0.78787878787878785</v>
      </c>
      <c r="P14" s="532">
        <v>4</v>
      </c>
      <c r="T14" s="536" t="e">
        <f t="shared" si="5"/>
        <v>#REF!</v>
      </c>
    </row>
    <row r="15" spans="1:20">
      <c r="A15" s="552">
        <f t="shared" si="0"/>
        <v>14000</v>
      </c>
      <c r="B15" s="515"/>
      <c r="C15" s="532">
        <v>1</v>
      </c>
      <c r="D15" s="533"/>
      <c r="E15" s="533">
        <f>E14+C15</f>
        <v>66</v>
      </c>
      <c r="F15" s="533"/>
      <c r="G15" s="533">
        <f t="shared" si="1"/>
        <v>14000</v>
      </c>
      <c r="H15" s="533"/>
      <c r="I15" s="533">
        <f>I14+G15</f>
        <v>66000</v>
      </c>
      <c r="J15" s="533"/>
      <c r="K15" s="533">
        <f t="shared" si="2"/>
        <v>0</v>
      </c>
      <c r="L15" s="533"/>
      <c r="M15" s="533">
        <f t="shared" si="3"/>
        <v>66000</v>
      </c>
      <c r="N15" s="515"/>
      <c r="O15" s="534">
        <f t="shared" si="4"/>
        <v>1</v>
      </c>
      <c r="P15" s="532">
        <v>14</v>
      </c>
      <c r="T15" s="536" t="e">
        <f t="shared" si="5"/>
        <v>#REF!</v>
      </c>
    </row>
    <row r="16" spans="1:20">
      <c r="A16" s="552"/>
      <c r="B16" s="515"/>
      <c r="C16" s="561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T16" s="536"/>
    </row>
    <row r="17" spans="1:20">
      <c r="A17" s="552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T17" s="554" t="e">
        <f>SUM(T10:T15)</f>
        <v>#REF!</v>
      </c>
    </row>
    <row r="18" spans="1:20" hidden="1">
      <c r="A18" s="552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T18" s="536">
        <v>514</v>
      </c>
    </row>
    <row r="19" spans="1:20" hidden="1">
      <c r="A19" s="552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T19" s="536" t="e">
        <f>T17-T18</f>
        <v>#REF!</v>
      </c>
    </row>
    <row r="20" spans="1:20">
      <c r="A20" s="552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T20" s="536"/>
    </row>
    <row r="21" spans="1:20">
      <c r="A21" s="552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T21" s="536"/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6"/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36"/>
    </row>
    <row r="24" spans="1:20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T24" s="536"/>
    </row>
    <row r="25" spans="1:20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T25" s="536"/>
    </row>
    <row r="26" spans="1:20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T26" s="536"/>
    </row>
    <row r="27" spans="1:20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T27" s="536"/>
    </row>
    <row r="28" spans="1:20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T28" s="536"/>
    </row>
    <row r="29" spans="1:20">
      <c r="A29" s="531"/>
      <c r="B29" s="544"/>
      <c r="C29" s="561"/>
      <c r="D29" s="545"/>
      <c r="E29" s="533"/>
      <c r="F29" s="533"/>
      <c r="G29" s="533"/>
      <c r="H29" s="533"/>
      <c r="I29" s="533"/>
      <c r="J29" s="545"/>
      <c r="K29" s="533"/>
      <c r="L29" s="545"/>
      <c r="M29" s="533"/>
      <c r="O29" s="534"/>
      <c r="P29" s="547"/>
      <c r="T29" s="536"/>
    </row>
    <row r="30" spans="1:20">
      <c r="A30" s="531"/>
      <c r="B30" s="515"/>
      <c r="C30" s="561"/>
      <c r="D30" s="515"/>
      <c r="E30" s="533"/>
      <c r="F30" s="533"/>
      <c r="G30" s="533"/>
      <c r="H30" s="533"/>
      <c r="I30" s="533"/>
      <c r="J30" s="515"/>
      <c r="K30" s="533"/>
      <c r="L30" s="515"/>
      <c r="M30" s="533"/>
      <c r="N30" s="515"/>
      <c r="O30" s="534"/>
      <c r="P30" s="547"/>
      <c r="T30" s="536"/>
    </row>
    <row r="31" spans="1:20">
      <c r="A31" s="531"/>
      <c r="B31" s="515"/>
      <c r="C31" s="561"/>
      <c r="D31" s="515"/>
      <c r="E31" s="533"/>
      <c r="F31" s="533"/>
      <c r="G31" s="533"/>
      <c r="H31" s="533"/>
      <c r="I31" s="533"/>
      <c r="J31" s="515"/>
      <c r="K31" s="533"/>
      <c r="L31" s="515"/>
      <c r="M31" s="533"/>
      <c r="N31" s="515"/>
      <c r="O31" s="534"/>
      <c r="P31" s="547"/>
    </row>
    <row r="32" spans="1:20">
      <c r="A32" s="531"/>
      <c r="B32" s="529"/>
      <c r="C32" s="561"/>
      <c r="D32" s="529"/>
      <c r="E32" s="533"/>
      <c r="F32" s="533"/>
      <c r="G32" s="533"/>
      <c r="H32" s="533"/>
      <c r="I32" s="533"/>
      <c r="J32" s="529"/>
      <c r="K32" s="533"/>
      <c r="L32" s="529"/>
      <c r="M32" s="533"/>
      <c r="N32" s="529"/>
      <c r="O32" s="534"/>
      <c r="P32" s="547"/>
    </row>
    <row r="33" spans="1:16">
      <c r="A33" s="531"/>
      <c r="B33" s="523"/>
      <c r="C33" s="561"/>
      <c r="D33" s="523"/>
      <c r="E33" s="533"/>
      <c r="F33" s="533"/>
      <c r="G33" s="533"/>
      <c r="H33" s="533"/>
      <c r="I33" s="533"/>
      <c r="J33" s="523"/>
      <c r="K33" s="533"/>
      <c r="L33" s="523"/>
      <c r="M33" s="533"/>
      <c r="N33" s="523"/>
      <c r="O33" s="534"/>
      <c r="P33" s="547"/>
    </row>
    <row r="34" spans="1:16">
      <c r="A34" s="531"/>
      <c r="B34" s="525"/>
      <c r="C34" s="561"/>
      <c r="D34" s="525"/>
      <c r="E34" s="533"/>
      <c r="F34" s="533"/>
      <c r="G34" s="533"/>
      <c r="H34" s="533"/>
      <c r="I34" s="533"/>
      <c r="J34" s="525"/>
      <c r="K34" s="533"/>
      <c r="L34" s="525"/>
      <c r="M34" s="533"/>
      <c r="N34" s="525"/>
      <c r="O34" s="534"/>
      <c r="P34" s="547"/>
    </row>
    <row r="35" spans="1:16">
      <c r="A35" s="531"/>
      <c r="B35" s="525"/>
      <c r="C35" s="561"/>
      <c r="D35" s="525"/>
      <c r="E35" s="533"/>
      <c r="F35" s="533"/>
      <c r="G35" s="533"/>
      <c r="H35" s="533"/>
      <c r="I35" s="533"/>
      <c r="J35" s="525"/>
      <c r="K35" s="533"/>
      <c r="L35" s="525"/>
      <c r="M35" s="533"/>
      <c r="N35" s="525"/>
      <c r="O35" s="534"/>
      <c r="P35" s="547"/>
    </row>
    <row r="36" spans="1:16">
      <c r="A36" s="531"/>
      <c r="B36" s="525"/>
      <c r="C36" s="561"/>
      <c r="D36" s="525"/>
      <c r="E36" s="533"/>
      <c r="F36" s="533"/>
      <c r="G36" s="533"/>
      <c r="H36" s="533"/>
      <c r="I36" s="533"/>
      <c r="J36" s="525"/>
      <c r="K36" s="533"/>
      <c r="L36" s="525"/>
      <c r="M36" s="533"/>
      <c r="N36" s="525"/>
      <c r="O36" s="534"/>
      <c r="P36" s="547"/>
    </row>
    <row r="37" spans="1:16">
      <c r="A37" s="531"/>
      <c r="B37" s="515"/>
      <c r="C37" s="561"/>
      <c r="D37" s="529"/>
      <c r="E37" s="533"/>
      <c r="F37" s="533"/>
      <c r="G37" s="533"/>
      <c r="H37" s="533"/>
      <c r="I37" s="533"/>
      <c r="J37" s="529"/>
      <c r="K37" s="533"/>
      <c r="L37" s="529"/>
      <c r="M37" s="533"/>
      <c r="N37" s="529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5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3"/>
  <sheetViews>
    <sheetView showGridLines="0" topLeftCell="H1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6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'16081-172'!T2</f>
        <v>#REF!</v>
      </c>
    </row>
    <row r="3" spans="1:20">
      <c r="A3" s="513" t="s">
        <v>529</v>
      </c>
      <c r="M3" s="520" t="s">
        <v>522</v>
      </c>
      <c r="R3" s="518" t="s">
        <v>274</v>
      </c>
      <c r="S3" s="518"/>
      <c r="T3" s="519" t="e">
        <f>'16081-172'!T3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'16081-172'!T4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'16081-172'!T5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'16081-172'!T6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'16081-172'!T7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0" si="0">P10*1000</f>
        <v>0</v>
      </c>
      <c r="C10" s="532">
        <v>3</v>
      </c>
      <c r="D10" s="533"/>
      <c r="E10" s="533">
        <f>C10</f>
        <v>3</v>
      </c>
      <c r="F10" s="533"/>
      <c r="G10" s="533">
        <f t="shared" ref="G10:G20" si="1">A10*C10</f>
        <v>0</v>
      </c>
      <c r="H10" s="533"/>
      <c r="I10" s="533">
        <f>G10</f>
        <v>0</v>
      </c>
      <c r="J10" s="533"/>
      <c r="K10" s="533">
        <f t="shared" ref="K10:K20" si="2">$E$20-E10</f>
        <v>86</v>
      </c>
      <c r="L10" s="533"/>
      <c r="M10" s="533">
        <f t="shared" ref="M10:M20" si="3">(A10*K10)+I10</f>
        <v>0</v>
      </c>
      <c r="O10" s="534">
        <f t="shared" ref="O10:O20" si="4">I10/$I$20</f>
        <v>0</v>
      </c>
      <c r="P10" s="532">
        <v>0</v>
      </c>
      <c r="R10" s="535"/>
      <c r="S10" s="513"/>
      <c r="T10" s="536" t="e">
        <f t="shared" ref="T10:T20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45</v>
      </c>
      <c r="D11" s="533"/>
      <c r="E11" s="533">
        <f t="shared" ref="E11:E20" si="6">E10+C11</f>
        <v>48</v>
      </c>
      <c r="F11" s="533"/>
      <c r="G11" s="533">
        <f t="shared" si="1"/>
        <v>45000</v>
      </c>
      <c r="H11" s="533"/>
      <c r="I11" s="533">
        <f t="shared" ref="I11:I20" si="7">I10+G11</f>
        <v>45000</v>
      </c>
      <c r="J11" s="533"/>
      <c r="K11" s="533">
        <f t="shared" si="2"/>
        <v>41</v>
      </c>
      <c r="L11" s="533"/>
      <c r="M11" s="533">
        <f t="shared" si="3"/>
        <v>86000</v>
      </c>
      <c r="O11" s="534">
        <f t="shared" si="4"/>
        <v>0.22277227722772278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15</v>
      </c>
      <c r="D12" s="533"/>
      <c r="E12" s="533">
        <f t="shared" si="6"/>
        <v>63</v>
      </c>
      <c r="F12" s="533"/>
      <c r="G12" s="533">
        <f t="shared" si="1"/>
        <v>30000</v>
      </c>
      <c r="H12" s="533"/>
      <c r="I12" s="533">
        <f t="shared" si="7"/>
        <v>75000</v>
      </c>
      <c r="J12" s="533"/>
      <c r="K12" s="533">
        <f t="shared" si="2"/>
        <v>26</v>
      </c>
      <c r="L12" s="533"/>
      <c r="M12" s="533">
        <f t="shared" si="3"/>
        <v>127000</v>
      </c>
      <c r="O12" s="534">
        <f t="shared" si="4"/>
        <v>0.37128712871287128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12</v>
      </c>
      <c r="D13" s="533"/>
      <c r="E13" s="533">
        <f t="shared" si="6"/>
        <v>75</v>
      </c>
      <c r="F13" s="533"/>
      <c r="G13" s="533">
        <f t="shared" si="1"/>
        <v>36000</v>
      </c>
      <c r="H13" s="533"/>
      <c r="I13" s="533">
        <f t="shared" si="7"/>
        <v>111000</v>
      </c>
      <c r="J13" s="533"/>
      <c r="K13" s="533">
        <f t="shared" si="2"/>
        <v>14</v>
      </c>
      <c r="L13" s="533"/>
      <c r="M13" s="533">
        <f t="shared" si="3"/>
        <v>153000</v>
      </c>
      <c r="N13" s="515"/>
      <c r="O13" s="534">
        <f t="shared" si="4"/>
        <v>0.54950495049504955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4</v>
      </c>
      <c r="D14" s="533"/>
      <c r="E14" s="533">
        <f t="shared" si="6"/>
        <v>79</v>
      </c>
      <c r="F14" s="533"/>
      <c r="G14" s="533">
        <f t="shared" si="1"/>
        <v>16000</v>
      </c>
      <c r="H14" s="533"/>
      <c r="I14" s="533">
        <f t="shared" si="7"/>
        <v>127000</v>
      </c>
      <c r="J14" s="533"/>
      <c r="K14" s="533">
        <f t="shared" si="2"/>
        <v>10</v>
      </c>
      <c r="L14" s="533"/>
      <c r="M14" s="533">
        <f t="shared" si="3"/>
        <v>167000</v>
      </c>
      <c r="N14" s="515"/>
      <c r="O14" s="534">
        <f t="shared" si="4"/>
        <v>0.62871287128712872</v>
      </c>
      <c r="P14" s="532">
        <v>4</v>
      </c>
      <c r="T14" s="536" t="e">
        <f t="shared" si="5"/>
        <v>#REF!</v>
      </c>
    </row>
    <row r="15" spans="1:20">
      <c r="A15" s="552">
        <f t="shared" si="0"/>
        <v>5000</v>
      </c>
      <c r="B15" s="515"/>
      <c r="C15" s="532">
        <v>4</v>
      </c>
      <c r="D15" s="533"/>
      <c r="E15" s="533">
        <f t="shared" si="6"/>
        <v>83</v>
      </c>
      <c r="F15" s="533"/>
      <c r="G15" s="533">
        <f t="shared" si="1"/>
        <v>20000</v>
      </c>
      <c r="H15" s="533"/>
      <c r="I15" s="533">
        <f t="shared" si="7"/>
        <v>147000</v>
      </c>
      <c r="J15" s="533"/>
      <c r="K15" s="533">
        <f t="shared" si="2"/>
        <v>6</v>
      </c>
      <c r="L15" s="533"/>
      <c r="M15" s="533">
        <f t="shared" si="3"/>
        <v>177000</v>
      </c>
      <c r="N15" s="515"/>
      <c r="O15" s="534">
        <f t="shared" si="4"/>
        <v>0.7277227722772277</v>
      </c>
      <c r="P15" s="532">
        <v>5</v>
      </c>
      <c r="T15" s="536" t="e">
        <f t="shared" si="5"/>
        <v>#REF!</v>
      </c>
    </row>
    <row r="16" spans="1:20">
      <c r="A16" s="552">
        <f t="shared" si="0"/>
        <v>6000</v>
      </c>
      <c r="B16" s="515"/>
      <c r="C16" s="532">
        <v>2</v>
      </c>
      <c r="D16" s="533"/>
      <c r="E16" s="533">
        <f t="shared" si="6"/>
        <v>85</v>
      </c>
      <c r="F16" s="533"/>
      <c r="G16" s="533">
        <f t="shared" si="1"/>
        <v>12000</v>
      </c>
      <c r="H16" s="533"/>
      <c r="I16" s="533">
        <f t="shared" si="7"/>
        <v>159000</v>
      </c>
      <c r="J16" s="533"/>
      <c r="K16" s="533">
        <f t="shared" si="2"/>
        <v>4</v>
      </c>
      <c r="L16" s="533"/>
      <c r="M16" s="533">
        <f t="shared" si="3"/>
        <v>183000</v>
      </c>
      <c r="N16" s="515"/>
      <c r="O16" s="534">
        <f t="shared" si="4"/>
        <v>0.78712871287128716</v>
      </c>
      <c r="P16" s="532">
        <v>6</v>
      </c>
      <c r="T16" s="536" t="e">
        <f t="shared" si="5"/>
        <v>#REF!</v>
      </c>
    </row>
    <row r="17" spans="1:20">
      <c r="A17" s="552">
        <f t="shared" si="0"/>
        <v>7000</v>
      </c>
      <c r="B17" s="515"/>
      <c r="C17" s="532">
        <v>1</v>
      </c>
      <c r="D17" s="533"/>
      <c r="E17" s="533">
        <f t="shared" si="6"/>
        <v>86</v>
      </c>
      <c r="F17" s="533"/>
      <c r="G17" s="533">
        <f t="shared" si="1"/>
        <v>7000</v>
      </c>
      <c r="H17" s="533"/>
      <c r="I17" s="533">
        <f t="shared" si="7"/>
        <v>166000</v>
      </c>
      <c r="J17" s="533"/>
      <c r="K17" s="533">
        <f t="shared" si="2"/>
        <v>3</v>
      </c>
      <c r="L17" s="533"/>
      <c r="M17" s="533">
        <f t="shared" si="3"/>
        <v>187000</v>
      </c>
      <c r="N17" s="515"/>
      <c r="O17" s="534">
        <f t="shared" si="4"/>
        <v>0.82178217821782173</v>
      </c>
      <c r="P17" s="532">
        <v>7</v>
      </c>
      <c r="T17" s="536" t="e">
        <f t="shared" si="5"/>
        <v>#REF!</v>
      </c>
    </row>
    <row r="18" spans="1:20">
      <c r="A18" s="552">
        <f t="shared" si="0"/>
        <v>8000</v>
      </c>
      <c r="B18" s="515"/>
      <c r="C18" s="532">
        <v>1</v>
      </c>
      <c r="D18" s="533"/>
      <c r="E18" s="533">
        <f t="shared" si="6"/>
        <v>87</v>
      </c>
      <c r="F18" s="533"/>
      <c r="G18" s="533">
        <f t="shared" si="1"/>
        <v>8000</v>
      </c>
      <c r="H18" s="533"/>
      <c r="I18" s="533">
        <f t="shared" si="7"/>
        <v>174000</v>
      </c>
      <c r="J18" s="533"/>
      <c r="K18" s="533">
        <f t="shared" si="2"/>
        <v>2</v>
      </c>
      <c r="L18" s="533"/>
      <c r="M18" s="533">
        <f t="shared" si="3"/>
        <v>190000</v>
      </c>
      <c r="N18" s="515"/>
      <c r="O18" s="534">
        <f t="shared" si="4"/>
        <v>0.86138613861386137</v>
      </c>
      <c r="P18" s="532">
        <v>8</v>
      </c>
      <c r="T18" s="536" t="e">
        <f t="shared" si="5"/>
        <v>#REF!</v>
      </c>
    </row>
    <row r="19" spans="1:20">
      <c r="A19" s="552">
        <f t="shared" si="0"/>
        <v>10000</v>
      </c>
      <c r="B19" s="515"/>
      <c r="C19" s="532">
        <v>1</v>
      </c>
      <c r="D19" s="533"/>
      <c r="E19" s="533">
        <f t="shared" si="6"/>
        <v>88</v>
      </c>
      <c r="F19" s="533"/>
      <c r="G19" s="533">
        <f t="shared" si="1"/>
        <v>10000</v>
      </c>
      <c r="H19" s="533"/>
      <c r="I19" s="533">
        <f t="shared" si="7"/>
        <v>184000</v>
      </c>
      <c r="J19" s="533"/>
      <c r="K19" s="533">
        <f t="shared" si="2"/>
        <v>1</v>
      </c>
      <c r="L19" s="533"/>
      <c r="M19" s="533">
        <f t="shared" si="3"/>
        <v>194000</v>
      </c>
      <c r="N19" s="515"/>
      <c r="O19" s="534">
        <f t="shared" si="4"/>
        <v>0.91089108910891092</v>
      </c>
      <c r="P19" s="532">
        <v>10</v>
      </c>
      <c r="T19" s="536" t="e">
        <f t="shared" si="5"/>
        <v>#REF!</v>
      </c>
    </row>
    <row r="20" spans="1:20">
      <c r="A20" s="552">
        <f t="shared" si="0"/>
        <v>18000</v>
      </c>
      <c r="B20" s="515"/>
      <c r="C20" s="532">
        <v>1</v>
      </c>
      <c r="D20" s="533"/>
      <c r="E20" s="533">
        <f t="shared" si="6"/>
        <v>89</v>
      </c>
      <c r="F20" s="533"/>
      <c r="G20" s="533">
        <f t="shared" si="1"/>
        <v>18000</v>
      </c>
      <c r="H20" s="533"/>
      <c r="I20" s="533">
        <f t="shared" si="7"/>
        <v>202000</v>
      </c>
      <c r="J20" s="533"/>
      <c r="K20" s="533">
        <f t="shared" si="2"/>
        <v>0</v>
      </c>
      <c r="L20" s="533"/>
      <c r="M20" s="533">
        <f t="shared" si="3"/>
        <v>202000</v>
      </c>
      <c r="N20" s="515"/>
      <c r="O20" s="534">
        <f t="shared" si="4"/>
        <v>1</v>
      </c>
      <c r="P20" s="532">
        <v>18</v>
      </c>
      <c r="T20" s="536" t="e">
        <f t="shared" si="5"/>
        <v>#REF!</v>
      </c>
    </row>
    <row r="21" spans="1:20">
      <c r="A21" s="552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20">
      <c r="A22" s="552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9" t="e">
        <f>SUM(T10:T20)</f>
        <v>#REF!</v>
      </c>
    </row>
    <row r="23" spans="1:20" hidden="1">
      <c r="A23" s="552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13">
        <v>919</v>
      </c>
    </row>
    <row r="24" spans="1:20" hidden="1">
      <c r="A24" s="552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T24" s="540" t="e">
        <f>T22-T23</f>
        <v>#REF!</v>
      </c>
    </row>
    <row r="25" spans="1:20" hidden="1">
      <c r="A25" s="552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T25" s="513" t="e">
        <f>T24/T22</f>
        <v>#REF!</v>
      </c>
    </row>
    <row r="26" spans="1:20">
      <c r="A26" s="552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20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20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20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44"/>
      <c r="C34" s="561"/>
      <c r="D34" s="545"/>
      <c r="E34" s="533"/>
      <c r="F34" s="533"/>
      <c r="G34" s="533"/>
      <c r="H34" s="533"/>
      <c r="I34" s="533"/>
      <c r="J34" s="545"/>
      <c r="K34" s="533"/>
      <c r="L34" s="545"/>
      <c r="M34" s="533"/>
      <c r="O34" s="534"/>
      <c r="P34" s="547"/>
    </row>
    <row r="35" spans="1:16">
      <c r="A35" s="531"/>
      <c r="B35" s="515"/>
      <c r="C35" s="561"/>
      <c r="D35" s="515"/>
      <c r="E35" s="533"/>
      <c r="F35" s="533"/>
      <c r="G35" s="533"/>
      <c r="H35" s="533"/>
      <c r="I35" s="533"/>
      <c r="J35" s="515"/>
      <c r="K35" s="533"/>
      <c r="L35" s="515"/>
      <c r="M35" s="533"/>
      <c r="N35" s="515"/>
      <c r="O35" s="534"/>
      <c r="P35" s="547"/>
    </row>
    <row r="36" spans="1:16">
      <c r="A36" s="531"/>
      <c r="B36" s="515"/>
      <c r="C36" s="561"/>
      <c r="D36" s="515"/>
      <c r="E36" s="533"/>
      <c r="F36" s="533"/>
      <c r="G36" s="533"/>
      <c r="H36" s="533"/>
      <c r="I36" s="533"/>
      <c r="J36" s="515"/>
      <c r="K36" s="533"/>
      <c r="L36" s="515"/>
      <c r="M36" s="533"/>
      <c r="N36" s="515"/>
      <c r="O36" s="534"/>
      <c r="P36" s="547"/>
    </row>
    <row r="37" spans="1:16">
      <c r="A37" s="531"/>
      <c r="B37" s="529"/>
      <c r="C37" s="561"/>
      <c r="D37" s="529"/>
      <c r="E37" s="533"/>
      <c r="F37" s="533"/>
      <c r="G37" s="533"/>
      <c r="H37" s="533"/>
      <c r="I37" s="533"/>
      <c r="J37" s="529"/>
      <c r="K37" s="533"/>
      <c r="L37" s="529"/>
      <c r="M37" s="533"/>
      <c r="N37" s="529"/>
      <c r="O37" s="534"/>
      <c r="P37" s="547"/>
    </row>
    <row r="38" spans="1:16">
      <c r="A38" s="531"/>
      <c r="B38" s="523"/>
      <c r="C38" s="561"/>
      <c r="D38" s="523"/>
      <c r="E38" s="533"/>
      <c r="F38" s="533"/>
      <c r="G38" s="533"/>
      <c r="H38" s="533"/>
      <c r="I38" s="533"/>
      <c r="J38" s="523"/>
      <c r="K38" s="533"/>
      <c r="L38" s="523"/>
      <c r="M38" s="533"/>
      <c r="N38" s="523"/>
      <c r="O38" s="534"/>
      <c r="P38" s="547"/>
    </row>
    <row r="39" spans="1:16">
      <c r="A39" s="531"/>
      <c r="B39" s="525"/>
      <c r="C39" s="561"/>
      <c r="D39" s="525"/>
      <c r="E39" s="533"/>
      <c r="F39" s="533"/>
      <c r="G39" s="533"/>
      <c r="H39" s="533"/>
      <c r="I39" s="533"/>
      <c r="J39" s="525"/>
      <c r="K39" s="533"/>
      <c r="L39" s="525"/>
      <c r="M39" s="533"/>
      <c r="N39" s="525"/>
      <c r="O39" s="534"/>
      <c r="P39" s="547"/>
    </row>
    <row r="40" spans="1:16">
      <c r="A40" s="531"/>
      <c r="B40" s="525"/>
      <c r="C40" s="561"/>
      <c r="D40" s="525"/>
      <c r="E40" s="533"/>
      <c r="F40" s="533"/>
      <c r="G40" s="533"/>
      <c r="H40" s="533"/>
      <c r="I40" s="533"/>
      <c r="J40" s="525"/>
      <c r="K40" s="533"/>
      <c r="L40" s="525"/>
      <c r="M40" s="533"/>
      <c r="N40" s="525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15"/>
      <c r="C42" s="561"/>
      <c r="D42" s="529"/>
      <c r="E42" s="533"/>
      <c r="F42" s="533"/>
      <c r="G42" s="533"/>
      <c r="H42" s="533"/>
      <c r="I42" s="533"/>
      <c r="J42" s="529"/>
      <c r="K42" s="533"/>
      <c r="L42" s="529"/>
      <c r="M42" s="533"/>
      <c r="N42" s="529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6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2"/>
  <sheetViews>
    <sheetView showGridLines="0" topLeftCell="H13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46" t="str">
        <f>'16073-170'!R2</f>
        <v>First 6,000 gallons</v>
      </c>
      <c r="S2" s="518"/>
      <c r="T2" s="546" t="e">
        <f>'16073-170'!T2</f>
        <v>#REF!</v>
      </c>
    </row>
    <row r="3" spans="1:20">
      <c r="A3" s="513" t="s">
        <v>529</v>
      </c>
      <c r="M3" s="520" t="s">
        <v>523</v>
      </c>
      <c r="R3" s="546" t="str">
        <f>'16073-170'!R3</f>
        <v>Next 4,000 gallons</v>
      </c>
      <c r="S3" s="518"/>
      <c r="T3" s="546" t="e">
        <f>'16073-170'!T3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46" t="str">
        <f>'16073-170'!R4</f>
        <v>Next 15,000 gallons</v>
      </c>
      <c r="S4" s="518"/>
      <c r="T4" s="546" t="e">
        <f>'16073-170'!T4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46" t="str">
        <f>'16073-170'!R5</f>
        <v>Next 25,000 gallons</v>
      </c>
      <c r="S5" s="518"/>
      <c r="T5" s="546" t="e">
        <f>'16073-170'!T5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46" t="str">
        <f>'16073-170'!R6</f>
        <v>Next 50,000 gallons</v>
      </c>
      <c r="S6" s="518"/>
      <c r="T6" s="546" t="e">
        <f>'16073-170'!T6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46" t="str">
        <f>'16073-170'!R7</f>
        <v>Next 100,000 gallons</v>
      </c>
      <c r="S7" s="518"/>
      <c r="T7" s="546" t="e">
        <f>'16073-170'!T7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30" si="0">P10*1000</f>
        <v>0</v>
      </c>
      <c r="C10" s="532">
        <v>5</v>
      </c>
      <c r="D10" s="533"/>
      <c r="E10" s="533">
        <f>C10</f>
        <v>5</v>
      </c>
      <c r="F10" s="533"/>
      <c r="G10" s="533">
        <f t="shared" ref="G10:G30" si="1">A10*C10</f>
        <v>0</v>
      </c>
      <c r="H10" s="533"/>
      <c r="I10" s="533">
        <f>G10</f>
        <v>0</v>
      </c>
      <c r="J10" s="533"/>
      <c r="K10" s="533">
        <f t="shared" ref="K10:K30" si="2">$E$30-E10</f>
        <v>28</v>
      </c>
      <c r="L10" s="533"/>
      <c r="M10" s="533">
        <f t="shared" ref="M10:M30" si="3">(A10*K10)+I10</f>
        <v>0</v>
      </c>
      <c r="O10" s="534">
        <f t="shared" ref="O10:O30" si="4">I10/$I$30</f>
        <v>0</v>
      </c>
      <c r="P10" s="532">
        <v>0</v>
      </c>
      <c r="R10" s="535"/>
      <c r="S10" s="513"/>
      <c r="T10" s="536" t="e">
        <f t="shared" ref="T10:T30" si="5"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5</v>
      </c>
      <c r="D11" s="533"/>
      <c r="E11" s="533">
        <f t="shared" ref="E11:E30" si="6">E10+C11</f>
        <v>10</v>
      </c>
      <c r="F11" s="533"/>
      <c r="G11" s="533">
        <f t="shared" si="1"/>
        <v>5000</v>
      </c>
      <c r="H11" s="533"/>
      <c r="I11" s="533">
        <f t="shared" ref="I11:I30" si="7">I10+G11</f>
        <v>5000</v>
      </c>
      <c r="J11" s="533"/>
      <c r="K11" s="533">
        <f t="shared" si="2"/>
        <v>23</v>
      </c>
      <c r="L11" s="533"/>
      <c r="M11" s="533">
        <f t="shared" si="3"/>
        <v>28000</v>
      </c>
      <c r="O11" s="534">
        <f t="shared" si="4"/>
        <v>1.1111111111111112E-2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3000</v>
      </c>
      <c r="C12" s="532">
        <v>1</v>
      </c>
      <c r="D12" s="533"/>
      <c r="E12" s="533">
        <f t="shared" si="6"/>
        <v>11</v>
      </c>
      <c r="F12" s="533"/>
      <c r="G12" s="533">
        <f t="shared" si="1"/>
        <v>3000</v>
      </c>
      <c r="H12" s="533"/>
      <c r="I12" s="533">
        <f t="shared" si="7"/>
        <v>8000</v>
      </c>
      <c r="J12" s="533"/>
      <c r="K12" s="533">
        <f t="shared" si="2"/>
        <v>22</v>
      </c>
      <c r="L12" s="533"/>
      <c r="M12" s="533">
        <f t="shared" si="3"/>
        <v>74000</v>
      </c>
      <c r="O12" s="534">
        <f t="shared" si="4"/>
        <v>1.7777777777777778E-2</v>
      </c>
      <c r="P12" s="532">
        <v>3</v>
      </c>
      <c r="R12" s="535"/>
      <c r="S12" s="513"/>
      <c r="T12" s="536" t="e">
        <f t="shared" si="5"/>
        <v>#REF!</v>
      </c>
    </row>
    <row r="13" spans="1:20">
      <c r="A13" s="552">
        <f t="shared" si="0"/>
        <v>4000</v>
      </c>
      <c r="B13" s="515"/>
      <c r="C13" s="532">
        <v>3</v>
      </c>
      <c r="D13" s="533"/>
      <c r="E13" s="533">
        <f t="shared" si="6"/>
        <v>14</v>
      </c>
      <c r="F13" s="533"/>
      <c r="G13" s="533">
        <f t="shared" si="1"/>
        <v>12000</v>
      </c>
      <c r="H13" s="533"/>
      <c r="I13" s="533">
        <f t="shared" si="7"/>
        <v>20000</v>
      </c>
      <c r="J13" s="533"/>
      <c r="K13" s="533">
        <f t="shared" si="2"/>
        <v>19</v>
      </c>
      <c r="L13" s="533"/>
      <c r="M13" s="533">
        <f t="shared" si="3"/>
        <v>96000</v>
      </c>
      <c r="N13" s="515"/>
      <c r="O13" s="534">
        <f t="shared" si="4"/>
        <v>4.4444444444444446E-2</v>
      </c>
      <c r="P13" s="532">
        <v>4</v>
      </c>
      <c r="R13" s="535"/>
      <c r="T13" s="536" t="e">
        <f t="shared" si="5"/>
        <v>#REF!</v>
      </c>
    </row>
    <row r="14" spans="1:20">
      <c r="A14" s="552">
        <f t="shared" si="0"/>
        <v>6000</v>
      </c>
      <c r="B14" s="515"/>
      <c r="C14" s="532">
        <v>1</v>
      </c>
      <c r="D14" s="533"/>
      <c r="E14" s="533">
        <f t="shared" si="6"/>
        <v>15</v>
      </c>
      <c r="F14" s="533"/>
      <c r="G14" s="533">
        <f t="shared" si="1"/>
        <v>6000</v>
      </c>
      <c r="H14" s="533"/>
      <c r="I14" s="533">
        <f t="shared" si="7"/>
        <v>26000</v>
      </c>
      <c r="J14" s="533"/>
      <c r="K14" s="533">
        <f t="shared" si="2"/>
        <v>18</v>
      </c>
      <c r="L14" s="533"/>
      <c r="M14" s="533">
        <f t="shared" si="3"/>
        <v>134000</v>
      </c>
      <c r="N14" s="515"/>
      <c r="O14" s="534">
        <f t="shared" si="4"/>
        <v>5.7777777777777775E-2</v>
      </c>
      <c r="P14" s="532">
        <v>6</v>
      </c>
      <c r="T14" s="536" t="e">
        <f t="shared" si="5"/>
        <v>#REF!</v>
      </c>
    </row>
    <row r="15" spans="1:20">
      <c r="A15" s="552">
        <f t="shared" si="0"/>
        <v>7000</v>
      </c>
      <c r="B15" s="515"/>
      <c r="C15" s="532">
        <v>2</v>
      </c>
      <c r="D15" s="533"/>
      <c r="E15" s="533">
        <f t="shared" si="6"/>
        <v>17</v>
      </c>
      <c r="F15" s="533"/>
      <c r="G15" s="533">
        <f t="shared" si="1"/>
        <v>14000</v>
      </c>
      <c r="H15" s="533"/>
      <c r="I15" s="533">
        <f t="shared" si="7"/>
        <v>40000</v>
      </c>
      <c r="J15" s="533"/>
      <c r="K15" s="533">
        <f t="shared" si="2"/>
        <v>16</v>
      </c>
      <c r="L15" s="533"/>
      <c r="M15" s="533">
        <f t="shared" si="3"/>
        <v>152000</v>
      </c>
      <c r="N15" s="515"/>
      <c r="O15" s="534">
        <f t="shared" si="4"/>
        <v>8.8888888888888892E-2</v>
      </c>
      <c r="P15" s="532">
        <v>7</v>
      </c>
      <c r="T15" s="536" t="e">
        <f t="shared" si="5"/>
        <v>#REF!</v>
      </c>
    </row>
    <row r="16" spans="1:20">
      <c r="A16" s="552">
        <f t="shared" si="0"/>
        <v>8000</v>
      </c>
      <c r="B16" s="515"/>
      <c r="C16" s="532">
        <v>1</v>
      </c>
      <c r="D16" s="533"/>
      <c r="E16" s="533">
        <f t="shared" si="6"/>
        <v>18</v>
      </c>
      <c r="F16" s="533"/>
      <c r="G16" s="533">
        <f t="shared" si="1"/>
        <v>8000</v>
      </c>
      <c r="H16" s="533"/>
      <c r="I16" s="533">
        <f t="shared" si="7"/>
        <v>48000</v>
      </c>
      <c r="J16" s="533"/>
      <c r="K16" s="533">
        <f t="shared" si="2"/>
        <v>15</v>
      </c>
      <c r="L16" s="533"/>
      <c r="M16" s="533">
        <f t="shared" si="3"/>
        <v>168000</v>
      </c>
      <c r="N16" s="515"/>
      <c r="O16" s="534">
        <f t="shared" si="4"/>
        <v>0.10666666666666667</v>
      </c>
      <c r="P16" s="532">
        <v>8</v>
      </c>
      <c r="T16" s="536" t="e">
        <f t="shared" si="5"/>
        <v>#REF!</v>
      </c>
    </row>
    <row r="17" spans="1:20">
      <c r="A17" s="552">
        <f t="shared" si="0"/>
        <v>9000</v>
      </c>
      <c r="B17" s="515"/>
      <c r="C17" s="532">
        <v>1</v>
      </c>
      <c r="D17" s="533"/>
      <c r="E17" s="533">
        <f t="shared" si="6"/>
        <v>19</v>
      </c>
      <c r="F17" s="533"/>
      <c r="G17" s="533">
        <f t="shared" si="1"/>
        <v>9000</v>
      </c>
      <c r="H17" s="533"/>
      <c r="I17" s="533">
        <f t="shared" si="7"/>
        <v>57000</v>
      </c>
      <c r="J17" s="533"/>
      <c r="K17" s="533">
        <f t="shared" si="2"/>
        <v>14</v>
      </c>
      <c r="L17" s="533"/>
      <c r="M17" s="533">
        <f t="shared" si="3"/>
        <v>183000</v>
      </c>
      <c r="N17" s="515"/>
      <c r="O17" s="534">
        <f t="shared" si="4"/>
        <v>0.12666666666666668</v>
      </c>
      <c r="P17" s="532">
        <v>9</v>
      </c>
      <c r="T17" s="536" t="e">
        <f t="shared" si="5"/>
        <v>#REF!</v>
      </c>
    </row>
    <row r="18" spans="1:20">
      <c r="A18" s="552">
        <f t="shared" si="0"/>
        <v>10000</v>
      </c>
      <c r="B18" s="515"/>
      <c r="C18" s="532">
        <v>1</v>
      </c>
      <c r="D18" s="533"/>
      <c r="E18" s="533">
        <f t="shared" si="6"/>
        <v>20</v>
      </c>
      <c r="F18" s="533"/>
      <c r="G18" s="533">
        <f t="shared" si="1"/>
        <v>10000</v>
      </c>
      <c r="H18" s="533"/>
      <c r="I18" s="533">
        <f t="shared" si="7"/>
        <v>67000</v>
      </c>
      <c r="J18" s="533"/>
      <c r="K18" s="533">
        <f t="shared" si="2"/>
        <v>13</v>
      </c>
      <c r="L18" s="533"/>
      <c r="M18" s="533">
        <f t="shared" si="3"/>
        <v>197000</v>
      </c>
      <c r="N18" s="515"/>
      <c r="O18" s="534">
        <f t="shared" si="4"/>
        <v>0.14888888888888888</v>
      </c>
      <c r="P18" s="532">
        <v>10</v>
      </c>
      <c r="T18" s="536" t="e">
        <f t="shared" si="5"/>
        <v>#REF!</v>
      </c>
    </row>
    <row r="19" spans="1:20">
      <c r="A19" s="552">
        <f t="shared" si="0"/>
        <v>14000</v>
      </c>
      <c r="B19" s="515"/>
      <c r="C19" s="532">
        <v>1</v>
      </c>
      <c r="D19" s="533"/>
      <c r="E19" s="533">
        <f t="shared" si="6"/>
        <v>21</v>
      </c>
      <c r="F19" s="533"/>
      <c r="G19" s="533">
        <f t="shared" si="1"/>
        <v>14000</v>
      </c>
      <c r="H19" s="533"/>
      <c r="I19" s="533">
        <f t="shared" si="7"/>
        <v>81000</v>
      </c>
      <c r="J19" s="533"/>
      <c r="K19" s="533">
        <f t="shared" si="2"/>
        <v>12</v>
      </c>
      <c r="L19" s="533"/>
      <c r="M19" s="533">
        <f t="shared" si="3"/>
        <v>249000</v>
      </c>
      <c r="N19" s="515"/>
      <c r="O19" s="534">
        <f t="shared" si="4"/>
        <v>0.18</v>
      </c>
      <c r="P19" s="532">
        <v>14</v>
      </c>
      <c r="T19" s="536" t="e">
        <f t="shared" si="5"/>
        <v>#REF!</v>
      </c>
    </row>
    <row r="20" spans="1:20">
      <c r="A20" s="552">
        <f t="shared" si="0"/>
        <v>18000</v>
      </c>
      <c r="B20" s="515"/>
      <c r="C20" s="532">
        <v>1</v>
      </c>
      <c r="D20" s="533"/>
      <c r="E20" s="533">
        <f t="shared" si="6"/>
        <v>22</v>
      </c>
      <c r="F20" s="533"/>
      <c r="G20" s="533">
        <f t="shared" si="1"/>
        <v>18000</v>
      </c>
      <c r="H20" s="533"/>
      <c r="I20" s="533">
        <f t="shared" si="7"/>
        <v>99000</v>
      </c>
      <c r="J20" s="533"/>
      <c r="K20" s="533">
        <f t="shared" si="2"/>
        <v>11</v>
      </c>
      <c r="L20" s="533"/>
      <c r="M20" s="533">
        <f t="shared" si="3"/>
        <v>297000</v>
      </c>
      <c r="N20" s="515"/>
      <c r="O20" s="534">
        <f t="shared" si="4"/>
        <v>0.22</v>
      </c>
      <c r="P20" s="532">
        <v>18</v>
      </c>
      <c r="T20" s="536" t="e">
        <f t="shared" si="5"/>
        <v>#REF!</v>
      </c>
    </row>
    <row r="21" spans="1:20">
      <c r="A21" s="552">
        <f t="shared" si="0"/>
        <v>20000</v>
      </c>
      <c r="B21" s="515"/>
      <c r="C21" s="532">
        <v>2</v>
      </c>
      <c r="D21" s="533"/>
      <c r="E21" s="533">
        <f t="shared" si="6"/>
        <v>24</v>
      </c>
      <c r="F21" s="533"/>
      <c r="G21" s="533">
        <f t="shared" si="1"/>
        <v>40000</v>
      </c>
      <c r="H21" s="533"/>
      <c r="I21" s="533">
        <f t="shared" si="7"/>
        <v>139000</v>
      </c>
      <c r="J21" s="533"/>
      <c r="K21" s="533">
        <f t="shared" si="2"/>
        <v>9</v>
      </c>
      <c r="L21" s="533"/>
      <c r="M21" s="533">
        <f t="shared" si="3"/>
        <v>319000</v>
      </c>
      <c r="N21" s="515"/>
      <c r="O21" s="534">
        <f t="shared" si="4"/>
        <v>0.30888888888888888</v>
      </c>
      <c r="P21" s="532">
        <v>20</v>
      </c>
      <c r="T21" s="536" t="e">
        <f t="shared" si="5"/>
        <v>#REF!</v>
      </c>
    </row>
    <row r="22" spans="1:20">
      <c r="A22" s="552">
        <f t="shared" si="0"/>
        <v>21000</v>
      </c>
      <c r="B22" s="515"/>
      <c r="C22" s="532">
        <v>1</v>
      </c>
      <c r="D22" s="533"/>
      <c r="E22" s="533">
        <f t="shared" si="6"/>
        <v>25</v>
      </c>
      <c r="F22" s="533"/>
      <c r="G22" s="533">
        <f t="shared" si="1"/>
        <v>21000</v>
      </c>
      <c r="H22" s="533"/>
      <c r="I22" s="533">
        <f t="shared" si="7"/>
        <v>160000</v>
      </c>
      <c r="J22" s="533"/>
      <c r="K22" s="533">
        <f t="shared" si="2"/>
        <v>8</v>
      </c>
      <c r="L22" s="533"/>
      <c r="M22" s="533">
        <f t="shared" si="3"/>
        <v>328000</v>
      </c>
      <c r="N22" s="515"/>
      <c r="O22" s="534">
        <f t="shared" si="4"/>
        <v>0.35555555555555557</v>
      </c>
      <c r="P22" s="532">
        <v>21</v>
      </c>
      <c r="T22" s="536" t="e">
        <f t="shared" si="5"/>
        <v>#REF!</v>
      </c>
    </row>
    <row r="23" spans="1:20">
      <c r="A23" s="552">
        <f t="shared" si="0"/>
        <v>22000</v>
      </c>
      <c r="B23" s="515"/>
      <c r="C23" s="532">
        <v>1</v>
      </c>
      <c r="D23" s="533"/>
      <c r="E23" s="533">
        <f t="shared" si="6"/>
        <v>26</v>
      </c>
      <c r="F23" s="533"/>
      <c r="G23" s="533">
        <f t="shared" si="1"/>
        <v>22000</v>
      </c>
      <c r="H23" s="533"/>
      <c r="I23" s="533">
        <f t="shared" si="7"/>
        <v>182000</v>
      </c>
      <c r="J23" s="533"/>
      <c r="K23" s="533">
        <f t="shared" si="2"/>
        <v>7</v>
      </c>
      <c r="L23" s="533"/>
      <c r="M23" s="533">
        <f t="shared" si="3"/>
        <v>336000</v>
      </c>
      <c r="N23" s="515"/>
      <c r="O23" s="534">
        <f t="shared" si="4"/>
        <v>0.40444444444444444</v>
      </c>
      <c r="P23" s="532">
        <v>22</v>
      </c>
      <c r="T23" s="536" t="e">
        <f t="shared" si="5"/>
        <v>#REF!</v>
      </c>
    </row>
    <row r="24" spans="1:20">
      <c r="A24" s="552">
        <f t="shared" si="0"/>
        <v>24000</v>
      </c>
      <c r="B24" s="515"/>
      <c r="C24" s="532">
        <v>1</v>
      </c>
      <c r="D24" s="533"/>
      <c r="E24" s="533">
        <f t="shared" si="6"/>
        <v>27</v>
      </c>
      <c r="F24" s="533"/>
      <c r="G24" s="533">
        <f t="shared" si="1"/>
        <v>24000</v>
      </c>
      <c r="H24" s="533"/>
      <c r="I24" s="533">
        <f t="shared" si="7"/>
        <v>206000</v>
      </c>
      <c r="J24" s="533"/>
      <c r="K24" s="533">
        <f t="shared" si="2"/>
        <v>6</v>
      </c>
      <c r="L24" s="533"/>
      <c r="M24" s="533">
        <f t="shared" si="3"/>
        <v>350000</v>
      </c>
      <c r="N24" s="515"/>
      <c r="O24" s="534">
        <f t="shared" si="4"/>
        <v>0.45777777777777778</v>
      </c>
      <c r="P24" s="532">
        <v>24</v>
      </c>
      <c r="T24" s="536" t="e">
        <f t="shared" si="5"/>
        <v>#REF!</v>
      </c>
    </row>
    <row r="25" spans="1:20">
      <c r="A25" s="552">
        <f t="shared" si="0"/>
        <v>25000</v>
      </c>
      <c r="B25" s="515"/>
      <c r="C25" s="532">
        <v>1</v>
      </c>
      <c r="D25" s="533"/>
      <c r="E25" s="533">
        <f t="shared" si="6"/>
        <v>28</v>
      </c>
      <c r="F25" s="533"/>
      <c r="G25" s="533">
        <f t="shared" si="1"/>
        <v>25000</v>
      </c>
      <c r="H25" s="533"/>
      <c r="I25" s="533">
        <f t="shared" si="7"/>
        <v>231000</v>
      </c>
      <c r="J25" s="533"/>
      <c r="K25" s="533">
        <f t="shared" si="2"/>
        <v>5</v>
      </c>
      <c r="L25" s="533"/>
      <c r="M25" s="533">
        <f t="shared" si="3"/>
        <v>356000</v>
      </c>
      <c r="N25" s="515"/>
      <c r="O25" s="534">
        <f t="shared" si="4"/>
        <v>0.51333333333333331</v>
      </c>
      <c r="P25" s="532">
        <v>25</v>
      </c>
      <c r="T25" s="536" t="e">
        <f t="shared" si="5"/>
        <v>#REF!</v>
      </c>
    </row>
    <row r="26" spans="1:20">
      <c r="A26" s="552">
        <f t="shared" si="0"/>
        <v>28000</v>
      </c>
      <c r="B26" s="544"/>
      <c r="C26" s="532">
        <v>1</v>
      </c>
      <c r="D26" s="545"/>
      <c r="E26" s="533">
        <f t="shared" si="6"/>
        <v>29</v>
      </c>
      <c r="F26" s="533"/>
      <c r="G26" s="533">
        <f t="shared" si="1"/>
        <v>28000</v>
      </c>
      <c r="H26" s="533"/>
      <c r="I26" s="533">
        <f t="shared" si="7"/>
        <v>259000</v>
      </c>
      <c r="J26" s="545"/>
      <c r="K26" s="533">
        <f t="shared" si="2"/>
        <v>4</v>
      </c>
      <c r="L26" s="545"/>
      <c r="M26" s="533">
        <f t="shared" si="3"/>
        <v>371000</v>
      </c>
      <c r="O26" s="534">
        <f t="shared" si="4"/>
        <v>0.5755555555555556</v>
      </c>
      <c r="P26" s="532">
        <v>28</v>
      </c>
      <c r="T26" s="536" t="e">
        <f t="shared" si="5"/>
        <v>#REF!</v>
      </c>
    </row>
    <row r="27" spans="1:20">
      <c r="A27" s="552">
        <f t="shared" si="0"/>
        <v>32000</v>
      </c>
      <c r="B27" s="544"/>
      <c r="C27" s="532">
        <v>1</v>
      </c>
      <c r="D27" s="545"/>
      <c r="E27" s="533">
        <f t="shared" si="6"/>
        <v>30</v>
      </c>
      <c r="F27" s="533"/>
      <c r="G27" s="533">
        <f t="shared" si="1"/>
        <v>32000</v>
      </c>
      <c r="H27" s="533"/>
      <c r="I27" s="533">
        <f t="shared" si="7"/>
        <v>291000</v>
      </c>
      <c r="J27" s="545"/>
      <c r="K27" s="533">
        <f t="shared" si="2"/>
        <v>3</v>
      </c>
      <c r="L27" s="545"/>
      <c r="M27" s="533">
        <f t="shared" si="3"/>
        <v>387000</v>
      </c>
      <c r="O27" s="534">
        <f t="shared" si="4"/>
        <v>0.64666666666666661</v>
      </c>
      <c r="P27" s="532">
        <v>32</v>
      </c>
      <c r="T27" s="536" t="e">
        <f t="shared" si="5"/>
        <v>#REF!</v>
      </c>
    </row>
    <row r="28" spans="1:20">
      <c r="A28" s="552">
        <f t="shared" si="0"/>
        <v>40000</v>
      </c>
      <c r="B28" s="544"/>
      <c r="C28" s="532">
        <v>1</v>
      </c>
      <c r="D28" s="545"/>
      <c r="E28" s="533">
        <f t="shared" si="6"/>
        <v>31</v>
      </c>
      <c r="F28" s="533"/>
      <c r="G28" s="533">
        <f t="shared" si="1"/>
        <v>40000</v>
      </c>
      <c r="H28" s="533"/>
      <c r="I28" s="533">
        <f t="shared" si="7"/>
        <v>331000</v>
      </c>
      <c r="J28" s="545"/>
      <c r="K28" s="533">
        <f t="shared" si="2"/>
        <v>2</v>
      </c>
      <c r="L28" s="545"/>
      <c r="M28" s="533">
        <f t="shared" si="3"/>
        <v>411000</v>
      </c>
      <c r="O28" s="534">
        <f t="shared" si="4"/>
        <v>0.73555555555555552</v>
      </c>
      <c r="P28" s="532">
        <v>40</v>
      </c>
      <c r="T28" s="536" t="e">
        <f t="shared" si="5"/>
        <v>#REF!</v>
      </c>
    </row>
    <row r="29" spans="1:20">
      <c r="A29" s="552">
        <f t="shared" si="0"/>
        <v>46000</v>
      </c>
      <c r="B29" s="544"/>
      <c r="C29" s="532">
        <v>1</v>
      </c>
      <c r="D29" s="545"/>
      <c r="E29" s="533">
        <f t="shared" si="6"/>
        <v>32</v>
      </c>
      <c r="F29" s="533"/>
      <c r="G29" s="533">
        <f t="shared" si="1"/>
        <v>46000</v>
      </c>
      <c r="H29" s="533"/>
      <c r="I29" s="533">
        <f t="shared" si="7"/>
        <v>377000</v>
      </c>
      <c r="J29" s="545"/>
      <c r="K29" s="533">
        <f t="shared" si="2"/>
        <v>1</v>
      </c>
      <c r="L29" s="545"/>
      <c r="M29" s="533">
        <f t="shared" si="3"/>
        <v>423000</v>
      </c>
      <c r="O29" s="534">
        <f t="shared" si="4"/>
        <v>0.83777777777777773</v>
      </c>
      <c r="P29" s="532">
        <v>46</v>
      </c>
      <c r="T29" s="536" t="e">
        <f t="shared" si="5"/>
        <v>#REF!</v>
      </c>
    </row>
    <row r="30" spans="1:20">
      <c r="A30" s="552">
        <f t="shared" si="0"/>
        <v>73000</v>
      </c>
      <c r="B30" s="544"/>
      <c r="C30" s="532">
        <v>1</v>
      </c>
      <c r="D30" s="545"/>
      <c r="E30" s="533">
        <f t="shared" si="6"/>
        <v>33</v>
      </c>
      <c r="F30" s="533"/>
      <c r="G30" s="533">
        <f t="shared" si="1"/>
        <v>73000</v>
      </c>
      <c r="H30" s="533"/>
      <c r="I30" s="533">
        <f t="shared" si="7"/>
        <v>450000</v>
      </c>
      <c r="J30" s="545"/>
      <c r="K30" s="533">
        <f t="shared" si="2"/>
        <v>0</v>
      </c>
      <c r="L30" s="545"/>
      <c r="M30" s="533">
        <f t="shared" si="3"/>
        <v>450000</v>
      </c>
      <c r="O30" s="534">
        <f t="shared" si="4"/>
        <v>1</v>
      </c>
      <c r="P30" s="532">
        <v>73</v>
      </c>
      <c r="T30" s="536" t="e">
        <f t="shared" si="5"/>
        <v>#REF!</v>
      </c>
    </row>
    <row r="31" spans="1:20">
      <c r="A31" s="552"/>
      <c r="B31" s="544"/>
      <c r="C31" s="561"/>
      <c r="D31" s="545"/>
      <c r="E31" s="533"/>
      <c r="F31" s="533"/>
      <c r="G31" s="533"/>
      <c r="H31" s="533"/>
      <c r="I31" s="533"/>
      <c r="J31" s="545"/>
      <c r="K31" s="533"/>
      <c r="L31" s="545"/>
      <c r="M31" s="533"/>
      <c r="O31" s="534"/>
      <c r="P31" s="547"/>
      <c r="T31" s="536"/>
    </row>
    <row r="32" spans="1:20">
      <c r="A32" s="552"/>
      <c r="B32" s="544"/>
      <c r="C32" s="561"/>
      <c r="D32" s="545"/>
      <c r="E32" s="533"/>
      <c r="F32" s="533"/>
      <c r="G32" s="533"/>
      <c r="H32" s="533"/>
      <c r="I32" s="533"/>
      <c r="J32" s="545"/>
      <c r="K32" s="533"/>
      <c r="L32" s="545"/>
      <c r="M32" s="533"/>
      <c r="O32" s="534"/>
      <c r="P32" s="547"/>
      <c r="T32" s="536"/>
    </row>
    <row r="33" spans="1:20">
      <c r="A33" s="552"/>
      <c r="B33" s="544"/>
      <c r="C33" s="561"/>
      <c r="D33" s="545"/>
      <c r="E33" s="533"/>
      <c r="F33" s="533"/>
      <c r="G33" s="533"/>
      <c r="H33" s="533"/>
      <c r="I33" s="533"/>
      <c r="J33" s="545"/>
      <c r="K33" s="533"/>
      <c r="L33" s="545"/>
      <c r="M33" s="533"/>
      <c r="O33" s="534"/>
      <c r="P33" s="547"/>
      <c r="T33" s="536"/>
    </row>
    <row r="34" spans="1:20">
      <c r="A34" s="531"/>
      <c r="B34" s="515"/>
      <c r="C34" s="561"/>
      <c r="D34" s="515"/>
      <c r="E34" s="533"/>
      <c r="F34" s="533"/>
      <c r="G34" s="533"/>
      <c r="H34" s="533"/>
      <c r="I34" s="533"/>
      <c r="J34" s="515"/>
      <c r="K34" s="533"/>
      <c r="L34" s="515"/>
      <c r="M34" s="533"/>
      <c r="N34" s="515"/>
      <c r="O34" s="534"/>
      <c r="P34" s="547"/>
    </row>
    <row r="35" spans="1:20">
      <c r="A35" s="531"/>
      <c r="B35" s="515"/>
      <c r="C35" s="561"/>
      <c r="D35" s="515"/>
      <c r="E35" s="533"/>
      <c r="F35" s="533"/>
      <c r="G35" s="533"/>
      <c r="H35" s="533"/>
      <c r="I35" s="533"/>
      <c r="J35" s="515"/>
      <c r="K35" s="533"/>
      <c r="L35" s="515"/>
      <c r="M35" s="533"/>
      <c r="N35" s="515"/>
      <c r="O35" s="534"/>
      <c r="P35" s="547"/>
      <c r="T35" s="539" t="e">
        <f>SUM(T10:T30)</f>
        <v>#REF!</v>
      </c>
    </row>
    <row r="36" spans="1:20" hidden="1">
      <c r="A36" s="531"/>
      <c r="B36" s="529"/>
      <c r="C36" s="561"/>
      <c r="D36" s="529"/>
      <c r="E36" s="533"/>
      <c r="F36" s="533"/>
      <c r="G36" s="533"/>
      <c r="H36" s="533"/>
      <c r="I36" s="533"/>
      <c r="J36" s="529"/>
      <c r="K36" s="533"/>
      <c r="L36" s="529"/>
      <c r="M36" s="533"/>
      <c r="N36" s="529"/>
      <c r="O36" s="534"/>
      <c r="P36" s="547"/>
      <c r="T36" s="513">
        <v>1446</v>
      </c>
    </row>
    <row r="37" spans="1:20" hidden="1">
      <c r="A37" s="531"/>
      <c r="B37" s="523"/>
      <c r="C37" s="561"/>
      <c r="D37" s="523"/>
      <c r="E37" s="533"/>
      <c r="F37" s="533"/>
      <c r="G37" s="533"/>
      <c r="H37" s="533"/>
      <c r="I37" s="533"/>
      <c r="J37" s="523"/>
      <c r="K37" s="533"/>
      <c r="L37" s="523"/>
      <c r="M37" s="533"/>
      <c r="N37" s="523"/>
      <c r="O37" s="534"/>
      <c r="P37" s="547"/>
      <c r="T37" s="540" t="e">
        <f>T35-T36</f>
        <v>#REF!</v>
      </c>
    </row>
    <row r="38" spans="1:20" hidden="1">
      <c r="A38" s="531"/>
      <c r="B38" s="525"/>
      <c r="C38" s="561"/>
      <c r="D38" s="525"/>
      <c r="E38" s="533"/>
      <c r="F38" s="533"/>
      <c r="G38" s="533"/>
      <c r="H38" s="533"/>
      <c r="I38" s="533"/>
      <c r="J38" s="525"/>
      <c r="K38" s="533"/>
      <c r="L38" s="525"/>
      <c r="M38" s="533"/>
      <c r="N38" s="525"/>
      <c r="O38" s="534"/>
      <c r="P38" s="547"/>
      <c r="T38" s="555" t="e">
        <f>T37/T35</f>
        <v>#REF!</v>
      </c>
    </row>
    <row r="39" spans="1:20">
      <c r="A39" s="531"/>
      <c r="B39" s="525"/>
      <c r="C39" s="561"/>
      <c r="D39" s="525"/>
      <c r="E39" s="533"/>
      <c r="F39" s="533"/>
      <c r="G39" s="533"/>
      <c r="H39" s="533"/>
      <c r="I39" s="533"/>
      <c r="J39" s="525"/>
      <c r="K39" s="533"/>
      <c r="L39" s="525"/>
      <c r="M39" s="533"/>
      <c r="N39" s="525"/>
      <c r="O39" s="534"/>
      <c r="P39" s="547"/>
    </row>
    <row r="40" spans="1:20">
      <c r="A40" s="531"/>
      <c r="B40" s="525"/>
      <c r="C40" s="561"/>
      <c r="D40" s="525"/>
      <c r="E40" s="533"/>
      <c r="F40" s="533"/>
      <c r="G40" s="533"/>
      <c r="H40" s="533"/>
      <c r="I40" s="533"/>
      <c r="J40" s="525"/>
      <c r="K40" s="533"/>
      <c r="L40" s="525"/>
      <c r="M40" s="533"/>
      <c r="N40" s="525"/>
      <c r="O40" s="534"/>
      <c r="P40" s="547"/>
    </row>
    <row r="41" spans="1:20">
      <c r="A41" s="531"/>
      <c r="B41" s="515"/>
      <c r="C41" s="561"/>
      <c r="D41" s="529"/>
      <c r="E41" s="533"/>
      <c r="F41" s="533"/>
      <c r="G41" s="533"/>
      <c r="H41" s="533"/>
      <c r="I41" s="533"/>
      <c r="J41" s="529"/>
      <c r="K41" s="533"/>
      <c r="L41" s="529"/>
      <c r="M41" s="533"/>
      <c r="N41" s="529"/>
      <c r="O41" s="534"/>
      <c r="P41" s="547"/>
    </row>
    <row r="42" spans="1:20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20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20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20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20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20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20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6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6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1"/>
  <sheetViews>
    <sheetView showGridLines="0" topLeftCell="J1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6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46" t="str">
        <f>'16082-170'!R2</f>
        <v>First 6,000 gallons</v>
      </c>
      <c r="S2" s="518"/>
      <c r="T2" s="546" t="e">
        <f>'16082-170'!T2</f>
        <v>#REF!</v>
      </c>
    </row>
    <row r="3" spans="1:20">
      <c r="A3" s="513" t="s">
        <v>529</v>
      </c>
      <c r="M3" s="520" t="s">
        <v>523</v>
      </c>
      <c r="R3" s="546" t="str">
        <f>'16082-170'!R3</f>
        <v>Next 4,000 gallons</v>
      </c>
      <c r="S3" s="518"/>
      <c r="T3" s="546" t="e">
        <f>'16082-170'!T3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46" t="str">
        <f>'16082-170'!R4</f>
        <v>Next 15,000 gallons</v>
      </c>
      <c r="S4" s="518"/>
      <c r="T4" s="546" t="e">
        <f>'16082-170'!T4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46" t="str">
        <f>'16082-170'!R5</f>
        <v>Next 25,000 gallons</v>
      </c>
      <c r="S5" s="518"/>
      <c r="T5" s="546" t="e">
        <f>'16082-170'!T5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46" t="str">
        <f>'16082-170'!R6</f>
        <v>Next 50,000 gallons</v>
      </c>
      <c r="S6" s="518"/>
      <c r="T6" s="546" t="e">
        <f>'16082-170'!T6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46" t="str">
        <f>'16082-170'!R7</f>
        <v>Next 100,000 gallons</v>
      </c>
      <c r="S7" s="518"/>
      <c r="T7" s="546" t="e">
        <f>'16082-170'!T7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1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1" si="1">A10*C10</f>
        <v>0</v>
      </c>
      <c r="H10" s="533"/>
      <c r="I10" s="533">
        <f>G10</f>
        <v>0</v>
      </c>
      <c r="J10" s="533"/>
      <c r="K10" s="533">
        <f t="shared" ref="K10:K21" si="2">$E$21-E10</f>
        <v>11</v>
      </c>
      <c r="L10" s="533"/>
      <c r="M10" s="533">
        <f t="shared" ref="M10:M21" si="3">(A10*K10)+I10</f>
        <v>0</v>
      </c>
      <c r="O10" s="534">
        <f t="shared" ref="O10:O21" si="4">I10/$I$21</f>
        <v>0</v>
      </c>
      <c r="P10" s="532">
        <v>0</v>
      </c>
      <c r="R10" s="535"/>
      <c r="S10" s="513"/>
      <c r="T10" s="536" t="e">
        <f t="shared" ref="T10:T21" si="5"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21000</v>
      </c>
      <c r="C11" s="532">
        <v>1</v>
      </c>
      <c r="D11" s="533"/>
      <c r="E11" s="533">
        <f t="shared" ref="E11:E21" si="6">E10+C11</f>
        <v>1</v>
      </c>
      <c r="F11" s="533"/>
      <c r="G11" s="533">
        <f t="shared" si="1"/>
        <v>21000</v>
      </c>
      <c r="H11" s="533"/>
      <c r="I11" s="533">
        <f t="shared" ref="I11:I21" si="7">I10+G11</f>
        <v>21000</v>
      </c>
      <c r="J11" s="533"/>
      <c r="K11" s="533">
        <f t="shared" si="2"/>
        <v>10</v>
      </c>
      <c r="L11" s="533"/>
      <c r="M11" s="533">
        <f t="shared" si="3"/>
        <v>231000</v>
      </c>
      <c r="O11" s="534">
        <f t="shared" si="4"/>
        <v>3.825136612021858E-2</v>
      </c>
      <c r="P11" s="532">
        <v>21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28000</v>
      </c>
      <c r="C12" s="532">
        <v>1</v>
      </c>
      <c r="D12" s="533"/>
      <c r="E12" s="533">
        <f t="shared" si="6"/>
        <v>2</v>
      </c>
      <c r="F12" s="533"/>
      <c r="G12" s="533">
        <f t="shared" si="1"/>
        <v>28000</v>
      </c>
      <c r="H12" s="533"/>
      <c r="I12" s="533">
        <f t="shared" si="7"/>
        <v>49000</v>
      </c>
      <c r="J12" s="533"/>
      <c r="K12" s="533">
        <f t="shared" si="2"/>
        <v>9</v>
      </c>
      <c r="L12" s="533"/>
      <c r="M12" s="533">
        <f t="shared" si="3"/>
        <v>301000</v>
      </c>
      <c r="O12" s="534">
        <f t="shared" si="4"/>
        <v>8.9253187613843349E-2</v>
      </c>
      <c r="P12" s="532">
        <v>28</v>
      </c>
      <c r="R12" s="535"/>
      <c r="S12" s="513"/>
      <c r="T12" s="536" t="e">
        <f t="shared" si="5"/>
        <v>#REF!</v>
      </c>
    </row>
    <row r="13" spans="1:20">
      <c r="A13" s="552">
        <f t="shared" si="0"/>
        <v>33000</v>
      </c>
      <c r="B13" s="515"/>
      <c r="C13" s="532">
        <v>1</v>
      </c>
      <c r="D13" s="533"/>
      <c r="E13" s="533">
        <f t="shared" si="6"/>
        <v>3</v>
      </c>
      <c r="F13" s="533"/>
      <c r="G13" s="533">
        <f t="shared" si="1"/>
        <v>33000</v>
      </c>
      <c r="H13" s="533"/>
      <c r="I13" s="533">
        <f t="shared" si="7"/>
        <v>82000</v>
      </c>
      <c r="J13" s="533"/>
      <c r="K13" s="533">
        <f t="shared" si="2"/>
        <v>8</v>
      </c>
      <c r="L13" s="533"/>
      <c r="M13" s="533">
        <f t="shared" si="3"/>
        <v>346000</v>
      </c>
      <c r="N13" s="515"/>
      <c r="O13" s="534">
        <f t="shared" si="4"/>
        <v>0.1493624772313297</v>
      </c>
      <c r="P13" s="532">
        <v>33</v>
      </c>
      <c r="R13" s="535"/>
      <c r="T13" s="536" t="e">
        <f t="shared" si="5"/>
        <v>#REF!</v>
      </c>
    </row>
    <row r="14" spans="1:20">
      <c r="A14" s="552">
        <f t="shared" si="0"/>
        <v>38000</v>
      </c>
      <c r="B14" s="515"/>
      <c r="C14" s="532">
        <v>1</v>
      </c>
      <c r="D14" s="533"/>
      <c r="E14" s="533">
        <f t="shared" si="6"/>
        <v>4</v>
      </c>
      <c r="F14" s="533"/>
      <c r="G14" s="533">
        <f t="shared" si="1"/>
        <v>38000</v>
      </c>
      <c r="H14" s="533"/>
      <c r="I14" s="533">
        <f t="shared" si="7"/>
        <v>120000</v>
      </c>
      <c r="J14" s="533"/>
      <c r="K14" s="533">
        <f t="shared" si="2"/>
        <v>7</v>
      </c>
      <c r="L14" s="533"/>
      <c r="M14" s="533">
        <f t="shared" si="3"/>
        <v>386000</v>
      </c>
      <c r="N14" s="515"/>
      <c r="O14" s="534">
        <f t="shared" si="4"/>
        <v>0.21857923497267759</v>
      </c>
      <c r="P14" s="532">
        <v>38</v>
      </c>
      <c r="T14" s="536" t="e">
        <f t="shared" si="5"/>
        <v>#REF!</v>
      </c>
    </row>
    <row r="15" spans="1:20">
      <c r="A15" s="552">
        <f t="shared" si="0"/>
        <v>51000</v>
      </c>
      <c r="B15" s="515"/>
      <c r="C15" s="532">
        <v>1</v>
      </c>
      <c r="D15" s="533"/>
      <c r="E15" s="533">
        <f t="shared" si="6"/>
        <v>5</v>
      </c>
      <c r="F15" s="533"/>
      <c r="G15" s="533">
        <f t="shared" si="1"/>
        <v>51000</v>
      </c>
      <c r="H15" s="533"/>
      <c r="I15" s="533">
        <f t="shared" si="7"/>
        <v>171000</v>
      </c>
      <c r="J15" s="533"/>
      <c r="K15" s="533">
        <f t="shared" si="2"/>
        <v>6</v>
      </c>
      <c r="L15" s="533"/>
      <c r="M15" s="533">
        <f t="shared" si="3"/>
        <v>477000</v>
      </c>
      <c r="N15" s="515"/>
      <c r="O15" s="534">
        <f t="shared" si="4"/>
        <v>0.31147540983606559</v>
      </c>
      <c r="P15" s="532">
        <v>51</v>
      </c>
      <c r="T15" s="536" t="e">
        <f t="shared" si="5"/>
        <v>#REF!</v>
      </c>
    </row>
    <row r="16" spans="1:20">
      <c r="A16" s="552">
        <f t="shared" si="0"/>
        <v>52000</v>
      </c>
      <c r="B16" s="515"/>
      <c r="C16" s="532">
        <v>1</v>
      </c>
      <c r="D16" s="533"/>
      <c r="E16" s="533">
        <f t="shared" si="6"/>
        <v>6</v>
      </c>
      <c r="F16" s="533"/>
      <c r="G16" s="533">
        <f t="shared" si="1"/>
        <v>52000</v>
      </c>
      <c r="H16" s="533"/>
      <c r="I16" s="533">
        <f t="shared" si="7"/>
        <v>223000</v>
      </c>
      <c r="J16" s="533"/>
      <c r="K16" s="533">
        <f t="shared" si="2"/>
        <v>5</v>
      </c>
      <c r="L16" s="533"/>
      <c r="M16" s="533">
        <f t="shared" si="3"/>
        <v>483000</v>
      </c>
      <c r="N16" s="515"/>
      <c r="O16" s="534">
        <f t="shared" si="4"/>
        <v>0.40619307832422585</v>
      </c>
      <c r="P16" s="532">
        <v>52</v>
      </c>
      <c r="T16" s="536" t="e">
        <f t="shared" si="5"/>
        <v>#REF!</v>
      </c>
    </row>
    <row r="17" spans="1:20">
      <c r="A17" s="552">
        <f t="shared" si="0"/>
        <v>58000</v>
      </c>
      <c r="B17" s="515"/>
      <c r="C17" s="532">
        <v>1</v>
      </c>
      <c r="D17" s="533"/>
      <c r="E17" s="533">
        <f t="shared" si="6"/>
        <v>7</v>
      </c>
      <c r="F17" s="533"/>
      <c r="G17" s="533">
        <f t="shared" si="1"/>
        <v>58000</v>
      </c>
      <c r="H17" s="533"/>
      <c r="I17" s="533">
        <f t="shared" si="7"/>
        <v>281000</v>
      </c>
      <c r="J17" s="533"/>
      <c r="K17" s="533">
        <f t="shared" si="2"/>
        <v>4</v>
      </c>
      <c r="L17" s="533"/>
      <c r="M17" s="533">
        <f t="shared" si="3"/>
        <v>513000</v>
      </c>
      <c r="N17" s="515"/>
      <c r="O17" s="534">
        <f t="shared" si="4"/>
        <v>0.51183970856102001</v>
      </c>
      <c r="P17" s="532">
        <v>58</v>
      </c>
      <c r="T17" s="536" t="e">
        <f t="shared" si="5"/>
        <v>#REF!</v>
      </c>
    </row>
    <row r="18" spans="1:20">
      <c r="A18" s="552">
        <f t="shared" si="0"/>
        <v>62000</v>
      </c>
      <c r="B18" s="515"/>
      <c r="C18" s="532">
        <v>1</v>
      </c>
      <c r="D18" s="533"/>
      <c r="E18" s="533">
        <f t="shared" si="6"/>
        <v>8</v>
      </c>
      <c r="F18" s="533"/>
      <c r="G18" s="533">
        <f t="shared" si="1"/>
        <v>62000</v>
      </c>
      <c r="H18" s="533"/>
      <c r="I18" s="533">
        <f t="shared" si="7"/>
        <v>343000</v>
      </c>
      <c r="J18" s="533"/>
      <c r="K18" s="533">
        <f t="shared" si="2"/>
        <v>3</v>
      </c>
      <c r="L18" s="533"/>
      <c r="M18" s="533">
        <f t="shared" si="3"/>
        <v>529000</v>
      </c>
      <c r="N18" s="515"/>
      <c r="O18" s="534">
        <f t="shared" si="4"/>
        <v>0.62477231329690341</v>
      </c>
      <c r="P18" s="532">
        <v>62</v>
      </c>
      <c r="T18" s="536" t="e">
        <f t="shared" si="5"/>
        <v>#REF!</v>
      </c>
    </row>
    <row r="19" spans="1:20">
      <c r="A19" s="552">
        <f t="shared" si="0"/>
        <v>66000</v>
      </c>
      <c r="B19" s="515"/>
      <c r="C19" s="532">
        <v>1</v>
      </c>
      <c r="D19" s="533"/>
      <c r="E19" s="533">
        <f t="shared" si="6"/>
        <v>9</v>
      </c>
      <c r="F19" s="533"/>
      <c r="G19" s="533">
        <f t="shared" si="1"/>
        <v>66000</v>
      </c>
      <c r="H19" s="533"/>
      <c r="I19" s="533">
        <f t="shared" si="7"/>
        <v>409000</v>
      </c>
      <c r="J19" s="533"/>
      <c r="K19" s="533">
        <f t="shared" si="2"/>
        <v>2</v>
      </c>
      <c r="L19" s="533"/>
      <c r="M19" s="533">
        <f t="shared" si="3"/>
        <v>541000</v>
      </c>
      <c r="N19" s="515"/>
      <c r="O19" s="534">
        <f t="shared" si="4"/>
        <v>0.74499089253187611</v>
      </c>
      <c r="P19" s="532">
        <v>66</v>
      </c>
      <c r="T19" s="536" t="e">
        <f t="shared" si="5"/>
        <v>#REF!</v>
      </c>
    </row>
    <row r="20" spans="1:20">
      <c r="A20" s="552">
        <f t="shared" si="0"/>
        <v>67000</v>
      </c>
      <c r="B20" s="515"/>
      <c r="C20" s="532">
        <v>1</v>
      </c>
      <c r="D20" s="533"/>
      <c r="E20" s="533">
        <f t="shared" si="6"/>
        <v>10</v>
      </c>
      <c r="F20" s="533"/>
      <c r="G20" s="533">
        <f t="shared" si="1"/>
        <v>67000</v>
      </c>
      <c r="H20" s="533"/>
      <c r="I20" s="533">
        <f t="shared" si="7"/>
        <v>476000</v>
      </c>
      <c r="J20" s="533"/>
      <c r="K20" s="533">
        <f t="shared" si="2"/>
        <v>1</v>
      </c>
      <c r="L20" s="533"/>
      <c r="M20" s="533">
        <f t="shared" si="3"/>
        <v>543000</v>
      </c>
      <c r="N20" s="515"/>
      <c r="O20" s="534">
        <f t="shared" si="4"/>
        <v>0.86703096539162117</v>
      </c>
      <c r="P20" s="532">
        <v>67</v>
      </c>
      <c r="T20" s="536" t="e">
        <f t="shared" si="5"/>
        <v>#REF!</v>
      </c>
    </row>
    <row r="21" spans="1:20">
      <c r="A21" s="552">
        <f t="shared" si="0"/>
        <v>73000</v>
      </c>
      <c r="B21" s="515"/>
      <c r="C21" s="532">
        <v>1</v>
      </c>
      <c r="D21" s="533"/>
      <c r="E21" s="533">
        <f t="shared" si="6"/>
        <v>11</v>
      </c>
      <c r="F21" s="533"/>
      <c r="G21" s="533">
        <f t="shared" si="1"/>
        <v>73000</v>
      </c>
      <c r="H21" s="533"/>
      <c r="I21" s="533">
        <f t="shared" si="7"/>
        <v>549000</v>
      </c>
      <c r="J21" s="533"/>
      <c r="K21" s="533">
        <f t="shared" si="2"/>
        <v>0</v>
      </c>
      <c r="L21" s="533"/>
      <c r="M21" s="533">
        <f t="shared" si="3"/>
        <v>549000</v>
      </c>
      <c r="N21" s="515"/>
      <c r="O21" s="534">
        <f t="shared" si="4"/>
        <v>1</v>
      </c>
      <c r="P21" s="532">
        <v>73</v>
      </c>
      <c r="T21" s="536" t="e">
        <f t="shared" si="5"/>
        <v>#REF!</v>
      </c>
    </row>
    <row r="22" spans="1:20">
      <c r="A22" s="552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6"/>
    </row>
    <row r="23" spans="1:20">
      <c r="A23" s="552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36"/>
    </row>
    <row r="24" spans="1:20">
      <c r="A24" s="531"/>
      <c r="B24" s="515"/>
      <c r="C24" s="561"/>
      <c r="D24" s="515"/>
      <c r="E24" s="533"/>
      <c r="F24" s="533"/>
      <c r="G24" s="533"/>
      <c r="H24" s="533"/>
      <c r="I24" s="533"/>
      <c r="J24" s="515"/>
      <c r="K24" s="533"/>
      <c r="L24" s="515"/>
      <c r="M24" s="533"/>
      <c r="N24" s="515"/>
      <c r="O24" s="534"/>
      <c r="P24" s="547"/>
      <c r="T24" s="536"/>
    </row>
    <row r="25" spans="1:20">
      <c r="A25" s="531"/>
      <c r="B25" s="529"/>
      <c r="C25" s="561"/>
      <c r="D25" s="529"/>
      <c r="E25" s="533"/>
      <c r="F25" s="533"/>
      <c r="G25" s="533"/>
      <c r="H25" s="533"/>
      <c r="I25" s="533"/>
      <c r="J25" s="529"/>
      <c r="K25" s="533"/>
      <c r="L25" s="529"/>
      <c r="M25" s="533"/>
      <c r="N25" s="529"/>
      <c r="O25" s="534"/>
      <c r="P25" s="547"/>
      <c r="T25" s="554" t="e">
        <f>SUM(T10:T21)</f>
        <v>#REF!</v>
      </c>
    </row>
    <row r="26" spans="1:20" hidden="1">
      <c r="A26" s="531"/>
      <c r="B26" s="523"/>
      <c r="C26" s="561"/>
      <c r="D26" s="523"/>
      <c r="E26" s="533"/>
      <c r="F26" s="533"/>
      <c r="G26" s="533"/>
      <c r="H26" s="533"/>
      <c r="I26" s="533"/>
      <c r="J26" s="523"/>
      <c r="K26" s="533"/>
      <c r="L26" s="523"/>
      <c r="M26" s="533"/>
      <c r="N26" s="523"/>
      <c r="O26" s="534"/>
      <c r="P26" s="547"/>
      <c r="T26" s="536">
        <v>1375</v>
      </c>
    </row>
    <row r="27" spans="1:20" hidden="1">
      <c r="A27" s="531"/>
      <c r="B27" s="525"/>
      <c r="C27" s="561"/>
      <c r="D27" s="525"/>
      <c r="E27" s="533"/>
      <c r="F27" s="533"/>
      <c r="G27" s="533"/>
      <c r="H27" s="533"/>
      <c r="I27" s="533"/>
      <c r="J27" s="525"/>
      <c r="K27" s="533"/>
      <c r="L27" s="525"/>
      <c r="M27" s="533"/>
      <c r="N27" s="525"/>
      <c r="O27" s="534"/>
      <c r="P27" s="547"/>
      <c r="T27" s="536" t="e">
        <f>T25-T26</f>
        <v>#REF!</v>
      </c>
    </row>
    <row r="28" spans="1:20" hidden="1">
      <c r="A28" s="531"/>
      <c r="B28" s="525"/>
      <c r="C28" s="561"/>
      <c r="D28" s="525"/>
      <c r="E28" s="533"/>
      <c r="F28" s="533"/>
      <c r="G28" s="533"/>
      <c r="H28" s="533"/>
      <c r="I28" s="533"/>
      <c r="J28" s="525"/>
      <c r="K28" s="533"/>
      <c r="L28" s="525"/>
      <c r="M28" s="533"/>
      <c r="N28" s="525"/>
      <c r="O28" s="534"/>
      <c r="P28" s="547"/>
      <c r="T28" s="569" t="e">
        <f>T27/T25</f>
        <v>#REF!</v>
      </c>
    </row>
    <row r="29" spans="1:20">
      <c r="A29" s="531"/>
      <c r="B29" s="525"/>
      <c r="C29" s="561"/>
      <c r="D29" s="525"/>
      <c r="E29" s="533"/>
      <c r="F29" s="533"/>
      <c r="G29" s="533"/>
      <c r="H29" s="533"/>
      <c r="I29" s="533"/>
      <c r="J29" s="525"/>
      <c r="K29" s="533"/>
      <c r="L29" s="525"/>
      <c r="M29" s="533"/>
      <c r="N29" s="525"/>
      <c r="O29" s="534"/>
      <c r="P29" s="547"/>
      <c r="T29" s="536"/>
    </row>
    <row r="30" spans="1:20">
      <c r="A30" s="531"/>
      <c r="B30" s="515"/>
      <c r="C30" s="561"/>
      <c r="D30" s="529"/>
      <c r="E30" s="533"/>
      <c r="F30" s="533"/>
      <c r="G30" s="533"/>
      <c r="H30" s="533"/>
      <c r="I30" s="533"/>
      <c r="J30" s="529"/>
      <c r="K30" s="533"/>
      <c r="L30" s="529"/>
      <c r="M30" s="533"/>
      <c r="N30" s="529"/>
      <c r="O30" s="534"/>
      <c r="P30" s="547"/>
      <c r="T30" s="536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T31" s="536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80"/>
      <c r="C40" s="545"/>
      <c r="D40" s="545"/>
      <c r="E40" s="545"/>
      <c r="F40" s="545"/>
      <c r="G40" s="545"/>
      <c r="H40" s="545"/>
      <c r="I40" s="545"/>
      <c r="J40" s="545"/>
      <c r="K40" s="545"/>
      <c r="L40" s="545"/>
      <c r="M40" s="545"/>
      <c r="O40" s="541"/>
    </row>
    <row r="41" spans="1:16">
      <c r="A41" s="580"/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O41" s="541"/>
    </row>
    <row r="42" spans="1:16">
      <c r="A42" s="580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O42" s="541"/>
    </row>
    <row r="43" spans="1:16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4"/>
  <sheetViews>
    <sheetView showGridLines="0" topLeftCell="L1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46" t="str">
        <f>'16082-171'!R2</f>
        <v>First 6,000 gallons</v>
      </c>
      <c r="S2" s="518"/>
      <c r="T2" s="546" t="e">
        <f>'16082-171'!T2</f>
        <v>#REF!</v>
      </c>
    </row>
    <row r="3" spans="1:20">
      <c r="A3" s="513" t="s">
        <v>529</v>
      </c>
      <c r="M3" s="520" t="s">
        <v>523</v>
      </c>
      <c r="R3" s="546" t="str">
        <f>'16082-171'!R3</f>
        <v>Next 4,000 gallons</v>
      </c>
      <c r="S3" s="518"/>
      <c r="T3" s="546" t="e">
        <f>'16082-171'!T3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46" t="str">
        <f>'16082-171'!R4</f>
        <v>Next 15,000 gallons</v>
      </c>
      <c r="S4" s="518"/>
      <c r="T4" s="546" t="e">
        <f>'16082-171'!T4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46" t="str">
        <f>'16082-171'!R5</f>
        <v>Next 25,000 gallons</v>
      </c>
      <c r="S5" s="518"/>
      <c r="T5" s="546" t="e">
        <f>'16082-171'!T5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46" t="str">
        <f>'16082-171'!R6</f>
        <v>Next 50,000 gallons</v>
      </c>
      <c r="S6" s="518"/>
      <c r="T6" s="546" t="e">
        <f>'16082-171'!T6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46" t="str">
        <f>'16082-171'!R7</f>
        <v>Next 100,000 gallons</v>
      </c>
      <c r="S7" s="518"/>
      <c r="T7" s="546" t="e">
        <f>'16082-171'!T7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32">
        <v>1</v>
      </c>
      <c r="D10" s="533"/>
      <c r="E10" s="533">
        <f>C10</f>
        <v>1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$E$12-E10</f>
        <v>10</v>
      </c>
      <c r="L10" s="533"/>
      <c r="M10" s="533">
        <f>(A10*K10)+I10</f>
        <v>0</v>
      </c>
      <c r="O10" s="534">
        <f>I10/$I$12</f>
        <v>0</v>
      </c>
      <c r="P10" s="532">
        <v>0</v>
      </c>
      <c r="R10" s="535"/>
      <c r="S10" s="513"/>
      <c r="T10" s="536" t="e">
        <f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>P11*1000</f>
        <v>1000</v>
      </c>
      <c r="C11" s="532">
        <v>9</v>
      </c>
      <c r="D11" s="533"/>
      <c r="E11" s="533">
        <f>E10+C11</f>
        <v>10</v>
      </c>
      <c r="F11" s="533"/>
      <c r="G11" s="533">
        <f>A11*C11</f>
        <v>9000</v>
      </c>
      <c r="H11" s="533"/>
      <c r="I11" s="533">
        <f>I10+G11</f>
        <v>9000</v>
      </c>
      <c r="J11" s="533"/>
      <c r="K11" s="533">
        <f>$E$12-E11</f>
        <v>1</v>
      </c>
      <c r="L11" s="533"/>
      <c r="M11" s="533">
        <f>(A11*K11)+I11</f>
        <v>10000</v>
      </c>
      <c r="O11" s="534">
        <f>I11/$I$12</f>
        <v>0.81818181818181823</v>
      </c>
      <c r="P11" s="532">
        <v>1</v>
      </c>
      <c r="R11" s="535"/>
      <c r="S11" s="513"/>
      <c r="T11" s="536" t="e">
        <f>IF(A11&lt;6000,C11*$T$2,IF(A11=6000,C11*$T$2,IF(AND(A11&lt;11000,A11&gt;6000),(C11*$T$2)+((A11-6000)/1000*C11*$T$3),IF(AND(A11&gt;10000,A11&lt;26000),(C11*$T$2)+(9*$T$3*C11)+((A11-10000)/1000*$T$4*C11),IF(AND(A11&lt;51000,A11&gt;25000),(C11*$T$2)+(9*$T$3*C11)+(15*$T$4*C11)+((A11-25000)/1000*$T$5*C11),IF(AND(A11&lt;101000,A11&gt;50000),(C11*$T$2)+(9*$T$3*C11)+(15*$T$4*C11)+(25*$T$5*C11)+((A11-50000)/1000*$T$6*C11),IF(A11&gt;100000,(C11*$T$2)+(9*$T$3*C11)+(15*$T$4*C11)+(25*$T$5*C11)+(50*$T$6*C11)+((A11-100000)/1000*$T$7*C11))))))))</f>
        <v>#REF!</v>
      </c>
    </row>
    <row r="12" spans="1:20" s="515" customFormat="1">
      <c r="A12" s="552">
        <f>P12*1000</f>
        <v>2000</v>
      </c>
      <c r="C12" s="532">
        <v>1</v>
      </c>
      <c r="D12" s="533"/>
      <c r="E12" s="533">
        <f>E11+C12</f>
        <v>11</v>
      </c>
      <c r="F12" s="533"/>
      <c r="G12" s="533">
        <f>A12*C12</f>
        <v>2000</v>
      </c>
      <c r="H12" s="533"/>
      <c r="I12" s="533">
        <f>I11+G12</f>
        <v>11000</v>
      </c>
      <c r="J12" s="533"/>
      <c r="K12" s="533">
        <f>$E$12-E12</f>
        <v>0</v>
      </c>
      <c r="L12" s="533"/>
      <c r="M12" s="533">
        <f>(A12*K12)+I12</f>
        <v>11000</v>
      </c>
      <c r="O12" s="534">
        <f>I12/$I$12</f>
        <v>1</v>
      </c>
      <c r="P12" s="532">
        <v>2</v>
      </c>
      <c r="R12" s="535"/>
      <c r="S12" s="513"/>
      <c r="T12" s="536" t="e">
        <f>IF(A12&lt;6000,C12*$T$2,IF(A12=6000,C12*$T$2,IF(AND(A12&lt;11000,A12&gt;6000),(C12*$T$2)+((A12-6000)/1000*C12*$T$3),IF(AND(A12&gt;10000,A12&lt;26000),(C12*$T$2)+(9*$T$3*C12)+((A12-10000)/1000*$T$4*C12),IF(AND(A12&lt;51000,A12&gt;25000),(C12*$T$2)+(9*$T$3*C12)+(15*$T$4*C12)+((A12-25000)/1000*$T$5*C12),IF(AND(A12&lt;101000,A12&gt;50000),(C12*$T$2)+(9*$T$3*C12)+(15*$T$4*C12)+(25*$T$5*C12)+((A12-50000)/1000*$T$6*C12),IF(A12&gt;100000,(C12*$T$2)+(9*$T$3*C12)+(15*$T$4*C12)+(25*$T$5*C12)+(50*$T$6*C12)+((A12-100000)/1000*$T$7*C12))))))))</f>
        <v>#REF!</v>
      </c>
    </row>
    <row r="13" spans="1:20">
      <c r="A13" s="552"/>
      <c r="B13" s="515"/>
      <c r="C13" s="561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T13" s="536"/>
    </row>
    <row r="14" spans="1:20">
      <c r="A14" s="552"/>
      <c r="B14" s="515"/>
      <c r="C14" s="561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T14" s="554" t="e">
        <f>SUM(T10:T12)</f>
        <v>#REF!</v>
      </c>
    </row>
    <row r="15" spans="1:20">
      <c r="A15" s="552"/>
      <c r="B15" s="515"/>
      <c r="C15" s="561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T15" s="536"/>
    </row>
    <row r="16" spans="1:20">
      <c r="A16" s="552"/>
      <c r="B16" s="515"/>
      <c r="C16" s="561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T16" s="536"/>
    </row>
    <row r="17" spans="1:20">
      <c r="A17" s="552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T17" s="536"/>
    </row>
    <row r="18" spans="1:20">
      <c r="A18" s="531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20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20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20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20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20">
      <c r="A25" s="531"/>
      <c r="B25" s="544"/>
      <c r="C25" s="561"/>
      <c r="D25" s="545"/>
      <c r="E25" s="533"/>
      <c r="F25" s="533"/>
      <c r="G25" s="533"/>
      <c r="H25" s="533"/>
      <c r="I25" s="533"/>
      <c r="J25" s="545"/>
      <c r="K25" s="533"/>
      <c r="L25" s="545"/>
      <c r="M25" s="533"/>
      <c r="O25" s="534"/>
      <c r="P25" s="547"/>
    </row>
    <row r="26" spans="1:20">
      <c r="A26" s="531"/>
      <c r="B26" s="515"/>
      <c r="C26" s="561"/>
      <c r="D26" s="515"/>
      <c r="E26" s="533"/>
      <c r="F26" s="533"/>
      <c r="G26" s="533"/>
      <c r="H26" s="533"/>
      <c r="I26" s="533"/>
      <c r="J26" s="515"/>
      <c r="K26" s="533"/>
      <c r="L26" s="515"/>
      <c r="M26" s="533"/>
      <c r="N26" s="515"/>
      <c r="O26" s="534"/>
      <c r="P26" s="547"/>
    </row>
    <row r="27" spans="1:20">
      <c r="A27" s="531"/>
      <c r="B27" s="515"/>
      <c r="C27" s="561"/>
      <c r="D27" s="515"/>
      <c r="E27" s="533"/>
      <c r="F27" s="533"/>
      <c r="G27" s="533"/>
      <c r="H27" s="533"/>
      <c r="I27" s="533"/>
      <c r="J27" s="515"/>
      <c r="K27" s="533"/>
      <c r="L27" s="515"/>
      <c r="M27" s="533"/>
      <c r="N27" s="515"/>
      <c r="O27" s="534"/>
      <c r="P27" s="547"/>
    </row>
    <row r="28" spans="1:20">
      <c r="A28" s="531"/>
      <c r="B28" s="529"/>
      <c r="C28" s="561"/>
      <c r="D28" s="529"/>
      <c r="E28" s="533"/>
      <c r="F28" s="533"/>
      <c r="G28" s="533"/>
      <c r="H28" s="533"/>
      <c r="I28" s="533"/>
      <c r="J28" s="529"/>
      <c r="K28" s="533"/>
      <c r="L28" s="529"/>
      <c r="M28" s="533"/>
      <c r="N28" s="529"/>
      <c r="O28" s="534"/>
      <c r="P28" s="547"/>
    </row>
    <row r="29" spans="1:20">
      <c r="A29" s="531"/>
      <c r="B29" s="523"/>
      <c r="C29" s="561"/>
      <c r="D29" s="523"/>
      <c r="E29" s="533"/>
      <c r="F29" s="533"/>
      <c r="G29" s="533"/>
      <c r="H29" s="533"/>
      <c r="I29" s="533"/>
      <c r="J29" s="523"/>
      <c r="K29" s="533"/>
      <c r="L29" s="523"/>
      <c r="M29" s="533"/>
      <c r="N29" s="523"/>
      <c r="O29" s="534"/>
      <c r="P29" s="547"/>
    </row>
    <row r="30" spans="1:20">
      <c r="A30" s="531"/>
      <c r="B30" s="525"/>
      <c r="C30" s="561"/>
      <c r="D30" s="525"/>
      <c r="E30" s="533"/>
      <c r="F30" s="533"/>
      <c r="G30" s="533"/>
      <c r="H30" s="533"/>
      <c r="I30" s="533"/>
      <c r="J30" s="525"/>
      <c r="K30" s="533"/>
      <c r="L30" s="525"/>
      <c r="M30" s="533"/>
      <c r="N30" s="525"/>
      <c r="O30" s="534"/>
      <c r="P30" s="547"/>
    </row>
    <row r="31" spans="1:20">
      <c r="A31" s="531"/>
      <c r="B31" s="525"/>
      <c r="C31" s="561"/>
      <c r="D31" s="525"/>
      <c r="E31" s="533"/>
      <c r="F31" s="533"/>
      <c r="G31" s="533"/>
      <c r="H31" s="533"/>
      <c r="I31" s="533"/>
      <c r="J31" s="525"/>
      <c r="K31" s="533"/>
      <c r="L31" s="525"/>
      <c r="M31" s="533"/>
      <c r="N31" s="525"/>
      <c r="O31" s="534"/>
      <c r="P31" s="547"/>
    </row>
    <row r="32" spans="1:20">
      <c r="A32" s="531"/>
      <c r="B32" s="525"/>
      <c r="C32" s="561"/>
      <c r="D32" s="525"/>
      <c r="E32" s="533"/>
      <c r="F32" s="533"/>
      <c r="G32" s="533"/>
      <c r="H32" s="533"/>
      <c r="I32" s="533"/>
      <c r="J32" s="525"/>
      <c r="K32" s="533"/>
      <c r="L32" s="525"/>
      <c r="M32" s="533"/>
      <c r="N32" s="525"/>
      <c r="O32" s="534"/>
      <c r="P32" s="547"/>
    </row>
    <row r="33" spans="1:16">
      <c r="A33" s="531"/>
      <c r="B33" s="515"/>
      <c r="C33" s="561"/>
      <c r="D33" s="529"/>
      <c r="E33" s="533"/>
      <c r="F33" s="533"/>
      <c r="G33" s="533"/>
      <c r="H33" s="533"/>
      <c r="I33" s="533"/>
      <c r="J33" s="529"/>
      <c r="K33" s="533"/>
      <c r="L33" s="529"/>
      <c r="M33" s="533"/>
      <c r="N33" s="529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6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5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"/>
  <sheetViews>
    <sheetView showGridLines="0" topLeftCell="J1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1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46" t="str">
        <f>'16082-172'!R2</f>
        <v>First 6,000 gallons</v>
      </c>
      <c r="S2" s="518"/>
      <c r="T2" s="546" t="e">
        <f>'16082-172'!T2</f>
        <v>#REF!</v>
      </c>
    </row>
    <row r="3" spans="1:20">
      <c r="A3" s="513" t="s">
        <v>529</v>
      </c>
      <c r="M3" s="520" t="s">
        <v>523</v>
      </c>
      <c r="R3" s="546" t="str">
        <f>'16082-172'!R3</f>
        <v>Next 4,000 gallons</v>
      </c>
      <c r="S3" s="518"/>
      <c r="T3" s="546" t="e">
        <f>'16082-172'!T3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46" t="str">
        <f>'16082-172'!R4</f>
        <v>Next 15,000 gallons</v>
      </c>
      <c r="S4" s="518"/>
      <c r="T4" s="546" t="e">
        <f>'16082-172'!T4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46" t="str">
        <f>'16082-172'!R5</f>
        <v>Next 25,000 gallons</v>
      </c>
      <c r="S5" s="518"/>
      <c r="T5" s="546" t="e">
        <f>'16082-172'!T5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46" t="str">
        <f>'16082-172'!R6</f>
        <v>Next 50,000 gallons</v>
      </c>
      <c r="S6" s="518"/>
      <c r="T6" s="546" t="e">
        <f>'16082-172'!T6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46" t="str">
        <f>'16082-172'!R7</f>
        <v>Next 100,000 gallons</v>
      </c>
      <c r="S7" s="518"/>
      <c r="T7" s="546" t="e">
        <f>'16082-172'!T7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47">
        <v>1</v>
      </c>
      <c r="D10" s="533"/>
      <c r="E10" s="533">
        <f>C10</f>
        <v>1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$E$12-E10</f>
        <v>10</v>
      </c>
      <c r="L10" s="533"/>
      <c r="M10" s="533">
        <f>(A10*K10)+I10</f>
        <v>0</v>
      </c>
      <c r="O10" s="534">
        <f>I10/$I$12</f>
        <v>0</v>
      </c>
      <c r="P10" s="532">
        <v>0</v>
      </c>
      <c r="R10" s="535"/>
      <c r="S10" s="513"/>
      <c r="T10" s="536" t="e">
        <f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>P11*1000</f>
        <v>1000</v>
      </c>
      <c r="C11" s="547">
        <v>9</v>
      </c>
      <c r="D11" s="533"/>
      <c r="E11" s="533">
        <f>E10+C11</f>
        <v>10</v>
      </c>
      <c r="F11" s="533"/>
      <c r="G11" s="533">
        <f>A11*C11</f>
        <v>9000</v>
      </c>
      <c r="H11" s="533"/>
      <c r="I11" s="533">
        <f>I10+G11</f>
        <v>9000</v>
      </c>
      <c r="J11" s="533"/>
      <c r="K11" s="533">
        <f>$E$12-E11</f>
        <v>1</v>
      </c>
      <c r="L11" s="533"/>
      <c r="M11" s="533">
        <f>(A11*K11)+I11</f>
        <v>10000</v>
      </c>
      <c r="O11" s="534">
        <f>I11/$I$12</f>
        <v>0.81818181818181823</v>
      </c>
      <c r="P11" s="532">
        <v>1</v>
      </c>
      <c r="R11" s="535"/>
      <c r="S11" s="513"/>
      <c r="T11" s="584" t="e">
        <f>($T$2+($T$3*5))*$C11</f>
        <v>#REF!</v>
      </c>
    </row>
    <row r="12" spans="1:20" s="515" customFormat="1">
      <c r="A12" s="552">
        <f>P12*1000</f>
        <v>2000</v>
      </c>
      <c r="C12" s="547">
        <v>1</v>
      </c>
      <c r="D12" s="533"/>
      <c r="E12" s="533">
        <f>E11+C12</f>
        <v>11</v>
      </c>
      <c r="F12" s="533"/>
      <c r="G12" s="533">
        <f>A12*C12</f>
        <v>2000</v>
      </c>
      <c r="H12" s="533"/>
      <c r="I12" s="533">
        <f>I11+G12</f>
        <v>11000</v>
      </c>
      <c r="J12" s="533"/>
      <c r="K12" s="533">
        <f>$E$12-E12</f>
        <v>0</v>
      </c>
      <c r="L12" s="533"/>
      <c r="M12" s="533">
        <f>(A12*K12)+I12</f>
        <v>11000</v>
      </c>
      <c r="O12" s="534">
        <f>I12/$I$12</f>
        <v>1</v>
      </c>
      <c r="P12" s="532">
        <v>2</v>
      </c>
      <c r="R12" s="535"/>
      <c r="S12" s="513"/>
      <c r="T12" s="584" t="e">
        <f>($T$2+($T$3*5))*$C12</f>
        <v>#REF!</v>
      </c>
    </row>
    <row r="13" spans="1:20">
      <c r="A13" s="552"/>
      <c r="B13" s="515"/>
      <c r="C13" s="561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R13" s="535"/>
      <c r="T13" s="584"/>
    </row>
    <row r="14" spans="1:20">
      <c r="A14" s="552"/>
      <c r="B14" s="515"/>
      <c r="C14" s="561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T14" s="539" t="e">
        <f>SUM(T10:T12)</f>
        <v>#REF!</v>
      </c>
    </row>
    <row r="15" spans="1:20" hidden="1">
      <c r="A15" s="552"/>
      <c r="B15" s="515"/>
      <c r="C15" s="561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T15" s="513">
        <v>222</v>
      </c>
    </row>
    <row r="16" spans="1:20" hidden="1">
      <c r="A16" s="552"/>
      <c r="B16" s="515"/>
      <c r="C16" s="561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T16" s="540" t="e">
        <f>T14-T15</f>
        <v>#REF!</v>
      </c>
    </row>
    <row r="17" spans="1:20" hidden="1">
      <c r="A17" s="552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T17" s="555" t="e">
        <f>T16/T14</f>
        <v>#REF!</v>
      </c>
    </row>
    <row r="18" spans="1:20">
      <c r="A18" s="552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20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20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20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20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20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20">
      <c r="A26" s="531"/>
      <c r="B26" s="544"/>
      <c r="C26" s="561"/>
      <c r="D26" s="545"/>
      <c r="E26" s="533"/>
      <c r="F26" s="533"/>
      <c r="G26" s="533"/>
      <c r="H26" s="533"/>
      <c r="I26" s="533"/>
      <c r="J26" s="545"/>
      <c r="K26" s="533"/>
      <c r="L26" s="545"/>
      <c r="M26" s="533"/>
      <c r="O26" s="534"/>
      <c r="P26" s="547"/>
    </row>
    <row r="27" spans="1:20">
      <c r="A27" s="531"/>
      <c r="B27" s="515"/>
      <c r="C27" s="561"/>
      <c r="D27" s="515"/>
      <c r="E27" s="533"/>
      <c r="F27" s="533"/>
      <c r="G27" s="533"/>
      <c r="H27" s="533"/>
      <c r="I27" s="533"/>
      <c r="J27" s="515"/>
      <c r="K27" s="533"/>
      <c r="L27" s="515"/>
      <c r="M27" s="533"/>
      <c r="N27" s="515"/>
      <c r="O27" s="534"/>
      <c r="P27" s="547"/>
    </row>
    <row r="28" spans="1:20">
      <c r="A28" s="531"/>
      <c r="B28" s="515"/>
      <c r="C28" s="561"/>
      <c r="D28" s="515"/>
      <c r="E28" s="533"/>
      <c r="F28" s="533"/>
      <c r="G28" s="533"/>
      <c r="H28" s="533"/>
      <c r="I28" s="533"/>
      <c r="J28" s="515"/>
      <c r="K28" s="533"/>
      <c r="L28" s="515"/>
      <c r="M28" s="533"/>
      <c r="N28" s="515"/>
      <c r="O28" s="534"/>
      <c r="P28" s="547"/>
    </row>
    <row r="29" spans="1:20">
      <c r="A29" s="531"/>
      <c r="B29" s="529"/>
      <c r="C29" s="561"/>
      <c r="D29" s="529"/>
      <c r="E29" s="533"/>
      <c r="F29" s="533"/>
      <c r="G29" s="533"/>
      <c r="H29" s="533"/>
      <c r="I29" s="533"/>
      <c r="J29" s="529"/>
      <c r="K29" s="533"/>
      <c r="L29" s="529"/>
      <c r="M29" s="533"/>
      <c r="N29" s="529"/>
      <c r="O29" s="534"/>
      <c r="P29" s="547"/>
    </row>
    <row r="30" spans="1:20">
      <c r="A30" s="531"/>
      <c r="B30" s="523"/>
      <c r="C30" s="561"/>
      <c r="D30" s="523"/>
      <c r="E30" s="533"/>
      <c r="F30" s="533"/>
      <c r="G30" s="533"/>
      <c r="H30" s="533"/>
      <c r="I30" s="533"/>
      <c r="J30" s="523"/>
      <c r="K30" s="533"/>
      <c r="L30" s="523"/>
      <c r="M30" s="533"/>
      <c r="N30" s="523"/>
      <c r="O30" s="534"/>
      <c r="P30" s="547"/>
    </row>
    <row r="31" spans="1:20">
      <c r="A31" s="531"/>
      <c r="B31" s="525"/>
      <c r="C31" s="561"/>
      <c r="D31" s="525"/>
      <c r="E31" s="533"/>
      <c r="F31" s="533"/>
      <c r="G31" s="533"/>
      <c r="H31" s="533"/>
      <c r="I31" s="533"/>
      <c r="J31" s="525"/>
      <c r="K31" s="533"/>
      <c r="L31" s="525"/>
      <c r="M31" s="533"/>
      <c r="N31" s="525"/>
      <c r="O31" s="534"/>
      <c r="P31" s="547"/>
    </row>
    <row r="32" spans="1:20">
      <c r="A32" s="531"/>
      <c r="B32" s="525"/>
      <c r="C32" s="561"/>
      <c r="D32" s="525"/>
      <c r="E32" s="533"/>
      <c r="F32" s="533"/>
      <c r="G32" s="533"/>
      <c r="H32" s="533"/>
      <c r="I32" s="533"/>
      <c r="J32" s="525"/>
      <c r="K32" s="533"/>
      <c r="L32" s="525"/>
      <c r="M32" s="533"/>
      <c r="N32" s="525"/>
      <c r="O32" s="534"/>
      <c r="P32" s="547"/>
    </row>
    <row r="33" spans="1:16">
      <c r="A33" s="531"/>
      <c r="B33" s="525"/>
      <c r="C33" s="561"/>
      <c r="D33" s="525"/>
      <c r="E33" s="533"/>
      <c r="F33" s="533"/>
      <c r="G33" s="533"/>
      <c r="H33" s="533"/>
      <c r="I33" s="533"/>
      <c r="J33" s="525"/>
      <c r="K33" s="533"/>
      <c r="L33" s="525"/>
      <c r="M33" s="533"/>
      <c r="N33" s="525"/>
      <c r="O33" s="534"/>
      <c r="P33" s="547"/>
    </row>
    <row r="34" spans="1:16">
      <c r="A34" s="531"/>
      <c r="B34" s="515"/>
      <c r="C34" s="561"/>
      <c r="D34" s="529"/>
      <c r="E34" s="533"/>
      <c r="F34" s="533"/>
      <c r="G34" s="533"/>
      <c r="H34" s="533"/>
      <c r="I34" s="533"/>
      <c r="J34" s="529"/>
      <c r="K34" s="533"/>
      <c r="L34" s="529"/>
      <c r="M34" s="533"/>
      <c r="N34" s="529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5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3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2"/>
  <sheetViews>
    <sheetView showGridLines="0" topLeftCell="J1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'16076-170'!R2</f>
        <v>#REF!</v>
      </c>
      <c r="S2" s="518"/>
      <c r="T2" s="519" t="e">
        <f>'16076-170'!T2</f>
        <v>#REF!</v>
      </c>
    </row>
    <row r="3" spans="1:20">
      <c r="A3" s="513" t="s">
        <v>529</v>
      </c>
      <c r="M3" s="520" t="s">
        <v>525</v>
      </c>
      <c r="R3" s="519" t="e">
        <f>'16076-170'!R3</f>
        <v>#REF!</v>
      </c>
      <c r="S3" s="518"/>
      <c r="T3" s="519" t="e">
        <f>'16076-170'!T3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'16076-170'!R4</f>
        <v>#REF!</v>
      </c>
      <c r="S4" s="518"/>
      <c r="T4" s="519" t="e">
        <f>'16076-170'!T4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'16076-170'!R5</f>
        <v>#REF!</v>
      </c>
      <c r="S5" s="518"/>
      <c r="T5" s="519" t="e">
        <f>'16076-170'!T5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'16076-170'!R6</f>
        <v>#REF!</v>
      </c>
      <c r="S6" s="518"/>
      <c r="T6" s="519" t="e">
        <f>'16076-170'!T6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6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6" si="1">A10*C10</f>
        <v>0</v>
      </c>
      <c r="H10" s="533"/>
      <c r="I10" s="533">
        <f>G10</f>
        <v>0</v>
      </c>
      <c r="J10" s="533"/>
      <c r="K10" s="533">
        <f t="shared" ref="K10:K16" si="2">$E$16-E10</f>
        <v>11</v>
      </c>
      <c r="L10" s="533"/>
      <c r="M10" s="533">
        <f t="shared" ref="M10:M16" si="3">(A10*K10)+I10</f>
        <v>0</v>
      </c>
      <c r="O10" s="534">
        <f t="shared" ref="O10:O16" si="4">I10/$I$16</f>
        <v>0</v>
      </c>
      <c r="P10" s="532">
        <v>0</v>
      </c>
      <c r="R10" s="535"/>
      <c r="S10" s="513"/>
      <c r="T10" s="536" t="e">
        <f t="shared" ref="T10:T16" si="5">IF(A10&lt;21400,C10*$T$2,IF(A10=21400,C10*$T$2,IF(AND(A10&lt;26000,A10&gt;21400),(C10*$T$2)+((A10-21400)*C10/1000*$T$3),IF(AND(A10&gt;25000,A10&lt;51000),(C10*$T$2)+(3.6*$T$3*C10)+((A10-25000)/1000*$T$4*C10),IF(AND(A10&lt;101000,A10&gt;50000),(C10*$T$2)+(3.6*$T$3*C10)+(25*$T$4*C10)+((A10-50000)/1000*$T$5*C10),IF(A10&gt;100000,(C10*$T$2)+(3.6*$T$3*C10)+(25*$T$4*C10)+(50*$T$5*C10)+((A10-100000)/1000*$T$6*C10)))))))</f>
        <v>#REF!</v>
      </c>
    </row>
    <row r="11" spans="1:20" s="515" customFormat="1">
      <c r="A11" s="552">
        <f t="shared" si="0"/>
        <v>9000</v>
      </c>
      <c r="C11" s="532">
        <v>1</v>
      </c>
      <c r="D11" s="533"/>
      <c r="E11" s="533">
        <f t="shared" ref="E11:E16" si="6">E10+C11</f>
        <v>1</v>
      </c>
      <c r="F11" s="533"/>
      <c r="G11" s="533">
        <f t="shared" si="1"/>
        <v>9000</v>
      </c>
      <c r="H11" s="533"/>
      <c r="I11" s="533">
        <f t="shared" ref="I11:I16" si="7">I10+G11</f>
        <v>9000</v>
      </c>
      <c r="J11" s="533"/>
      <c r="K11" s="533">
        <f t="shared" si="2"/>
        <v>10</v>
      </c>
      <c r="L11" s="533"/>
      <c r="M11" s="533">
        <f t="shared" si="3"/>
        <v>99000</v>
      </c>
      <c r="O11" s="534">
        <f t="shared" si="4"/>
        <v>7.03125E-2</v>
      </c>
      <c r="P11" s="532">
        <v>9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10000</v>
      </c>
      <c r="C12" s="532">
        <v>2</v>
      </c>
      <c r="D12" s="533"/>
      <c r="E12" s="533">
        <f t="shared" si="6"/>
        <v>3</v>
      </c>
      <c r="F12" s="533"/>
      <c r="G12" s="533">
        <f t="shared" si="1"/>
        <v>20000</v>
      </c>
      <c r="H12" s="533"/>
      <c r="I12" s="533">
        <f t="shared" si="7"/>
        <v>29000</v>
      </c>
      <c r="J12" s="533"/>
      <c r="K12" s="533">
        <f t="shared" si="2"/>
        <v>8</v>
      </c>
      <c r="L12" s="533"/>
      <c r="M12" s="533">
        <f t="shared" si="3"/>
        <v>109000</v>
      </c>
      <c r="O12" s="534">
        <f t="shared" si="4"/>
        <v>0.2265625</v>
      </c>
      <c r="P12" s="532">
        <v>10</v>
      </c>
      <c r="R12" s="513"/>
      <c r="S12" s="513"/>
      <c r="T12" s="536" t="e">
        <f t="shared" si="5"/>
        <v>#REF!</v>
      </c>
    </row>
    <row r="13" spans="1:20">
      <c r="A13" s="552">
        <f t="shared" si="0"/>
        <v>11000</v>
      </c>
      <c r="B13" s="515"/>
      <c r="C13" s="532">
        <v>4</v>
      </c>
      <c r="D13" s="533"/>
      <c r="E13" s="533">
        <f t="shared" si="6"/>
        <v>7</v>
      </c>
      <c r="F13" s="533"/>
      <c r="G13" s="533">
        <f t="shared" si="1"/>
        <v>44000</v>
      </c>
      <c r="H13" s="533"/>
      <c r="I13" s="533">
        <f t="shared" si="7"/>
        <v>73000</v>
      </c>
      <c r="J13" s="533"/>
      <c r="K13" s="533">
        <f t="shared" si="2"/>
        <v>4</v>
      </c>
      <c r="L13" s="533"/>
      <c r="M13" s="533">
        <f t="shared" si="3"/>
        <v>117000</v>
      </c>
      <c r="N13" s="515"/>
      <c r="O13" s="534">
        <f t="shared" si="4"/>
        <v>0.5703125</v>
      </c>
      <c r="P13" s="532">
        <v>11</v>
      </c>
      <c r="T13" s="536" t="e">
        <f t="shared" si="5"/>
        <v>#REF!</v>
      </c>
    </row>
    <row r="14" spans="1:20">
      <c r="A14" s="552">
        <f t="shared" si="0"/>
        <v>13000</v>
      </c>
      <c r="B14" s="515"/>
      <c r="C14" s="532">
        <v>2</v>
      </c>
      <c r="D14" s="533"/>
      <c r="E14" s="533">
        <f t="shared" si="6"/>
        <v>9</v>
      </c>
      <c r="F14" s="533"/>
      <c r="G14" s="533">
        <f t="shared" si="1"/>
        <v>26000</v>
      </c>
      <c r="H14" s="533"/>
      <c r="I14" s="533">
        <f t="shared" si="7"/>
        <v>99000</v>
      </c>
      <c r="J14" s="533"/>
      <c r="K14" s="533">
        <f t="shared" si="2"/>
        <v>2</v>
      </c>
      <c r="L14" s="533"/>
      <c r="M14" s="533">
        <f t="shared" si="3"/>
        <v>125000</v>
      </c>
      <c r="N14" s="515"/>
      <c r="O14" s="534">
        <f t="shared" si="4"/>
        <v>0.7734375</v>
      </c>
      <c r="P14" s="532">
        <v>13</v>
      </c>
      <c r="T14" s="536" t="e">
        <f t="shared" si="5"/>
        <v>#REF!</v>
      </c>
    </row>
    <row r="15" spans="1:20">
      <c r="A15" s="552">
        <f t="shared" si="0"/>
        <v>14000</v>
      </c>
      <c r="B15" s="515"/>
      <c r="C15" s="532">
        <v>1</v>
      </c>
      <c r="D15" s="533"/>
      <c r="E15" s="533">
        <f t="shared" si="6"/>
        <v>10</v>
      </c>
      <c r="F15" s="533"/>
      <c r="G15" s="533">
        <f t="shared" si="1"/>
        <v>14000</v>
      </c>
      <c r="H15" s="533"/>
      <c r="I15" s="533">
        <f t="shared" si="7"/>
        <v>113000</v>
      </c>
      <c r="J15" s="533"/>
      <c r="K15" s="533">
        <f t="shared" si="2"/>
        <v>1</v>
      </c>
      <c r="L15" s="533"/>
      <c r="M15" s="533">
        <f t="shared" si="3"/>
        <v>127000</v>
      </c>
      <c r="N15" s="515"/>
      <c r="O15" s="534">
        <f t="shared" si="4"/>
        <v>0.8828125</v>
      </c>
      <c r="P15" s="532">
        <v>14</v>
      </c>
      <c r="T15" s="536" t="e">
        <f t="shared" si="5"/>
        <v>#REF!</v>
      </c>
    </row>
    <row r="16" spans="1:20">
      <c r="A16" s="552">
        <f t="shared" si="0"/>
        <v>15000</v>
      </c>
      <c r="B16" s="515"/>
      <c r="C16" s="532">
        <v>1</v>
      </c>
      <c r="D16" s="533"/>
      <c r="E16" s="533">
        <f t="shared" si="6"/>
        <v>11</v>
      </c>
      <c r="F16" s="533"/>
      <c r="G16" s="533">
        <f t="shared" si="1"/>
        <v>15000</v>
      </c>
      <c r="H16" s="533"/>
      <c r="I16" s="533">
        <f t="shared" si="7"/>
        <v>128000</v>
      </c>
      <c r="J16" s="533"/>
      <c r="K16" s="533">
        <f t="shared" si="2"/>
        <v>0</v>
      </c>
      <c r="L16" s="533"/>
      <c r="M16" s="533">
        <f t="shared" si="3"/>
        <v>128000</v>
      </c>
      <c r="N16" s="515"/>
      <c r="O16" s="534">
        <f t="shared" si="4"/>
        <v>1</v>
      </c>
      <c r="P16" s="532">
        <v>15</v>
      </c>
      <c r="T16" s="536" t="e">
        <f t="shared" si="5"/>
        <v>#REF!</v>
      </c>
    </row>
    <row r="17" spans="20:20">
      <c r="T17" s="584"/>
    </row>
    <row r="18" spans="20:20">
      <c r="T18" s="581" t="e">
        <f>SUM(T10:T16)</f>
        <v>#REF!</v>
      </c>
    </row>
    <row r="19" spans="20:20" hidden="1">
      <c r="T19" s="584">
        <v>649</v>
      </c>
    </row>
    <row r="20" spans="20:20" hidden="1">
      <c r="T20" s="584" t="e">
        <f>T18-T19</f>
        <v>#REF!</v>
      </c>
    </row>
    <row r="21" spans="20:20" hidden="1">
      <c r="T21" s="584" t="e">
        <f>T20/T18</f>
        <v>#REF!</v>
      </c>
    </row>
    <row r="22" spans="20:20">
      <c r="T22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2"/>
  <sheetViews>
    <sheetView showGridLines="0" topLeftCell="H25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6.3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'16083-171'!R2</f>
        <v>#REF!</v>
      </c>
      <c r="S2" s="518"/>
      <c r="T2" s="519" t="e">
        <f>'16083-171'!T2</f>
        <v>#REF!</v>
      </c>
    </row>
    <row r="3" spans="1:20">
      <c r="A3" s="513" t="s">
        <v>529</v>
      </c>
      <c r="M3" s="520" t="s">
        <v>525</v>
      </c>
      <c r="R3" s="519" t="e">
        <f>'16083-171'!R3</f>
        <v>#REF!</v>
      </c>
      <c r="S3" s="518"/>
      <c r="T3" s="519" t="e">
        <f>'16083-171'!T3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'16083-171'!R4</f>
        <v>#REF!</v>
      </c>
      <c r="S4" s="518"/>
      <c r="T4" s="519" t="e">
        <f>'16083-171'!T4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'16083-171'!R5</f>
        <v>#REF!</v>
      </c>
      <c r="S5" s="518"/>
      <c r="T5" s="519" t="e">
        <f>'16083-171'!T5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'16083-171'!R6</f>
        <v>#REF!</v>
      </c>
      <c r="S6" s="518"/>
      <c r="T6" s="519" t="e">
        <f>'16083-171'!T6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42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42" si="1">A10*C10</f>
        <v>0</v>
      </c>
      <c r="H10" s="533"/>
      <c r="I10" s="533">
        <f>G10</f>
        <v>0</v>
      </c>
      <c r="J10" s="533"/>
      <c r="K10" s="533">
        <f t="shared" ref="K10:K42" si="2">$E$42-E10</f>
        <v>33</v>
      </c>
      <c r="L10" s="533"/>
      <c r="M10" s="533">
        <f t="shared" ref="M10:M42" si="3">(A10*K10)+I10</f>
        <v>0</v>
      </c>
      <c r="O10" s="534">
        <f t="shared" ref="O10:O42" si="4">I10/$I$42</f>
        <v>0</v>
      </c>
      <c r="P10" s="532">
        <v>0</v>
      </c>
      <c r="R10" s="535"/>
      <c r="S10" s="513"/>
      <c r="T10" s="536" t="e">
        <f t="shared" ref="T10:T42" si="5">IF(A10&lt;21400,C10*$T$2,IF(A10=21400,C10*$T$2,IF(AND(A10&lt;26000,A10&gt;21400),(C10*$T$2)+((A10-21400)*C10/1000*$T$3),IF(AND(A10&gt;25000,A10&lt;51000),(C10*$T$2)+(3.6*$T$3*C10)+((A10-25000)/1000*$T$4*C10),IF(AND(A10&lt;101000,A10&gt;50000),(C10*$T$2)+(3.6*$T$3*C10)+(25*$T$4*C10)+((A10-50000)/1000*$T$5*C10),IF(A10&gt;100000,(C10*$T$2)+(3.6*$T$3*C10)+(25*$T$4*C10)+(50*$T$5*C10)+((A10-100000)/1000*$T$6*C10)))))))</f>
        <v>#REF!</v>
      </c>
    </row>
    <row r="11" spans="1:20" s="515" customFormat="1">
      <c r="A11" s="552">
        <f t="shared" si="0"/>
        <v>31000</v>
      </c>
      <c r="C11" s="532">
        <v>1</v>
      </c>
      <c r="D11" s="533"/>
      <c r="E11" s="533">
        <f t="shared" ref="E11:E42" si="6">E10+C11</f>
        <v>1</v>
      </c>
      <c r="F11" s="533"/>
      <c r="G11" s="533">
        <f t="shared" si="1"/>
        <v>31000</v>
      </c>
      <c r="H11" s="533"/>
      <c r="I11" s="533">
        <f t="shared" ref="I11:I42" si="7">I10+G11</f>
        <v>31000</v>
      </c>
      <c r="J11" s="533"/>
      <c r="K11" s="533">
        <f t="shared" si="2"/>
        <v>32</v>
      </c>
      <c r="L11" s="533"/>
      <c r="M11" s="533">
        <f t="shared" si="3"/>
        <v>1023000</v>
      </c>
      <c r="O11" s="534">
        <f t="shared" si="4"/>
        <v>3.7639630888780962E-3</v>
      </c>
      <c r="P11" s="532">
        <v>31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35000</v>
      </c>
      <c r="C12" s="532">
        <v>1</v>
      </c>
      <c r="D12" s="533"/>
      <c r="E12" s="533">
        <f t="shared" si="6"/>
        <v>2</v>
      </c>
      <c r="F12" s="533"/>
      <c r="G12" s="533">
        <f t="shared" si="1"/>
        <v>35000</v>
      </c>
      <c r="H12" s="533"/>
      <c r="I12" s="533">
        <f t="shared" si="7"/>
        <v>66000</v>
      </c>
      <c r="J12" s="533"/>
      <c r="K12" s="533">
        <f t="shared" si="2"/>
        <v>31</v>
      </c>
      <c r="L12" s="533"/>
      <c r="M12" s="533">
        <f t="shared" si="3"/>
        <v>1151000</v>
      </c>
      <c r="O12" s="534">
        <f t="shared" si="4"/>
        <v>8.0135988343856233E-3</v>
      </c>
      <c r="P12" s="532">
        <v>35</v>
      </c>
      <c r="R12" s="513"/>
      <c r="S12" s="513"/>
      <c r="T12" s="536" t="e">
        <f t="shared" si="5"/>
        <v>#REF!</v>
      </c>
    </row>
    <row r="13" spans="1:20">
      <c r="A13" s="552">
        <f t="shared" si="0"/>
        <v>48000</v>
      </c>
      <c r="B13" s="515"/>
      <c r="C13" s="532">
        <v>2</v>
      </c>
      <c r="D13" s="533"/>
      <c r="E13" s="533">
        <f t="shared" si="6"/>
        <v>4</v>
      </c>
      <c r="F13" s="533"/>
      <c r="G13" s="533">
        <f t="shared" si="1"/>
        <v>96000</v>
      </c>
      <c r="H13" s="533"/>
      <c r="I13" s="533">
        <f t="shared" si="7"/>
        <v>162000</v>
      </c>
      <c r="J13" s="533"/>
      <c r="K13" s="533">
        <f t="shared" si="2"/>
        <v>29</v>
      </c>
      <c r="L13" s="533"/>
      <c r="M13" s="533">
        <f t="shared" si="3"/>
        <v>1554000</v>
      </c>
      <c r="N13" s="515"/>
      <c r="O13" s="534">
        <f t="shared" si="4"/>
        <v>1.9669742593491985E-2</v>
      </c>
      <c r="P13" s="532">
        <v>48</v>
      </c>
      <c r="T13" s="536" t="e">
        <f t="shared" si="5"/>
        <v>#REF!</v>
      </c>
    </row>
    <row r="14" spans="1:20">
      <c r="A14" s="552">
        <f t="shared" si="0"/>
        <v>52000</v>
      </c>
      <c r="B14" s="515"/>
      <c r="C14" s="532">
        <v>1</v>
      </c>
      <c r="D14" s="533"/>
      <c r="E14" s="533">
        <f t="shared" si="6"/>
        <v>5</v>
      </c>
      <c r="F14" s="533"/>
      <c r="G14" s="533">
        <f t="shared" si="1"/>
        <v>52000</v>
      </c>
      <c r="H14" s="533"/>
      <c r="I14" s="533">
        <f t="shared" si="7"/>
        <v>214000</v>
      </c>
      <c r="J14" s="533"/>
      <c r="K14" s="533">
        <f t="shared" si="2"/>
        <v>28</v>
      </c>
      <c r="L14" s="533"/>
      <c r="M14" s="533">
        <f t="shared" si="3"/>
        <v>1670000</v>
      </c>
      <c r="N14" s="515"/>
      <c r="O14" s="534">
        <f t="shared" si="4"/>
        <v>2.59834871296746E-2</v>
      </c>
      <c r="P14" s="532">
        <v>52</v>
      </c>
      <c r="T14" s="536" t="e">
        <f t="shared" si="5"/>
        <v>#REF!</v>
      </c>
    </row>
    <row r="15" spans="1:20">
      <c r="A15" s="552">
        <f t="shared" si="0"/>
        <v>55000</v>
      </c>
      <c r="B15" s="515"/>
      <c r="C15" s="532">
        <v>1</v>
      </c>
      <c r="D15" s="533"/>
      <c r="E15" s="533">
        <f t="shared" si="6"/>
        <v>6</v>
      </c>
      <c r="F15" s="533"/>
      <c r="G15" s="533">
        <f t="shared" si="1"/>
        <v>55000</v>
      </c>
      <c r="H15" s="533"/>
      <c r="I15" s="533">
        <f t="shared" si="7"/>
        <v>269000</v>
      </c>
      <c r="J15" s="533"/>
      <c r="K15" s="533">
        <f t="shared" si="2"/>
        <v>27</v>
      </c>
      <c r="L15" s="533"/>
      <c r="M15" s="533">
        <f t="shared" si="3"/>
        <v>1754000</v>
      </c>
      <c r="N15" s="515"/>
      <c r="O15" s="534">
        <f t="shared" si="4"/>
        <v>3.2661486158329284E-2</v>
      </c>
      <c r="P15" s="532">
        <v>55</v>
      </c>
      <c r="T15" s="536" t="e">
        <f t="shared" si="5"/>
        <v>#REF!</v>
      </c>
    </row>
    <row r="16" spans="1:20">
      <c r="A16" s="552">
        <f t="shared" si="0"/>
        <v>62000</v>
      </c>
      <c r="B16" s="515"/>
      <c r="C16" s="532">
        <v>1</v>
      </c>
      <c r="D16" s="533"/>
      <c r="E16" s="533">
        <f t="shared" si="6"/>
        <v>7</v>
      </c>
      <c r="F16" s="533"/>
      <c r="G16" s="533">
        <f t="shared" si="1"/>
        <v>62000</v>
      </c>
      <c r="H16" s="533"/>
      <c r="I16" s="533">
        <f t="shared" si="7"/>
        <v>331000</v>
      </c>
      <c r="J16" s="533"/>
      <c r="K16" s="533">
        <f t="shared" si="2"/>
        <v>26</v>
      </c>
      <c r="L16" s="533"/>
      <c r="M16" s="533">
        <f t="shared" si="3"/>
        <v>1943000</v>
      </c>
      <c r="N16" s="515"/>
      <c r="O16" s="534">
        <f t="shared" si="4"/>
        <v>4.018941233608548E-2</v>
      </c>
      <c r="P16" s="532">
        <v>62</v>
      </c>
      <c r="T16" s="536" t="e">
        <f t="shared" si="5"/>
        <v>#REF!</v>
      </c>
    </row>
    <row r="17" spans="1:20">
      <c r="A17" s="552">
        <f t="shared" si="0"/>
        <v>66000</v>
      </c>
      <c r="B17" s="515"/>
      <c r="C17" s="532">
        <v>1</v>
      </c>
      <c r="D17" s="533"/>
      <c r="E17" s="533">
        <f t="shared" si="6"/>
        <v>8</v>
      </c>
      <c r="F17" s="533"/>
      <c r="G17" s="533">
        <f t="shared" si="1"/>
        <v>66000</v>
      </c>
      <c r="H17" s="533"/>
      <c r="I17" s="533">
        <f t="shared" si="7"/>
        <v>397000</v>
      </c>
      <c r="J17" s="533"/>
      <c r="K17" s="533">
        <f t="shared" si="2"/>
        <v>25</v>
      </c>
      <c r="L17" s="533"/>
      <c r="M17" s="533">
        <f t="shared" si="3"/>
        <v>2047000</v>
      </c>
      <c r="N17" s="515"/>
      <c r="O17" s="534">
        <f t="shared" si="4"/>
        <v>4.82030111704711E-2</v>
      </c>
      <c r="P17" s="532">
        <v>66</v>
      </c>
      <c r="T17" s="536" t="e">
        <f t="shared" si="5"/>
        <v>#REF!</v>
      </c>
    </row>
    <row r="18" spans="1:20">
      <c r="A18" s="552">
        <f t="shared" si="0"/>
        <v>74000</v>
      </c>
      <c r="B18" s="515"/>
      <c r="C18" s="532">
        <v>1</v>
      </c>
      <c r="D18" s="533"/>
      <c r="E18" s="533">
        <f t="shared" si="6"/>
        <v>9</v>
      </c>
      <c r="F18" s="533"/>
      <c r="G18" s="533">
        <f t="shared" si="1"/>
        <v>74000</v>
      </c>
      <c r="H18" s="533"/>
      <c r="I18" s="533">
        <f t="shared" si="7"/>
        <v>471000</v>
      </c>
      <c r="J18" s="533"/>
      <c r="K18" s="533">
        <f t="shared" si="2"/>
        <v>24</v>
      </c>
      <c r="L18" s="533"/>
      <c r="M18" s="533">
        <f t="shared" si="3"/>
        <v>2247000</v>
      </c>
      <c r="N18" s="515"/>
      <c r="O18" s="534">
        <f t="shared" si="4"/>
        <v>5.7187955318115588E-2</v>
      </c>
      <c r="P18" s="532">
        <v>74</v>
      </c>
      <c r="T18" s="536" t="e">
        <f t="shared" si="5"/>
        <v>#REF!</v>
      </c>
    </row>
    <row r="19" spans="1:20">
      <c r="A19" s="531">
        <f t="shared" si="0"/>
        <v>83000</v>
      </c>
      <c r="B19" s="515"/>
      <c r="C19" s="532">
        <v>1</v>
      </c>
      <c r="D19" s="533"/>
      <c r="E19" s="533">
        <f t="shared" si="6"/>
        <v>10</v>
      </c>
      <c r="F19" s="533"/>
      <c r="G19" s="533">
        <f t="shared" si="1"/>
        <v>83000</v>
      </c>
      <c r="H19" s="533"/>
      <c r="I19" s="533">
        <f t="shared" si="7"/>
        <v>554000</v>
      </c>
      <c r="J19" s="533"/>
      <c r="K19" s="533">
        <f t="shared" si="2"/>
        <v>23</v>
      </c>
      <c r="L19" s="533"/>
      <c r="M19" s="533">
        <f t="shared" si="3"/>
        <v>2463000</v>
      </c>
      <c r="N19" s="515"/>
      <c r="O19" s="534">
        <f t="shared" si="4"/>
        <v>6.7265662943176305E-2</v>
      </c>
      <c r="P19" s="532">
        <v>83</v>
      </c>
      <c r="T19" s="536" t="e">
        <f t="shared" si="5"/>
        <v>#REF!</v>
      </c>
    </row>
    <row r="20" spans="1:20">
      <c r="A20" s="531">
        <f t="shared" si="0"/>
        <v>105000</v>
      </c>
      <c r="B20" s="515"/>
      <c r="C20" s="532">
        <v>1</v>
      </c>
      <c r="D20" s="533"/>
      <c r="E20" s="533">
        <f t="shared" si="6"/>
        <v>11</v>
      </c>
      <c r="F20" s="533"/>
      <c r="G20" s="533">
        <f t="shared" si="1"/>
        <v>105000</v>
      </c>
      <c r="H20" s="533"/>
      <c r="I20" s="533">
        <f t="shared" si="7"/>
        <v>659000</v>
      </c>
      <c r="J20" s="533"/>
      <c r="K20" s="533">
        <f t="shared" si="2"/>
        <v>22</v>
      </c>
      <c r="L20" s="533"/>
      <c r="M20" s="533">
        <f t="shared" si="3"/>
        <v>2969000</v>
      </c>
      <c r="N20" s="515"/>
      <c r="O20" s="534">
        <f t="shared" si="4"/>
        <v>8.0014570179698888E-2</v>
      </c>
      <c r="P20" s="532">
        <v>105</v>
      </c>
      <c r="T20" s="536" t="e">
        <f t="shared" si="5"/>
        <v>#REF!</v>
      </c>
    </row>
    <row r="21" spans="1:20">
      <c r="A21" s="531">
        <f t="shared" si="0"/>
        <v>137000</v>
      </c>
      <c r="B21" s="515"/>
      <c r="C21" s="532">
        <v>1</v>
      </c>
      <c r="D21" s="533"/>
      <c r="E21" s="533">
        <f t="shared" si="6"/>
        <v>12</v>
      </c>
      <c r="F21" s="533"/>
      <c r="G21" s="533">
        <f t="shared" si="1"/>
        <v>137000</v>
      </c>
      <c r="H21" s="533"/>
      <c r="I21" s="533">
        <f t="shared" si="7"/>
        <v>796000</v>
      </c>
      <c r="J21" s="533"/>
      <c r="K21" s="533">
        <f t="shared" si="2"/>
        <v>21</v>
      </c>
      <c r="L21" s="533"/>
      <c r="M21" s="533">
        <f t="shared" si="3"/>
        <v>3673000</v>
      </c>
      <c r="N21" s="515"/>
      <c r="O21" s="534">
        <f t="shared" si="4"/>
        <v>9.6648858669256918E-2</v>
      </c>
      <c r="P21" s="532">
        <v>137</v>
      </c>
      <c r="T21" s="536" t="e">
        <f t="shared" si="5"/>
        <v>#REF!</v>
      </c>
    </row>
    <row r="22" spans="1:20">
      <c r="A22" s="531">
        <f t="shared" si="0"/>
        <v>159000</v>
      </c>
      <c r="B22" s="515"/>
      <c r="C22" s="532">
        <v>1</v>
      </c>
      <c r="D22" s="533"/>
      <c r="E22" s="533">
        <f t="shared" si="6"/>
        <v>13</v>
      </c>
      <c r="F22" s="533"/>
      <c r="G22" s="533">
        <f t="shared" si="1"/>
        <v>159000</v>
      </c>
      <c r="H22" s="533"/>
      <c r="I22" s="533">
        <f t="shared" si="7"/>
        <v>955000</v>
      </c>
      <c r="J22" s="533"/>
      <c r="K22" s="533">
        <f t="shared" si="2"/>
        <v>20</v>
      </c>
      <c r="L22" s="533"/>
      <c r="M22" s="533">
        <f t="shared" si="3"/>
        <v>4135000</v>
      </c>
      <c r="N22" s="515"/>
      <c r="O22" s="534">
        <f t="shared" si="4"/>
        <v>0.11595434677027683</v>
      </c>
      <c r="P22" s="532">
        <v>159</v>
      </c>
      <c r="T22" s="536" t="e">
        <f t="shared" si="5"/>
        <v>#REF!</v>
      </c>
    </row>
    <row r="23" spans="1:20">
      <c r="A23" s="531">
        <f t="shared" si="0"/>
        <v>171000</v>
      </c>
      <c r="B23" s="515"/>
      <c r="C23" s="532">
        <v>1</v>
      </c>
      <c r="D23" s="533"/>
      <c r="E23" s="533">
        <f t="shared" si="6"/>
        <v>14</v>
      </c>
      <c r="F23" s="533"/>
      <c r="G23" s="533">
        <f t="shared" si="1"/>
        <v>171000</v>
      </c>
      <c r="H23" s="533"/>
      <c r="I23" s="533">
        <f t="shared" si="7"/>
        <v>1126000</v>
      </c>
      <c r="J23" s="533"/>
      <c r="K23" s="533">
        <f t="shared" si="2"/>
        <v>19</v>
      </c>
      <c r="L23" s="533"/>
      <c r="M23" s="533">
        <f t="shared" si="3"/>
        <v>4375000</v>
      </c>
      <c r="N23" s="515"/>
      <c r="O23" s="534">
        <f t="shared" si="4"/>
        <v>0.13671685284118504</v>
      </c>
      <c r="P23" s="532">
        <v>171</v>
      </c>
      <c r="T23" s="536" t="e">
        <f t="shared" si="5"/>
        <v>#REF!</v>
      </c>
    </row>
    <row r="24" spans="1:20">
      <c r="A24" s="531">
        <f t="shared" si="0"/>
        <v>176000</v>
      </c>
      <c r="B24" s="515"/>
      <c r="C24" s="532">
        <v>1</v>
      </c>
      <c r="D24" s="533"/>
      <c r="E24" s="533">
        <f t="shared" si="6"/>
        <v>15</v>
      </c>
      <c r="F24" s="533"/>
      <c r="G24" s="533">
        <f t="shared" si="1"/>
        <v>176000</v>
      </c>
      <c r="H24" s="533"/>
      <c r="I24" s="533">
        <f t="shared" si="7"/>
        <v>1302000</v>
      </c>
      <c r="J24" s="533"/>
      <c r="K24" s="533">
        <f t="shared" si="2"/>
        <v>18</v>
      </c>
      <c r="L24" s="533"/>
      <c r="M24" s="533">
        <f t="shared" si="3"/>
        <v>4470000</v>
      </c>
      <c r="N24" s="515"/>
      <c r="O24" s="534">
        <f t="shared" si="4"/>
        <v>0.15808644973288005</v>
      </c>
      <c r="P24" s="532">
        <v>176</v>
      </c>
      <c r="T24" s="536" t="e">
        <f t="shared" si="5"/>
        <v>#REF!</v>
      </c>
    </row>
    <row r="25" spans="1:20">
      <c r="A25" s="531">
        <f t="shared" si="0"/>
        <v>178000</v>
      </c>
      <c r="B25" s="515"/>
      <c r="C25" s="532">
        <v>1</v>
      </c>
      <c r="D25" s="533"/>
      <c r="E25" s="533">
        <f t="shared" si="6"/>
        <v>16</v>
      </c>
      <c r="F25" s="533"/>
      <c r="G25" s="533">
        <f t="shared" si="1"/>
        <v>178000</v>
      </c>
      <c r="H25" s="533"/>
      <c r="I25" s="533">
        <f t="shared" si="7"/>
        <v>1480000</v>
      </c>
      <c r="J25" s="533"/>
      <c r="K25" s="533">
        <f t="shared" si="2"/>
        <v>17</v>
      </c>
      <c r="L25" s="533"/>
      <c r="M25" s="533">
        <f t="shared" si="3"/>
        <v>4506000</v>
      </c>
      <c r="N25" s="515"/>
      <c r="O25" s="534">
        <f t="shared" si="4"/>
        <v>0.17969888295288974</v>
      </c>
      <c r="P25" s="532">
        <v>178</v>
      </c>
      <c r="T25" s="536" t="e">
        <f t="shared" si="5"/>
        <v>#REF!</v>
      </c>
    </row>
    <row r="26" spans="1:20">
      <c r="A26" s="531">
        <f t="shared" si="0"/>
        <v>183000</v>
      </c>
      <c r="B26" s="544"/>
      <c r="C26" s="532">
        <v>1</v>
      </c>
      <c r="D26" s="545"/>
      <c r="E26" s="533">
        <f t="shared" si="6"/>
        <v>17</v>
      </c>
      <c r="F26" s="533"/>
      <c r="G26" s="533">
        <f t="shared" si="1"/>
        <v>183000</v>
      </c>
      <c r="H26" s="533"/>
      <c r="I26" s="533">
        <f t="shared" si="7"/>
        <v>1663000</v>
      </c>
      <c r="J26" s="545"/>
      <c r="K26" s="533">
        <f t="shared" si="2"/>
        <v>16</v>
      </c>
      <c r="L26" s="545"/>
      <c r="M26" s="533">
        <f t="shared" si="3"/>
        <v>4591000</v>
      </c>
      <c r="O26" s="534">
        <f t="shared" si="4"/>
        <v>0.20191840699368627</v>
      </c>
      <c r="P26" s="532">
        <v>183</v>
      </c>
      <c r="T26" s="536" t="e">
        <f t="shared" si="5"/>
        <v>#REF!</v>
      </c>
    </row>
    <row r="27" spans="1:20">
      <c r="A27" s="531">
        <f t="shared" si="0"/>
        <v>192000</v>
      </c>
      <c r="B27" s="515"/>
      <c r="C27" s="532">
        <v>1</v>
      </c>
      <c r="D27" s="515"/>
      <c r="E27" s="533">
        <f t="shared" si="6"/>
        <v>18</v>
      </c>
      <c r="F27" s="533"/>
      <c r="G27" s="533">
        <f t="shared" si="1"/>
        <v>192000</v>
      </c>
      <c r="H27" s="533"/>
      <c r="I27" s="533">
        <f t="shared" si="7"/>
        <v>1855000</v>
      </c>
      <c r="J27" s="515"/>
      <c r="K27" s="533">
        <f t="shared" si="2"/>
        <v>15</v>
      </c>
      <c r="L27" s="515"/>
      <c r="M27" s="533">
        <f t="shared" si="3"/>
        <v>4735000</v>
      </c>
      <c r="N27" s="515"/>
      <c r="O27" s="534">
        <f t="shared" si="4"/>
        <v>0.22523069451189898</v>
      </c>
      <c r="P27" s="532">
        <v>192</v>
      </c>
      <c r="T27" s="536" t="e">
        <f t="shared" si="5"/>
        <v>#REF!</v>
      </c>
    </row>
    <row r="28" spans="1:20">
      <c r="A28" s="531">
        <f t="shared" si="0"/>
        <v>198000</v>
      </c>
      <c r="B28" s="515"/>
      <c r="C28" s="532">
        <v>1</v>
      </c>
      <c r="D28" s="515"/>
      <c r="E28" s="533">
        <f t="shared" si="6"/>
        <v>19</v>
      </c>
      <c r="F28" s="533"/>
      <c r="G28" s="533">
        <f t="shared" si="1"/>
        <v>198000</v>
      </c>
      <c r="H28" s="533"/>
      <c r="I28" s="533">
        <f t="shared" si="7"/>
        <v>2053000</v>
      </c>
      <c r="J28" s="515"/>
      <c r="K28" s="533">
        <f t="shared" si="2"/>
        <v>14</v>
      </c>
      <c r="L28" s="515"/>
      <c r="M28" s="533">
        <f t="shared" si="3"/>
        <v>4825000</v>
      </c>
      <c r="N28" s="515"/>
      <c r="O28" s="534">
        <f t="shared" si="4"/>
        <v>0.24927149101505586</v>
      </c>
      <c r="P28" s="532">
        <v>198</v>
      </c>
      <c r="T28" s="536" t="e">
        <f t="shared" si="5"/>
        <v>#REF!</v>
      </c>
    </row>
    <row r="29" spans="1:20">
      <c r="A29" s="531">
        <f t="shared" si="0"/>
        <v>210000</v>
      </c>
      <c r="B29" s="529"/>
      <c r="C29" s="532">
        <v>1</v>
      </c>
      <c r="D29" s="529"/>
      <c r="E29" s="533">
        <f t="shared" si="6"/>
        <v>20</v>
      </c>
      <c r="F29" s="533"/>
      <c r="G29" s="533">
        <f t="shared" si="1"/>
        <v>210000</v>
      </c>
      <c r="H29" s="533"/>
      <c r="I29" s="533">
        <f t="shared" si="7"/>
        <v>2263000</v>
      </c>
      <c r="J29" s="529"/>
      <c r="K29" s="533">
        <f t="shared" si="2"/>
        <v>13</v>
      </c>
      <c r="L29" s="529"/>
      <c r="M29" s="533">
        <f t="shared" si="3"/>
        <v>4993000</v>
      </c>
      <c r="N29" s="529"/>
      <c r="O29" s="534">
        <f t="shared" si="4"/>
        <v>0.27476930548810102</v>
      </c>
      <c r="P29" s="532">
        <v>210</v>
      </c>
      <c r="T29" s="536" t="e">
        <f t="shared" si="5"/>
        <v>#REF!</v>
      </c>
    </row>
    <row r="30" spans="1:20">
      <c r="A30" s="531">
        <f t="shared" si="0"/>
        <v>212000</v>
      </c>
      <c r="B30" s="523"/>
      <c r="C30" s="532">
        <v>1</v>
      </c>
      <c r="D30" s="523"/>
      <c r="E30" s="533">
        <f t="shared" si="6"/>
        <v>21</v>
      </c>
      <c r="F30" s="533"/>
      <c r="G30" s="533">
        <f t="shared" si="1"/>
        <v>212000</v>
      </c>
      <c r="H30" s="533"/>
      <c r="I30" s="533">
        <f t="shared" si="7"/>
        <v>2475000</v>
      </c>
      <c r="J30" s="523"/>
      <c r="K30" s="533">
        <f t="shared" si="2"/>
        <v>12</v>
      </c>
      <c r="L30" s="523"/>
      <c r="M30" s="533">
        <f t="shared" si="3"/>
        <v>5019000</v>
      </c>
      <c r="N30" s="523"/>
      <c r="O30" s="534">
        <f t="shared" si="4"/>
        <v>0.30050995628946092</v>
      </c>
      <c r="P30" s="532">
        <v>212</v>
      </c>
      <c r="T30" s="536" t="e">
        <f t="shared" si="5"/>
        <v>#REF!</v>
      </c>
    </row>
    <row r="31" spans="1:20">
      <c r="A31" s="531">
        <f t="shared" si="0"/>
        <v>235000</v>
      </c>
      <c r="B31" s="525"/>
      <c r="C31" s="532">
        <v>1</v>
      </c>
      <c r="D31" s="525"/>
      <c r="E31" s="533">
        <f t="shared" si="6"/>
        <v>22</v>
      </c>
      <c r="F31" s="533"/>
      <c r="G31" s="533">
        <f t="shared" si="1"/>
        <v>235000</v>
      </c>
      <c r="H31" s="533"/>
      <c r="I31" s="533">
        <f t="shared" si="7"/>
        <v>2710000</v>
      </c>
      <c r="J31" s="525"/>
      <c r="K31" s="533">
        <f t="shared" si="2"/>
        <v>11</v>
      </c>
      <c r="L31" s="525"/>
      <c r="M31" s="533">
        <f t="shared" si="3"/>
        <v>5295000</v>
      </c>
      <c r="N31" s="525"/>
      <c r="O31" s="534">
        <f t="shared" si="4"/>
        <v>0.32904322486644</v>
      </c>
      <c r="P31" s="532">
        <v>235</v>
      </c>
      <c r="T31" s="536" t="e">
        <f t="shared" si="5"/>
        <v>#REF!</v>
      </c>
    </row>
    <row r="32" spans="1:20">
      <c r="A32" s="531">
        <f t="shared" si="0"/>
        <v>362000</v>
      </c>
      <c r="B32" s="525"/>
      <c r="C32" s="532">
        <v>1</v>
      </c>
      <c r="D32" s="525"/>
      <c r="E32" s="533">
        <f t="shared" si="6"/>
        <v>23</v>
      </c>
      <c r="F32" s="533"/>
      <c r="G32" s="533">
        <f t="shared" si="1"/>
        <v>362000</v>
      </c>
      <c r="H32" s="533"/>
      <c r="I32" s="533">
        <f t="shared" si="7"/>
        <v>3072000</v>
      </c>
      <c r="J32" s="525"/>
      <c r="K32" s="533">
        <f t="shared" si="2"/>
        <v>10</v>
      </c>
      <c r="L32" s="525"/>
      <c r="M32" s="533">
        <f t="shared" si="3"/>
        <v>6692000</v>
      </c>
      <c r="N32" s="525"/>
      <c r="O32" s="534">
        <f t="shared" si="4"/>
        <v>0.37299660029140358</v>
      </c>
      <c r="P32" s="532">
        <v>362</v>
      </c>
      <c r="T32" s="536" t="e">
        <f t="shared" si="5"/>
        <v>#REF!</v>
      </c>
    </row>
    <row r="33" spans="1:20">
      <c r="A33" s="531">
        <f t="shared" si="0"/>
        <v>392000</v>
      </c>
      <c r="B33" s="525"/>
      <c r="C33" s="532">
        <v>1</v>
      </c>
      <c r="D33" s="525"/>
      <c r="E33" s="533">
        <f t="shared" si="6"/>
        <v>24</v>
      </c>
      <c r="F33" s="533"/>
      <c r="G33" s="533">
        <f t="shared" si="1"/>
        <v>392000</v>
      </c>
      <c r="H33" s="533"/>
      <c r="I33" s="533">
        <f t="shared" si="7"/>
        <v>3464000</v>
      </c>
      <c r="J33" s="525"/>
      <c r="K33" s="533">
        <f t="shared" si="2"/>
        <v>9</v>
      </c>
      <c r="L33" s="525"/>
      <c r="M33" s="533">
        <f t="shared" si="3"/>
        <v>6992000</v>
      </c>
      <c r="N33" s="525"/>
      <c r="O33" s="534">
        <f t="shared" si="4"/>
        <v>0.42059252064108793</v>
      </c>
      <c r="P33" s="532">
        <v>392</v>
      </c>
      <c r="T33" s="536" t="e">
        <f t="shared" si="5"/>
        <v>#REF!</v>
      </c>
    </row>
    <row r="34" spans="1:20">
      <c r="A34" s="531">
        <f t="shared" si="0"/>
        <v>397000</v>
      </c>
      <c r="B34" s="515"/>
      <c r="C34" s="532">
        <v>1</v>
      </c>
      <c r="D34" s="529"/>
      <c r="E34" s="533">
        <f t="shared" si="6"/>
        <v>25</v>
      </c>
      <c r="F34" s="533"/>
      <c r="G34" s="533">
        <f t="shared" si="1"/>
        <v>397000</v>
      </c>
      <c r="H34" s="533"/>
      <c r="I34" s="533">
        <f t="shared" si="7"/>
        <v>3861000</v>
      </c>
      <c r="J34" s="529"/>
      <c r="K34" s="533">
        <f t="shared" si="2"/>
        <v>8</v>
      </c>
      <c r="L34" s="529"/>
      <c r="M34" s="533">
        <f t="shared" si="3"/>
        <v>7037000</v>
      </c>
      <c r="N34" s="529"/>
      <c r="O34" s="534">
        <f t="shared" si="4"/>
        <v>0.46879553181155903</v>
      </c>
      <c r="P34" s="532">
        <v>397</v>
      </c>
      <c r="T34" s="536" t="e">
        <f t="shared" si="5"/>
        <v>#REF!</v>
      </c>
    </row>
    <row r="35" spans="1:20">
      <c r="A35" s="531">
        <f t="shared" si="0"/>
        <v>432000</v>
      </c>
      <c r="B35" s="515"/>
      <c r="C35" s="532">
        <v>1</v>
      </c>
      <c r="D35" s="533"/>
      <c r="E35" s="533">
        <f t="shared" si="6"/>
        <v>26</v>
      </c>
      <c r="F35" s="533"/>
      <c r="G35" s="533">
        <f t="shared" si="1"/>
        <v>432000</v>
      </c>
      <c r="H35" s="533"/>
      <c r="I35" s="533">
        <f t="shared" si="7"/>
        <v>4293000</v>
      </c>
      <c r="J35" s="533"/>
      <c r="K35" s="533">
        <f t="shared" si="2"/>
        <v>7</v>
      </c>
      <c r="L35" s="533"/>
      <c r="M35" s="533">
        <f t="shared" si="3"/>
        <v>7317000</v>
      </c>
      <c r="N35" s="515"/>
      <c r="O35" s="534">
        <f t="shared" si="4"/>
        <v>0.52124817872753759</v>
      </c>
      <c r="P35" s="532">
        <v>432</v>
      </c>
      <c r="T35" s="536" t="e">
        <f t="shared" si="5"/>
        <v>#REF!</v>
      </c>
    </row>
    <row r="36" spans="1:20">
      <c r="A36" s="531">
        <f t="shared" si="0"/>
        <v>434000</v>
      </c>
      <c r="B36" s="515"/>
      <c r="C36" s="532">
        <v>1</v>
      </c>
      <c r="D36" s="533"/>
      <c r="E36" s="533">
        <f t="shared" si="6"/>
        <v>27</v>
      </c>
      <c r="F36" s="533"/>
      <c r="G36" s="533">
        <f t="shared" si="1"/>
        <v>434000</v>
      </c>
      <c r="H36" s="533"/>
      <c r="I36" s="533">
        <f t="shared" si="7"/>
        <v>4727000</v>
      </c>
      <c r="J36" s="533"/>
      <c r="K36" s="533">
        <f t="shared" si="2"/>
        <v>6</v>
      </c>
      <c r="L36" s="533"/>
      <c r="M36" s="533">
        <f t="shared" si="3"/>
        <v>7331000</v>
      </c>
      <c r="N36" s="515"/>
      <c r="O36" s="534">
        <f t="shared" si="4"/>
        <v>0.573943661971831</v>
      </c>
      <c r="P36" s="532">
        <v>434</v>
      </c>
      <c r="T36" s="536" t="e">
        <f t="shared" si="5"/>
        <v>#REF!</v>
      </c>
    </row>
    <row r="37" spans="1:20">
      <c r="A37" s="531">
        <f t="shared" si="0"/>
        <v>526000</v>
      </c>
      <c r="B37" s="515"/>
      <c r="C37" s="532">
        <v>1</v>
      </c>
      <c r="D37" s="533"/>
      <c r="E37" s="533">
        <f t="shared" si="6"/>
        <v>28</v>
      </c>
      <c r="F37" s="533"/>
      <c r="G37" s="533">
        <f t="shared" si="1"/>
        <v>526000</v>
      </c>
      <c r="H37" s="533"/>
      <c r="I37" s="533">
        <f t="shared" si="7"/>
        <v>5253000</v>
      </c>
      <c r="J37" s="533"/>
      <c r="K37" s="533">
        <f t="shared" si="2"/>
        <v>5</v>
      </c>
      <c r="L37" s="533"/>
      <c r="M37" s="533">
        <f t="shared" si="3"/>
        <v>7883000</v>
      </c>
      <c r="N37" s="515"/>
      <c r="O37" s="534">
        <f t="shared" si="4"/>
        <v>0.63780961631860122</v>
      </c>
      <c r="P37" s="532">
        <v>526</v>
      </c>
      <c r="T37" s="536" t="e">
        <f t="shared" si="5"/>
        <v>#REF!</v>
      </c>
    </row>
    <row r="38" spans="1:20">
      <c r="A38" s="531">
        <f t="shared" si="0"/>
        <v>534000</v>
      </c>
      <c r="B38" s="515"/>
      <c r="C38" s="532">
        <v>1</v>
      </c>
      <c r="D38" s="533"/>
      <c r="E38" s="533">
        <f t="shared" si="6"/>
        <v>29</v>
      </c>
      <c r="F38" s="533"/>
      <c r="G38" s="533">
        <f t="shared" si="1"/>
        <v>534000</v>
      </c>
      <c r="H38" s="533"/>
      <c r="I38" s="533">
        <f t="shared" si="7"/>
        <v>5787000</v>
      </c>
      <c r="J38" s="533"/>
      <c r="K38" s="533">
        <f t="shared" si="2"/>
        <v>4</v>
      </c>
      <c r="L38" s="533"/>
      <c r="M38" s="533">
        <f t="shared" si="3"/>
        <v>7923000</v>
      </c>
      <c r="N38" s="515"/>
      <c r="O38" s="534">
        <f t="shared" si="4"/>
        <v>0.70264691597863038</v>
      </c>
      <c r="P38" s="532">
        <v>534</v>
      </c>
      <c r="T38" s="536" t="e">
        <f t="shared" si="5"/>
        <v>#REF!</v>
      </c>
    </row>
    <row r="39" spans="1:20">
      <c r="A39" s="531">
        <f t="shared" si="0"/>
        <v>554000</v>
      </c>
      <c r="B39" s="515"/>
      <c r="C39" s="532">
        <v>1</v>
      </c>
      <c r="D39" s="533"/>
      <c r="E39" s="533">
        <f t="shared" si="6"/>
        <v>30</v>
      </c>
      <c r="F39" s="533"/>
      <c r="G39" s="533">
        <f t="shared" si="1"/>
        <v>554000</v>
      </c>
      <c r="H39" s="533"/>
      <c r="I39" s="533">
        <f t="shared" si="7"/>
        <v>6341000</v>
      </c>
      <c r="J39" s="533"/>
      <c r="K39" s="533">
        <f t="shared" si="2"/>
        <v>3</v>
      </c>
      <c r="L39" s="533"/>
      <c r="M39" s="533">
        <f t="shared" si="3"/>
        <v>8003000</v>
      </c>
      <c r="N39" s="515"/>
      <c r="O39" s="534">
        <f t="shared" si="4"/>
        <v>0.76991257892180676</v>
      </c>
      <c r="P39" s="532">
        <v>554</v>
      </c>
      <c r="T39" s="536" t="e">
        <f t="shared" si="5"/>
        <v>#REF!</v>
      </c>
    </row>
    <row r="40" spans="1:20">
      <c r="A40" s="531">
        <f t="shared" si="0"/>
        <v>573000</v>
      </c>
      <c r="B40" s="515"/>
      <c r="C40" s="532">
        <v>1</v>
      </c>
      <c r="D40" s="533"/>
      <c r="E40" s="533">
        <f t="shared" si="6"/>
        <v>31</v>
      </c>
      <c r="F40" s="533"/>
      <c r="G40" s="533">
        <f t="shared" si="1"/>
        <v>573000</v>
      </c>
      <c r="H40" s="533"/>
      <c r="I40" s="533">
        <f t="shared" si="7"/>
        <v>6914000</v>
      </c>
      <c r="J40" s="533"/>
      <c r="K40" s="533">
        <f t="shared" si="2"/>
        <v>2</v>
      </c>
      <c r="L40" s="533"/>
      <c r="M40" s="533">
        <f t="shared" si="3"/>
        <v>8060000</v>
      </c>
      <c r="N40" s="515"/>
      <c r="O40" s="534">
        <f t="shared" si="4"/>
        <v>0.83948518698397279</v>
      </c>
      <c r="P40" s="532">
        <v>573</v>
      </c>
      <c r="T40" s="536" t="e">
        <f t="shared" si="5"/>
        <v>#REF!</v>
      </c>
    </row>
    <row r="41" spans="1:20">
      <c r="A41" s="531">
        <f t="shared" si="0"/>
        <v>586000</v>
      </c>
      <c r="B41" s="515"/>
      <c r="C41" s="532">
        <v>1</v>
      </c>
      <c r="D41" s="533"/>
      <c r="E41" s="533">
        <f t="shared" si="6"/>
        <v>32</v>
      </c>
      <c r="F41" s="533"/>
      <c r="G41" s="533">
        <f t="shared" si="1"/>
        <v>586000</v>
      </c>
      <c r="H41" s="533"/>
      <c r="I41" s="533">
        <f t="shared" si="7"/>
        <v>7500000</v>
      </c>
      <c r="J41" s="533"/>
      <c r="K41" s="533">
        <f t="shared" si="2"/>
        <v>1</v>
      </c>
      <c r="L41" s="533"/>
      <c r="M41" s="533">
        <f t="shared" si="3"/>
        <v>8086000</v>
      </c>
      <c r="N41" s="515"/>
      <c r="O41" s="534">
        <f t="shared" si="4"/>
        <v>0.91063623118018455</v>
      </c>
      <c r="P41" s="532">
        <v>586</v>
      </c>
      <c r="T41" s="536" t="e">
        <f t="shared" si="5"/>
        <v>#REF!</v>
      </c>
    </row>
    <row r="42" spans="1:20">
      <c r="A42" s="531">
        <f t="shared" si="0"/>
        <v>736000</v>
      </c>
      <c r="B42" s="515"/>
      <c r="C42" s="532">
        <v>1</v>
      </c>
      <c r="D42" s="533"/>
      <c r="E42" s="533">
        <f t="shared" si="6"/>
        <v>33</v>
      </c>
      <c r="F42" s="533"/>
      <c r="G42" s="533">
        <f t="shared" si="1"/>
        <v>736000</v>
      </c>
      <c r="H42" s="533"/>
      <c r="I42" s="533">
        <f t="shared" si="7"/>
        <v>8236000</v>
      </c>
      <c r="J42" s="533"/>
      <c r="K42" s="533">
        <f t="shared" si="2"/>
        <v>0</v>
      </c>
      <c r="L42" s="533"/>
      <c r="M42" s="533">
        <f t="shared" si="3"/>
        <v>8236000</v>
      </c>
      <c r="N42" s="515"/>
      <c r="O42" s="534">
        <f t="shared" si="4"/>
        <v>1</v>
      </c>
      <c r="P42" s="532">
        <v>736</v>
      </c>
      <c r="T42" s="536" t="e">
        <f t="shared" si="5"/>
        <v>#REF!</v>
      </c>
    </row>
    <row r="43" spans="1:20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20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  <c r="T44" s="539" t="e">
        <f>SUM(T10:T42)</f>
        <v>#REF!</v>
      </c>
    </row>
    <row r="45" spans="1:20" hidden="1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  <c r="T45" s="513">
        <v>17038</v>
      </c>
    </row>
    <row r="46" spans="1:20" hidden="1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  <c r="T46" s="540" t="e">
        <f>T44-T45</f>
        <v>#REF!</v>
      </c>
    </row>
    <row r="47" spans="1:20" hidden="1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  <c r="T47" s="555" t="e">
        <f>T46/T44</f>
        <v>#REF!</v>
      </c>
    </row>
    <row r="48" spans="1:20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C000"/>
    <pageSetUpPr fitToPage="1"/>
  </sheetPr>
  <dimension ref="A1:R124"/>
  <sheetViews>
    <sheetView view="pageBreakPreview" zoomScaleNormal="100" zoomScaleSheetLayoutView="100" workbookViewId="0">
      <selection activeCell="H25" sqref="H25"/>
    </sheetView>
  </sheetViews>
  <sheetFormatPr defaultColWidth="11" defaultRowHeight="15"/>
  <cols>
    <col min="1" max="1" width="28.5" style="15" customWidth="1"/>
    <col min="2" max="2" width="3.375" style="15" customWidth="1"/>
    <col min="3" max="3" width="14.125" style="15" bestFit="1" customWidth="1"/>
    <col min="4" max="4" width="1.875" style="15" customWidth="1"/>
    <col min="5" max="5" width="19.125" style="15" bestFit="1" customWidth="1"/>
    <col min="6" max="6" width="0.875" style="15" customWidth="1"/>
    <col min="7" max="7" width="14" style="15" bestFit="1" customWidth="1"/>
    <col min="8" max="8" width="2.5" style="15" customWidth="1"/>
    <col min="9" max="9" width="19.625" style="724" bestFit="1" customWidth="1"/>
    <col min="10" max="10" width="2.5" style="15" customWidth="1"/>
    <col min="11" max="11" width="15.375" style="76" bestFit="1" customWidth="1"/>
    <col min="12" max="12" width="3" style="15" customWidth="1"/>
    <col min="13" max="13" width="13.25" style="15" customWidth="1"/>
    <col min="14" max="14" width="2.5" style="15" customWidth="1"/>
    <col min="15" max="15" width="11" style="15"/>
    <col min="16" max="16" width="3.375" style="15" customWidth="1"/>
    <col min="17" max="17" width="15.75" style="15" bestFit="1" customWidth="1"/>
    <col min="18" max="16384" width="11" style="15"/>
  </cols>
  <sheetData>
    <row r="1" spans="1:18">
      <c r="A1" s="723" t="str">
        <f>'Input Schedule'!G6</f>
        <v>WATER SERVICE CORPORATION OF KENTUCKY</v>
      </c>
    </row>
    <row r="2" spans="1:18">
      <c r="A2" s="225" t="s">
        <v>1786</v>
      </c>
    </row>
    <row r="4" spans="1:18" ht="12.95" customHeight="1">
      <c r="C4" s="312"/>
      <c r="D4" s="312"/>
      <c r="E4" s="312"/>
      <c r="F4" s="312"/>
      <c r="G4" s="312"/>
      <c r="H4" s="312"/>
      <c r="I4" s="1332"/>
      <c r="J4" s="312"/>
      <c r="K4" s="50"/>
      <c r="L4" s="312"/>
      <c r="M4" s="312"/>
      <c r="N4" s="312"/>
      <c r="O4" s="312"/>
      <c r="P4" s="312"/>
    </row>
    <row r="5" spans="1:18" s="22" customFormat="1">
      <c r="C5" s="765"/>
      <c r="D5" s="1331"/>
      <c r="E5" s="760" t="s">
        <v>1790</v>
      </c>
      <c r="F5" s="760"/>
      <c r="G5" s="1331" t="s">
        <v>1792</v>
      </c>
      <c r="H5" s="1331"/>
      <c r="I5" s="757" t="s">
        <v>1791</v>
      </c>
      <c r="J5" s="1331"/>
      <c r="K5" s="824" t="s">
        <v>1791</v>
      </c>
      <c r="L5" s="728"/>
      <c r="M5" s="728" t="s">
        <v>1794</v>
      </c>
      <c r="N5" s="728"/>
      <c r="O5" s="728" t="s">
        <v>384</v>
      </c>
      <c r="P5" s="728"/>
      <c r="Q5" s="22" t="s">
        <v>1801</v>
      </c>
    </row>
    <row r="6" spans="1:18" s="22" customFormat="1">
      <c r="A6" s="471" t="s">
        <v>65</v>
      </c>
      <c r="C6" s="765" t="s">
        <v>1789</v>
      </c>
      <c r="D6" s="1331"/>
      <c r="E6" s="760" t="s">
        <v>935</v>
      </c>
      <c r="F6" s="760"/>
      <c r="G6" s="1331" t="s">
        <v>1793</v>
      </c>
      <c r="H6" s="1331"/>
      <c r="I6" s="757" t="s">
        <v>935</v>
      </c>
      <c r="J6" s="1331"/>
      <c r="K6" s="824" t="s">
        <v>1793</v>
      </c>
      <c r="L6" s="728"/>
      <c r="M6" s="728" t="s">
        <v>575</v>
      </c>
      <c r="N6" s="728"/>
      <c r="O6" s="728" t="s">
        <v>575</v>
      </c>
      <c r="P6" s="728"/>
    </row>
    <row r="7" spans="1:18" s="22" customFormat="1">
      <c r="A7" s="471" t="s">
        <v>1788</v>
      </c>
      <c r="C7" s="135">
        <f>SUM('Schedule D'!N20,'Schedule D'!N30,'Schedule D'!N40,'Schedule D'!N50,'Schedule D'!N60)</f>
        <v>67284.999999999898</v>
      </c>
      <c r="D7" s="60"/>
      <c r="E7" s="762">
        <f>SUM('Schedule D'!L20,'Schedule D'!L30,'Schedule D'!L40,'Schedule D'!L50,'Schedule D'!L60)</f>
        <v>1344190.7099999986</v>
      </c>
      <c r="F7" s="135"/>
      <c r="G7" s="762">
        <f t="shared" ref="G7:G13" si="0">E7/$C7</f>
        <v>19.977568700304683</v>
      </c>
      <c r="H7" s="60"/>
      <c r="I7" s="762">
        <f>SUM('Schedule D'!T20,'Schedule D'!T30,'Schedule D'!T40,'Schedule D'!T50,'Schedule D'!T60)</f>
        <v>1490371.1192903554</v>
      </c>
      <c r="J7" s="60"/>
      <c r="K7" s="762">
        <f t="shared" ref="K7:K13" si="1">I7/$C7</f>
        <v>22.1501243856782</v>
      </c>
      <c r="M7" s="748">
        <f t="shared" ref="M7:M13" si="2">K7-G7</f>
        <v>2.1725556853735171</v>
      </c>
      <c r="O7" s="159">
        <f t="shared" ref="O7:O13" si="3">M7/G7</f>
        <v>0.10874975418507173</v>
      </c>
      <c r="P7" s="159"/>
      <c r="Q7" s="135">
        <f>(G7-'Schedule D'!H14)/'Schedule D'!H15*1000+1000</f>
        <v>4051.958088727059</v>
      </c>
    </row>
    <row r="8" spans="1:18" s="22" customFormat="1">
      <c r="A8" s="22" t="s">
        <v>1787</v>
      </c>
      <c r="C8" s="135">
        <f>SUM('Schedule D'!N80,'Schedule D'!N90,'Schedule D'!N100,'Schedule D'!N70)</f>
        <v>1138.0000000000005</v>
      </c>
      <c r="D8" s="60"/>
      <c r="E8" s="135">
        <f>SUM('Schedule D'!L70,'Schedule D'!L80,'Schedule D'!L90,'Schedule D'!L100)</f>
        <v>67489.89</v>
      </c>
      <c r="F8" s="135"/>
      <c r="G8" s="762">
        <f t="shared" si="0"/>
        <v>59.305702987697693</v>
      </c>
      <c r="H8" s="60"/>
      <c r="I8" s="135">
        <f>SUM('Schedule D'!T70,'Schedule D'!T80,'Schedule D'!T90,'Schedule D'!T100)</f>
        <v>74829.398947477515</v>
      </c>
      <c r="J8" s="60"/>
      <c r="K8" s="762">
        <f t="shared" si="1"/>
        <v>65.755183609382669</v>
      </c>
      <c r="M8" s="748">
        <f t="shared" si="2"/>
        <v>6.4494806216849767</v>
      </c>
      <c r="O8" s="159">
        <f t="shared" si="3"/>
        <v>0.10874975418507137</v>
      </c>
      <c r="P8" s="159"/>
      <c r="Q8" s="135">
        <v>15003</v>
      </c>
    </row>
    <row r="9" spans="1:18" s="22" customFormat="1">
      <c r="A9" s="22" t="s">
        <v>1795</v>
      </c>
      <c r="C9" s="135">
        <f>SUM('Schedule D'!N110,'Schedule D'!N119,'Schedule D'!N128)</f>
        <v>294.99999999999966</v>
      </c>
      <c r="D9" s="60"/>
      <c r="E9" s="135">
        <f>SUM('Schedule D'!L110,'Schedule D'!L119,'Schedule D'!L128)</f>
        <v>45384.369999999981</v>
      </c>
      <c r="F9" s="135"/>
      <c r="G9" s="762">
        <f t="shared" si="0"/>
        <v>153.84532203389841</v>
      </c>
      <c r="H9" s="60"/>
      <c r="I9" s="135">
        <f>SUM('Schedule D'!T110,'Schedule D'!T119,'Schedule D'!T128)</f>
        <v>50319.909081344311</v>
      </c>
      <c r="J9" s="60"/>
      <c r="K9" s="762">
        <f t="shared" si="1"/>
        <v>170.57596298760802</v>
      </c>
      <c r="M9" s="748">
        <f t="shared" si="2"/>
        <v>16.73064095370961</v>
      </c>
      <c r="O9" s="159">
        <f t="shared" si="3"/>
        <v>0.10874975418507146</v>
      </c>
      <c r="P9" s="159"/>
      <c r="Q9" s="135">
        <v>35272</v>
      </c>
    </row>
    <row r="10" spans="1:18" s="22" customFormat="1">
      <c r="A10" s="22" t="s">
        <v>1796</v>
      </c>
      <c r="C10" s="135">
        <f>SUM('Schedule D'!N137,'Schedule D'!N146,'Schedule D'!N155)</f>
        <v>584.99999999999864</v>
      </c>
      <c r="D10" s="60"/>
      <c r="E10" s="135">
        <f>SUM('Schedule D'!L137,'Schedule D'!L146,'Schedule D'!L155)</f>
        <v>118306.73999999987</v>
      </c>
      <c r="F10" s="135"/>
      <c r="G10" s="762">
        <f t="shared" si="0"/>
        <v>202.23374358974385</v>
      </c>
      <c r="H10" s="60"/>
      <c r="I10" s="135">
        <f>SUM('Schedule D'!T137,'Schedule D'!T146,'Schedule D'!T155)</f>
        <v>131172.56889343704</v>
      </c>
      <c r="J10" s="60"/>
      <c r="K10" s="762">
        <f t="shared" si="1"/>
        <v>224.22661349305528</v>
      </c>
      <c r="M10" s="748">
        <f t="shared" si="2"/>
        <v>21.99286990331143</v>
      </c>
      <c r="O10" s="159">
        <f>M10/G10</f>
        <v>0.10874975418507153</v>
      </c>
      <c r="P10" s="159"/>
      <c r="Q10" s="135">
        <v>32547</v>
      </c>
    </row>
    <row r="11" spans="1:18" s="22" customFormat="1">
      <c r="A11" s="22" t="s">
        <v>1797</v>
      </c>
      <c r="C11" s="135">
        <f>SUM('Schedule D'!N163,'Schedule D'!N170,'Schedule D'!N177)</f>
        <v>98</v>
      </c>
      <c r="D11" s="60"/>
      <c r="E11" s="135">
        <f>SUM('Schedule D'!L163,'Schedule D'!L170,'Schedule D'!L177)</f>
        <v>74971.05</v>
      </c>
      <c r="F11" s="135"/>
      <c r="G11" s="762">
        <f t="shared" si="0"/>
        <v>765.01071428571436</v>
      </c>
      <c r="H11" s="60"/>
      <c r="I11" s="135">
        <f>SUM('Schedule D'!T163,'Schedule D'!T170,'Schedule D'!T177)</f>
        <v>83124.133258496702</v>
      </c>
      <c r="J11" s="60"/>
      <c r="K11" s="762">
        <f t="shared" si="1"/>
        <v>848.20544141323171</v>
      </c>
      <c r="M11" s="748">
        <f t="shared" si="2"/>
        <v>83.194727127517353</v>
      </c>
      <c r="O11" s="159">
        <f>M11/G11</f>
        <v>0.10874975418507143</v>
      </c>
      <c r="P11" s="159"/>
      <c r="Q11" s="135">
        <v>202000</v>
      </c>
    </row>
    <row r="12" spans="1:18" s="22" customFormat="1">
      <c r="A12" s="22" t="s">
        <v>1798</v>
      </c>
      <c r="C12" s="135">
        <f>SUM('Schedule D'!N183,'Schedule D'!N189,'Schedule D'!N195)</f>
        <v>36</v>
      </c>
      <c r="D12" s="60"/>
      <c r="E12" s="135">
        <f>SUM('Schedule D'!L183,'Schedule D'!L189,'Schedule D'!L195)</f>
        <v>14791.38</v>
      </c>
      <c r="F12" s="135"/>
      <c r="G12" s="762">
        <f t="shared" si="0"/>
        <v>410.87166666666667</v>
      </c>
      <c r="H12" s="60"/>
      <c r="I12" s="135">
        <f>SUM('Schedule D'!T183,'Schedule D'!T189,'Schedule D'!T195)</f>
        <v>16399.938939057982</v>
      </c>
      <c r="J12" s="60"/>
      <c r="K12" s="762">
        <f t="shared" si="1"/>
        <v>455.55385941827728</v>
      </c>
      <c r="M12" s="748">
        <f t="shared" si="2"/>
        <v>44.682192751610614</v>
      </c>
      <c r="O12" s="159">
        <f t="shared" si="3"/>
        <v>0.10874975418507145</v>
      </c>
      <c r="P12" s="159"/>
      <c r="Q12" s="135">
        <v>141415</v>
      </c>
    </row>
    <row r="13" spans="1:18" s="22" customFormat="1">
      <c r="A13" s="471" t="s">
        <v>1799</v>
      </c>
      <c r="C13" s="135">
        <f>SUM('Schedule D'!N201,'Schedule D'!N207)</f>
        <v>36</v>
      </c>
      <c r="D13" s="60"/>
      <c r="E13" s="135">
        <f>SUM('Schedule D'!L201,'Schedule D'!L207)</f>
        <v>121893.81000000001</v>
      </c>
      <c r="F13" s="135"/>
      <c r="G13" s="762">
        <f t="shared" si="0"/>
        <v>3385.939166666667</v>
      </c>
      <c r="H13" s="60"/>
      <c r="I13" s="135">
        <f>SUM('Schedule D'!T201,'Schedule D'!T207)</f>
        <v>135149.73187418183</v>
      </c>
      <c r="J13" s="60"/>
      <c r="K13" s="762">
        <f t="shared" si="1"/>
        <v>3754.1592187272731</v>
      </c>
      <c r="M13" s="748">
        <f t="shared" si="2"/>
        <v>368.22005206060612</v>
      </c>
      <c r="O13" s="159">
        <f t="shared" si="3"/>
        <v>0.10874975418507157</v>
      </c>
      <c r="P13" s="159"/>
      <c r="Q13" s="135">
        <v>2298500</v>
      </c>
    </row>
    <row r="14" spans="1:18" s="22" customFormat="1">
      <c r="C14" s="335"/>
      <c r="D14" s="60"/>
      <c r="E14" s="135"/>
      <c r="F14" s="135"/>
      <c r="G14" s="60"/>
      <c r="H14" s="60"/>
      <c r="I14" s="748"/>
      <c r="J14" s="60"/>
      <c r="K14" s="159"/>
    </row>
    <row r="15" spans="1:18" s="22" customFormat="1">
      <c r="A15" s="22" t="s">
        <v>1800</v>
      </c>
      <c r="C15" s="762"/>
      <c r="D15" s="60"/>
      <c r="E15" s="135"/>
      <c r="F15" s="135"/>
      <c r="G15" s="762">
        <f>+'Schedule D'!H216</f>
        <v>19.93</v>
      </c>
      <c r="H15" s="335"/>
      <c r="I15" s="335"/>
      <c r="J15" s="335"/>
      <c r="K15" s="762">
        <f>'Schedule D'!R216</f>
        <v>22.097382600908475</v>
      </c>
      <c r="M15" s="748">
        <f>K15-G15</f>
        <v>2.1673826009084749</v>
      </c>
    </row>
    <row r="16" spans="1:18" s="22" customFormat="1">
      <c r="A16" s="471" t="s">
        <v>1802</v>
      </c>
      <c r="C16" s="335"/>
      <c r="D16" s="335"/>
      <c r="E16" s="335"/>
      <c r="F16" s="335"/>
      <c r="G16" s="762">
        <f>+'Schedule D'!H211</f>
        <v>4.43</v>
      </c>
      <c r="H16" s="335"/>
      <c r="I16" s="335"/>
      <c r="J16" s="335"/>
      <c r="K16" s="762">
        <f>'Schedule D'!R211</f>
        <v>4.9117614110398664</v>
      </c>
      <c r="L16" s="335"/>
      <c r="M16" s="748">
        <f>K16-G16</f>
        <v>0.48176141103986669</v>
      </c>
      <c r="N16" s="335"/>
      <c r="O16" s="335"/>
      <c r="P16" s="335"/>
      <c r="Q16" s="335"/>
      <c r="R16" s="335"/>
    </row>
    <row r="17" spans="1:18" s="22" customFormat="1"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</row>
    <row r="18" spans="1:18" s="22" customFormat="1">
      <c r="A18" s="22" t="s">
        <v>66</v>
      </c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</row>
    <row r="19" spans="1:18" s="22" customFormat="1">
      <c r="A19" s="763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</row>
    <row r="20" spans="1:18" s="22" customFormat="1">
      <c r="A20" s="471" t="s">
        <v>1788</v>
      </c>
      <c r="C20" s="135">
        <f>SUM('Schedule D'!N231,'Schedule D'!N241,'Schedule D'!N251,'Schedule D'!N261,'Schedule D'!N271,'Schedule D'!N281)</f>
        <v>7529.0000000000036</v>
      </c>
      <c r="D20" s="335"/>
      <c r="E20" s="762">
        <f>SUM('Schedule D'!L231,'Schedule D'!L241,'Schedule D'!L251,'Schedule D'!L261,'Schedule D'!L271,'Schedule D'!L281)</f>
        <v>214511.01000000004</v>
      </c>
      <c r="F20" s="335"/>
      <c r="G20" s="762">
        <f>E20/$C20</f>
        <v>28.491301633683083</v>
      </c>
      <c r="H20" s="335"/>
      <c r="I20" s="762">
        <f>SUM('Schedule D'!T231,'Schedule D'!T241,'Schedule D'!T251,'Schedule D'!T261,'Schedule D'!T271,'Schedule D'!T281)</f>
        <v>237839.02960749151</v>
      </c>
      <c r="J20" s="335"/>
      <c r="K20" s="762">
        <f>I20/$C20</f>
        <v>31.589723682758851</v>
      </c>
      <c r="L20" s="335"/>
      <c r="M20" s="748">
        <f>K20-G20</f>
        <v>3.0984220490757686</v>
      </c>
      <c r="N20" s="335"/>
      <c r="O20" s="159">
        <f>M20/G20</f>
        <v>0.10874975418507175</v>
      </c>
      <c r="P20" s="335"/>
      <c r="Q20" s="767">
        <v>3446.13</v>
      </c>
      <c r="R20" s="335"/>
    </row>
    <row r="21" spans="1:18" s="22" customFormat="1">
      <c r="A21" s="22" t="s">
        <v>1787</v>
      </c>
      <c r="C21" s="135">
        <f>SUM('Schedule D'!N291,'Schedule D'!N301,'Schedule D'!N311)</f>
        <v>156.00000000000003</v>
      </c>
      <c r="D21" s="335"/>
      <c r="E21" s="335">
        <f>SUM('Schedule D'!L291,'Schedule D'!L301,'Schedule D'!L311)</f>
        <v>15567.470000000001</v>
      </c>
      <c r="F21" s="335"/>
      <c r="G21" s="762">
        <f>E21/$C21</f>
        <v>99.791474358974355</v>
      </c>
      <c r="H21" s="335"/>
      <c r="I21" s="335">
        <f>SUM('Schedule D'!T291,'Schedule D'!T311,'Schedule D'!T301)</f>
        <v>17260.428535783474</v>
      </c>
      <c r="J21" s="335"/>
      <c r="K21" s="762">
        <f>I21/$C21</f>
        <v>110.64377266527866</v>
      </c>
      <c r="L21" s="335"/>
      <c r="M21" s="748">
        <f>K21-G21</f>
        <v>10.852298306304306</v>
      </c>
      <c r="N21" s="335"/>
      <c r="O21" s="159">
        <f>M21/G21</f>
        <v>0.1087497541850713</v>
      </c>
      <c r="P21" s="335"/>
      <c r="Q21" s="1082">
        <v>12989</v>
      </c>
      <c r="R21" s="335"/>
    </row>
    <row r="22" spans="1:18" s="22" customFormat="1">
      <c r="A22" s="22" t="s">
        <v>1795</v>
      </c>
      <c r="C22" s="135">
        <f>SUM('Schedule D'!N320,'Schedule D'!N329)</f>
        <v>47.999999999999993</v>
      </c>
      <c r="D22" s="335"/>
      <c r="E22" s="335">
        <f>SUM('Schedule D'!L320,'Schedule D'!L329)</f>
        <v>12430.877777777776</v>
      </c>
      <c r="F22" s="335"/>
      <c r="G22" s="762">
        <f>E22/$C22</f>
        <v>258.97662037037037</v>
      </c>
      <c r="H22" s="335"/>
      <c r="I22" s="335">
        <f>SUM('Schedule D'!T320,'Schedule D'!T329)</f>
        <v>13782.73268041578</v>
      </c>
      <c r="J22" s="335"/>
      <c r="K22" s="762">
        <f>I22/$C22</f>
        <v>287.14026417532881</v>
      </c>
      <c r="L22" s="335"/>
      <c r="M22" s="748">
        <f>K22-G22</f>
        <v>28.16364380495844</v>
      </c>
      <c r="N22" s="335"/>
      <c r="O22" s="159">
        <f>M22/G22</f>
        <v>0.10874975418507181</v>
      </c>
      <c r="P22" s="1079"/>
      <c r="Q22" s="1082">
        <v>62336.19</v>
      </c>
      <c r="R22" s="335"/>
    </row>
    <row r="23" spans="1:18" s="22" customFormat="1">
      <c r="A23" s="22" t="s">
        <v>1796</v>
      </c>
      <c r="C23" s="135">
        <f>SUM('Schedule D'!N338,'Schedule D'!N347,'Schedule D'!N356)</f>
        <v>87.999999999999915</v>
      </c>
      <c r="D23" s="335"/>
      <c r="E23" s="335">
        <f>SUM('Schedule D'!L338,'Schedule D'!L347,'Schedule D'!L356)</f>
        <v>35208.239999999991</v>
      </c>
      <c r="F23" s="335"/>
      <c r="G23" s="762">
        <f>E23/$C23</f>
        <v>400.09363636363662</v>
      </c>
      <c r="H23" s="335"/>
      <c r="I23" s="335">
        <f>SUM('Schedule D'!T356,'Schedule D'!T347,'Schedule D'!T338)</f>
        <v>39037.127445288985</v>
      </c>
      <c r="J23" s="335"/>
      <c r="K23" s="762">
        <f>I23/$C23</f>
        <v>443.60372096919343</v>
      </c>
      <c r="L23" s="335"/>
      <c r="M23" s="748">
        <f>K23-G23</f>
        <v>43.510084605556813</v>
      </c>
      <c r="N23" s="335"/>
      <c r="O23" s="159">
        <f>M23/G23</f>
        <v>0.10874975418507137</v>
      </c>
      <c r="P23" s="1081"/>
      <c r="Q23" s="1082">
        <v>109827</v>
      </c>
      <c r="R23" s="335"/>
    </row>
    <row r="24" spans="1:18" s="22" customFormat="1">
      <c r="A24" s="471" t="s">
        <v>1799</v>
      </c>
      <c r="C24" s="759">
        <v>0</v>
      </c>
      <c r="D24" s="759"/>
      <c r="E24" s="759">
        <v>0</v>
      </c>
      <c r="F24" s="759"/>
      <c r="G24" s="759">
        <v>0</v>
      </c>
      <c r="H24" s="759"/>
      <c r="I24" s="759">
        <v>0</v>
      </c>
      <c r="J24" s="759"/>
      <c r="K24" s="759">
        <v>0</v>
      </c>
      <c r="L24" s="335"/>
      <c r="M24" s="335">
        <v>0</v>
      </c>
      <c r="N24" s="335"/>
      <c r="O24" s="335">
        <v>0</v>
      </c>
      <c r="P24" s="335"/>
      <c r="Q24" s="1081"/>
      <c r="R24" s="335"/>
    </row>
    <row r="25" spans="1:18" s="22" customFormat="1">
      <c r="A25" s="82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</row>
    <row r="26" spans="1:18" s="22" customFormat="1"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</row>
    <row r="27" spans="1:18" s="22" customFormat="1">
      <c r="A27" s="763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</row>
    <row r="28" spans="1:18" s="22" customFormat="1"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</row>
    <row r="29" spans="1:18" s="22" customFormat="1">
      <c r="A29" s="763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</row>
    <row r="30" spans="1:18" s="22" customFormat="1"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N30" s="335"/>
      <c r="O30" s="335"/>
      <c r="P30" s="335"/>
      <c r="Q30" s="335"/>
      <c r="R30" s="335"/>
    </row>
    <row r="31" spans="1:18" s="22" customFormat="1"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</row>
    <row r="32" spans="1:18" s="22" customFormat="1"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</row>
    <row r="33" spans="1:18" s="22" customFormat="1">
      <c r="A33" s="763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</row>
    <row r="34" spans="1:18" s="22" customFormat="1">
      <c r="C34" s="335"/>
      <c r="D34" s="335"/>
      <c r="E34" s="335"/>
      <c r="F34" s="335"/>
      <c r="G34" s="335"/>
      <c r="H34" s="335"/>
      <c r="I34" s="748"/>
      <c r="J34" s="335"/>
      <c r="K34" s="1333"/>
      <c r="L34" s="335"/>
      <c r="M34" s="1079"/>
      <c r="N34" s="335"/>
      <c r="O34" s="335"/>
      <c r="P34" s="335"/>
      <c r="Q34" s="335"/>
      <c r="R34" s="335"/>
    </row>
    <row r="35" spans="1:18" s="22" customFormat="1">
      <c r="A35" s="763"/>
      <c r="C35" s="335"/>
      <c r="D35" s="335"/>
      <c r="E35" s="1333"/>
      <c r="F35" s="1079"/>
      <c r="G35" s="335"/>
      <c r="H35" s="335"/>
      <c r="I35" s="335"/>
      <c r="J35" s="335"/>
      <c r="K35" s="1333"/>
      <c r="L35" s="335"/>
      <c r="M35" s="1079"/>
      <c r="N35" s="335"/>
      <c r="O35" s="1334"/>
      <c r="P35" s="335"/>
      <c r="Q35" s="335"/>
      <c r="R35" s="335"/>
    </row>
    <row r="36" spans="1:18" s="22" customFormat="1">
      <c r="C36" s="335"/>
      <c r="D36" s="335"/>
      <c r="E36" s="1333"/>
      <c r="F36" s="1081"/>
      <c r="G36" s="335"/>
      <c r="H36" s="335"/>
      <c r="I36" s="335"/>
      <c r="J36" s="335"/>
      <c r="K36" s="1333"/>
      <c r="L36" s="335"/>
      <c r="M36" s="1081"/>
      <c r="N36" s="335"/>
      <c r="O36" s="1335"/>
      <c r="P36" s="335"/>
      <c r="Q36" s="335"/>
      <c r="R36" s="335"/>
    </row>
    <row r="37" spans="1:18" s="22" customFormat="1">
      <c r="C37" s="335"/>
      <c r="D37" s="335"/>
      <c r="E37" s="1333"/>
      <c r="F37" s="1081"/>
      <c r="G37" s="335"/>
      <c r="H37" s="335"/>
      <c r="I37" s="335"/>
      <c r="J37" s="335"/>
      <c r="K37" s="1333"/>
      <c r="L37" s="335"/>
      <c r="M37" s="1081"/>
      <c r="N37" s="335"/>
      <c r="O37" s="1081"/>
      <c r="P37" s="335"/>
      <c r="Q37" s="335"/>
      <c r="R37" s="335"/>
    </row>
    <row r="38" spans="1:18" s="22" customFormat="1">
      <c r="C38" s="335"/>
      <c r="D38" s="335"/>
      <c r="E38" s="1333"/>
      <c r="F38" s="1081"/>
      <c r="G38" s="335"/>
      <c r="H38" s="335"/>
      <c r="I38" s="335"/>
      <c r="J38" s="335"/>
      <c r="K38" s="1333"/>
      <c r="L38" s="335"/>
      <c r="M38" s="1081"/>
      <c r="N38" s="335"/>
      <c r="O38" s="1081"/>
      <c r="P38" s="335"/>
      <c r="Q38" s="335"/>
      <c r="R38" s="335"/>
    </row>
    <row r="39" spans="1:18" s="22" customFormat="1">
      <c r="C39" s="335"/>
      <c r="D39" s="335"/>
      <c r="E39" s="1333"/>
      <c r="F39" s="1081"/>
      <c r="G39" s="335"/>
      <c r="H39" s="335"/>
      <c r="I39" s="335"/>
      <c r="J39" s="335"/>
      <c r="K39" s="1333"/>
      <c r="L39" s="335"/>
      <c r="M39" s="1081"/>
      <c r="N39" s="335"/>
      <c r="O39" s="1081"/>
      <c r="P39" s="335"/>
      <c r="Q39" s="335"/>
      <c r="R39" s="335"/>
    </row>
    <row r="40" spans="1:18" s="22" customFormat="1"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</row>
    <row r="41" spans="1:18" s="22" customFormat="1"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</row>
    <row r="42" spans="1:18" s="22" customFormat="1"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</row>
    <row r="43" spans="1:18" s="22" customFormat="1"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</row>
    <row r="44" spans="1:18" s="22" customFormat="1"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</row>
    <row r="45" spans="1:18" s="22" customFormat="1"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</row>
    <row r="46" spans="1:18" s="22" customFormat="1"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</row>
    <row r="47" spans="1:18" s="22" customFormat="1">
      <c r="C47" s="748"/>
      <c r="D47" s="60"/>
      <c r="E47" s="60"/>
      <c r="F47" s="60"/>
      <c r="G47" s="60"/>
      <c r="H47" s="60"/>
      <c r="I47" s="748"/>
      <c r="J47" s="60"/>
      <c r="K47" s="159"/>
    </row>
    <row r="48" spans="1:18" s="22" customFormat="1">
      <c r="C48" s="748"/>
      <c r="D48" s="60"/>
      <c r="E48" s="60"/>
      <c r="F48" s="60"/>
      <c r="G48" s="60"/>
      <c r="H48" s="60"/>
      <c r="I48" s="748"/>
      <c r="J48" s="60"/>
      <c r="K48" s="159"/>
    </row>
    <row r="49" spans="3:11" s="22" customFormat="1">
      <c r="C49" s="762"/>
      <c r="D49" s="60"/>
      <c r="E49" s="60"/>
      <c r="F49" s="60"/>
      <c r="G49" s="60"/>
      <c r="H49" s="60"/>
      <c r="I49" s="748"/>
      <c r="J49" s="60"/>
      <c r="K49" s="159"/>
    </row>
    <row r="50" spans="3:11" s="22" customFormat="1">
      <c r="C50" s="748"/>
      <c r="D50" s="60"/>
      <c r="E50" s="60"/>
      <c r="F50" s="60"/>
      <c r="G50" s="60"/>
      <c r="H50" s="60"/>
      <c r="I50" s="748"/>
      <c r="J50" s="60"/>
      <c r="K50" s="159"/>
    </row>
    <row r="51" spans="3:11" s="22" customFormat="1">
      <c r="D51" s="60"/>
      <c r="E51" s="60"/>
      <c r="F51" s="60"/>
      <c r="G51" s="60"/>
      <c r="H51" s="60"/>
      <c r="I51" s="748"/>
      <c r="J51" s="60"/>
      <c r="K51" s="159"/>
    </row>
    <row r="52" spans="3:11" s="22" customFormat="1">
      <c r="D52" s="60"/>
      <c r="E52" s="60"/>
      <c r="F52" s="60"/>
      <c r="G52" s="60"/>
      <c r="H52" s="60"/>
      <c r="I52" s="748"/>
      <c r="J52" s="60"/>
      <c r="K52" s="159"/>
    </row>
    <row r="53" spans="3:11" s="22" customFormat="1">
      <c r="C53" s="748"/>
      <c r="D53" s="60"/>
      <c r="E53" s="60"/>
      <c r="F53" s="60"/>
      <c r="G53" s="60"/>
      <c r="H53" s="60"/>
      <c r="I53" s="748"/>
      <c r="J53" s="60"/>
      <c r="K53" s="159"/>
    </row>
    <row r="54" spans="3:11" s="22" customFormat="1">
      <c r="C54" s="748"/>
      <c r="D54" s="60"/>
      <c r="E54" s="60"/>
      <c r="F54" s="60"/>
      <c r="G54" s="60"/>
      <c r="H54" s="60"/>
      <c r="I54" s="748"/>
      <c r="J54" s="60"/>
      <c r="K54" s="159"/>
    </row>
    <row r="55" spans="3:11" s="22" customFormat="1">
      <c r="C55" s="762"/>
      <c r="D55" s="60"/>
      <c r="E55" s="60"/>
      <c r="F55" s="60"/>
      <c r="G55" s="60"/>
      <c r="H55" s="60"/>
      <c r="I55" s="748"/>
      <c r="J55" s="60"/>
      <c r="K55" s="159"/>
    </row>
    <row r="56" spans="3:11" s="22" customFormat="1">
      <c r="C56" s="748"/>
      <c r="D56" s="60"/>
      <c r="E56" s="60"/>
      <c r="F56" s="60"/>
      <c r="G56" s="60"/>
      <c r="H56" s="60"/>
      <c r="I56" s="748"/>
      <c r="J56" s="60"/>
      <c r="K56" s="159"/>
    </row>
    <row r="57" spans="3:11" s="22" customFormat="1">
      <c r="D57" s="60"/>
      <c r="E57" s="60"/>
      <c r="F57" s="60"/>
      <c r="G57" s="60"/>
      <c r="H57" s="60"/>
      <c r="I57" s="748"/>
      <c r="J57" s="60"/>
      <c r="K57" s="159"/>
    </row>
    <row r="58" spans="3:11" s="22" customFormat="1">
      <c r="D58" s="60"/>
      <c r="E58" s="60"/>
      <c r="F58" s="60"/>
      <c r="G58" s="60"/>
      <c r="H58" s="60"/>
      <c r="I58" s="748"/>
      <c r="J58" s="60"/>
      <c r="K58" s="159"/>
    </row>
    <row r="59" spans="3:11" s="22" customFormat="1">
      <c r="C59" s="748"/>
      <c r="D59" s="60"/>
      <c r="E59" s="60"/>
      <c r="F59" s="60"/>
      <c r="G59" s="60"/>
      <c r="H59" s="60"/>
      <c r="I59" s="748"/>
      <c r="J59" s="60"/>
      <c r="K59" s="159"/>
    </row>
    <row r="60" spans="3:11" s="22" customFormat="1">
      <c r="C60" s="748"/>
      <c r="D60" s="60"/>
      <c r="E60" s="60"/>
      <c r="F60" s="60"/>
      <c r="G60" s="60"/>
      <c r="H60" s="60"/>
      <c r="I60" s="748"/>
      <c r="J60" s="60"/>
      <c r="K60" s="159"/>
    </row>
    <row r="61" spans="3:11" s="22" customFormat="1">
      <c r="C61" s="748"/>
      <c r="D61" s="60"/>
      <c r="E61" s="60"/>
      <c r="F61" s="60"/>
      <c r="G61" s="60"/>
      <c r="H61" s="60"/>
      <c r="I61" s="748"/>
      <c r="J61" s="60"/>
      <c r="K61" s="159"/>
    </row>
    <row r="62" spans="3:11" s="22" customFormat="1">
      <c r="C62" s="748"/>
      <c r="D62" s="60"/>
      <c r="E62" s="60"/>
      <c r="F62" s="60"/>
      <c r="G62" s="60"/>
      <c r="H62" s="60"/>
      <c r="I62" s="748"/>
      <c r="J62" s="60"/>
      <c r="K62" s="159"/>
    </row>
    <row r="63" spans="3:11" s="22" customFormat="1">
      <c r="D63" s="60"/>
      <c r="E63" s="60"/>
      <c r="F63" s="60"/>
      <c r="G63" s="60"/>
      <c r="H63" s="60"/>
      <c r="I63" s="748"/>
      <c r="J63" s="60"/>
      <c r="K63" s="159"/>
    </row>
    <row r="64" spans="3:11" s="22" customFormat="1">
      <c r="D64" s="60"/>
      <c r="E64" s="60"/>
      <c r="F64" s="60"/>
      <c r="G64" s="60"/>
      <c r="H64" s="60"/>
      <c r="I64" s="748"/>
      <c r="J64" s="60"/>
      <c r="K64" s="159"/>
    </row>
    <row r="65" spans="3:11" s="22" customFormat="1">
      <c r="C65" s="748"/>
      <c r="D65" s="60"/>
      <c r="E65" s="60"/>
      <c r="F65" s="60"/>
      <c r="G65" s="60"/>
      <c r="H65" s="60"/>
      <c r="I65" s="748"/>
      <c r="J65" s="60"/>
      <c r="K65" s="159"/>
    </row>
    <row r="66" spans="3:11" s="22" customFormat="1">
      <c r="C66" s="748"/>
      <c r="D66" s="60"/>
      <c r="E66" s="60"/>
      <c r="F66" s="60"/>
      <c r="G66" s="60"/>
      <c r="H66" s="60"/>
      <c r="I66" s="748"/>
      <c r="J66" s="60"/>
      <c r="K66" s="159"/>
    </row>
    <row r="67" spans="3:11" s="22" customFormat="1">
      <c r="C67" s="748"/>
      <c r="D67" s="60"/>
      <c r="E67" s="60"/>
      <c r="F67" s="60"/>
      <c r="G67" s="60"/>
      <c r="H67" s="60"/>
      <c r="I67" s="748"/>
      <c r="J67" s="60"/>
      <c r="K67" s="159"/>
    </row>
    <row r="68" spans="3:11" s="22" customFormat="1">
      <c r="C68" s="748"/>
      <c r="D68" s="60"/>
      <c r="E68" s="60"/>
      <c r="F68" s="60"/>
      <c r="G68" s="60"/>
      <c r="H68" s="60"/>
      <c r="I68" s="748"/>
      <c r="J68" s="60"/>
      <c r="K68" s="159"/>
    </row>
    <row r="69" spans="3:11" s="22" customFormat="1">
      <c r="D69" s="60"/>
      <c r="E69" s="60"/>
      <c r="F69" s="60"/>
      <c r="G69" s="60"/>
      <c r="H69" s="60"/>
      <c r="I69" s="748"/>
      <c r="J69" s="60"/>
      <c r="K69" s="159"/>
    </row>
    <row r="70" spans="3:11" s="22" customFormat="1">
      <c r="D70" s="60"/>
      <c r="E70" s="60"/>
      <c r="F70" s="60"/>
      <c r="G70" s="60"/>
      <c r="H70" s="60"/>
      <c r="I70" s="748"/>
      <c r="J70" s="60"/>
      <c r="K70" s="159"/>
    </row>
    <row r="71" spans="3:11" s="22" customFormat="1">
      <c r="C71" s="748"/>
      <c r="D71" s="60"/>
      <c r="E71" s="60"/>
      <c r="F71" s="60"/>
      <c r="G71" s="60"/>
      <c r="H71" s="60"/>
      <c r="I71" s="748"/>
      <c r="J71" s="60"/>
      <c r="K71" s="159"/>
    </row>
    <row r="72" spans="3:11" s="22" customFormat="1">
      <c r="C72" s="748"/>
      <c r="D72" s="60"/>
      <c r="E72" s="60"/>
      <c r="F72" s="60"/>
      <c r="G72" s="60"/>
      <c r="H72" s="60"/>
      <c r="I72" s="748"/>
      <c r="J72" s="60"/>
      <c r="K72" s="159"/>
    </row>
    <row r="73" spans="3:11" s="22" customFormat="1">
      <c r="C73" s="762"/>
      <c r="D73" s="60"/>
      <c r="E73" s="60"/>
      <c r="F73" s="60"/>
      <c r="G73" s="60"/>
      <c r="H73" s="60"/>
      <c r="I73" s="748"/>
      <c r="J73" s="60"/>
      <c r="K73" s="159"/>
    </row>
    <row r="74" spans="3:11" s="22" customFormat="1">
      <c r="C74" s="748"/>
      <c r="D74" s="60"/>
      <c r="E74" s="60"/>
      <c r="F74" s="60"/>
      <c r="G74" s="60"/>
      <c r="H74" s="60"/>
      <c r="I74" s="748"/>
      <c r="J74" s="60"/>
      <c r="K74" s="159"/>
    </row>
    <row r="75" spans="3:11" s="22" customFormat="1">
      <c r="C75" s="748"/>
      <c r="D75" s="60"/>
      <c r="E75" s="60"/>
      <c r="F75" s="60"/>
      <c r="G75" s="60"/>
      <c r="H75" s="60"/>
      <c r="I75" s="748"/>
      <c r="J75" s="60"/>
      <c r="K75" s="159"/>
    </row>
    <row r="76" spans="3:11" s="22" customFormat="1">
      <c r="D76" s="60"/>
      <c r="E76" s="60"/>
      <c r="F76" s="60"/>
      <c r="G76" s="60"/>
      <c r="H76" s="60"/>
      <c r="I76" s="748"/>
      <c r="J76" s="60"/>
      <c r="K76" s="159"/>
    </row>
    <row r="77" spans="3:11" s="22" customFormat="1">
      <c r="C77" s="748"/>
      <c r="I77" s="748"/>
      <c r="K77" s="159"/>
    </row>
    <row r="78" spans="3:11" s="22" customFormat="1">
      <c r="C78" s="826"/>
      <c r="I78" s="748"/>
      <c r="K78" s="159"/>
    </row>
    <row r="79" spans="3:11" s="22" customFormat="1">
      <c r="I79" s="748"/>
      <c r="K79" s="159"/>
    </row>
    <row r="80" spans="3:11" s="22" customFormat="1">
      <c r="I80" s="748"/>
      <c r="K80" s="159"/>
    </row>
    <row r="81" spans="3:11" s="22" customFormat="1">
      <c r="C81" s="748"/>
      <c r="I81" s="748"/>
      <c r="K81" s="159"/>
    </row>
    <row r="82" spans="3:11" s="22" customFormat="1">
      <c r="C82" s="762"/>
      <c r="I82" s="748"/>
      <c r="K82" s="159"/>
    </row>
    <row r="83" spans="3:11" s="22" customFormat="1">
      <c r="I83" s="748"/>
      <c r="K83" s="159"/>
    </row>
    <row r="84" spans="3:11" s="22" customFormat="1">
      <c r="I84" s="748"/>
      <c r="K84" s="159"/>
    </row>
    <row r="85" spans="3:11" s="22" customFormat="1">
      <c r="C85" s="762"/>
      <c r="I85" s="748"/>
      <c r="K85" s="159"/>
    </row>
    <row r="86" spans="3:11" s="22" customFormat="1">
      <c r="C86" s="762"/>
      <c r="I86" s="748"/>
      <c r="K86" s="159"/>
    </row>
    <row r="87" spans="3:11" s="22" customFormat="1">
      <c r="I87" s="748"/>
      <c r="K87" s="159"/>
    </row>
    <row r="88" spans="3:11" s="22" customFormat="1">
      <c r="I88" s="748"/>
      <c r="K88" s="159"/>
    </row>
    <row r="89" spans="3:11" s="22" customFormat="1">
      <c r="C89" s="762"/>
      <c r="I89" s="748"/>
      <c r="K89" s="159"/>
    </row>
    <row r="90" spans="3:11" s="22" customFormat="1">
      <c r="C90" s="762"/>
      <c r="I90" s="748"/>
      <c r="K90" s="159"/>
    </row>
    <row r="91" spans="3:11" s="22" customFormat="1">
      <c r="I91" s="748"/>
      <c r="K91" s="159"/>
    </row>
    <row r="92" spans="3:11" s="22" customFormat="1">
      <c r="I92" s="748"/>
      <c r="K92" s="159"/>
    </row>
    <row r="93" spans="3:11" s="22" customFormat="1">
      <c r="C93" s="762"/>
      <c r="I93" s="748"/>
      <c r="K93" s="159"/>
    </row>
    <row r="94" spans="3:11" s="22" customFormat="1">
      <c r="C94" s="762"/>
      <c r="I94" s="748"/>
      <c r="K94" s="159"/>
    </row>
    <row r="95" spans="3:11" s="22" customFormat="1">
      <c r="I95" s="748"/>
      <c r="K95" s="159"/>
    </row>
    <row r="96" spans="3:11" s="22" customFormat="1">
      <c r="I96" s="748"/>
      <c r="K96" s="159"/>
    </row>
    <row r="97" spans="9:11" s="22" customFormat="1">
      <c r="I97" s="748"/>
      <c r="K97" s="159"/>
    </row>
    <row r="98" spans="9:11" s="22" customFormat="1">
      <c r="I98" s="748"/>
      <c r="K98" s="159"/>
    </row>
    <row r="99" spans="9:11" s="22" customFormat="1">
      <c r="I99" s="748"/>
      <c r="K99" s="159"/>
    </row>
    <row r="100" spans="9:11" s="22" customFormat="1">
      <c r="I100" s="748"/>
      <c r="K100" s="159"/>
    </row>
    <row r="101" spans="9:11" s="22" customFormat="1">
      <c r="I101" s="748"/>
      <c r="K101" s="159"/>
    </row>
    <row r="102" spans="9:11" s="22" customFormat="1">
      <c r="I102" s="748"/>
      <c r="K102" s="159"/>
    </row>
    <row r="103" spans="9:11" s="22" customFormat="1">
      <c r="I103" s="748"/>
      <c r="K103" s="159"/>
    </row>
    <row r="104" spans="9:11" s="22" customFormat="1">
      <c r="I104" s="748"/>
      <c r="K104" s="159"/>
    </row>
    <row r="105" spans="9:11" s="22" customFormat="1">
      <c r="I105" s="748"/>
      <c r="K105" s="159"/>
    </row>
    <row r="106" spans="9:11" s="22" customFormat="1">
      <c r="I106" s="748"/>
      <c r="K106" s="159"/>
    </row>
    <row r="107" spans="9:11" s="22" customFormat="1">
      <c r="I107" s="748"/>
      <c r="K107" s="159"/>
    </row>
    <row r="108" spans="9:11" s="22" customFormat="1">
      <c r="I108" s="748"/>
      <c r="K108" s="159"/>
    </row>
    <row r="109" spans="9:11" s="22" customFormat="1">
      <c r="I109" s="748"/>
      <c r="K109" s="159"/>
    </row>
    <row r="110" spans="9:11" s="22" customFormat="1">
      <c r="I110" s="748"/>
      <c r="K110" s="159"/>
    </row>
    <row r="111" spans="9:11" s="22" customFormat="1">
      <c r="I111" s="748"/>
      <c r="K111" s="159"/>
    </row>
    <row r="112" spans="9:11" s="22" customFormat="1">
      <c r="I112" s="748"/>
      <c r="K112" s="159"/>
    </row>
    <row r="113" spans="9:11" s="22" customFormat="1">
      <c r="I113" s="748"/>
      <c r="K113" s="159"/>
    </row>
    <row r="114" spans="9:11" s="22" customFormat="1">
      <c r="I114" s="748"/>
      <c r="K114" s="159"/>
    </row>
    <row r="115" spans="9:11" s="22" customFormat="1">
      <c r="I115" s="748"/>
      <c r="K115" s="159"/>
    </row>
    <row r="116" spans="9:11" s="22" customFormat="1">
      <c r="I116" s="748"/>
      <c r="K116" s="159"/>
    </row>
    <row r="117" spans="9:11" s="22" customFormat="1">
      <c r="I117" s="748"/>
      <c r="K117" s="159"/>
    </row>
    <row r="118" spans="9:11" s="22" customFormat="1">
      <c r="I118" s="748"/>
      <c r="K118" s="159"/>
    </row>
    <row r="119" spans="9:11" s="22" customFormat="1">
      <c r="I119" s="748"/>
      <c r="K119" s="159"/>
    </row>
    <row r="120" spans="9:11" s="22" customFormat="1">
      <c r="I120" s="748"/>
      <c r="K120" s="159"/>
    </row>
    <row r="121" spans="9:11" s="22" customFormat="1">
      <c r="I121" s="748"/>
      <c r="K121" s="159"/>
    </row>
    <row r="122" spans="9:11" s="22" customFormat="1">
      <c r="I122" s="748"/>
      <c r="K122" s="159"/>
    </row>
    <row r="123" spans="9:11" s="22" customFormat="1">
      <c r="I123" s="748"/>
      <c r="K123" s="159"/>
    </row>
    <row r="124" spans="9:11" s="22" customFormat="1">
      <c r="I124" s="748"/>
      <c r="K124" s="159"/>
    </row>
  </sheetData>
  <phoneticPr fontId="26" type="noConversion"/>
  <pageMargins left="0.5" right="0" top="0.25" bottom="0" header="0.5" footer="0.5"/>
  <pageSetup scale="78" orientation="landscape" horizontalDpi="4294967292" verticalDpi="4294967292" r:id="rId1"/>
  <headerFooter alignWithMargins="0">
    <oddFooter>Page &amp;P of 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2"/>
  <sheetViews>
    <sheetView showGridLines="0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hidden="1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530</v>
      </c>
      <c r="M3" s="520" t="s">
        <v>297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7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7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7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7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7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7">
      <c r="A10" s="560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6" t="e">
        <f>'Sch.D&amp;E-REV'!D718</f>
        <v>#REF!</v>
      </c>
    </row>
    <row r="11" spans="1:17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660</v>
      </c>
      <c r="Q11" s="561"/>
    </row>
    <row r="12" spans="1:17" hidden="1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  <c r="Q12" s="561"/>
    </row>
    <row r="13" spans="1:17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Q13" s="561"/>
    </row>
    <row r="14" spans="1:17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1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2"/>
  <sheetViews>
    <sheetView showGridLines="0" topLeftCell="F1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hidden="1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530</v>
      </c>
      <c r="M3" s="520" t="s">
        <v>297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7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7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7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7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7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7">
      <c r="A10" s="560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6" t="e">
        <f>'Sch.D&amp;E-REV'!D720</f>
        <v>#REF!</v>
      </c>
    </row>
    <row r="11" spans="1:17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825</v>
      </c>
      <c r="Q11" s="561"/>
    </row>
    <row r="12" spans="1:17" hidden="1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  <c r="Q12" s="561"/>
    </row>
    <row r="13" spans="1:17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Q13" s="561"/>
    </row>
    <row r="14" spans="1:17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1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  <pageSetUpPr fitToPage="1"/>
  </sheetPr>
  <dimension ref="A1:T22"/>
  <sheetViews>
    <sheetView showGridLines="0" topLeftCell="B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2.1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/>
      <c r="S1" s="516"/>
      <c r="T1" s="517"/>
    </row>
    <row r="2" spans="1:20">
      <c r="O2" s="514"/>
      <c r="R2" s="518"/>
      <c r="S2" s="518"/>
      <c r="T2" s="519"/>
    </row>
    <row r="3" spans="1:20">
      <c r="A3" s="513" t="s">
        <v>531</v>
      </c>
      <c r="M3" s="520" t="s">
        <v>526</v>
      </c>
      <c r="R3" s="518"/>
      <c r="S3" s="518"/>
      <c r="T3" s="519"/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/>
      <c r="S4" s="518"/>
      <c r="T4" s="519"/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47">
        <v>0</v>
      </c>
      <c r="D10" s="533"/>
      <c r="E10" s="533">
        <f>C10</f>
        <v>0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$E$11-E10</f>
        <v>1</v>
      </c>
      <c r="L10" s="533"/>
      <c r="M10" s="533">
        <f>(A10*K10)+I10</f>
        <v>0</v>
      </c>
      <c r="O10" s="534">
        <f>I10/$I$11</f>
        <v>0</v>
      </c>
      <c r="P10" s="547">
        <v>0</v>
      </c>
      <c r="R10" s="535"/>
      <c r="S10" s="513"/>
      <c r="T10" s="584"/>
    </row>
    <row r="11" spans="1:20" s="515" customFormat="1">
      <c r="A11" s="552">
        <f>P11*1000</f>
        <v>112000</v>
      </c>
      <c r="C11" s="547">
        <v>1</v>
      </c>
      <c r="D11" s="533"/>
      <c r="E11" s="533">
        <f>E10+C11</f>
        <v>1</v>
      </c>
      <c r="F11" s="533"/>
      <c r="G11" s="533">
        <f>A11*C11</f>
        <v>112000</v>
      </c>
      <c r="H11" s="533"/>
      <c r="I11" s="533">
        <f>I10+G11</f>
        <v>112000</v>
      </c>
      <c r="J11" s="533"/>
      <c r="K11" s="533">
        <f>$E$11-E11</f>
        <v>0</v>
      </c>
      <c r="L11" s="533"/>
      <c r="M11" s="533">
        <f>(A11*K11)+I11</f>
        <v>112000</v>
      </c>
      <c r="O11" s="534">
        <f>I11/$I$11</f>
        <v>1</v>
      </c>
      <c r="P11" s="547">
        <v>112</v>
      </c>
      <c r="R11" s="535"/>
      <c r="S11" s="513"/>
      <c r="T11" s="536"/>
    </row>
    <row r="12" spans="1:20">
      <c r="T12" s="536"/>
    </row>
    <row r="13" spans="1:20">
      <c r="T13" s="536"/>
    </row>
    <row r="14" spans="1:20">
      <c r="T14" s="536"/>
    </row>
    <row r="15" spans="1:20">
      <c r="T15" s="536"/>
    </row>
    <row r="16" spans="1:20">
      <c r="T16" s="536"/>
    </row>
    <row r="17" spans="20:20">
      <c r="T17" s="536"/>
    </row>
    <row r="18" spans="20:20">
      <c r="T18" s="536"/>
    </row>
    <row r="19" spans="20:20">
      <c r="T19" s="536"/>
    </row>
    <row r="20" spans="20:20">
      <c r="T20" s="536"/>
    </row>
    <row r="21" spans="20:20">
      <c r="T21" s="536"/>
    </row>
    <row r="22" spans="20:20">
      <c r="T22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2"/>
  <sheetViews>
    <sheetView showGridLines="0" topLeftCell="H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#REF!</f>
        <v>#REF!</v>
      </c>
    </row>
    <row r="3" spans="1:20">
      <c r="A3" s="513" t="s">
        <v>532</v>
      </c>
      <c r="M3" s="520" t="s">
        <v>522</v>
      </c>
      <c r="R3" s="518" t="s">
        <v>274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#REF!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#REF!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#REF!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#REF!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1" si="0">P10*1000</f>
        <v>0</v>
      </c>
      <c r="C10" s="532">
        <v>25</v>
      </c>
      <c r="D10" s="533"/>
      <c r="E10" s="533">
        <f>C10</f>
        <v>25</v>
      </c>
      <c r="F10" s="533"/>
      <c r="G10" s="533">
        <f t="shared" ref="G10:G21" si="1">A10*C10</f>
        <v>0</v>
      </c>
      <c r="H10" s="533"/>
      <c r="I10" s="533">
        <f>G10</f>
        <v>0</v>
      </c>
      <c r="J10" s="533"/>
      <c r="K10" s="533">
        <f t="shared" ref="K10:K21" si="2">$E$21-E10</f>
        <v>30</v>
      </c>
      <c r="L10" s="533"/>
      <c r="M10" s="533">
        <f t="shared" ref="M10:M21" si="3">(A10*K10)+I10</f>
        <v>0</v>
      </c>
      <c r="O10" s="534">
        <f t="shared" ref="O10:O21" si="4">I10/$I$21</f>
        <v>0</v>
      </c>
      <c r="P10" s="532">
        <v>0</v>
      </c>
      <c r="R10" s="535"/>
      <c r="S10" s="513"/>
      <c r="T10" s="536" t="e">
        <f t="shared" ref="T10:T21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11</v>
      </c>
      <c r="D11" s="533"/>
      <c r="E11" s="533">
        <f t="shared" ref="E11:E21" si="6">E10+C11</f>
        <v>36</v>
      </c>
      <c r="F11" s="533"/>
      <c r="G11" s="533">
        <f t="shared" si="1"/>
        <v>11000</v>
      </c>
      <c r="H11" s="533"/>
      <c r="I11" s="533">
        <f t="shared" ref="I11:I21" si="7">I10+G11</f>
        <v>11000</v>
      </c>
      <c r="J11" s="533"/>
      <c r="K11" s="533">
        <f t="shared" si="2"/>
        <v>19</v>
      </c>
      <c r="L11" s="533"/>
      <c r="M11" s="533">
        <f t="shared" si="3"/>
        <v>30000</v>
      </c>
      <c r="O11" s="534">
        <f t="shared" si="4"/>
        <v>8.0882352941176475E-2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2</v>
      </c>
      <c r="D12" s="533"/>
      <c r="E12" s="533">
        <f t="shared" si="6"/>
        <v>38</v>
      </c>
      <c r="F12" s="533"/>
      <c r="G12" s="533">
        <f t="shared" si="1"/>
        <v>4000</v>
      </c>
      <c r="H12" s="533"/>
      <c r="I12" s="533">
        <f t="shared" si="7"/>
        <v>15000</v>
      </c>
      <c r="J12" s="533"/>
      <c r="K12" s="533">
        <f t="shared" si="2"/>
        <v>17</v>
      </c>
      <c r="L12" s="533"/>
      <c r="M12" s="533">
        <f t="shared" si="3"/>
        <v>49000</v>
      </c>
      <c r="O12" s="534">
        <f t="shared" si="4"/>
        <v>0.11029411764705882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3</v>
      </c>
      <c r="D13" s="533"/>
      <c r="E13" s="533">
        <f t="shared" si="6"/>
        <v>41</v>
      </c>
      <c r="F13" s="533"/>
      <c r="G13" s="533">
        <f t="shared" si="1"/>
        <v>9000</v>
      </c>
      <c r="H13" s="533"/>
      <c r="I13" s="533">
        <f t="shared" si="7"/>
        <v>24000</v>
      </c>
      <c r="J13" s="533"/>
      <c r="K13" s="533">
        <f t="shared" si="2"/>
        <v>14</v>
      </c>
      <c r="L13" s="533"/>
      <c r="M13" s="533">
        <f t="shared" si="3"/>
        <v>66000</v>
      </c>
      <c r="N13" s="515"/>
      <c r="O13" s="534">
        <f t="shared" si="4"/>
        <v>0.17647058823529413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4</v>
      </c>
      <c r="D14" s="533"/>
      <c r="E14" s="533">
        <f t="shared" si="6"/>
        <v>45</v>
      </c>
      <c r="F14" s="533"/>
      <c r="G14" s="533">
        <f t="shared" si="1"/>
        <v>16000</v>
      </c>
      <c r="H14" s="533"/>
      <c r="I14" s="533">
        <f t="shared" si="7"/>
        <v>40000</v>
      </c>
      <c r="J14" s="533"/>
      <c r="K14" s="533">
        <f t="shared" si="2"/>
        <v>10</v>
      </c>
      <c r="L14" s="533"/>
      <c r="M14" s="533">
        <f t="shared" si="3"/>
        <v>80000</v>
      </c>
      <c r="N14" s="515"/>
      <c r="O14" s="534">
        <f t="shared" si="4"/>
        <v>0.29411764705882354</v>
      </c>
      <c r="P14" s="532">
        <v>4</v>
      </c>
      <c r="T14" s="536" t="e">
        <f t="shared" si="5"/>
        <v>#REF!</v>
      </c>
    </row>
    <row r="15" spans="1:20">
      <c r="A15" s="552">
        <f t="shared" si="0"/>
        <v>5000</v>
      </c>
      <c r="B15" s="515"/>
      <c r="C15" s="532">
        <v>1</v>
      </c>
      <c r="D15" s="533"/>
      <c r="E15" s="533">
        <f t="shared" si="6"/>
        <v>46</v>
      </c>
      <c r="F15" s="533"/>
      <c r="G15" s="533">
        <f t="shared" si="1"/>
        <v>5000</v>
      </c>
      <c r="H15" s="533"/>
      <c r="I15" s="533">
        <f t="shared" si="7"/>
        <v>45000</v>
      </c>
      <c r="J15" s="533"/>
      <c r="K15" s="533">
        <f t="shared" si="2"/>
        <v>9</v>
      </c>
      <c r="L15" s="533"/>
      <c r="M15" s="533">
        <f t="shared" si="3"/>
        <v>90000</v>
      </c>
      <c r="N15" s="515"/>
      <c r="O15" s="534">
        <f t="shared" si="4"/>
        <v>0.33088235294117646</v>
      </c>
      <c r="P15" s="532">
        <v>5</v>
      </c>
      <c r="T15" s="536" t="e">
        <f t="shared" si="5"/>
        <v>#REF!</v>
      </c>
    </row>
    <row r="16" spans="1:20">
      <c r="A16" s="552">
        <f t="shared" si="0"/>
        <v>6000</v>
      </c>
      <c r="B16" s="515"/>
      <c r="C16" s="532">
        <v>4</v>
      </c>
      <c r="D16" s="533"/>
      <c r="E16" s="533">
        <f t="shared" si="6"/>
        <v>50</v>
      </c>
      <c r="F16" s="533"/>
      <c r="G16" s="533">
        <f t="shared" si="1"/>
        <v>24000</v>
      </c>
      <c r="H16" s="533"/>
      <c r="I16" s="533">
        <f t="shared" si="7"/>
        <v>69000</v>
      </c>
      <c r="J16" s="533"/>
      <c r="K16" s="533">
        <f t="shared" si="2"/>
        <v>5</v>
      </c>
      <c r="L16" s="533"/>
      <c r="M16" s="533">
        <f t="shared" si="3"/>
        <v>99000</v>
      </c>
      <c r="N16" s="515"/>
      <c r="O16" s="534">
        <f t="shared" si="4"/>
        <v>0.50735294117647056</v>
      </c>
      <c r="P16" s="532">
        <v>6</v>
      </c>
      <c r="T16" s="536" t="e">
        <f t="shared" si="5"/>
        <v>#REF!</v>
      </c>
    </row>
    <row r="17" spans="1:20">
      <c r="A17" s="552">
        <f t="shared" si="0"/>
        <v>8000</v>
      </c>
      <c r="B17" s="515"/>
      <c r="C17" s="532">
        <v>1</v>
      </c>
      <c r="D17" s="533"/>
      <c r="E17" s="533">
        <f t="shared" si="6"/>
        <v>51</v>
      </c>
      <c r="F17" s="533"/>
      <c r="G17" s="533">
        <f t="shared" si="1"/>
        <v>8000</v>
      </c>
      <c r="H17" s="533"/>
      <c r="I17" s="533">
        <f t="shared" si="7"/>
        <v>77000</v>
      </c>
      <c r="J17" s="533"/>
      <c r="K17" s="533">
        <f t="shared" si="2"/>
        <v>4</v>
      </c>
      <c r="L17" s="533"/>
      <c r="M17" s="533">
        <f t="shared" si="3"/>
        <v>109000</v>
      </c>
      <c r="N17" s="515"/>
      <c r="O17" s="534">
        <f t="shared" si="4"/>
        <v>0.56617647058823528</v>
      </c>
      <c r="P17" s="532">
        <v>8</v>
      </c>
      <c r="T17" s="536" t="e">
        <f t="shared" si="5"/>
        <v>#REF!</v>
      </c>
    </row>
    <row r="18" spans="1:20">
      <c r="A18" s="552">
        <f t="shared" si="0"/>
        <v>9000</v>
      </c>
      <c r="B18" s="515"/>
      <c r="C18" s="532">
        <v>1</v>
      </c>
      <c r="D18" s="533"/>
      <c r="E18" s="533">
        <f t="shared" si="6"/>
        <v>52</v>
      </c>
      <c r="F18" s="533"/>
      <c r="G18" s="533">
        <f t="shared" si="1"/>
        <v>9000</v>
      </c>
      <c r="H18" s="533"/>
      <c r="I18" s="533">
        <f t="shared" si="7"/>
        <v>86000</v>
      </c>
      <c r="J18" s="533"/>
      <c r="K18" s="533">
        <f t="shared" si="2"/>
        <v>3</v>
      </c>
      <c r="L18" s="533"/>
      <c r="M18" s="533">
        <f t="shared" si="3"/>
        <v>113000</v>
      </c>
      <c r="N18" s="515"/>
      <c r="O18" s="534">
        <f t="shared" si="4"/>
        <v>0.63235294117647056</v>
      </c>
      <c r="P18" s="532">
        <v>9</v>
      </c>
      <c r="T18" s="536" t="e">
        <f t="shared" si="5"/>
        <v>#REF!</v>
      </c>
    </row>
    <row r="19" spans="1:20">
      <c r="A19" s="552">
        <f t="shared" si="0"/>
        <v>10000</v>
      </c>
      <c r="B19" s="515"/>
      <c r="C19" s="532">
        <v>1</v>
      </c>
      <c r="D19" s="533"/>
      <c r="E19" s="533">
        <f t="shared" si="6"/>
        <v>53</v>
      </c>
      <c r="F19" s="533"/>
      <c r="G19" s="533">
        <f t="shared" si="1"/>
        <v>10000</v>
      </c>
      <c r="H19" s="533"/>
      <c r="I19" s="533">
        <f t="shared" si="7"/>
        <v>96000</v>
      </c>
      <c r="J19" s="533"/>
      <c r="K19" s="533">
        <f t="shared" si="2"/>
        <v>2</v>
      </c>
      <c r="L19" s="533"/>
      <c r="M19" s="533">
        <f t="shared" si="3"/>
        <v>116000</v>
      </c>
      <c r="N19" s="515"/>
      <c r="O19" s="534">
        <f t="shared" si="4"/>
        <v>0.70588235294117652</v>
      </c>
      <c r="P19" s="532">
        <v>10</v>
      </c>
      <c r="T19" s="536" t="e">
        <f t="shared" si="5"/>
        <v>#REF!</v>
      </c>
    </row>
    <row r="20" spans="1:20">
      <c r="A20" s="552">
        <f t="shared" si="0"/>
        <v>19000</v>
      </c>
      <c r="B20" s="515"/>
      <c r="C20" s="532">
        <v>1</v>
      </c>
      <c r="D20" s="533"/>
      <c r="E20" s="533">
        <f t="shared" si="6"/>
        <v>54</v>
      </c>
      <c r="F20" s="533"/>
      <c r="G20" s="533">
        <f t="shared" si="1"/>
        <v>19000</v>
      </c>
      <c r="H20" s="533"/>
      <c r="I20" s="533">
        <f t="shared" si="7"/>
        <v>115000</v>
      </c>
      <c r="J20" s="533"/>
      <c r="K20" s="533">
        <f t="shared" si="2"/>
        <v>1</v>
      </c>
      <c r="L20" s="533"/>
      <c r="M20" s="533">
        <f t="shared" si="3"/>
        <v>134000</v>
      </c>
      <c r="N20" s="515"/>
      <c r="O20" s="534">
        <f t="shared" si="4"/>
        <v>0.84558823529411764</v>
      </c>
      <c r="P20" s="532">
        <v>19</v>
      </c>
      <c r="T20" s="536" t="e">
        <f t="shared" si="5"/>
        <v>#REF!</v>
      </c>
    </row>
    <row r="21" spans="1:20">
      <c r="A21" s="552">
        <f t="shared" si="0"/>
        <v>21000</v>
      </c>
      <c r="B21" s="515"/>
      <c r="C21" s="532">
        <v>1</v>
      </c>
      <c r="D21" s="533"/>
      <c r="E21" s="533">
        <f t="shared" si="6"/>
        <v>55</v>
      </c>
      <c r="F21" s="533"/>
      <c r="G21" s="533">
        <f t="shared" si="1"/>
        <v>21000</v>
      </c>
      <c r="H21" s="533"/>
      <c r="I21" s="533">
        <f t="shared" si="7"/>
        <v>136000</v>
      </c>
      <c r="J21" s="533"/>
      <c r="K21" s="533">
        <f t="shared" si="2"/>
        <v>0</v>
      </c>
      <c r="L21" s="533"/>
      <c r="M21" s="533">
        <f t="shared" si="3"/>
        <v>136000</v>
      </c>
      <c r="N21" s="515"/>
      <c r="O21" s="534">
        <f t="shared" si="4"/>
        <v>1</v>
      </c>
      <c r="P21" s="532">
        <v>21</v>
      </c>
      <c r="T21" s="536" t="e">
        <f t="shared" si="5"/>
        <v>#REF!</v>
      </c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6"/>
    </row>
    <row r="23" spans="1:20">
      <c r="A23" s="531"/>
      <c r="B23" s="544"/>
      <c r="C23" s="561"/>
      <c r="D23" s="545"/>
      <c r="E23" s="533"/>
      <c r="F23" s="533"/>
      <c r="G23" s="533"/>
      <c r="H23" s="533"/>
      <c r="I23" s="533"/>
      <c r="J23" s="545"/>
      <c r="K23" s="533"/>
      <c r="L23" s="545"/>
      <c r="M23" s="533"/>
      <c r="O23" s="534"/>
      <c r="P23" s="547"/>
      <c r="T23" s="554" t="e">
        <f>SUM(T10:T21)</f>
        <v>#REF!</v>
      </c>
    </row>
    <row r="24" spans="1:20" hidden="1">
      <c r="A24" s="531"/>
      <c r="B24" s="515"/>
      <c r="C24" s="561"/>
      <c r="D24" s="515"/>
      <c r="E24" s="533"/>
      <c r="F24" s="533"/>
      <c r="G24" s="533"/>
      <c r="H24" s="533"/>
      <c r="I24" s="533"/>
      <c r="J24" s="515"/>
      <c r="K24" s="533"/>
      <c r="L24" s="515"/>
      <c r="M24" s="533"/>
      <c r="N24" s="515"/>
      <c r="O24" s="534"/>
      <c r="P24" s="547"/>
      <c r="T24" s="536">
        <v>652</v>
      </c>
    </row>
    <row r="25" spans="1:20" hidden="1">
      <c r="A25" s="531"/>
      <c r="B25" s="515"/>
      <c r="C25" s="561"/>
      <c r="D25" s="515"/>
      <c r="E25" s="533"/>
      <c r="F25" s="533"/>
      <c r="G25" s="533"/>
      <c r="H25" s="533"/>
      <c r="I25" s="533"/>
      <c r="J25" s="515"/>
      <c r="K25" s="533"/>
      <c r="L25" s="515"/>
      <c r="M25" s="533"/>
      <c r="N25" s="515"/>
      <c r="O25" s="534"/>
      <c r="P25" s="547"/>
      <c r="T25" s="536" t="e">
        <f>T23-T24</f>
        <v>#REF!</v>
      </c>
    </row>
    <row r="26" spans="1:20" hidden="1">
      <c r="A26" s="531"/>
      <c r="B26" s="529"/>
      <c r="C26" s="561"/>
      <c r="D26" s="529"/>
      <c r="E26" s="533"/>
      <c r="F26" s="533"/>
      <c r="G26" s="533"/>
      <c r="H26" s="533"/>
      <c r="I26" s="533"/>
      <c r="J26" s="529"/>
      <c r="K26" s="533"/>
      <c r="L26" s="529"/>
      <c r="M26" s="533"/>
      <c r="N26" s="529"/>
      <c r="O26" s="534"/>
      <c r="P26" s="547"/>
      <c r="T26" s="569" t="e">
        <f>T25/T23</f>
        <v>#REF!</v>
      </c>
    </row>
    <row r="27" spans="1:20">
      <c r="A27" s="531"/>
      <c r="B27" s="523"/>
      <c r="C27" s="561"/>
      <c r="D27" s="523"/>
      <c r="E27" s="533"/>
      <c r="F27" s="533"/>
      <c r="G27" s="533"/>
      <c r="H27" s="533"/>
      <c r="I27" s="533"/>
      <c r="J27" s="523"/>
      <c r="K27" s="533"/>
      <c r="L27" s="523"/>
      <c r="M27" s="533"/>
      <c r="N27" s="523"/>
      <c r="O27" s="534"/>
      <c r="P27" s="547"/>
      <c r="T27" s="536"/>
    </row>
    <row r="28" spans="1:20">
      <c r="A28" s="531"/>
      <c r="B28" s="525"/>
      <c r="C28" s="561"/>
      <c r="D28" s="525"/>
      <c r="E28" s="533"/>
      <c r="F28" s="533"/>
      <c r="G28" s="533"/>
      <c r="H28" s="533"/>
      <c r="I28" s="533"/>
      <c r="J28" s="525"/>
      <c r="K28" s="533"/>
      <c r="L28" s="525"/>
      <c r="M28" s="533"/>
      <c r="N28" s="525"/>
      <c r="O28" s="534"/>
      <c r="P28" s="547"/>
      <c r="T28" s="536"/>
    </row>
    <row r="29" spans="1:20">
      <c r="A29" s="531"/>
      <c r="B29" s="525"/>
      <c r="C29" s="561"/>
      <c r="D29" s="525"/>
      <c r="E29" s="533"/>
      <c r="F29" s="533"/>
      <c r="G29" s="533"/>
      <c r="H29" s="533"/>
      <c r="I29" s="533"/>
      <c r="J29" s="525"/>
      <c r="K29" s="533"/>
      <c r="L29" s="525"/>
      <c r="M29" s="533"/>
      <c r="N29" s="525"/>
      <c r="O29" s="534"/>
      <c r="P29" s="547"/>
      <c r="T29" s="536"/>
    </row>
    <row r="30" spans="1:20">
      <c r="A30" s="531"/>
      <c r="B30" s="525"/>
      <c r="C30" s="561"/>
      <c r="D30" s="525"/>
      <c r="E30" s="533"/>
      <c r="F30" s="533"/>
      <c r="G30" s="533"/>
      <c r="H30" s="533"/>
      <c r="I30" s="533"/>
      <c r="J30" s="525"/>
      <c r="K30" s="533"/>
      <c r="L30" s="525"/>
      <c r="M30" s="533"/>
      <c r="N30" s="525"/>
      <c r="O30" s="534"/>
      <c r="P30" s="547"/>
    </row>
    <row r="31" spans="1:20">
      <c r="A31" s="531"/>
      <c r="B31" s="515"/>
      <c r="C31" s="561"/>
      <c r="D31" s="529"/>
      <c r="E31" s="533"/>
      <c r="F31" s="533"/>
      <c r="G31" s="533"/>
      <c r="H31" s="533"/>
      <c r="I31" s="533"/>
      <c r="J31" s="529"/>
      <c r="K31" s="533"/>
      <c r="L31" s="529"/>
      <c r="M31" s="533"/>
      <c r="N31" s="529"/>
      <c r="O31" s="534"/>
      <c r="P31" s="547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80"/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O41" s="541"/>
    </row>
    <row r="42" spans="1:16">
      <c r="A42" s="580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O42" s="541"/>
    </row>
    <row r="43" spans="1:16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8"/>
  <sheetViews>
    <sheetView showGridLines="0" topLeftCell="H10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'16091-170'!T2</f>
        <v>#REF!</v>
      </c>
    </row>
    <row r="3" spans="1:20">
      <c r="A3" s="513" t="s">
        <v>532</v>
      </c>
      <c r="M3" s="520" t="s">
        <v>522</v>
      </c>
      <c r="R3" s="518" t="s">
        <v>274</v>
      </c>
      <c r="S3" s="518"/>
      <c r="T3" s="519" t="e">
        <f>'16091-170'!T3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'16091-170'!T4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'16091-170'!T5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'16091-170'!T6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'16091-170'!T7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5" si="0">P10*1000</f>
        <v>0</v>
      </c>
      <c r="C10" s="532">
        <v>15</v>
      </c>
      <c r="D10" s="533"/>
      <c r="E10" s="533">
        <f>C10</f>
        <v>15</v>
      </c>
      <c r="F10" s="533"/>
      <c r="G10" s="533">
        <f t="shared" ref="G10:G25" si="1">A10*C10</f>
        <v>0</v>
      </c>
      <c r="H10" s="533"/>
      <c r="I10" s="533">
        <f>G10</f>
        <v>0</v>
      </c>
      <c r="J10" s="533"/>
      <c r="K10" s="533">
        <f t="shared" ref="K10:K25" si="2">$E$25-E10</f>
        <v>18</v>
      </c>
      <c r="L10" s="533"/>
      <c r="M10" s="533">
        <f t="shared" ref="M10:M25" si="3">(A10*K10)+I10</f>
        <v>0</v>
      </c>
      <c r="O10" s="534">
        <f t="shared" ref="O10:O25" si="4">I10/$I$25</f>
        <v>0</v>
      </c>
      <c r="P10" s="532">
        <v>0</v>
      </c>
      <c r="R10" s="535"/>
      <c r="S10" s="513"/>
      <c r="T10" s="536" t="e">
        <f t="shared" ref="T10:T25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3</v>
      </c>
      <c r="D11" s="533"/>
      <c r="E11" s="533">
        <f t="shared" ref="E11:E25" si="6">E10+C11</f>
        <v>18</v>
      </c>
      <c r="F11" s="533"/>
      <c r="G11" s="533">
        <f t="shared" si="1"/>
        <v>3000</v>
      </c>
      <c r="H11" s="533"/>
      <c r="I11" s="533">
        <f t="shared" ref="I11:I25" si="7">I10+G11</f>
        <v>3000</v>
      </c>
      <c r="J11" s="533"/>
      <c r="K11" s="533">
        <f t="shared" si="2"/>
        <v>15</v>
      </c>
      <c r="L11" s="533"/>
      <c r="M11" s="533">
        <f t="shared" si="3"/>
        <v>18000</v>
      </c>
      <c r="O11" s="534">
        <f t="shared" si="4"/>
        <v>1.876172607879925E-3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13000</v>
      </c>
      <c r="C12" s="532">
        <v>1</v>
      </c>
      <c r="D12" s="533"/>
      <c r="E12" s="533">
        <f t="shared" si="6"/>
        <v>19</v>
      </c>
      <c r="F12" s="533"/>
      <c r="G12" s="533">
        <f t="shared" si="1"/>
        <v>13000</v>
      </c>
      <c r="H12" s="533"/>
      <c r="I12" s="533">
        <f t="shared" si="7"/>
        <v>16000</v>
      </c>
      <c r="J12" s="533"/>
      <c r="K12" s="533">
        <f t="shared" si="2"/>
        <v>14</v>
      </c>
      <c r="L12" s="533"/>
      <c r="M12" s="533">
        <f t="shared" si="3"/>
        <v>198000</v>
      </c>
      <c r="O12" s="534">
        <f t="shared" si="4"/>
        <v>1.0006253908692933E-2</v>
      </c>
      <c r="P12" s="532">
        <v>13</v>
      </c>
      <c r="R12" s="513"/>
      <c r="S12" s="513"/>
      <c r="T12" s="536" t="e">
        <f t="shared" si="5"/>
        <v>#REF!</v>
      </c>
    </row>
    <row r="13" spans="1:20">
      <c r="A13" s="552">
        <f t="shared" si="0"/>
        <v>15000</v>
      </c>
      <c r="B13" s="515"/>
      <c r="C13" s="532">
        <v>1</v>
      </c>
      <c r="D13" s="533"/>
      <c r="E13" s="533">
        <f t="shared" si="6"/>
        <v>20</v>
      </c>
      <c r="F13" s="533"/>
      <c r="G13" s="533">
        <f t="shared" si="1"/>
        <v>15000</v>
      </c>
      <c r="H13" s="533"/>
      <c r="I13" s="533">
        <f t="shared" si="7"/>
        <v>31000</v>
      </c>
      <c r="J13" s="533"/>
      <c r="K13" s="533">
        <f t="shared" si="2"/>
        <v>13</v>
      </c>
      <c r="L13" s="533"/>
      <c r="M13" s="533">
        <f t="shared" si="3"/>
        <v>226000</v>
      </c>
      <c r="N13" s="515"/>
      <c r="O13" s="534">
        <f t="shared" si="4"/>
        <v>1.9387116948092559E-2</v>
      </c>
      <c r="P13" s="532">
        <v>15</v>
      </c>
      <c r="T13" s="536" t="e">
        <f t="shared" si="5"/>
        <v>#REF!</v>
      </c>
    </row>
    <row r="14" spans="1:20">
      <c r="A14" s="552">
        <f t="shared" si="0"/>
        <v>20000</v>
      </c>
      <c r="B14" s="515"/>
      <c r="C14" s="532">
        <v>1</v>
      </c>
      <c r="D14" s="533"/>
      <c r="E14" s="533">
        <f t="shared" si="6"/>
        <v>21</v>
      </c>
      <c r="F14" s="533"/>
      <c r="G14" s="533">
        <f t="shared" si="1"/>
        <v>20000</v>
      </c>
      <c r="H14" s="533"/>
      <c r="I14" s="533">
        <f t="shared" si="7"/>
        <v>51000</v>
      </c>
      <c r="J14" s="533"/>
      <c r="K14" s="533">
        <f t="shared" si="2"/>
        <v>12</v>
      </c>
      <c r="L14" s="533"/>
      <c r="M14" s="533">
        <f t="shared" si="3"/>
        <v>291000</v>
      </c>
      <c r="N14" s="515"/>
      <c r="O14" s="534">
        <f t="shared" si="4"/>
        <v>3.1894934333958722E-2</v>
      </c>
      <c r="P14" s="532">
        <v>20</v>
      </c>
      <c r="T14" s="536" t="e">
        <f t="shared" si="5"/>
        <v>#REF!</v>
      </c>
    </row>
    <row r="15" spans="1:20">
      <c r="A15" s="552">
        <f t="shared" si="0"/>
        <v>53000</v>
      </c>
      <c r="B15" s="515"/>
      <c r="C15" s="532">
        <v>1</v>
      </c>
      <c r="D15" s="533"/>
      <c r="E15" s="533">
        <f t="shared" si="6"/>
        <v>22</v>
      </c>
      <c r="F15" s="533"/>
      <c r="G15" s="533">
        <f t="shared" si="1"/>
        <v>53000</v>
      </c>
      <c r="H15" s="533"/>
      <c r="I15" s="533">
        <f t="shared" si="7"/>
        <v>104000</v>
      </c>
      <c r="J15" s="533"/>
      <c r="K15" s="533">
        <f t="shared" si="2"/>
        <v>11</v>
      </c>
      <c r="L15" s="533"/>
      <c r="M15" s="533">
        <f t="shared" si="3"/>
        <v>687000</v>
      </c>
      <c r="N15" s="515"/>
      <c r="O15" s="534">
        <f t="shared" si="4"/>
        <v>6.5040650406504072E-2</v>
      </c>
      <c r="P15" s="532">
        <v>53</v>
      </c>
      <c r="T15" s="536" t="e">
        <f t="shared" si="5"/>
        <v>#REF!</v>
      </c>
    </row>
    <row r="16" spans="1:20">
      <c r="A16" s="552">
        <f t="shared" si="0"/>
        <v>106000</v>
      </c>
      <c r="B16" s="515"/>
      <c r="C16" s="532">
        <v>1</v>
      </c>
      <c r="D16" s="533"/>
      <c r="E16" s="533">
        <f t="shared" si="6"/>
        <v>23</v>
      </c>
      <c r="F16" s="533"/>
      <c r="G16" s="533">
        <f t="shared" si="1"/>
        <v>106000</v>
      </c>
      <c r="H16" s="533"/>
      <c r="I16" s="533">
        <f t="shared" si="7"/>
        <v>210000</v>
      </c>
      <c r="J16" s="533"/>
      <c r="K16" s="533">
        <f t="shared" si="2"/>
        <v>10</v>
      </c>
      <c r="L16" s="533"/>
      <c r="M16" s="533">
        <f t="shared" si="3"/>
        <v>1270000</v>
      </c>
      <c r="N16" s="515"/>
      <c r="O16" s="534">
        <f t="shared" si="4"/>
        <v>0.13133208255159476</v>
      </c>
      <c r="P16" s="532">
        <v>106</v>
      </c>
      <c r="T16" s="536" t="e">
        <f t="shared" si="5"/>
        <v>#REF!</v>
      </c>
    </row>
    <row r="17" spans="1:20">
      <c r="A17" s="552">
        <f t="shared" si="0"/>
        <v>111000</v>
      </c>
      <c r="B17" s="515"/>
      <c r="C17" s="532">
        <v>2</v>
      </c>
      <c r="D17" s="533"/>
      <c r="E17" s="533">
        <f t="shared" si="6"/>
        <v>25</v>
      </c>
      <c r="F17" s="533"/>
      <c r="G17" s="533">
        <f t="shared" si="1"/>
        <v>222000</v>
      </c>
      <c r="H17" s="533"/>
      <c r="I17" s="533">
        <f t="shared" si="7"/>
        <v>432000</v>
      </c>
      <c r="J17" s="533"/>
      <c r="K17" s="533">
        <f t="shared" si="2"/>
        <v>8</v>
      </c>
      <c r="L17" s="533"/>
      <c r="M17" s="533">
        <f t="shared" si="3"/>
        <v>1320000</v>
      </c>
      <c r="N17" s="515"/>
      <c r="O17" s="534">
        <f t="shared" si="4"/>
        <v>0.27016885553470921</v>
      </c>
      <c r="P17" s="532">
        <v>111</v>
      </c>
      <c r="T17" s="536" t="e">
        <f t="shared" si="5"/>
        <v>#REF!</v>
      </c>
    </row>
    <row r="18" spans="1:20">
      <c r="A18" s="552">
        <f t="shared" si="0"/>
        <v>117000</v>
      </c>
      <c r="B18" s="515"/>
      <c r="C18" s="532">
        <v>1</v>
      </c>
      <c r="D18" s="533"/>
      <c r="E18" s="533">
        <f t="shared" si="6"/>
        <v>26</v>
      </c>
      <c r="F18" s="533"/>
      <c r="G18" s="533">
        <f t="shared" si="1"/>
        <v>117000</v>
      </c>
      <c r="H18" s="533"/>
      <c r="I18" s="533">
        <f t="shared" si="7"/>
        <v>549000</v>
      </c>
      <c r="J18" s="533"/>
      <c r="K18" s="533">
        <f t="shared" si="2"/>
        <v>7</v>
      </c>
      <c r="L18" s="533"/>
      <c r="M18" s="533">
        <f t="shared" si="3"/>
        <v>1368000</v>
      </c>
      <c r="N18" s="515"/>
      <c r="O18" s="534">
        <f t="shared" si="4"/>
        <v>0.34333958724202629</v>
      </c>
      <c r="P18" s="532">
        <v>117</v>
      </c>
      <c r="T18" s="536" t="e">
        <f t="shared" si="5"/>
        <v>#REF!</v>
      </c>
    </row>
    <row r="19" spans="1:20">
      <c r="A19" s="552">
        <f t="shared" si="0"/>
        <v>120000</v>
      </c>
      <c r="B19" s="515"/>
      <c r="C19" s="532">
        <v>1</v>
      </c>
      <c r="D19" s="533"/>
      <c r="E19" s="533">
        <f t="shared" si="6"/>
        <v>27</v>
      </c>
      <c r="F19" s="533"/>
      <c r="G19" s="533">
        <f t="shared" si="1"/>
        <v>120000</v>
      </c>
      <c r="H19" s="533"/>
      <c r="I19" s="533">
        <f t="shared" si="7"/>
        <v>669000</v>
      </c>
      <c r="J19" s="533"/>
      <c r="K19" s="533">
        <f t="shared" si="2"/>
        <v>6</v>
      </c>
      <c r="L19" s="533"/>
      <c r="M19" s="533">
        <f t="shared" si="3"/>
        <v>1389000</v>
      </c>
      <c r="N19" s="515"/>
      <c r="O19" s="534">
        <f t="shared" si="4"/>
        <v>0.41838649155722324</v>
      </c>
      <c r="P19" s="532">
        <v>120</v>
      </c>
      <c r="T19" s="536" t="e">
        <f t="shared" si="5"/>
        <v>#REF!</v>
      </c>
    </row>
    <row r="20" spans="1:20">
      <c r="A20" s="552">
        <f t="shared" si="0"/>
        <v>135000</v>
      </c>
      <c r="B20" s="515"/>
      <c r="C20" s="532">
        <v>1</v>
      </c>
      <c r="D20" s="533"/>
      <c r="E20" s="533">
        <f t="shared" si="6"/>
        <v>28</v>
      </c>
      <c r="F20" s="533"/>
      <c r="G20" s="533">
        <f t="shared" si="1"/>
        <v>135000</v>
      </c>
      <c r="H20" s="533"/>
      <c r="I20" s="533">
        <f t="shared" si="7"/>
        <v>804000</v>
      </c>
      <c r="J20" s="533"/>
      <c r="K20" s="533">
        <f t="shared" si="2"/>
        <v>5</v>
      </c>
      <c r="L20" s="533"/>
      <c r="M20" s="533">
        <f t="shared" si="3"/>
        <v>1479000</v>
      </c>
      <c r="N20" s="515"/>
      <c r="O20" s="534">
        <f t="shared" si="4"/>
        <v>0.50281425891181986</v>
      </c>
      <c r="P20" s="532">
        <v>135</v>
      </c>
      <c r="T20" s="536" t="e">
        <f t="shared" si="5"/>
        <v>#REF!</v>
      </c>
    </row>
    <row r="21" spans="1:20">
      <c r="A21" s="552">
        <f t="shared" si="0"/>
        <v>141000</v>
      </c>
      <c r="B21" s="515"/>
      <c r="C21" s="532">
        <v>1</v>
      </c>
      <c r="D21" s="533"/>
      <c r="E21" s="533">
        <f t="shared" si="6"/>
        <v>29</v>
      </c>
      <c r="F21" s="533"/>
      <c r="G21" s="533">
        <f t="shared" si="1"/>
        <v>141000</v>
      </c>
      <c r="H21" s="533"/>
      <c r="I21" s="533">
        <f t="shared" si="7"/>
        <v>945000</v>
      </c>
      <c r="J21" s="533"/>
      <c r="K21" s="533">
        <f t="shared" si="2"/>
        <v>4</v>
      </c>
      <c r="L21" s="533"/>
      <c r="M21" s="533">
        <f t="shared" si="3"/>
        <v>1509000</v>
      </c>
      <c r="N21" s="515"/>
      <c r="O21" s="534">
        <f t="shared" si="4"/>
        <v>0.59099437148217637</v>
      </c>
      <c r="P21" s="532">
        <v>141</v>
      </c>
      <c r="T21" s="536" t="e">
        <f t="shared" si="5"/>
        <v>#REF!</v>
      </c>
    </row>
    <row r="22" spans="1:20">
      <c r="A22" s="531">
        <f t="shared" si="0"/>
        <v>142000</v>
      </c>
      <c r="B22" s="515"/>
      <c r="C22" s="532">
        <v>1</v>
      </c>
      <c r="D22" s="533"/>
      <c r="E22" s="533">
        <f t="shared" si="6"/>
        <v>30</v>
      </c>
      <c r="F22" s="533"/>
      <c r="G22" s="533">
        <f t="shared" si="1"/>
        <v>142000</v>
      </c>
      <c r="H22" s="533"/>
      <c r="I22" s="533">
        <f t="shared" si="7"/>
        <v>1087000</v>
      </c>
      <c r="J22" s="533"/>
      <c r="K22" s="533">
        <f t="shared" si="2"/>
        <v>3</v>
      </c>
      <c r="L22" s="533"/>
      <c r="M22" s="533">
        <f t="shared" si="3"/>
        <v>1513000</v>
      </c>
      <c r="N22" s="515"/>
      <c r="O22" s="534">
        <f t="shared" si="4"/>
        <v>0.67979987492182614</v>
      </c>
      <c r="P22" s="532">
        <v>142</v>
      </c>
      <c r="T22" s="536" t="e">
        <f t="shared" si="5"/>
        <v>#REF!</v>
      </c>
    </row>
    <row r="23" spans="1:20">
      <c r="A23" s="531">
        <f t="shared" si="0"/>
        <v>145000</v>
      </c>
      <c r="B23" s="515"/>
      <c r="C23" s="532">
        <v>1</v>
      </c>
      <c r="D23" s="533"/>
      <c r="E23" s="533">
        <f t="shared" si="6"/>
        <v>31</v>
      </c>
      <c r="F23" s="533"/>
      <c r="G23" s="533">
        <f t="shared" si="1"/>
        <v>145000</v>
      </c>
      <c r="H23" s="533"/>
      <c r="I23" s="533">
        <f t="shared" si="7"/>
        <v>1232000</v>
      </c>
      <c r="J23" s="533"/>
      <c r="K23" s="533">
        <f t="shared" si="2"/>
        <v>2</v>
      </c>
      <c r="L23" s="533"/>
      <c r="M23" s="533">
        <f t="shared" si="3"/>
        <v>1522000</v>
      </c>
      <c r="N23" s="515"/>
      <c r="O23" s="534">
        <f t="shared" si="4"/>
        <v>0.77048155096935589</v>
      </c>
      <c r="P23" s="532">
        <v>145</v>
      </c>
      <c r="T23" s="536" t="e">
        <f t="shared" si="5"/>
        <v>#REF!</v>
      </c>
    </row>
    <row r="24" spans="1:20">
      <c r="A24" s="531">
        <f t="shared" si="0"/>
        <v>159000</v>
      </c>
      <c r="B24" s="515"/>
      <c r="C24" s="532">
        <v>1</v>
      </c>
      <c r="D24" s="533"/>
      <c r="E24" s="533">
        <f t="shared" si="6"/>
        <v>32</v>
      </c>
      <c r="F24" s="533"/>
      <c r="G24" s="533">
        <f t="shared" si="1"/>
        <v>159000</v>
      </c>
      <c r="H24" s="533"/>
      <c r="I24" s="533">
        <f t="shared" si="7"/>
        <v>1391000</v>
      </c>
      <c r="J24" s="533"/>
      <c r="K24" s="533">
        <f t="shared" si="2"/>
        <v>1</v>
      </c>
      <c r="L24" s="533"/>
      <c r="M24" s="533">
        <f t="shared" si="3"/>
        <v>1550000</v>
      </c>
      <c r="N24" s="515"/>
      <c r="O24" s="534">
        <f t="shared" si="4"/>
        <v>0.86991869918699183</v>
      </c>
      <c r="P24" s="532">
        <v>159</v>
      </c>
      <c r="T24" s="536" t="e">
        <f t="shared" si="5"/>
        <v>#REF!</v>
      </c>
    </row>
    <row r="25" spans="1:20">
      <c r="A25" s="531">
        <f t="shared" si="0"/>
        <v>208000</v>
      </c>
      <c r="B25" s="515"/>
      <c r="C25" s="532">
        <v>1</v>
      </c>
      <c r="D25" s="533"/>
      <c r="E25" s="533">
        <f t="shared" si="6"/>
        <v>33</v>
      </c>
      <c r="F25" s="533"/>
      <c r="G25" s="533">
        <f t="shared" si="1"/>
        <v>208000</v>
      </c>
      <c r="H25" s="533"/>
      <c r="I25" s="533">
        <f t="shared" si="7"/>
        <v>1599000</v>
      </c>
      <c r="J25" s="533"/>
      <c r="K25" s="533">
        <f t="shared" si="2"/>
        <v>0</v>
      </c>
      <c r="L25" s="533"/>
      <c r="M25" s="533">
        <f t="shared" si="3"/>
        <v>1599000</v>
      </c>
      <c r="N25" s="515"/>
      <c r="O25" s="534">
        <f t="shared" si="4"/>
        <v>1</v>
      </c>
      <c r="P25" s="532">
        <v>208</v>
      </c>
      <c r="T25" s="536" t="e">
        <f t="shared" si="5"/>
        <v>#REF!</v>
      </c>
    </row>
    <row r="26" spans="1:20">
      <c r="A26" s="531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T26" s="536"/>
    </row>
    <row r="27" spans="1:20">
      <c r="A27" s="531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T27" s="536"/>
    </row>
    <row r="28" spans="1:20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T28" s="536"/>
    </row>
    <row r="29" spans="1:20">
      <c r="A29" s="531"/>
      <c r="B29" s="544"/>
      <c r="C29" s="561"/>
      <c r="D29" s="545"/>
      <c r="E29" s="533"/>
      <c r="F29" s="533"/>
      <c r="G29" s="533"/>
      <c r="H29" s="533"/>
      <c r="I29" s="533"/>
      <c r="J29" s="545"/>
      <c r="K29" s="533"/>
      <c r="L29" s="545"/>
      <c r="M29" s="533"/>
      <c r="O29" s="534"/>
      <c r="P29" s="547"/>
      <c r="T29" s="539" t="e">
        <f>SUM(T10:T25)</f>
        <v>#REF!</v>
      </c>
    </row>
    <row r="30" spans="1:20" hidden="1">
      <c r="A30" s="531"/>
      <c r="B30" s="515"/>
      <c r="C30" s="561"/>
      <c r="D30" s="515"/>
      <c r="E30" s="533"/>
      <c r="F30" s="533"/>
      <c r="G30" s="533"/>
      <c r="H30" s="533"/>
      <c r="I30" s="533"/>
      <c r="J30" s="515"/>
      <c r="K30" s="533"/>
      <c r="L30" s="515"/>
      <c r="M30" s="533"/>
      <c r="N30" s="515"/>
      <c r="O30" s="534"/>
      <c r="P30" s="547"/>
      <c r="T30" s="513">
        <v>3702</v>
      </c>
    </row>
    <row r="31" spans="1:20" hidden="1">
      <c r="A31" s="531"/>
      <c r="B31" s="515"/>
      <c r="C31" s="561"/>
      <c r="D31" s="515"/>
      <c r="E31" s="533"/>
      <c r="F31" s="533"/>
      <c r="G31" s="533"/>
      <c r="H31" s="533"/>
      <c r="I31" s="533"/>
      <c r="J31" s="515"/>
      <c r="K31" s="533"/>
      <c r="L31" s="515"/>
      <c r="M31" s="533"/>
      <c r="N31" s="515"/>
      <c r="O31" s="534"/>
      <c r="P31" s="547"/>
      <c r="T31" s="540" t="e">
        <f>T29-T30</f>
        <v>#REF!</v>
      </c>
    </row>
    <row r="32" spans="1:20">
      <c r="A32" s="531"/>
      <c r="B32" s="529"/>
      <c r="C32" s="561"/>
      <c r="D32" s="529"/>
      <c r="E32" s="533"/>
      <c r="F32" s="533"/>
      <c r="G32" s="533"/>
      <c r="H32" s="533"/>
      <c r="I32" s="533"/>
      <c r="J32" s="529"/>
      <c r="K32" s="533"/>
      <c r="L32" s="529"/>
      <c r="M32" s="533"/>
      <c r="N32" s="529"/>
      <c r="O32" s="534"/>
      <c r="P32" s="547"/>
    </row>
    <row r="33" spans="1:16">
      <c r="A33" s="531"/>
      <c r="B33" s="523"/>
      <c r="C33" s="561"/>
      <c r="D33" s="523"/>
      <c r="E33" s="533"/>
      <c r="F33" s="533"/>
      <c r="G33" s="533"/>
      <c r="H33" s="533"/>
      <c r="I33" s="533"/>
      <c r="J33" s="523"/>
      <c r="K33" s="533"/>
      <c r="L33" s="523"/>
      <c r="M33" s="533"/>
      <c r="N33" s="523"/>
      <c r="O33" s="534"/>
      <c r="P33" s="547"/>
    </row>
    <row r="34" spans="1:16">
      <c r="A34" s="531"/>
      <c r="B34" s="525"/>
      <c r="C34" s="561"/>
      <c r="D34" s="525"/>
      <c r="E34" s="533"/>
      <c r="F34" s="533"/>
      <c r="G34" s="533"/>
      <c r="H34" s="533"/>
      <c r="I34" s="533"/>
      <c r="J34" s="525"/>
      <c r="K34" s="533"/>
      <c r="L34" s="525"/>
      <c r="M34" s="533"/>
      <c r="N34" s="525"/>
      <c r="O34" s="534"/>
      <c r="P34" s="547"/>
    </row>
    <row r="35" spans="1:16">
      <c r="A35" s="531"/>
      <c r="B35" s="525"/>
      <c r="C35" s="561"/>
      <c r="D35" s="525"/>
      <c r="E35" s="533"/>
      <c r="F35" s="533"/>
      <c r="G35" s="533"/>
      <c r="H35" s="533"/>
      <c r="I35" s="533"/>
      <c r="J35" s="525"/>
      <c r="K35" s="533"/>
      <c r="L35" s="525"/>
      <c r="M35" s="533"/>
      <c r="N35" s="525"/>
      <c r="O35" s="534"/>
      <c r="P35" s="547"/>
    </row>
    <row r="36" spans="1:16">
      <c r="A36" s="531"/>
      <c r="B36" s="525"/>
      <c r="C36" s="561"/>
      <c r="D36" s="525"/>
      <c r="E36" s="533"/>
      <c r="F36" s="533"/>
      <c r="G36" s="533"/>
      <c r="H36" s="533"/>
      <c r="I36" s="533"/>
      <c r="J36" s="525"/>
      <c r="K36" s="533"/>
      <c r="L36" s="525"/>
      <c r="M36" s="533"/>
      <c r="N36" s="525"/>
      <c r="O36" s="534"/>
      <c r="P36" s="547"/>
    </row>
    <row r="37" spans="1:16">
      <c r="A37" s="531"/>
      <c r="B37" s="515"/>
      <c r="C37" s="561"/>
      <c r="D37" s="529"/>
      <c r="E37" s="533"/>
      <c r="F37" s="533"/>
      <c r="G37" s="533"/>
      <c r="H37" s="533"/>
      <c r="I37" s="533"/>
      <c r="J37" s="529"/>
      <c r="K37" s="533"/>
      <c r="L37" s="529"/>
      <c r="M37" s="533"/>
      <c r="N37" s="529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5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3"/>
  <sheetViews>
    <sheetView showGridLines="0" topLeftCell="J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'16091-171'!T2</f>
        <v>#REF!</v>
      </c>
    </row>
    <row r="3" spans="1:20">
      <c r="A3" s="513" t="s">
        <v>532</v>
      </c>
      <c r="M3" s="520" t="s">
        <v>522</v>
      </c>
      <c r="R3" s="518" t="s">
        <v>274</v>
      </c>
      <c r="S3" s="518"/>
      <c r="T3" s="519" t="e">
        <f>'16091-171'!T3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'16091-171'!T4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'16091-171'!T5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'16091-171'!T6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'16091-171'!T7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6" si="0">P10*1000</f>
        <v>0</v>
      </c>
      <c r="C10" s="532">
        <v>10</v>
      </c>
      <c r="D10" s="533"/>
      <c r="E10" s="533">
        <f>C10</f>
        <v>10</v>
      </c>
      <c r="F10" s="533"/>
      <c r="G10" s="533">
        <f t="shared" ref="G10:G16" si="1">A10*C10</f>
        <v>0</v>
      </c>
      <c r="H10" s="533"/>
      <c r="I10" s="533">
        <f>G10</f>
        <v>0</v>
      </c>
      <c r="J10" s="533"/>
      <c r="K10" s="533">
        <f t="shared" ref="K10:K16" si="2">$E$16-E10</f>
        <v>15</v>
      </c>
      <c r="L10" s="533"/>
      <c r="M10" s="533">
        <f t="shared" ref="M10:M16" si="3">(A10*K10)+I10</f>
        <v>0</v>
      </c>
      <c r="O10" s="534">
        <f t="shared" ref="O10:O16" si="4">I10/$I$16</f>
        <v>0</v>
      </c>
      <c r="P10" s="532">
        <v>0</v>
      </c>
      <c r="R10" s="535"/>
      <c r="S10" s="513"/>
      <c r="T10" s="536" t="e">
        <f t="shared" ref="T10:T16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10</v>
      </c>
      <c r="D11" s="533"/>
      <c r="E11" s="533">
        <f t="shared" ref="E11:E16" si="6">E10+C11</f>
        <v>20</v>
      </c>
      <c r="F11" s="533"/>
      <c r="G11" s="533">
        <f t="shared" si="1"/>
        <v>10000</v>
      </c>
      <c r="H11" s="533"/>
      <c r="I11" s="533">
        <f t="shared" ref="I11:I16" si="7">I10+G11</f>
        <v>10000</v>
      </c>
      <c r="J11" s="533"/>
      <c r="K11" s="533">
        <f t="shared" si="2"/>
        <v>5</v>
      </c>
      <c r="L11" s="533"/>
      <c r="M11" s="533">
        <f t="shared" si="3"/>
        <v>15000</v>
      </c>
      <c r="O11" s="534">
        <f t="shared" si="4"/>
        <v>0.17543859649122806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1</v>
      </c>
      <c r="D12" s="533"/>
      <c r="E12" s="533">
        <f t="shared" si="6"/>
        <v>21</v>
      </c>
      <c r="F12" s="533"/>
      <c r="G12" s="533">
        <f t="shared" si="1"/>
        <v>2000</v>
      </c>
      <c r="H12" s="533"/>
      <c r="I12" s="533">
        <f t="shared" si="7"/>
        <v>12000</v>
      </c>
      <c r="J12" s="533"/>
      <c r="K12" s="533">
        <f t="shared" si="2"/>
        <v>4</v>
      </c>
      <c r="L12" s="533"/>
      <c r="M12" s="533">
        <f t="shared" si="3"/>
        <v>20000</v>
      </c>
      <c r="O12" s="534">
        <f t="shared" si="4"/>
        <v>0.21052631578947367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5000</v>
      </c>
      <c r="B13" s="515"/>
      <c r="C13" s="532">
        <v>1</v>
      </c>
      <c r="D13" s="533"/>
      <c r="E13" s="533">
        <f t="shared" si="6"/>
        <v>22</v>
      </c>
      <c r="F13" s="533"/>
      <c r="G13" s="533">
        <f t="shared" si="1"/>
        <v>5000</v>
      </c>
      <c r="H13" s="533"/>
      <c r="I13" s="533">
        <f t="shared" si="7"/>
        <v>17000</v>
      </c>
      <c r="J13" s="533"/>
      <c r="K13" s="533">
        <f t="shared" si="2"/>
        <v>3</v>
      </c>
      <c r="L13" s="533"/>
      <c r="M13" s="533">
        <f t="shared" si="3"/>
        <v>32000</v>
      </c>
      <c r="N13" s="515"/>
      <c r="O13" s="534">
        <f t="shared" si="4"/>
        <v>0.2982456140350877</v>
      </c>
      <c r="P13" s="532">
        <v>5</v>
      </c>
      <c r="T13" s="536" t="e">
        <f t="shared" si="5"/>
        <v>#REF!</v>
      </c>
    </row>
    <row r="14" spans="1:20">
      <c r="A14" s="552">
        <f t="shared" si="0"/>
        <v>11000</v>
      </c>
      <c r="B14" s="515"/>
      <c r="C14" s="532">
        <v>1</v>
      </c>
      <c r="D14" s="533"/>
      <c r="E14" s="533">
        <f t="shared" si="6"/>
        <v>23</v>
      </c>
      <c r="F14" s="533"/>
      <c r="G14" s="533">
        <f t="shared" si="1"/>
        <v>11000</v>
      </c>
      <c r="H14" s="533"/>
      <c r="I14" s="533">
        <f t="shared" si="7"/>
        <v>28000</v>
      </c>
      <c r="J14" s="533"/>
      <c r="K14" s="533">
        <f t="shared" si="2"/>
        <v>2</v>
      </c>
      <c r="L14" s="533"/>
      <c r="M14" s="533">
        <f t="shared" si="3"/>
        <v>50000</v>
      </c>
      <c r="N14" s="515"/>
      <c r="O14" s="534">
        <f t="shared" si="4"/>
        <v>0.49122807017543857</v>
      </c>
      <c r="P14" s="532">
        <v>11</v>
      </c>
      <c r="T14" s="536" t="e">
        <f t="shared" si="5"/>
        <v>#REF!</v>
      </c>
    </row>
    <row r="15" spans="1:20">
      <c r="A15" s="552">
        <f t="shared" si="0"/>
        <v>12000</v>
      </c>
      <c r="B15" s="515"/>
      <c r="C15" s="532">
        <v>1</v>
      </c>
      <c r="D15" s="533"/>
      <c r="E15" s="533">
        <f t="shared" si="6"/>
        <v>24</v>
      </c>
      <c r="F15" s="533"/>
      <c r="G15" s="533">
        <f t="shared" si="1"/>
        <v>12000</v>
      </c>
      <c r="H15" s="533"/>
      <c r="I15" s="533">
        <f t="shared" si="7"/>
        <v>40000</v>
      </c>
      <c r="J15" s="533"/>
      <c r="K15" s="533">
        <f t="shared" si="2"/>
        <v>1</v>
      </c>
      <c r="L15" s="533"/>
      <c r="M15" s="533">
        <f t="shared" si="3"/>
        <v>52000</v>
      </c>
      <c r="N15" s="515"/>
      <c r="O15" s="534">
        <f t="shared" si="4"/>
        <v>0.70175438596491224</v>
      </c>
      <c r="P15" s="532">
        <v>12</v>
      </c>
      <c r="T15" s="536" t="e">
        <f t="shared" si="5"/>
        <v>#REF!</v>
      </c>
    </row>
    <row r="16" spans="1:20">
      <c r="A16" s="552">
        <f t="shared" si="0"/>
        <v>17000</v>
      </c>
      <c r="B16" s="515"/>
      <c r="C16" s="532">
        <v>1</v>
      </c>
      <c r="D16" s="533"/>
      <c r="E16" s="533">
        <f t="shared" si="6"/>
        <v>25</v>
      </c>
      <c r="F16" s="533"/>
      <c r="G16" s="533">
        <f t="shared" si="1"/>
        <v>17000</v>
      </c>
      <c r="H16" s="533"/>
      <c r="I16" s="533">
        <f t="shared" si="7"/>
        <v>57000</v>
      </c>
      <c r="J16" s="533"/>
      <c r="K16" s="533">
        <f t="shared" si="2"/>
        <v>0</v>
      </c>
      <c r="L16" s="533"/>
      <c r="M16" s="533">
        <f t="shared" si="3"/>
        <v>57000</v>
      </c>
      <c r="N16" s="515"/>
      <c r="O16" s="534">
        <f t="shared" si="4"/>
        <v>1</v>
      </c>
      <c r="P16" s="532">
        <v>17</v>
      </c>
      <c r="T16" s="536" t="e">
        <f t="shared" si="5"/>
        <v>#REF!</v>
      </c>
    </row>
    <row r="17" spans="1:20">
      <c r="A17" s="552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T17" s="536"/>
    </row>
    <row r="18" spans="1:20">
      <c r="A18" s="552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T18" s="536"/>
    </row>
    <row r="19" spans="1:20">
      <c r="A19" s="552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T19" s="554" t="e">
        <f>SUM(T10:T16)</f>
        <v>#REF!</v>
      </c>
    </row>
    <row r="20" spans="1:20" hidden="1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T20" s="536">
        <v>274</v>
      </c>
    </row>
    <row r="21" spans="1:20" hidden="1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T21" s="536" t="e">
        <f>T19-T20</f>
        <v>#REF!</v>
      </c>
    </row>
    <row r="22" spans="1:20" hidden="1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6" t="e">
        <f>T21/T19</f>
        <v>#REF!</v>
      </c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36"/>
    </row>
    <row r="24" spans="1:20">
      <c r="A24" s="531"/>
      <c r="B24" s="544"/>
      <c r="C24" s="561"/>
      <c r="D24" s="545"/>
      <c r="E24" s="533"/>
      <c r="F24" s="533"/>
      <c r="G24" s="533"/>
      <c r="H24" s="533"/>
      <c r="I24" s="533"/>
      <c r="J24" s="545"/>
      <c r="K24" s="533"/>
      <c r="L24" s="545"/>
      <c r="M24" s="533"/>
      <c r="O24" s="534"/>
      <c r="P24" s="547"/>
      <c r="T24" s="536"/>
    </row>
    <row r="25" spans="1:20">
      <c r="A25" s="531"/>
      <c r="B25" s="515"/>
      <c r="C25" s="561"/>
      <c r="D25" s="515"/>
      <c r="E25" s="533"/>
      <c r="F25" s="533"/>
      <c r="G25" s="533"/>
      <c r="H25" s="533"/>
      <c r="I25" s="533"/>
      <c r="J25" s="515"/>
      <c r="K25" s="533"/>
      <c r="L25" s="515"/>
      <c r="M25" s="533"/>
      <c r="N25" s="515"/>
      <c r="O25" s="534"/>
      <c r="P25" s="547"/>
      <c r="T25" s="536"/>
    </row>
    <row r="26" spans="1:20">
      <c r="A26" s="531"/>
      <c r="B26" s="515"/>
      <c r="C26" s="561"/>
      <c r="D26" s="515"/>
      <c r="E26" s="533"/>
      <c r="F26" s="533"/>
      <c r="G26" s="533"/>
      <c r="H26" s="533"/>
      <c r="I26" s="533"/>
      <c r="J26" s="515"/>
      <c r="K26" s="533"/>
      <c r="L26" s="515"/>
      <c r="M26" s="533"/>
      <c r="N26" s="515"/>
      <c r="O26" s="534"/>
      <c r="P26" s="547"/>
    </row>
    <row r="27" spans="1:20">
      <c r="A27" s="531"/>
      <c r="B27" s="529"/>
      <c r="C27" s="561"/>
      <c r="D27" s="529"/>
      <c r="E27" s="533"/>
      <c r="F27" s="533"/>
      <c r="G27" s="533"/>
      <c r="H27" s="533"/>
      <c r="I27" s="533"/>
      <c r="J27" s="529"/>
      <c r="K27" s="533"/>
      <c r="L27" s="529"/>
      <c r="M27" s="533"/>
      <c r="N27" s="529"/>
      <c r="O27" s="534"/>
      <c r="P27" s="547"/>
    </row>
    <row r="28" spans="1:20">
      <c r="A28" s="531"/>
      <c r="B28" s="523"/>
      <c r="C28" s="561"/>
      <c r="D28" s="523"/>
      <c r="E28" s="533"/>
      <c r="F28" s="533"/>
      <c r="G28" s="533"/>
      <c r="H28" s="533"/>
      <c r="I28" s="533"/>
      <c r="J28" s="523"/>
      <c r="K28" s="533"/>
      <c r="L28" s="523"/>
      <c r="M28" s="533"/>
      <c r="N28" s="523"/>
      <c r="O28" s="534"/>
      <c r="P28" s="547"/>
    </row>
    <row r="29" spans="1:20">
      <c r="A29" s="531"/>
      <c r="B29" s="525"/>
      <c r="C29" s="561"/>
      <c r="D29" s="525"/>
      <c r="E29" s="533"/>
      <c r="F29" s="533"/>
      <c r="G29" s="533"/>
      <c r="H29" s="533"/>
      <c r="I29" s="533"/>
      <c r="J29" s="525"/>
      <c r="K29" s="533"/>
      <c r="L29" s="525"/>
      <c r="M29" s="533"/>
      <c r="N29" s="525"/>
      <c r="O29" s="534"/>
      <c r="P29" s="547"/>
    </row>
    <row r="30" spans="1:20">
      <c r="A30" s="531"/>
      <c r="B30" s="525"/>
      <c r="C30" s="561"/>
      <c r="D30" s="525"/>
      <c r="E30" s="533"/>
      <c r="F30" s="533"/>
      <c r="G30" s="533"/>
      <c r="H30" s="533"/>
      <c r="I30" s="533"/>
      <c r="J30" s="525"/>
      <c r="K30" s="533"/>
      <c r="L30" s="525"/>
      <c r="M30" s="533"/>
      <c r="N30" s="525"/>
      <c r="O30" s="534"/>
      <c r="P30" s="547"/>
    </row>
    <row r="31" spans="1:20">
      <c r="A31" s="531"/>
      <c r="B31" s="525"/>
      <c r="C31" s="561"/>
      <c r="D31" s="525"/>
      <c r="E31" s="533"/>
      <c r="F31" s="533"/>
      <c r="G31" s="533"/>
      <c r="H31" s="533"/>
      <c r="I31" s="533"/>
      <c r="J31" s="525"/>
      <c r="K31" s="533"/>
      <c r="L31" s="525"/>
      <c r="M31" s="533"/>
      <c r="N31" s="525"/>
      <c r="O31" s="534"/>
      <c r="P31" s="547"/>
    </row>
    <row r="32" spans="1:20">
      <c r="A32" s="531"/>
      <c r="B32" s="515"/>
      <c r="C32" s="561"/>
      <c r="D32" s="529"/>
      <c r="E32" s="533"/>
      <c r="F32" s="533"/>
      <c r="G32" s="533"/>
      <c r="H32" s="533"/>
      <c r="I32" s="533"/>
      <c r="J32" s="529"/>
      <c r="K32" s="533"/>
      <c r="L32" s="529"/>
      <c r="M32" s="533"/>
      <c r="N32" s="529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80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O42" s="541"/>
    </row>
    <row r="43" spans="1:16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3"/>
  <sheetViews>
    <sheetView showGridLines="0" topLeftCell="J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'16091-172'!T2</f>
        <v>#REF!</v>
      </c>
    </row>
    <row r="3" spans="1:20">
      <c r="A3" s="513" t="s">
        <v>532</v>
      </c>
      <c r="M3" s="520" t="s">
        <v>522</v>
      </c>
      <c r="R3" s="518" t="s">
        <v>274</v>
      </c>
      <c r="S3" s="518"/>
      <c r="T3" s="519" t="e">
        <f>'16091-172'!T3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'16091-172'!T4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'16091-172'!T5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'16091-172'!T6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'16091-172'!T7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7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7" si="1">A10*C10</f>
        <v>0</v>
      </c>
      <c r="H10" s="533"/>
      <c r="I10" s="533">
        <f>G10</f>
        <v>0</v>
      </c>
      <c r="J10" s="533"/>
      <c r="K10" s="533">
        <f t="shared" ref="K10:K17" si="2">$E$17-E10</f>
        <v>22</v>
      </c>
      <c r="L10" s="533"/>
      <c r="M10" s="533">
        <f t="shared" ref="M10:M17" si="3">(A10*K10)+I10</f>
        <v>0</v>
      </c>
      <c r="O10" s="534">
        <f t="shared" ref="O10:O17" si="4">I10/$I$17</f>
        <v>0</v>
      </c>
      <c r="P10" s="532">
        <v>0</v>
      </c>
      <c r="R10" s="535"/>
      <c r="S10" s="513"/>
      <c r="T10" s="536" t="e">
        <f t="shared" ref="T10:T17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11</v>
      </c>
      <c r="D11" s="533"/>
      <c r="E11" s="533">
        <f t="shared" ref="E11:E17" si="6">E10+C11</f>
        <v>11</v>
      </c>
      <c r="F11" s="533"/>
      <c r="G11" s="533">
        <f t="shared" si="1"/>
        <v>11000</v>
      </c>
      <c r="H11" s="533"/>
      <c r="I11" s="533">
        <f t="shared" ref="I11:I17" si="7">I10+G11</f>
        <v>11000</v>
      </c>
      <c r="J11" s="533"/>
      <c r="K11" s="533">
        <f t="shared" si="2"/>
        <v>11</v>
      </c>
      <c r="L11" s="533"/>
      <c r="M11" s="533">
        <f t="shared" si="3"/>
        <v>22000</v>
      </c>
      <c r="O11" s="534">
        <f t="shared" si="4"/>
        <v>0.15942028985507245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3000</v>
      </c>
      <c r="C12" s="532">
        <v>2</v>
      </c>
      <c r="D12" s="533"/>
      <c r="E12" s="533">
        <f t="shared" si="6"/>
        <v>13</v>
      </c>
      <c r="F12" s="533"/>
      <c r="G12" s="533">
        <f t="shared" si="1"/>
        <v>6000</v>
      </c>
      <c r="H12" s="533"/>
      <c r="I12" s="533">
        <f t="shared" si="7"/>
        <v>17000</v>
      </c>
      <c r="J12" s="533"/>
      <c r="K12" s="533">
        <f t="shared" si="2"/>
        <v>9</v>
      </c>
      <c r="L12" s="533"/>
      <c r="M12" s="533">
        <f t="shared" si="3"/>
        <v>44000</v>
      </c>
      <c r="O12" s="534">
        <f t="shared" si="4"/>
        <v>0.24637681159420291</v>
      </c>
      <c r="P12" s="532">
        <v>3</v>
      </c>
      <c r="R12" s="513"/>
      <c r="S12" s="513"/>
      <c r="T12" s="536" t="e">
        <f t="shared" si="5"/>
        <v>#REF!</v>
      </c>
    </row>
    <row r="13" spans="1:20">
      <c r="A13" s="552">
        <f t="shared" si="0"/>
        <v>4000</v>
      </c>
      <c r="B13" s="515"/>
      <c r="C13" s="532">
        <v>1</v>
      </c>
      <c r="D13" s="533"/>
      <c r="E13" s="533">
        <f t="shared" si="6"/>
        <v>14</v>
      </c>
      <c r="F13" s="533"/>
      <c r="G13" s="533">
        <f t="shared" si="1"/>
        <v>4000</v>
      </c>
      <c r="H13" s="533"/>
      <c r="I13" s="533">
        <f t="shared" si="7"/>
        <v>21000</v>
      </c>
      <c r="J13" s="533"/>
      <c r="K13" s="533">
        <f t="shared" si="2"/>
        <v>8</v>
      </c>
      <c r="L13" s="533"/>
      <c r="M13" s="533">
        <f t="shared" si="3"/>
        <v>53000</v>
      </c>
      <c r="N13" s="515"/>
      <c r="O13" s="534">
        <f t="shared" si="4"/>
        <v>0.30434782608695654</v>
      </c>
      <c r="P13" s="532">
        <v>4</v>
      </c>
      <c r="T13" s="536" t="e">
        <f t="shared" si="5"/>
        <v>#REF!</v>
      </c>
    </row>
    <row r="14" spans="1:20">
      <c r="A14" s="552">
        <f t="shared" si="0"/>
        <v>5000</v>
      </c>
      <c r="B14" s="515"/>
      <c r="C14" s="532">
        <v>4</v>
      </c>
      <c r="D14" s="533"/>
      <c r="E14" s="533">
        <f t="shared" si="6"/>
        <v>18</v>
      </c>
      <c r="F14" s="533"/>
      <c r="G14" s="533">
        <f t="shared" si="1"/>
        <v>20000</v>
      </c>
      <c r="H14" s="533"/>
      <c r="I14" s="533">
        <f t="shared" si="7"/>
        <v>41000</v>
      </c>
      <c r="J14" s="533"/>
      <c r="K14" s="533">
        <f t="shared" si="2"/>
        <v>4</v>
      </c>
      <c r="L14" s="533"/>
      <c r="M14" s="533">
        <f t="shared" si="3"/>
        <v>61000</v>
      </c>
      <c r="N14" s="515"/>
      <c r="O14" s="534">
        <f t="shared" si="4"/>
        <v>0.59420289855072461</v>
      </c>
      <c r="P14" s="532">
        <v>5</v>
      </c>
      <c r="T14" s="536" t="e">
        <f t="shared" si="5"/>
        <v>#REF!</v>
      </c>
    </row>
    <row r="15" spans="1:20">
      <c r="A15" s="552">
        <f t="shared" si="0"/>
        <v>6000</v>
      </c>
      <c r="B15" s="515"/>
      <c r="C15" s="532">
        <v>2</v>
      </c>
      <c r="D15" s="533"/>
      <c r="E15" s="533">
        <f t="shared" si="6"/>
        <v>20</v>
      </c>
      <c r="F15" s="533"/>
      <c r="G15" s="533">
        <f t="shared" si="1"/>
        <v>12000</v>
      </c>
      <c r="H15" s="533"/>
      <c r="I15" s="533">
        <f t="shared" si="7"/>
        <v>53000</v>
      </c>
      <c r="J15" s="533"/>
      <c r="K15" s="533">
        <f t="shared" si="2"/>
        <v>2</v>
      </c>
      <c r="L15" s="533"/>
      <c r="M15" s="533">
        <f t="shared" si="3"/>
        <v>65000</v>
      </c>
      <c r="N15" s="515"/>
      <c r="O15" s="534">
        <f t="shared" si="4"/>
        <v>0.76811594202898548</v>
      </c>
      <c r="P15" s="532">
        <v>6</v>
      </c>
      <c r="T15" s="536" t="e">
        <f t="shared" si="5"/>
        <v>#REF!</v>
      </c>
    </row>
    <row r="16" spans="1:20">
      <c r="A16" s="552">
        <f t="shared" si="0"/>
        <v>7000</v>
      </c>
      <c r="B16" s="515"/>
      <c r="C16" s="532">
        <v>1</v>
      </c>
      <c r="D16" s="533"/>
      <c r="E16" s="533">
        <f t="shared" si="6"/>
        <v>21</v>
      </c>
      <c r="F16" s="533"/>
      <c r="G16" s="533">
        <f t="shared" si="1"/>
        <v>7000</v>
      </c>
      <c r="H16" s="533"/>
      <c r="I16" s="533">
        <f t="shared" si="7"/>
        <v>60000</v>
      </c>
      <c r="J16" s="533"/>
      <c r="K16" s="533">
        <f t="shared" si="2"/>
        <v>1</v>
      </c>
      <c r="L16" s="533"/>
      <c r="M16" s="533">
        <f t="shared" si="3"/>
        <v>67000</v>
      </c>
      <c r="N16" s="515"/>
      <c r="O16" s="534">
        <f t="shared" si="4"/>
        <v>0.86956521739130432</v>
      </c>
      <c r="P16" s="532">
        <v>7</v>
      </c>
      <c r="T16" s="536" t="e">
        <f t="shared" si="5"/>
        <v>#REF!</v>
      </c>
    </row>
    <row r="17" spans="1:20">
      <c r="A17" s="552">
        <f t="shared" si="0"/>
        <v>9000</v>
      </c>
      <c r="B17" s="515"/>
      <c r="C17" s="532">
        <v>1</v>
      </c>
      <c r="D17" s="533"/>
      <c r="E17" s="533">
        <f t="shared" si="6"/>
        <v>22</v>
      </c>
      <c r="F17" s="533"/>
      <c r="G17" s="533">
        <f t="shared" si="1"/>
        <v>9000</v>
      </c>
      <c r="H17" s="533"/>
      <c r="I17" s="533">
        <f t="shared" si="7"/>
        <v>69000</v>
      </c>
      <c r="J17" s="533"/>
      <c r="K17" s="533">
        <f t="shared" si="2"/>
        <v>0</v>
      </c>
      <c r="L17" s="533"/>
      <c r="M17" s="533">
        <f t="shared" si="3"/>
        <v>69000</v>
      </c>
      <c r="N17" s="515"/>
      <c r="O17" s="534">
        <f t="shared" si="4"/>
        <v>1</v>
      </c>
      <c r="P17" s="532">
        <v>9</v>
      </c>
      <c r="T17" s="536" t="e">
        <f t="shared" si="5"/>
        <v>#REF!</v>
      </c>
    </row>
    <row r="18" spans="1:20">
      <c r="A18" s="552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T18" s="536"/>
    </row>
    <row r="19" spans="1:20">
      <c r="A19" s="552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T19" s="539" t="e">
        <f>SUM(T10:T17)</f>
        <v>#REF!</v>
      </c>
    </row>
    <row r="20" spans="1:20" hidden="1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T20" s="513">
        <v>280</v>
      </c>
    </row>
    <row r="21" spans="1:20" hidden="1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T21" s="540" t="e">
        <f>T19-T20</f>
        <v>#REF!</v>
      </c>
    </row>
    <row r="22" spans="1:20" hidden="1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55" t="e">
        <f>T21/T19</f>
        <v>#REF!</v>
      </c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20">
      <c r="A24" s="531"/>
      <c r="B24" s="544"/>
      <c r="C24" s="561"/>
      <c r="D24" s="545"/>
      <c r="E24" s="533"/>
      <c r="F24" s="533"/>
      <c r="G24" s="533"/>
      <c r="H24" s="533"/>
      <c r="I24" s="533"/>
      <c r="J24" s="545"/>
      <c r="K24" s="533"/>
      <c r="L24" s="545"/>
      <c r="M24" s="533"/>
      <c r="O24" s="534"/>
      <c r="P24" s="547"/>
    </row>
    <row r="25" spans="1:20">
      <c r="A25" s="531"/>
      <c r="B25" s="515"/>
      <c r="C25" s="561"/>
      <c r="D25" s="515"/>
      <c r="E25" s="533"/>
      <c r="F25" s="533"/>
      <c r="G25" s="533"/>
      <c r="H25" s="533"/>
      <c r="I25" s="533"/>
      <c r="J25" s="515"/>
      <c r="K25" s="533"/>
      <c r="L25" s="515"/>
      <c r="M25" s="533"/>
      <c r="N25" s="515"/>
      <c r="O25" s="534"/>
      <c r="P25" s="547"/>
    </row>
    <row r="26" spans="1:20">
      <c r="A26" s="531"/>
      <c r="B26" s="515"/>
      <c r="C26" s="561"/>
      <c r="D26" s="515"/>
      <c r="E26" s="533"/>
      <c r="F26" s="533"/>
      <c r="G26" s="533"/>
      <c r="H26" s="533"/>
      <c r="I26" s="533"/>
      <c r="J26" s="515"/>
      <c r="K26" s="533"/>
      <c r="L26" s="515"/>
      <c r="M26" s="533"/>
      <c r="N26" s="515"/>
      <c r="O26" s="534"/>
      <c r="P26" s="547"/>
    </row>
    <row r="27" spans="1:20">
      <c r="A27" s="531"/>
      <c r="B27" s="529"/>
      <c r="C27" s="561"/>
      <c r="D27" s="529"/>
      <c r="E27" s="533"/>
      <c r="F27" s="533"/>
      <c r="G27" s="533"/>
      <c r="H27" s="533"/>
      <c r="I27" s="533"/>
      <c r="J27" s="529"/>
      <c r="K27" s="533"/>
      <c r="L27" s="529"/>
      <c r="M27" s="533"/>
      <c r="N27" s="529"/>
      <c r="O27" s="534"/>
      <c r="P27" s="547"/>
    </row>
    <row r="28" spans="1:20">
      <c r="A28" s="531"/>
      <c r="B28" s="523"/>
      <c r="C28" s="561"/>
      <c r="D28" s="523"/>
      <c r="E28" s="533"/>
      <c r="F28" s="533"/>
      <c r="G28" s="533"/>
      <c r="H28" s="533"/>
      <c r="I28" s="533"/>
      <c r="J28" s="523"/>
      <c r="K28" s="533"/>
      <c r="L28" s="523"/>
      <c r="M28" s="533"/>
      <c r="N28" s="523"/>
      <c r="O28" s="534"/>
      <c r="P28" s="547"/>
    </row>
    <row r="29" spans="1:20">
      <c r="A29" s="531"/>
      <c r="B29" s="525"/>
      <c r="C29" s="561"/>
      <c r="D29" s="525"/>
      <c r="E29" s="533"/>
      <c r="F29" s="533"/>
      <c r="G29" s="533"/>
      <c r="H29" s="533"/>
      <c r="I29" s="533"/>
      <c r="J29" s="525"/>
      <c r="K29" s="533"/>
      <c r="L29" s="525"/>
      <c r="M29" s="533"/>
      <c r="N29" s="525"/>
      <c r="O29" s="534"/>
      <c r="P29" s="547"/>
    </row>
    <row r="30" spans="1:20">
      <c r="A30" s="531"/>
      <c r="B30" s="525"/>
      <c r="C30" s="561"/>
      <c r="D30" s="525"/>
      <c r="E30" s="533"/>
      <c r="F30" s="533"/>
      <c r="G30" s="533"/>
      <c r="H30" s="533"/>
      <c r="I30" s="533"/>
      <c r="J30" s="525"/>
      <c r="K30" s="533"/>
      <c r="L30" s="525"/>
      <c r="M30" s="533"/>
      <c r="N30" s="525"/>
      <c r="O30" s="534"/>
      <c r="P30" s="547"/>
    </row>
    <row r="31" spans="1:20">
      <c r="A31" s="531"/>
      <c r="B31" s="525"/>
      <c r="C31" s="561"/>
      <c r="D31" s="525"/>
      <c r="E31" s="533"/>
      <c r="F31" s="533"/>
      <c r="G31" s="533"/>
      <c r="H31" s="533"/>
      <c r="I31" s="533"/>
      <c r="J31" s="525"/>
      <c r="K31" s="533"/>
      <c r="L31" s="525"/>
      <c r="M31" s="533"/>
      <c r="N31" s="525"/>
      <c r="O31" s="534"/>
      <c r="P31" s="547"/>
    </row>
    <row r="32" spans="1:20">
      <c r="A32" s="531"/>
      <c r="B32" s="515"/>
      <c r="C32" s="561"/>
      <c r="D32" s="529"/>
      <c r="E32" s="533"/>
      <c r="F32" s="533"/>
      <c r="G32" s="533"/>
      <c r="H32" s="533"/>
      <c r="I32" s="533"/>
      <c r="J32" s="529"/>
      <c r="K32" s="533"/>
      <c r="L32" s="529"/>
      <c r="M32" s="533"/>
      <c r="N32" s="529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80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O42" s="541"/>
    </row>
    <row r="43" spans="1:16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0"/>
    <pageSetUpPr fitToPage="1"/>
  </sheetPr>
  <dimension ref="A1:T67"/>
  <sheetViews>
    <sheetView showGridLines="0" topLeftCell="P7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8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46" t="str">
        <f>'16082-170'!R2</f>
        <v>First 6,000 gallons</v>
      </c>
      <c r="S2" s="518"/>
      <c r="T2" s="546" t="e">
        <f>'16082-170'!T2</f>
        <v>#REF!</v>
      </c>
    </row>
    <row r="3" spans="1:20">
      <c r="A3" s="513" t="s">
        <v>532</v>
      </c>
      <c r="M3" s="520" t="s">
        <v>523</v>
      </c>
      <c r="R3" s="518" t="s">
        <v>274</v>
      </c>
      <c r="S3" s="518"/>
      <c r="T3" s="546" t="e">
        <f>'16082-170'!T3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46" t="e">
        <f>'16082-170'!T4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46" t="e">
        <f>'16082-170'!T5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46" t="e">
        <f>'16082-170'!T6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46" t="e">
        <f>'16082-170'!T7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6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6" si="1">A10*C10</f>
        <v>0</v>
      </c>
      <c r="H10" s="533"/>
      <c r="I10" s="533">
        <f>G10</f>
        <v>0</v>
      </c>
      <c r="J10" s="533"/>
      <c r="K10" s="533">
        <f t="shared" ref="K10:K26" si="2">$E$26-E10</f>
        <v>33</v>
      </c>
      <c r="L10" s="533"/>
      <c r="M10" s="533">
        <f t="shared" ref="M10:M26" si="3">(A10*K10)+I10</f>
        <v>0</v>
      </c>
      <c r="O10" s="534">
        <f t="shared" ref="O10:O26" si="4">I10/$I$26</f>
        <v>0</v>
      </c>
      <c r="P10" s="532">
        <v>0</v>
      </c>
      <c r="R10" s="535"/>
      <c r="S10" s="513"/>
      <c r="T10" s="536" t="e">
        <f t="shared" ref="T10:T26" si="5"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3000</v>
      </c>
      <c r="C11" s="532">
        <v>3</v>
      </c>
      <c r="D11" s="533"/>
      <c r="E11" s="533">
        <f t="shared" ref="E11:E26" si="6">E10+C11</f>
        <v>3</v>
      </c>
      <c r="F11" s="533"/>
      <c r="G11" s="533">
        <f t="shared" si="1"/>
        <v>9000</v>
      </c>
      <c r="H11" s="533"/>
      <c r="I11" s="533">
        <f t="shared" ref="I11:I26" si="7">I10+G11</f>
        <v>9000</v>
      </c>
      <c r="J11" s="533"/>
      <c r="K11" s="533">
        <f t="shared" si="2"/>
        <v>30</v>
      </c>
      <c r="L11" s="533"/>
      <c r="M11" s="533">
        <f t="shared" si="3"/>
        <v>99000</v>
      </c>
      <c r="O11" s="534">
        <f t="shared" si="4"/>
        <v>2.4324324324324326E-2</v>
      </c>
      <c r="P11" s="532">
        <v>3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4000</v>
      </c>
      <c r="C12" s="532">
        <v>4</v>
      </c>
      <c r="D12" s="533"/>
      <c r="E12" s="533">
        <f t="shared" si="6"/>
        <v>7</v>
      </c>
      <c r="F12" s="533"/>
      <c r="G12" s="533">
        <f t="shared" si="1"/>
        <v>16000</v>
      </c>
      <c r="H12" s="533"/>
      <c r="I12" s="533">
        <f t="shared" si="7"/>
        <v>25000</v>
      </c>
      <c r="J12" s="533"/>
      <c r="K12" s="533">
        <f t="shared" si="2"/>
        <v>26</v>
      </c>
      <c r="L12" s="533"/>
      <c r="M12" s="533">
        <f t="shared" si="3"/>
        <v>129000</v>
      </c>
      <c r="O12" s="534">
        <f t="shared" si="4"/>
        <v>6.7567567567567571E-2</v>
      </c>
      <c r="P12" s="532">
        <v>4</v>
      </c>
      <c r="R12" s="535"/>
      <c r="S12" s="513"/>
      <c r="T12" s="536" t="e">
        <f t="shared" si="5"/>
        <v>#REF!</v>
      </c>
    </row>
    <row r="13" spans="1:20">
      <c r="A13" s="552">
        <f t="shared" si="0"/>
        <v>5000</v>
      </c>
      <c r="B13" s="515"/>
      <c r="C13" s="532">
        <v>2</v>
      </c>
      <c r="D13" s="533"/>
      <c r="E13" s="533">
        <f t="shared" si="6"/>
        <v>9</v>
      </c>
      <c r="F13" s="533"/>
      <c r="G13" s="533">
        <f t="shared" si="1"/>
        <v>10000</v>
      </c>
      <c r="H13" s="533"/>
      <c r="I13" s="533">
        <f t="shared" si="7"/>
        <v>35000</v>
      </c>
      <c r="J13" s="533"/>
      <c r="K13" s="533">
        <f t="shared" si="2"/>
        <v>24</v>
      </c>
      <c r="L13" s="533"/>
      <c r="M13" s="533">
        <f t="shared" si="3"/>
        <v>155000</v>
      </c>
      <c r="N13" s="515"/>
      <c r="O13" s="534">
        <f t="shared" si="4"/>
        <v>9.45945945945946E-2</v>
      </c>
      <c r="P13" s="532">
        <v>5</v>
      </c>
      <c r="R13" s="535"/>
      <c r="T13" s="536" t="e">
        <f t="shared" si="5"/>
        <v>#REF!</v>
      </c>
    </row>
    <row r="14" spans="1:20">
      <c r="A14" s="552">
        <f t="shared" si="0"/>
        <v>9000</v>
      </c>
      <c r="B14" s="515"/>
      <c r="C14" s="532">
        <v>4</v>
      </c>
      <c r="D14" s="533"/>
      <c r="E14" s="533">
        <f t="shared" si="6"/>
        <v>13</v>
      </c>
      <c r="F14" s="533"/>
      <c r="G14" s="533">
        <f t="shared" si="1"/>
        <v>36000</v>
      </c>
      <c r="H14" s="533"/>
      <c r="I14" s="533">
        <f t="shared" si="7"/>
        <v>71000</v>
      </c>
      <c r="J14" s="533"/>
      <c r="K14" s="533">
        <f t="shared" si="2"/>
        <v>20</v>
      </c>
      <c r="L14" s="533"/>
      <c r="M14" s="533">
        <f t="shared" si="3"/>
        <v>251000</v>
      </c>
      <c r="N14" s="515"/>
      <c r="O14" s="534">
        <f t="shared" si="4"/>
        <v>0.1918918918918919</v>
      </c>
      <c r="P14" s="532">
        <v>9</v>
      </c>
      <c r="T14" s="536" t="e">
        <f t="shared" si="5"/>
        <v>#REF!</v>
      </c>
    </row>
    <row r="15" spans="1:20">
      <c r="A15" s="552">
        <f t="shared" si="0"/>
        <v>10000</v>
      </c>
      <c r="B15" s="515"/>
      <c r="C15" s="532">
        <v>2</v>
      </c>
      <c r="D15" s="533"/>
      <c r="E15" s="533">
        <f t="shared" si="6"/>
        <v>15</v>
      </c>
      <c r="F15" s="533"/>
      <c r="G15" s="533">
        <f t="shared" si="1"/>
        <v>20000</v>
      </c>
      <c r="H15" s="533"/>
      <c r="I15" s="533">
        <f t="shared" si="7"/>
        <v>91000</v>
      </c>
      <c r="J15" s="533"/>
      <c r="K15" s="533">
        <f t="shared" si="2"/>
        <v>18</v>
      </c>
      <c r="L15" s="533"/>
      <c r="M15" s="533">
        <f t="shared" si="3"/>
        <v>271000</v>
      </c>
      <c r="N15" s="515"/>
      <c r="O15" s="534">
        <f t="shared" si="4"/>
        <v>0.24594594594594596</v>
      </c>
      <c r="P15" s="532">
        <v>10</v>
      </c>
      <c r="T15" s="536" t="e">
        <f t="shared" si="5"/>
        <v>#REF!</v>
      </c>
    </row>
    <row r="16" spans="1:20">
      <c r="A16" s="552">
        <f t="shared" si="0"/>
        <v>11000</v>
      </c>
      <c r="B16" s="515"/>
      <c r="C16" s="532">
        <v>4</v>
      </c>
      <c r="D16" s="533"/>
      <c r="E16" s="533">
        <f t="shared" si="6"/>
        <v>19</v>
      </c>
      <c r="F16" s="533"/>
      <c r="G16" s="533">
        <f t="shared" si="1"/>
        <v>44000</v>
      </c>
      <c r="H16" s="533"/>
      <c r="I16" s="533">
        <f t="shared" si="7"/>
        <v>135000</v>
      </c>
      <c r="J16" s="533"/>
      <c r="K16" s="533">
        <f t="shared" si="2"/>
        <v>14</v>
      </c>
      <c r="L16" s="533"/>
      <c r="M16" s="533">
        <f t="shared" si="3"/>
        <v>289000</v>
      </c>
      <c r="N16" s="515"/>
      <c r="O16" s="534">
        <f t="shared" si="4"/>
        <v>0.36486486486486486</v>
      </c>
      <c r="P16" s="532">
        <v>11</v>
      </c>
      <c r="T16" s="536" t="e">
        <f t="shared" si="5"/>
        <v>#REF!</v>
      </c>
    </row>
    <row r="17" spans="1:20">
      <c r="A17" s="552">
        <f t="shared" si="0"/>
        <v>12000</v>
      </c>
      <c r="B17" s="515"/>
      <c r="C17" s="532">
        <v>2</v>
      </c>
      <c r="D17" s="533"/>
      <c r="E17" s="533">
        <f t="shared" si="6"/>
        <v>21</v>
      </c>
      <c r="F17" s="533"/>
      <c r="G17" s="533">
        <f t="shared" si="1"/>
        <v>24000</v>
      </c>
      <c r="H17" s="533"/>
      <c r="I17" s="533">
        <f t="shared" si="7"/>
        <v>159000</v>
      </c>
      <c r="J17" s="533"/>
      <c r="K17" s="533">
        <f t="shared" si="2"/>
        <v>12</v>
      </c>
      <c r="L17" s="533"/>
      <c r="M17" s="533">
        <f t="shared" si="3"/>
        <v>303000</v>
      </c>
      <c r="N17" s="515"/>
      <c r="O17" s="534">
        <f t="shared" si="4"/>
        <v>0.42972972972972973</v>
      </c>
      <c r="P17" s="532">
        <v>12</v>
      </c>
      <c r="T17" s="536" t="e">
        <f t="shared" si="5"/>
        <v>#REF!</v>
      </c>
    </row>
    <row r="18" spans="1:20">
      <c r="A18" s="531">
        <f t="shared" si="0"/>
        <v>13000</v>
      </c>
      <c r="B18" s="515"/>
      <c r="C18" s="532">
        <v>1</v>
      </c>
      <c r="D18" s="533"/>
      <c r="E18" s="533">
        <f t="shared" si="6"/>
        <v>22</v>
      </c>
      <c r="F18" s="533"/>
      <c r="G18" s="533">
        <f t="shared" si="1"/>
        <v>13000</v>
      </c>
      <c r="H18" s="533"/>
      <c r="I18" s="533">
        <f t="shared" si="7"/>
        <v>172000</v>
      </c>
      <c r="J18" s="533"/>
      <c r="K18" s="533">
        <f t="shared" si="2"/>
        <v>11</v>
      </c>
      <c r="L18" s="533"/>
      <c r="M18" s="533">
        <f t="shared" si="3"/>
        <v>315000</v>
      </c>
      <c r="N18" s="515"/>
      <c r="O18" s="534">
        <f t="shared" si="4"/>
        <v>0.46486486486486489</v>
      </c>
      <c r="P18" s="532">
        <v>13</v>
      </c>
      <c r="T18" s="536" t="e">
        <f t="shared" si="5"/>
        <v>#REF!</v>
      </c>
    </row>
    <row r="19" spans="1:20">
      <c r="A19" s="531">
        <f t="shared" si="0"/>
        <v>14000</v>
      </c>
      <c r="B19" s="515"/>
      <c r="C19" s="532">
        <v>1</v>
      </c>
      <c r="D19" s="533"/>
      <c r="E19" s="533">
        <f t="shared" si="6"/>
        <v>23</v>
      </c>
      <c r="F19" s="533"/>
      <c r="G19" s="533">
        <f t="shared" si="1"/>
        <v>14000</v>
      </c>
      <c r="H19" s="533"/>
      <c r="I19" s="533">
        <f t="shared" si="7"/>
        <v>186000</v>
      </c>
      <c r="J19" s="533"/>
      <c r="K19" s="533">
        <f t="shared" si="2"/>
        <v>10</v>
      </c>
      <c r="L19" s="533"/>
      <c r="M19" s="533">
        <f t="shared" si="3"/>
        <v>326000</v>
      </c>
      <c r="N19" s="515"/>
      <c r="O19" s="534">
        <f t="shared" si="4"/>
        <v>0.50270270270270268</v>
      </c>
      <c r="P19" s="532">
        <v>14</v>
      </c>
      <c r="T19" s="536" t="e">
        <f t="shared" si="5"/>
        <v>#REF!</v>
      </c>
    </row>
    <row r="20" spans="1:20">
      <c r="A20" s="531">
        <f t="shared" si="0"/>
        <v>15000</v>
      </c>
      <c r="B20" s="515"/>
      <c r="C20" s="532">
        <v>2</v>
      </c>
      <c r="D20" s="533"/>
      <c r="E20" s="533">
        <f t="shared" si="6"/>
        <v>25</v>
      </c>
      <c r="F20" s="533"/>
      <c r="G20" s="533">
        <f t="shared" si="1"/>
        <v>30000</v>
      </c>
      <c r="H20" s="533"/>
      <c r="I20" s="533">
        <f t="shared" si="7"/>
        <v>216000</v>
      </c>
      <c r="J20" s="533"/>
      <c r="K20" s="533">
        <f t="shared" si="2"/>
        <v>8</v>
      </c>
      <c r="L20" s="533"/>
      <c r="M20" s="533">
        <f t="shared" si="3"/>
        <v>336000</v>
      </c>
      <c r="N20" s="515"/>
      <c r="O20" s="534">
        <f t="shared" si="4"/>
        <v>0.58378378378378382</v>
      </c>
      <c r="P20" s="532">
        <v>15</v>
      </c>
      <c r="T20" s="536" t="e">
        <f t="shared" si="5"/>
        <v>#REF!</v>
      </c>
    </row>
    <row r="21" spans="1:20">
      <c r="A21" s="531">
        <f t="shared" si="0"/>
        <v>17000</v>
      </c>
      <c r="B21" s="515"/>
      <c r="C21" s="532">
        <v>3</v>
      </c>
      <c r="D21" s="533"/>
      <c r="E21" s="533">
        <f t="shared" si="6"/>
        <v>28</v>
      </c>
      <c r="F21" s="533"/>
      <c r="G21" s="533">
        <f t="shared" si="1"/>
        <v>51000</v>
      </c>
      <c r="H21" s="533"/>
      <c r="I21" s="533">
        <f t="shared" si="7"/>
        <v>267000</v>
      </c>
      <c r="J21" s="533"/>
      <c r="K21" s="533">
        <f t="shared" si="2"/>
        <v>5</v>
      </c>
      <c r="L21" s="533"/>
      <c r="M21" s="533">
        <f t="shared" si="3"/>
        <v>352000</v>
      </c>
      <c r="N21" s="515"/>
      <c r="O21" s="534">
        <f t="shared" si="4"/>
        <v>0.72162162162162158</v>
      </c>
      <c r="P21" s="532">
        <v>17</v>
      </c>
      <c r="T21" s="536" t="e">
        <f t="shared" si="5"/>
        <v>#REF!</v>
      </c>
    </row>
    <row r="22" spans="1:20">
      <c r="A22" s="531">
        <f t="shared" si="0"/>
        <v>18000</v>
      </c>
      <c r="B22" s="515"/>
      <c r="C22" s="532">
        <v>1</v>
      </c>
      <c r="D22" s="533"/>
      <c r="E22" s="533">
        <f t="shared" si="6"/>
        <v>29</v>
      </c>
      <c r="F22" s="533"/>
      <c r="G22" s="533">
        <f t="shared" si="1"/>
        <v>18000</v>
      </c>
      <c r="H22" s="533"/>
      <c r="I22" s="533">
        <f t="shared" si="7"/>
        <v>285000</v>
      </c>
      <c r="J22" s="533"/>
      <c r="K22" s="533">
        <f t="shared" si="2"/>
        <v>4</v>
      </c>
      <c r="L22" s="533"/>
      <c r="M22" s="533">
        <f t="shared" si="3"/>
        <v>357000</v>
      </c>
      <c r="N22" s="515"/>
      <c r="O22" s="534">
        <f t="shared" si="4"/>
        <v>0.77027027027027029</v>
      </c>
      <c r="P22" s="532">
        <v>18</v>
      </c>
      <c r="T22" s="536" t="e">
        <f t="shared" si="5"/>
        <v>#REF!</v>
      </c>
    </row>
    <row r="23" spans="1:20">
      <c r="A23" s="531">
        <f t="shared" si="0"/>
        <v>19000</v>
      </c>
      <c r="B23" s="515"/>
      <c r="C23" s="532">
        <v>1</v>
      </c>
      <c r="D23" s="533"/>
      <c r="E23" s="533">
        <f t="shared" si="6"/>
        <v>30</v>
      </c>
      <c r="F23" s="533"/>
      <c r="G23" s="533">
        <f t="shared" si="1"/>
        <v>19000</v>
      </c>
      <c r="H23" s="533"/>
      <c r="I23" s="533">
        <f t="shared" si="7"/>
        <v>304000</v>
      </c>
      <c r="J23" s="533"/>
      <c r="K23" s="533">
        <f t="shared" si="2"/>
        <v>3</v>
      </c>
      <c r="L23" s="533"/>
      <c r="M23" s="533">
        <f t="shared" si="3"/>
        <v>361000</v>
      </c>
      <c r="N23" s="515"/>
      <c r="O23" s="534">
        <f t="shared" si="4"/>
        <v>0.82162162162162167</v>
      </c>
      <c r="P23" s="532">
        <v>19</v>
      </c>
      <c r="T23" s="536" t="e">
        <f t="shared" si="5"/>
        <v>#REF!</v>
      </c>
    </row>
    <row r="24" spans="1:20">
      <c r="A24" s="531">
        <f t="shared" si="0"/>
        <v>20000</v>
      </c>
      <c r="B24" s="515"/>
      <c r="C24" s="532">
        <v>1</v>
      </c>
      <c r="D24" s="533"/>
      <c r="E24" s="533">
        <f t="shared" si="6"/>
        <v>31</v>
      </c>
      <c r="F24" s="533"/>
      <c r="G24" s="533">
        <f t="shared" si="1"/>
        <v>20000</v>
      </c>
      <c r="H24" s="533"/>
      <c r="I24" s="533">
        <f t="shared" si="7"/>
        <v>324000</v>
      </c>
      <c r="J24" s="533"/>
      <c r="K24" s="533">
        <f t="shared" si="2"/>
        <v>2</v>
      </c>
      <c r="L24" s="533"/>
      <c r="M24" s="533">
        <f t="shared" si="3"/>
        <v>364000</v>
      </c>
      <c r="N24" s="515"/>
      <c r="O24" s="534">
        <f t="shared" si="4"/>
        <v>0.87567567567567572</v>
      </c>
      <c r="P24" s="532">
        <v>20</v>
      </c>
      <c r="T24" s="536" t="e">
        <f t="shared" si="5"/>
        <v>#REF!</v>
      </c>
    </row>
    <row r="25" spans="1:20">
      <c r="A25" s="531">
        <f t="shared" si="0"/>
        <v>22000</v>
      </c>
      <c r="B25" s="515"/>
      <c r="C25" s="532">
        <v>1</v>
      </c>
      <c r="D25" s="533"/>
      <c r="E25" s="533">
        <f t="shared" si="6"/>
        <v>32</v>
      </c>
      <c r="F25" s="533"/>
      <c r="G25" s="533">
        <f t="shared" si="1"/>
        <v>22000</v>
      </c>
      <c r="H25" s="533"/>
      <c r="I25" s="533">
        <f t="shared" si="7"/>
        <v>346000</v>
      </c>
      <c r="J25" s="533"/>
      <c r="K25" s="533">
        <f t="shared" si="2"/>
        <v>1</v>
      </c>
      <c r="L25" s="533"/>
      <c r="M25" s="533">
        <f t="shared" si="3"/>
        <v>368000</v>
      </c>
      <c r="N25" s="515"/>
      <c r="O25" s="534">
        <f t="shared" si="4"/>
        <v>0.93513513513513513</v>
      </c>
      <c r="P25" s="532">
        <v>22</v>
      </c>
      <c r="T25" s="536" t="e">
        <f t="shared" si="5"/>
        <v>#REF!</v>
      </c>
    </row>
    <row r="26" spans="1:20">
      <c r="A26" s="531">
        <f t="shared" si="0"/>
        <v>24000</v>
      </c>
      <c r="B26" s="515"/>
      <c r="C26" s="532">
        <v>1</v>
      </c>
      <c r="D26" s="533"/>
      <c r="E26" s="533">
        <f t="shared" si="6"/>
        <v>33</v>
      </c>
      <c r="F26" s="533"/>
      <c r="G26" s="533">
        <f t="shared" si="1"/>
        <v>24000</v>
      </c>
      <c r="H26" s="533"/>
      <c r="I26" s="533">
        <f t="shared" si="7"/>
        <v>370000</v>
      </c>
      <c r="J26" s="533"/>
      <c r="K26" s="533">
        <f t="shared" si="2"/>
        <v>0</v>
      </c>
      <c r="L26" s="533"/>
      <c r="M26" s="533">
        <f t="shared" si="3"/>
        <v>370000</v>
      </c>
      <c r="N26" s="515"/>
      <c r="O26" s="534">
        <f t="shared" si="4"/>
        <v>1</v>
      </c>
      <c r="P26" s="532">
        <v>24</v>
      </c>
      <c r="T26" s="536" t="e">
        <f t="shared" si="5"/>
        <v>#REF!</v>
      </c>
    </row>
    <row r="27" spans="1:20">
      <c r="A27" s="531"/>
      <c r="B27" s="515"/>
      <c r="C27" s="532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32"/>
      <c r="T27" s="536"/>
    </row>
    <row r="28" spans="1:20">
      <c r="A28" s="531"/>
      <c r="B28" s="544"/>
      <c r="C28" s="561"/>
      <c r="D28" s="545"/>
      <c r="E28" s="533"/>
      <c r="F28" s="533"/>
      <c r="G28" s="533"/>
      <c r="H28" s="533"/>
      <c r="I28" s="533"/>
      <c r="J28" s="545"/>
      <c r="K28" s="533"/>
      <c r="L28" s="545"/>
      <c r="M28" s="533"/>
      <c r="O28" s="534"/>
      <c r="P28" s="547"/>
      <c r="T28" s="539" t="e">
        <f>SUM(T10:T26)</f>
        <v>#REF!</v>
      </c>
    </row>
    <row r="29" spans="1:20" hidden="1">
      <c r="A29" s="531"/>
      <c r="B29" s="515"/>
      <c r="C29" s="561"/>
      <c r="D29" s="515"/>
      <c r="E29" s="533"/>
      <c r="F29" s="533"/>
      <c r="G29" s="533"/>
      <c r="H29" s="533"/>
      <c r="I29" s="533"/>
      <c r="J29" s="515"/>
      <c r="K29" s="533"/>
      <c r="L29" s="515"/>
      <c r="M29" s="533"/>
      <c r="N29" s="515"/>
      <c r="O29" s="534"/>
      <c r="P29" s="547"/>
      <c r="T29" s="513">
        <v>1164</v>
      </c>
    </row>
    <row r="30" spans="1:20" hidden="1">
      <c r="A30" s="531"/>
      <c r="B30" s="515"/>
      <c r="C30" s="561"/>
      <c r="D30" s="515"/>
      <c r="E30" s="533"/>
      <c r="F30" s="533"/>
      <c r="G30" s="533"/>
      <c r="H30" s="533"/>
      <c r="I30" s="533"/>
      <c r="J30" s="515"/>
      <c r="K30" s="533"/>
      <c r="L30" s="515"/>
      <c r="M30" s="533"/>
      <c r="N30" s="515"/>
      <c r="O30" s="534"/>
      <c r="P30" s="547"/>
      <c r="T30" s="540" t="e">
        <f>T28-T29</f>
        <v>#REF!</v>
      </c>
    </row>
    <row r="31" spans="1:20" hidden="1">
      <c r="A31" s="531"/>
      <c r="B31" s="529"/>
      <c r="C31" s="561"/>
      <c r="D31" s="529"/>
      <c r="E31" s="533"/>
      <c r="F31" s="533"/>
      <c r="G31" s="533"/>
      <c r="H31" s="533"/>
      <c r="I31" s="533"/>
      <c r="J31" s="529"/>
      <c r="K31" s="533"/>
      <c r="L31" s="529"/>
      <c r="M31" s="533"/>
      <c r="N31" s="529"/>
      <c r="O31" s="534"/>
      <c r="P31" s="547"/>
      <c r="T31" s="555" t="e">
        <f>T30/T28</f>
        <v>#REF!</v>
      </c>
    </row>
    <row r="32" spans="1:20">
      <c r="A32" s="531"/>
      <c r="B32" s="523"/>
      <c r="C32" s="561"/>
      <c r="D32" s="523"/>
      <c r="E32" s="533"/>
      <c r="F32" s="533"/>
      <c r="G32" s="533"/>
      <c r="H32" s="533"/>
      <c r="I32" s="533"/>
      <c r="J32" s="523"/>
      <c r="K32" s="533"/>
      <c r="L32" s="523"/>
      <c r="M32" s="533"/>
      <c r="N32" s="523"/>
      <c r="O32" s="534"/>
      <c r="P32" s="547"/>
    </row>
    <row r="33" spans="1:16">
      <c r="A33" s="531"/>
      <c r="B33" s="525"/>
      <c r="C33" s="561"/>
      <c r="D33" s="525"/>
      <c r="E33" s="533"/>
      <c r="F33" s="533"/>
      <c r="G33" s="533"/>
      <c r="H33" s="533"/>
      <c r="I33" s="533"/>
      <c r="J33" s="525"/>
      <c r="K33" s="533"/>
      <c r="L33" s="525"/>
      <c r="M33" s="533"/>
      <c r="N33" s="525"/>
      <c r="O33" s="534"/>
      <c r="P33" s="547"/>
    </row>
    <row r="34" spans="1:16">
      <c r="A34" s="531"/>
      <c r="B34" s="525"/>
      <c r="C34" s="561"/>
      <c r="D34" s="525"/>
      <c r="E34" s="533"/>
      <c r="F34" s="533"/>
      <c r="G34" s="533"/>
      <c r="H34" s="533"/>
      <c r="I34" s="533"/>
      <c r="J34" s="525"/>
      <c r="K34" s="533"/>
      <c r="L34" s="525"/>
      <c r="M34" s="533"/>
      <c r="N34" s="525"/>
      <c r="O34" s="534"/>
      <c r="P34" s="547"/>
    </row>
    <row r="35" spans="1:16">
      <c r="A35" s="531"/>
      <c r="B35" s="525"/>
      <c r="C35" s="561"/>
      <c r="D35" s="525"/>
      <c r="E35" s="533"/>
      <c r="F35" s="533"/>
      <c r="G35" s="533"/>
      <c r="H35" s="533"/>
      <c r="I35" s="533"/>
      <c r="J35" s="525"/>
      <c r="K35" s="533"/>
      <c r="L35" s="525"/>
      <c r="M35" s="533"/>
      <c r="N35" s="525"/>
      <c r="O35" s="534"/>
      <c r="P35" s="547"/>
    </row>
    <row r="36" spans="1:16">
      <c r="A36" s="531"/>
      <c r="B36" s="515"/>
      <c r="C36" s="561"/>
      <c r="D36" s="529"/>
      <c r="E36" s="533"/>
      <c r="F36" s="533"/>
      <c r="G36" s="533"/>
      <c r="H36" s="533"/>
      <c r="I36" s="533"/>
      <c r="J36" s="529"/>
      <c r="K36" s="533"/>
      <c r="L36" s="529"/>
      <c r="M36" s="533"/>
      <c r="N36" s="529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5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1"/>
  <sheetViews>
    <sheetView showGridLines="0" topLeftCell="H13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1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'16075-170'!R2</f>
        <v>#REF!</v>
      </c>
      <c r="S2" s="518"/>
      <c r="T2" s="519" t="e">
        <f>'16075-170'!T2</f>
        <v>#REF!</v>
      </c>
    </row>
    <row r="3" spans="1:20">
      <c r="A3" s="513" t="s">
        <v>532</v>
      </c>
      <c r="M3" s="520" t="s">
        <v>524</v>
      </c>
      <c r="R3" s="519" t="e">
        <f>'16075-170'!R3</f>
        <v>#REF!</v>
      </c>
      <c r="S3" s="518"/>
      <c r="T3" s="519" t="e">
        <f>'16075-170'!T3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'16075-170'!R4</f>
        <v>#REF!</v>
      </c>
      <c r="S4" s="518"/>
      <c r="T4" s="519" t="e">
        <f>'16075-170'!T4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'16075-170'!R5</f>
        <v>#REF!</v>
      </c>
      <c r="S5" s="518"/>
      <c r="T5" s="519" t="e">
        <f>'16075-170'!T5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'16075-170'!R6</f>
        <v>#REF!</v>
      </c>
      <c r="S6" s="518"/>
      <c r="T6" s="519" t="e">
        <f>'16075-170'!T6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9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9" si="1">A10*C10</f>
        <v>0</v>
      </c>
      <c r="H10" s="533"/>
      <c r="I10" s="533">
        <f>G10</f>
        <v>0</v>
      </c>
      <c r="J10" s="533"/>
      <c r="K10" s="533">
        <f t="shared" ref="K10:K29" si="2">$E$29-E10</f>
        <v>22</v>
      </c>
      <c r="L10" s="533"/>
      <c r="M10" s="533">
        <f t="shared" ref="M10:M29" si="3">(A10*K10)+I10</f>
        <v>0</v>
      </c>
      <c r="O10" s="534">
        <f t="shared" ref="O10:O29" si="4">I10/$I$29</f>
        <v>0</v>
      </c>
      <c r="P10" s="532">
        <v>0</v>
      </c>
      <c r="R10" s="535"/>
      <c r="S10" s="513"/>
      <c r="T10" s="536" t="e">
        <f t="shared" ref="T10:T29" si="5">IF(A10&lt;13000,C10*$T$2,IF(A10=13000,C10*$T$2,IF(AND(A10&lt;26000,A10&gt;13000),(C10*$T$2)+((A10-13000)/1000*$T$3*C10),IF(AND(A10&gt;25000,A10&lt;51000),(C10*$T$2)+(12*$T$3*C10)+((A10-25000)/1000*$T$4*C10),IF(AND(A10&lt;51000,A10&gt;25000),(C10*$T$2)+(12*$T$3*C10)+(25*$T$4*C10)+((A10-25000)/1000*$T$5*C10),IF(AND(A10&lt;101000,A10&gt;50000),(C10*$T$2)+(12*$T$3*C10)+(25*$T$4*C10)+((A10-50000)/1000*$T$5*C10),IF(A10&gt;100000,(C10*$T$2)+(12*$T$3*C10)+(25*$T$4*C10)+(50*$T$5*C10)+((A10-100000)/1000*$T$6*C10))))))))</f>
        <v>#REF!</v>
      </c>
    </row>
    <row r="11" spans="1:20" s="515" customFormat="1">
      <c r="A11" s="552">
        <f t="shared" si="0"/>
        <v>6000</v>
      </c>
      <c r="C11" s="532">
        <v>1</v>
      </c>
      <c r="D11" s="533"/>
      <c r="E11" s="533">
        <f t="shared" ref="E11:E29" si="6">E10+C11</f>
        <v>1</v>
      </c>
      <c r="F11" s="533"/>
      <c r="G11" s="533">
        <f t="shared" si="1"/>
        <v>6000</v>
      </c>
      <c r="H11" s="533"/>
      <c r="I11" s="533">
        <f t="shared" ref="I11:I29" si="7">I10+G11</f>
        <v>6000</v>
      </c>
      <c r="J11" s="533"/>
      <c r="K11" s="533">
        <f t="shared" si="2"/>
        <v>21</v>
      </c>
      <c r="L11" s="533"/>
      <c r="M11" s="533">
        <f t="shared" si="3"/>
        <v>132000</v>
      </c>
      <c r="O11" s="534">
        <f t="shared" si="4"/>
        <v>2.3847376788553257E-3</v>
      </c>
      <c r="P11" s="532">
        <v>6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7000</v>
      </c>
      <c r="C12" s="532">
        <v>2</v>
      </c>
      <c r="D12" s="533"/>
      <c r="E12" s="533">
        <f t="shared" si="6"/>
        <v>3</v>
      </c>
      <c r="F12" s="533"/>
      <c r="G12" s="533">
        <f t="shared" si="1"/>
        <v>14000</v>
      </c>
      <c r="H12" s="533"/>
      <c r="I12" s="533">
        <f t="shared" si="7"/>
        <v>20000</v>
      </c>
      <c r="J12" s="533"/>
      <c r="K12" s="533">
        <f t="shared" si="2"/>
        <v>19</v>
      </c>
      <c r="L12" s="533"/>
      <c r="M12" s="533">
        <f t="shared" si="3"/>
        <v>153000</v>
      </c>
      <c r="O12" s="534">
        <f t="shared" si="4"/>
        <v>7.9491255961844191E-3</v>
      </c>
      <c r="P12" s="532">
        <v>7</v>
      </c>
      <c r="R12" s="513"/>
      <c r="S12" s="513"/>
      <c r="T12" s="536" t="e">
        <f t="shared" si="5"/>
        <v>#REF!</v>
      </c>
    </row>
    <row r="13" spans="1:20">
      <c r="A13" s="552">
        <f t="shared" si="0"/>
        <v>9000</v>
      </c>
      <c r="B13" s="515"/>
      <c r="C13" s="532">
        <v>2</v>
      </c>
      <c r="D13" s="533"/>
      <c r="E13" s="533">
        <f t="shared" si="6"/>
        <v>5</v>
      </c>
      <c r="F13" s="533"/>
      <c r="G13" s="533">
        <f t="shared" si="1"/>
        <v>18000</v>
      </c>
      <c r="H13" s="533"/>
      <c r="I13" s="533">
        <f t="shared" si="7"/>
        <v>38000</v>
      </c>
      <c r="J13" s="533"/>
      <c r="K13" s="533">
        <f t="shared" si="2"/>
        <v>17</v>
      </c>
      <c r="L13" s="533"/>
      <c r="M13" s="533">
        <f t="shared" si="3"/>
        <v>191000</v>
      </c>
      <c r="N13" s="515"/>
      <c r="O13" s="534">
        <f t="shared" si="4"/>
        <v>1.5103338632750398E-2</v>
      </c>
      <c r="P13" s="532">
        <v>9</v>
      </c>
      <c r="T13" s="536" t="e">
        <f t="shared" si="5"/>
        <v>#REF!</v>
      </c>
    </row>
    <row r="14" spans="1:20">
      <c r="A14" s="552">
        <f t="shared" si="0"/>
        <v>10000</v>
      </c>
      <c r="B14" s="515"/>
      <c r="C14" s="532">
        <v>2</v>
      </c>
      <c r="D14" s="533"/>
      <c r="E14" s="533">
        <f t="shared" si="6"/>
        <v>7</v>
      </c>
      <c r="F14" s="533"/>
      <c r="G14" s="533">
        <f t="shared" si="1"/>
        <v>20000</v>
      </c>
      <c r="H14" s="533"/>
      <c r="I14" s="533">
        <f t="shared" si="7"/>
        <v>58000</v>
      </c>
      <c r="J14" s="533"/>
      <c r="K14" s="533">
        <f t="shared" si="2"/>
        <v>15</v>
      </c>
      <c r="L14" s="533"/>
      <c r="M14" s="533">
        <f t="shared" si="3"/>
        <v>208000</v>
      </c>
      <c r="N14" s="515"/>
      <c r="O14" s="534">
        <f t="shared" si="4"/>
        <v>2.3052464228934817E-2</v>
      </c>
      <c r="P14" s="532">
        <v>10</v>
      </c>
      <c r="T14" s="536" t="e">
        <f t="shared" si="5"/>
        <v>#REF!</v>
      </c>
    </row>
    <row r="15" spans="1:20">
      <c r="A15" s="552">
        <f t="shared" si="0"/>
        <v>11000</v>
      </c>
      <c r="B15" s="515"/>
      <c r="C15" s="532">
        <v>1</v>
      </c>
      <c r="D15" s="533"/>
      <c r="E15" s="533">
        <f t="shared" si="6"/>
        <v>8</v>
      </c>
      <c r="F15" s="533"/>
      <c r="G15" s="533">
        <f t="shared" si="1"/>
        <v>11000</v>
      </c>
      <c r="H15" s="533"/>
      <c r="I15" s="533">
        <f t="shared" si="7"/>
        <v>69000</v>
      </c>
      <c r="J15" s="533"/>
      <c r="K15" s="533">
        <f t="shared" si="2"/>
        <v>14</v>
      </c>
      <c r="L15" s="533"/>
      <c r="M15" s="533">
        <f t="shared" si="3"/>
        <v>223000</v>
      </c>
      <c r="N15" s="515"/>
      <c r="O15" s="534">
        <f t="shared" si="4"/>
        <v>2.7424483306836247E-2</v>
      </c>
      <c r="P15" s="532">
        <v>11</v>
      </c>
      <c r="T15" s="536" t="e">
        <f t="shared" si="5"/>
        <v>#REF!</v>
      </c>
    </row>
    <row r="16" spans="1:20">
      <c r="A16" s="531">
        <f t="shared" si="0"/>
        <v>12000</v>
      </c>
      <c r="B16" s="515"/>
      <c r="C16" s="532">
        <v>1</v>
      </c>
      <c r="D16" s="533"/>
      <c r="E16" s="533">
        <f t="shared" si="6"/>
        <v>9</v>
      </c>
      <c r="F16" s="533"/>
      <c r="G16" s="533">
        <f t="shared" si="1"/>
        <v>12000</v>
      </c>
      <c r="H16" s="533"/>
      <c r="I16" s="533">
        <f t="shared" si="7"/>
        <v>81000</v>
      </c>
      <c r="J16" s="533"/>
      <c r="K16" s="533">
        <f t="shared" si="2"/>
        <v>13</v>
      </c>
      <c r="L16" s="533"/>
      <c r="M16" s="533">
        <f t="shared" si="3"/>
        <v>237000</v>
      </c>
      <c r="N16" s="515"/>
      <c r="O16" s="534">
        <f t="shared" si="4"/>
        <v>3.2193958664546898E-2</v>
      </c>
      <c r="P16" s="532">
        <v>12</v>
      </c>
      <c r="T16" s="536" t="e">
        <f t="shared" si="5"/>
        <v>#REF!</v>
      </c>
    </row>
    <row r="17" spans="1:20">
      <c r="A17" s="531">
        <f t="shared" si="0"/>
        <v>13000</v>
      </c>
      <c r="B17" s="515"/>
      <c r="C17" s="532">
        <v>1</v>
      </c>
      <c r="D17" s="533"/>
      <c r="E17" s="533">
        <f t="shared" si="6"/>
        <v>10</v>
      </c>
      <c r="F17" s="533"/>
      <c r="G17" s="533">
        <f t="shared" si="1"/>
        <v>13000</v>
      </c>
      <c r="H17" s="533"/>
      <c r="I17" s="533">
        <f t="shared" si="7"/>
        <v>94000</v>
      </c>
      <c r="J17" s="533"/>
      <c r="K17" s="533">
        <f t="shared" si="2"/>
        <v>12</v>
      </c>
      <c r="L17" s="533"/>
      <c r="M17" s="533">
        <f t="shared" si="3"/>
        <v>250000</v>
      </c>
      <c r="N17" s="515"/>
      <c r="O17" s="534">
        <f t="shared" si="4"/>
        <v>3.7360890302066775E-2</v>
      </c>
      <c r="P17" s="532">
        <v>13</v>
      </c>
      <c r="T17" s="536" t="e">
        <f t="shared" si="5"/>
        <v>#REF!</v>
      </c>
    </row>
    <row r="18" spans="1:20">
      <c r="A18" s="531">
        <f t="shared" si="0"/>
        <v>20000</v>
      </c>
      <c r="B18" s="515"/>
      <c r="C18" s="532">
        <v>1</v>
      </c>
      <c r="D18" s="533"/>
      <c r="E18" s="533">
        <f t="shared" si="6"/>
        <v>11</v>
      </c>
      <c r="F18" s="533"/>
      <c r="G18" s="533">
        <f t="shared" si="1"/>
        <v>20000</v>
      </c>
      <c r="H18" s="533"/>
      <c r="I18" s="533">
        <f t="shared" si="7"/>
        <v>114000</v>
      </c>
      <c r="J18" s="533"/>
      <c r="K18" s="533">
        <f t="shared" si="2"/>
        <v>11</v>
      </c>
      <c r="L18" s="533"/>
      <c r="M18" s="533">
        <f t="shared" si="3"/>
        <v>334000</v>
      </c>
      <c r="N18" s="515"/>
      <c r="O18" s="534">
        <f t="shared" si="4"/>
        <v>4.5310015898251191E-2</v>
      </c>
      <c r="P18" s="532">
        <v>20</v>
      </c>
      <c r="T18" s="536" t="e">
        <f t="shared" si="5"/>
        <v>#REF!</v>
      </c>
    </row>
    <row r="19" spans="1:20">
      <c r="A19" s="531">
        <f t="shared" si="0"/>
        <v>155000</v>
      </c>
      <c r="B19" s="515"/>
      <c r="C19" s="532">
        <v>1</v>
      </c>
      <c r="D19" s="533"/>
      <c r="E19" s="533">
        <f t="shared" si="6"/>
        <v>12</v>
      </c>
      <c r="F19" s="533"/>
      <c r="G19" s="533">
        <f t="shared" si="1"/>
        <v>155000</v>
      </c>
      <c r="H19" s="533"/>
      <c r="I19" s="533">
        <f t="shared" si="7"/>
        <v>269000</v>
      </c>
      <c r="J19" s="533"/>
      <c r="K19" s="533">
        <f t="shared" si="2"/>
        <v>10</v>
      </c>
      <c r="L19" s="533"/>
      <c r="M19" s="533">
        <f t="shared" si="3"/>
        <v>1819000</v>
      </c>
      <c r="N19" s="515"/>
      <c r="O19" s="534">
        <f t="shared" si="4"/>
        <v>0.10691573926868045</v>
      </c>
      <c r="P19" s="532">
        <v>155</v>
      </c>
      <c r="T19" s="536" t="e">
        <f t="shared" si="5"/>
        <v>#REF!</v>
      </c>
    </row>
    <row r="20" spans="1:20">
      <c r="A20" s="531">
        <f t="shared" si="0"/>
        <v>159000</v>
      </c>
      <c r="B20" s="544"/>
      <c r="C20" s="532">
        <v>1</v>
      </c>
      <c r="D20" s="545"/>
      <c r="E20" s="533">
        <f t="shared" si="6"/>
        <v>13</v>
      </c>
      <c r="F20" s="533"/>
      <c r="G20" s="533">
        <f t="shared" si="1"/>
        <v>159000</v>
      </c>
      <c r="H20" s="533"/>
      <c r="I20" s="533">
        <f t="shared" si="7"/>
        <v>428000</v>
      </c>
      <c r="J20" s="545"/>
      <c r="K20" s="533">
        <f t="shared" si="2"/>
        <v>9</v>
      </c>
      <c r="L20" s="545"/>
      <c r="M20" s="533">
        <f t="shared" si="3"/>
        <v>1859000</v>
      </c>
      <c r="O20" s="534">
        <f t="shared" si="4"/>
        <v>0.17011128775834658</v>
      </c>
      <c r="P20" s="532">
        <v>159</v>
      </c>
      <c r="T20" s="536" t="e">
        <f t="shared" si="5"/>
        <v>#REF!</v>
      </c>
    </row>
    <row r="21" spans="1:20">
      <c r="A21" s="531">
        <f t="shared" si="0"/>
        <v>163000</v>
      </c>
      <c r="B21" s="515"/>
      <c r="C21" s="532">
        <v>1</v>
      </c>
      <c r="D21" s="515"/>
      <c r="E21" s="533">
        <f t="shared" si="6"/>
        <v>14</v>
      </c>
      <c r="F21" s="533"/>
      <c r="G21" s="533">
        <f t="shared" si="1"/>
        <v>163000</v>
      </c>
      <c r="H21" s="533"/>
      <c r="I21" s="533">
        <f t="shared" si="7"/>
        <v>591000</v>
      </c>
      <c r="J21" s="515"/>
      <c r="K21" s="533">
        <f t="shared" si="2"/>
        <v>8</v>
      </c>
      <c r="L21" s="515"/>
      <c r="M21" s="533">
        <f t="shared" si="3"/>
        <v>1895000</v>
      </c>
      <c r="N21" s="515"/>
      <c r="O21" s="534">
        <f t="shared" si="4"/>
        <v>0.2348966613672496</v>
      </c>
      <c r="P21" s="532">
        <v>163</v>
      </c>
      <c r="T21" s="536" t="e">
        <f t="shared" si="5"/>
        <v>#REF!</v>
      </c>
    </row>
    <row r="22" spans="1:20">
      <c r="A22" s="531">
        <f t="shared" si="0"/>
        <v>170000</v>
      </c>
      <c r="B22" s="515"/>
      <c r="C22" s="532">
        <v>1</v>
      </c>
      <c r="D22" s="515"/>
      <c r="E22" s="533">
        <f t="shared" si="6"/>
        <v>15</v>
      </c>
      <c r="F22" s="533"/>
      <c r="G22" s="533">
        <f t="shared" si="1"/>
        <v>170000</v>
      </c>
      <c r="H22" s="533"/>
      <c r="I22" s="533">
        <f t="shared" si="7"/>
        <v>761000</v>
      </c>
      <c r="J22" s="515"/>
      <c r="K22" s="533">
        <f t="shared" si="2"/>
        <v>7</v>
      </c>
      <c r="L22" s="515"/>
      <c r="M22" s="533">
        <f t="shared" si="3"/>
        <v>1951000</v>
      </c>
      <c r="N22" s="515"/>
      <c r="O22" s="534">
        <f t="shared" si="4"/>
        <v>0.30246422893481717</v>
      </c>
      <c r="P22" s="532">
        <v>170</v>
      </c>
      <c r="T22" s="536" t="e">
        <f t="shared" si="5"/>
        <v>#REF!</v>
      </c>
    </row>
    <row r="23" spans="1:20">
      <c r="A23" s="531">
        <f t="shared" si="0"/>
        <v>197000</v>
      </c>
      <c r="B23" s="529"/>
      <c r="C23" s="532">
        <v>1</v>
      </c>
      <c r="D23" s="529"/>
      <c r="E23" s="533">
        <f t="shared" si="6"/>
        <v>16</v>
      </c>
      <c r="F23" s="533"/>
      <c r="G23" s="533">
        <f t="shared" si="1"/>
        <v>197000</v>
      </c>
      <c r="H23" s="533"/>
      <c r="I23" s="533">
        <f t="shared" si="7"/>
        <v>958000</v>
      </c>
      <c r="J23" s="529"/>
      <c r="K23" s="533">
        <f t="shared" si="2"/>
        <v>6</v>
      </c>
      <c r="L23" s="529"/>
      <c r="M23" s="533">
        <f t="shared" si="3"/>
        <v>2140000</v>
      </c>
      <c r="N23" s="529"/>
      <c r="O23" s="534">
        <f t="shared" si="4"/>
        <v>0.38076311605723373</v>
      </c>
      <c r="P23" s="532">
        <v>197</v>
      </c>
      <c r="T23" s="536" t="e">
        <f t="shared" si="5"/>
        <v>#REF!</v>
      </c>
    </row>
    <row r="24" spans="1:20">
      <c r="A24" s="531">
        <f t="shared" si="0"/>
        <v>203000</v>
      </c>
      <c r="B24" s="523"/>
      <c r="C24" s="532">
        <v>1</v>
      </c>
      <c r="D24" s="523"/>
      <c r="E24" s="533">
        <f t="shared" si="6"/>
        <v>17</v>
      </c>
      <c r="F24" s="533"/>
      <c r="G24" s="533">
        <f t="shared" si="1"/>
        <v>203000</v>
      </c>
      <c r="H24" s="533"/>
      <c r="I24" s="533">
        <f t="shared" si="7"/>
        <v>1161000</v>
      </c>
      <c r="J24" s="523"/>
      <c r="K24" s="533">
        <f t="shared" si="2"/>
        <v>5</v>
      </c>
      <c r="L24" s="523"/>
      <c r="M24" s="533">
        <f t="shared" si="3"/>
        <v>2176000</v>
      </c>
      <c r="N24" s="523"/>
      <c r="O24" s="534">
        <f t="shared" si="4"/>
        <v>0.46144674085850557</v>
      </c>
      <c r="P24" s="532">
        <v>203</v>
      </c>
      <c r="T24" s="536" t="e">
        <f t="shared" si="5"/>
        <v>#REF!</v>
      </c>
    </row>
    <row r="25" spans="1:20">
      <c r="A25" s="531">
        <f t="shared" si="0"/>
        <v>247000</v>
      </c>
      <c r="B25" s="525"/>
      <c r="C25" s="532">
        <v>1</v>
      </c>
      <c r="D25" s="525"/>
      <c r="E25" s="533">
        <f t="shared" si="6"/>
        <v>18</v>
      </c>
      <c r="F25" s="533"/>
      <c r="G25" s="533">
        <f t="shared" si="1"/>
        <v>247000</v>
      </c>
      <c r="H25" s="533"/>
      <c r="I25" s="533">
        <f t="shared" si="7"/>
        <v>1408000</v>
      </c>
      <c r="J25" s="525"/>
      <c r="K25" s="533">
        <f t="shared" si="2"/>
        <v>4</v>
      </c>
      <c r="L25" s="525"/>
      <c r="M25" s="533">
        <f t="shared" si="3"/>
        <v>2396000</v>
      </c>
      <c r="N25" s="525"/>
      <c r="O25" s="534">
        <f t="shared" si="4"/>
        <v>0.55961844197138311</v>
      </c>
      <c r="P25" s="532">
        <v>247</v>
      </c>
      <c r="T25" s="536" t="e">
        <f t="shared" si="5"/>
        <v>#REF!</v>
      </c>
    </row>
    <row r="26" spans="1:20">
      <c r="A26" s="531">
        <f t="shared" si="0"/>
        <v>259000</v>
      </c>
      <c r="B26" s="525"/>
      <c r="C26" s="532">
        <v>1</v>
      </c>
      <c r="D26" s="525"/>
      <c r="E26" s="533">
        <f t="shared" si="6"/>
        <v>19</v>
      </c>
      <c r="F26" s="533"/>
      <c r="G26" s="533">
        <f t="shared" si="1"/>
        <v>259000</v>
      </c>
      <c r="H26" s="533"/>
      <c r="I26" s="533">
        <f t="shared" si="7"/>
        <v>1667000</v>
      </c>
      <c r="J26" s="525"/>
      <c r="K26" s="533">
        <f t="shared" si="2"/>
        <v>3</v>
      </c>
      <c r="L26" s="525"/>
      <c r="M26" s="533">
        <f t="shared" si="3"/>
        <v>2444000</v>
      </c>
      <c r="N26" s="525"/>
      <c r="O26" s="534">
        <f t="shared" si="4"/>
        <v>0.66255961844197142</v>
      </c>
      <c r="P26" s="532">
        <v>259</v>
      </c>
      <c r="T26" s="536" t="e">
        <f t="shared" si="5"/>
        <v>#REF!</v>
      </c>
    </row>
    <row r="27" spans="1:20">
      <c r="A27" s="531">
        <f t="shared" si="0"/>
        <v>260000</v>
      </c>
      <c r="B27" s="525"/>
      <c r="C27" s="532">
        <v>1</v>
      </c>
      <c r="D27" s="525"/>
      <c r="E27" s="533">
        <f t="shared" si="6"/>
        <v>20</v>
      </c>
      <c r="F27" s="533"/>
      <c r="G27" s="533">
        <f t="shared" si="1"/>
        <v>260000</v>
      </c>
      <c r="H27" s="533"/>
      <c r="I27" s="533">
        <f t="shared" si="7"/>
        <v>1927000</v>
      </c>
      <c r="J27" s="525"/>
      <c r="K27" s="533">
        <f t="shared" si="2"/>
        <v>2</v>
      </c>
      <c r="L27" s="525"/>
      <c r="M27" s="533">
        <f t="shared" si="3"/>
        <v>2447000</v>
      </c>
      <c r="N27" s="525"/>
      <c r="O27" s="534">
        <f t="shared" si="4"/>
        <v>0.76589825119236887</v>
      </c>
      <c r="P27" s="532">
        <v>260</v>
      </c>
      <c r="T27" s="536" t="e">
        <f t="shared" si="5"/>
        <v>#REF!</v>
      </c>
    </row>
    <row r="28" spans="1:20">
      <c r="A28" s="531">
        <f t="shared" si="0"/>
        <v>285000</v>
      </c>
      <c r="B28" s="515"/>
      <c r="C28" s="532">
        <v>1</v>
      </c>
      <c r="D28" s="529"/>
      <c r="E28" s="533">
        <f t="shared" si="6"/>
        <v>21</v>
      </c>
      <c r="F28" s="533"/>
      <c r="G28" s="533">
        <f t="shared" si="1"/>
        <v>285000</v>
      </c>
      <c r="H28" s="533"/>
      <c r="I28" s="533">
        <f t="shared" si="7"/>
        <v>2212000</v>
      </c>
      <c r="J28" s="529"/>
      <c r="K28" s="533">
        <f t="shared" si="2"/>
        <v>1</v>
      </c>
      <c r="L28" s="529"/>
      <c r="M28" s="533">
        <f t="shared" si="3"/>
        <v>2497000</v>
      </c>
      <c r="N28" s="529"/>
      <c r="O28" s="534">
        <f t="shared" si="4"/>
        <v>0.87917329093799679</v>
      </c>
      <c r="P28" s="532">
        <v>285</v>
      </c>
      <c r="T28" s="536" t="e">
        <f t="shared" si="5"/>
        <v>#REF!</v>
      </c>
    </row>
    <row r="29" spans="1:20">
      <c r="A29" s="531">
        <f t="shared" si="0"/>
        <v>304000</v>
      </c>
      <c r="B29" s="515"/>
      <c r="C29" s="532">
        <v>1</v>
      </c>
      <c r="D29" s="533"/>
      <c r="E29" s="533">
        <f t="shared" si="6"/>
        <v>22</v>
      </c>
      <c r="F29" s="533"/>
      <c r="G29" s="533">
        <f t="shared" si="1"/>
        <v>304000</v>
      </c>
      <c r="H29" s="533"/>
      <c r="I29" s="533">
        <f t="shared" si="7"/>
        <v>2516000</v>
      </c>
      <c r="J29" s="529"/>
      <c r="K29" s="533">
        <f t="shared" si="2"/>
        <v>0</v>
      </c>
      <c r="L29" s="529"/>
      <c r="M29" s="533">
        <f t="shared" si="3"/>
        <v>2516000</v>
      </c>
      <c r="N29" s="529"/>
      <c r="O29" s="534">
        <f t="shared" si="4"/>
        <v>1</v>
      </c>
      <c r="P29" s="532">
        <v>304</v>
      </c>
      <c r="T29" s="536" t="e">
        <f t="shared" si="5"/>
        <v>#REF!</v>
      </c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32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32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T32" s="539" t="e">
        <f>SUM(T10:T29)</f>
        <v>#REF!</v>
      </c>
    </row>
    <row r="33" spans="1:20" hidden="1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T33" s="513">
        <v>5492</v>
      </c>
    </row>
    <row r="34" spans="1:20" hidden="1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T34" s="540" t="e">
        <f>T32-T33</f>
        <v>#REF!</v>
      </c>
    </row>
    <row r="35" spans="1:20" hidden="1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T35" s="555" t="e">
        <f>T34/T32</f>
        <v>#REF!</v>
      </c>
    </row>
    <row r="36" spans="1:20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20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20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20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20">
      <c r="A40" s="580"/>
      <c r="C40" s="545"/>
      <c r="D40" s="545"/>
      <c r="E40" s="545"/>
      <c r="F40" s="545"/>
      <c r="G40" s="545"/>
      <c r="H40" s="545"/>
      <c r="I40" s="545"/>
      <c r="J40" s="545"/>
      <c r="K40" s="545"/>
      <c r="L40" s="545"/>
      <c r="M40" s="545"/>
      <c r="O40" s="541"/>
    </row>
    <row r="41" spans="1:20">
      <c r="A41" s="580"/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O41" s="541"/>
    </row>
    <row r="42" spans="1:20">
      <c r="A42" s="580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O42" s="541"/>
    </row>
    <row r="43" spans="1:20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20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20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20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20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20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8"/>
  <sheetViews>
    <sheetView showGridLines="0" topLeftCell="H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'16093-170'!R2</f>
        <v>#REF!</v>
      </c>
      <c r="S2" s="518"/>
      <c r="T2" s="519" t="e">
        <f>'16093-170'!T2</f>
        <v>#REF!</v>
      </c>
    </row>
    <row r="3" spans="1:20">
      <c r="A3" s="513" t="s">
        <v>532</v>
      </c>
      <c r="M3" s="520" t="s">
        <v>524</v>
      </c>
      <c r="R3" s="519" t="e">
        <f>'16093-170'!R3</f>
        <v>#REF!</v>
      </c>
      <c r="S3" s="518"/>
      <c r="T3" s="519" t="e">
        <f>'16093-170'!T3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'16093-170'!R4</f>
        <v>#REF!</v>
      </c>
      <c r="S4" s="518"/>
      <c r="T4" s="519" t="e">
        <f>'16093-170'!T4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'16093-170'!R5</f>
        <v>#REF!</v>
      </c>
      <c r="S5" s="518"/>
      <c r="T5" s="519" t="e">
        <f>'16093-170'!T5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'16093-170'!R6</f>
        <v>#REF!</v>
      </c>
      <c r="S6" s="518"/>
      <c r="T6" s="519" t="e">
        <f>'16093-170'!T6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0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0" si="1">A10*C10</f>
        <v>0</v>
      </c>
      <c r="H10" s="533"/>
      <c r="I10" s="533">
        <f>G10</f>
        <v>0</v>
      </c>
      <c r="J10" s="533"/>
      <c r="K10" s="533">
        <f t="shared" ref="K10:K20" si="2">$E$20-E10</f>
        <v>22</v>
      </c>
      <c r="L10" s="533"/>
      <c r="M10" s="533">
        <f t="shared" ref="M10:M20" si="3">(A10*K10)+I10</f>
        <v>0</v>
      </c>
      <c r="O10" s="534">
        <f t="shared" ref="O10:O20" si="4">I10/$I$20</f>
        <v>0</v>
      </c>
      <c r="P10" s="532">
        <v>0</v>
      </c>
      <c r="R10" s="535"/>
      <c r="S10" s="513"/>
      <c r="T10" s="536" t="e">
        <f t="shared" ref="T10:T20" si="5">IF(A10&lt;13000,C10*$T$2,IF(A10=13000,C10*$T$2,IF(AND(A10&lt;26000,A10&gt;13000),(C10*$T$2)+((A10-13000)/1000*$T$3*C10),IF(AND(A10&gt;25000,A10&lt;51000),(C10*$T$2)+(12*$T$3*C10)+((A10-25000)/1000*$T$4*C10),IF(AND(A10&lt;51000,A10&gt;25000),(C10*$T$2)+(12*$T$3*C10)+(25*$T$4*C10)+((A10-25000)/1000*$T$5*C10),IF(AND(A10&lt;101000,A10&gt;50000),(C10*$T$2)+(12*$T$3*C10)+(25*$T$4*C10)+((A10-50000)/1000*$T$5*C10),IF(A10&gt;100000,(C10*$T$2)+(12*$T$3*C10)+(25*$T$4*C10)+(50*$T$5*C10)+((A10-100000)/1000*$T$6*C10))))))))</f>
        <v>#REF!</v>
      </c>
    </row>
    <row r="11" spans="1:20" s="515" customFormat="1">
      <c r="A11" s="552">
        <f t="shared" si="0"/>
        <v>1000</v>
      </c>
      <c r="C11" s="532">
        <v>3</v>
      </c>
      <c r="D11" s="533"/>
      <c r="E11" s="533">
        <f t="shared" ref="E11:E20" si="6">E10+C11</f>
        <v>3</v>
      </c>
      <c r="F11" s="533"/>
      <c r="G11" s="533">
        <f t="shared" si="1"/>
        <v>3000</v>
      </c>
      <c r="H11" s="533"/>
      <c r="I11" s="533">
        <f t="shared" ref="I11:I20" si="7">I10+G11</f>
        <v>3000</v>
      </c>
      <c r="J11" s="533"/>
      <c r="K11" s="533">
        <f t="shared" si="2"/>
        <v>19</v>
      </c>
      <c r="L11" s="533"/>
      <c r="M11" s="533">
        <f t="shared" si="3"/>
        <v>22000</v>
      </c>
      <c r="O11" s="534">
        <f t="shared" si="4"/>
        <v>6.6964285714285711E-3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6</v>
      </c>
      <c r="D12" s="533"/>
      <c r="E12" s="533">
        <f t="shared" si="6"/>
        <v>9</v>
      </c>
      <c r="F12" s="533"/>
      <c r="G12" s="533">
        <f t="shared" si="1"/>
        <v>12000</v>
      </c>
      <c r="H12" s="533"/>
      <c r="I12" s="533">
        <f t="shared" si="7"/>
        <v>15000</v>
      </c>
      <c r="J12" s="533"/>
      <c r="K12" s="533">
        <f t="shared" si="2"/>
        <v>13</v>
      </c>
      <c r="L12" s="533"/>
      <c r="M12" s="533">
        <f t="shared" si="3"/>
        <v>41000</v>
      </c>
      <c r="O12" s="534">
        <f t="shared" si="4"/>
        <v>3.3482142857142856E-2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5</v>
      </c>
      <c r="D13" s="533"/>
      <c r="E13" s="533">
        <f t="shared" si="6"/>
        <v>14</v>
      </c>
      <c r="F13" s="533"/>
      <c r="G13" s="533">
        <f t="shared" si="1"/>
        <v>15000</v>
      </c>
      <c r="H13" s="533"/>
      <c r="I13" s="533">
        <f t="shared" si="7"/>
        <v>30000</v>
      </c>
      <c r="J13" s="533"/>
      <c r="K13" s="533">
        <f t="shared" si="2"/>
        <v>8</v>
      </c>
      <c r="L13" s="533"/>
      <c r="M13" s="533">
        <f t="shared" si="3"/>
        <v>54000</v>
      </c>
      <c r="N13" s="515"/>
      <c r="O13" s="534">
        <f t="shared" si="4"/>
        <v>6.6964285714285712E-2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1</v>
      </c>
      <c r="D14" s="533"/>
      <c r="E14" s="533">
        <f t="shared" si="6"/>
        <v>15</v>
      </c>
      <c r="F14" s="533"/>
      <c r="G14" s="533">
        <f t="shared" si="1"/>
        <v>4000</v>
      </c>
      <c r="H14" s="533"/>
      <c r="I14" s="533">
        <f t="shared" si="7"/>
        <v>34000</v>
      </c>
      <c r="J14" s="533"/>
      <c r="K14" s="533">
        <f t="shared" si="2"/>
        <v>7</v>
      </c>
      <c r="L14" s="533"/>
      <c r="M14" s="533">
        <f t="shared" si="3"/>
        <v>62000</v>
      </c>
      <c r="N14" s="515"/>
      <c r="O14" s="534">
        <f t="shared" si="4"/>
        <v>7.5892857142857137E-2</v>
      </c>
      <c r="P14" s="532">
        <v>4</v>
      </c>
      <c r="T14" s="536" t="e">
        <f t="shared" si="5"/>
        <v>#REF!</v>
      </c>
    </row>
    <row r="15" spans="1:20">
      <c r="A15" s="552">
        <f t="shared" si="0"/>
        <v>5000</v>
      </c>
      <c r="B15" s="515"/>
      <c r="C15" s="532">
        <v>1</v>
      </c>
      <c r="D15" s="533"/>
      <c r="E15" s="533">
        <f t="shared" si="6"/>
        <v>16</v>
      </c>
      <c r="F15" s="533"/>
      <c r="G15" s="533">
        <f t="shared" si="1"/>
        <v>5000</v>
      </c>
      <c r="H15" s="533"/>
      <c r="I15" s="533">
        <f t="shared" si="7"/>
        <v>39000</v>
      </c>
      <c r="J15" s="533"/>
      <c r="K15" s="533">
        <f t="shared" si="2"/>
        <v>6</v>
      </c>
      <c r="L15" s="533"/>
      <c r="M15" s="533">
        <f t="shared" si="3"/>
        <v>69000</v>
      </c>
      <c r="N15" s="515"/>
      <c r="O15" s="534">
        <f t="shared" si="4"/>
        <v>8.7053571428571425E-2</v>
      </c>
      <c r="P15" s="532">
        <v>5</v>
      </c>
      <c r="T15" s="536" t="e">
        <f t="shared" si="5"/>
        <v>#REF!</v>
      </c>
    </row>
    <row r="16" spans="1:20">
      <c r="A16" s="531">
        <f t="shared" si="0"/>
        <v>6000</v>
      </c>
      <c r="B16" s="515"/>
      <c r="C16" s="532">
        <v>2</v>
      </c>
      <c r="D16" s="533"/>
      <c r="E16" s="533">
        <f t="shared" si="6"/>
        <v>18</v>
      </c>
      <c r="F16" s="533"/>
      <c r="G16" s="533">
        <f t="shared" si="1"/>
        <v>12000</v>
      </c>
      <c r="H16" s="533"/>
      <c r="I16" s="533">
        <f t="shared" si="7"/>
        <v>51000</v>
      </c>
      <c r="J16" s="533"/>
      <c r="K16" s="533">
        <f t="shared" si="2"/>
        <v>4</v>
      </c>
      <c r="L16" s="533"/>
      <c r="M16" s="533">
        <f t="shared" si="3"/>
        <v>75000</v>
      </c>
      <c r="N16" s="515"/>
      <c r="O16" s="534">
        <f t="shared" si="4"/>
        <v>0.11383928571428571</v>
      </c>
      <c r="P16" s="532">
        <v>6</v>
      </c>
      <c r="T16" s="536" t="e">
        <f t="shared" si="5"/>
        <v>#REF!</v>
      </c>
    </row>
    <row r="17" spans="1:20">
      <c r="A17" s="531">
        <f t="shared" si="0"/>
        <v>7000</v>
      </c>
      <c r="B17" s="515"/>
      <c r="C17" s="532">
        <v>1</v>
      </c>
      <c r="D17" s="533"/>
      <c r="E17" s="533">
        <f t="shared" si="6"/>
        <v>19</v>
      </c>
      <c r="F17" s="533"/>
      <c r="G17" s="533">
        <f t="shared" si="1"/>
        <v>7000</v>
      </c>
      <c r="H17" s="533"/>
      <c r="I17" s="533">
        <f t="shared" si="7"/>
        <v>58000</v>
      </c>
      <c r="J17" s="533"/>
      <c r="K17" s="533">
        <f t="shared" si="2"/>
        <v>3</v>
      </c>
      <c r="L17" s="533"/>
      <c r="M17" s="533">
        <f t="shared" si="3"/>
        <v>79000</v>
      </c>
      <c r="N17" s="515"/>
      <c r="O17" s="534">
        <f t="shared" si="4"/>
        <v>0.12946428571428573</v>
      </c>
      <c r="P17" s="532">
        <v>7</v>
      </c>
      <c r="T17" s="536" t="e">
        <f t="shared" si="5"/>
        <v>#REF!</v>
      </c>
    </row>
    <row r="18" spans="1:20">
      <c r="A18" s="531">
        <f t="shared" si="0"/>
        <v>9000</v>
      </c>
      <c r="B18" s="515"/>
      <c r="C18" s="532">
        <v>1</v>
      </c>
      <c r="D18" s="533"/>
      <c r="E18" s="533">
        <f t="shared" si="6"/>
        <v>20</v>
      </c>
      <c r="F18" s="533"/>
      <c r="G18" s="533">
        <f t="shared" si="1"/>
        <v>9000</v>
      </c>
      <c r="H18" s="533"/>
      <c r="I18" s="533">
        <f t="shared" si="7"/>
        <v>67000</v>
      </c>
      <c r="J18" s="533"/>
      <c r="K18" s="533">
        <f t="shared" si="2"/>
        <v>2</v>
      </c>
      <c r="L18" s="533"/>
      <c r="M18" s="533">
        <f t="shared" si="3"/>
        <v>85000</v>
      </c>
      <c r="N18" s="515"/>
      <c r="O18" s="534">
        <f t="shared" si="4"/>
        <v>0.14955357142857142</v>
      </c>
      <c r="P18" s="532">
        <v>9</v>
      </c>
      <c r="T18" s="536" t="e">
        <f t="shared" si="5"/>
        <v>#REF!</v>
      </c>
    </row>
    <row r="19" spans="1:20">
      <c r="A19" s="531">
        <f t="shared" si="0"/>
        <v>121000</v>
      </c>
      <c r="B19" s="515"/>
      <c r="C19" s="532">
        <v>1</v>
      </c>
      <c r="D19" s="533"/>
      <c r="E19" s="533">
        <f t="shared" si="6"/>
        <v>21</v>
      </c>
      <c r="F19" s="533"/>
      <c r="G19" s="533">
        <f t="shared" si="1"/>
        <v>121000</v>
      </c>
      <c r="H19" s="533"/>
      <c r="I19" s="533">
        <f t="shared" si="7"/>
        <v>188000</v>
      </c>
      <c r="J19" s="533"/>
      <c r="K19" s="533">
        <f t="shared" si="2"/>
        <v>1</v>
      </c>
      <c r="L19" s="533"/>
      <c r="M19" s="533">
        <f t="shared" si="3"/>
        <v>309000</v>
      </c>
      <c r="N19" s="515"/>
      <c r="O19" s="534">
        <f t="shared" si="4"/>
        <v>0.41964285714285715</v>
      </c>
      <c r="P19" s="532">
        <v>121</v>
      </c>
      <c r="T19" s="536" t="e">
        <f t="shared" si="5"/>
        <v>#REF!</v>
      </c>
    </row>
    <row r="20" spans="1:20">
      <c r="A20" s="531">
        <f t="shared" si="0"/>
        <v>260000</v>
      </c>
      <c r="B20" s="544"/>
      <c r="C20" s="532">
        <v>1</v>
      </c>
      <c r="D20" s="545"/>
      <c r="E20" s="533">
        <f t="shared" si="6"/>
        <v>22</v>
      </c>
      <c r="F20" s="533"/>
      <c r="G20" s="533">
        <f t="shared" si="1"/>
        <v>260000</v>
      </c>
      <c r="H20" s="533"/>
      <c r="I20" s="533">
        <f t="shared" si="7"/>
        <v>448000</v>
      </c>
      <c r="J20" s="545"/>
      <c r="K20" s="533">
        <f t="shared" si="2"/>
        <v>0</v>
      </c>
      <c r="L20" s="545"/>
      <c r="M20" s="533">
        <f t="shared" si="3"/>
        <v>448000</v>
      </c>
      <c r="O20" s="534">
        <f t="shared" si="4"/>
        <v>1</v>
      </c>
      <c r="P20" s="532">
        <v>260</v>
      </c>
      <c r="T20" s="536" t="e">
        <f t="shared" si="5"/>
        <v>#REF!</v>
      </c>
    </row>
    <row r="21" spans="1:20">
      <c r="A21" s="531"/>
      <c r="B21" s="515"/>
      <c r="C21" s="561"/>
      <c r="D21" s="515"/>
      <c r="E21" s="533"/>
      <c r="F21" s="533"/>
      <c r="G21" s="533"/>
      <c r="H21" s="533"/>
      <c r="I21" s="533"/>
      <c r="J21" s="515"/>
      <c r="K21" s="533"/>
      <c r="L21" s="515"/>
      <c r="M21" s="533"/>
      <c r="N21" s="515"/>
      <c r="O21" s="534"/>
      <c r="P21" s="547"/>
      <c r="T21" s="536"/>
    </row>
    <row r="22" spans="1:20">
      <c r="A22" s="531"/>
      <c r="B22" s="529"/>
      <c r="C22" s="561"/>
      <c r="D22" s="529"/>
      <c r="E22" s="533"/>
      <c r="F22" s="533"/>
      <c r="G22" s="533"/>
      <c r="H22" s="533"/>
      <c r="I22" s="533"/>
      <c r="J22" s="529"/>
      <c r="K22" s="533"/>
      <c r="L22" s="529"/>
      <c r="M22" s="533"/>
      <c r="N22" s="529"/>
      <c r="O22" s="534"/>
      <c r="P22" s="547"/>
      <c r="T22" s="554" t="e">
        <f>SUM(T10:T20)</f>
        <v>#REF!</v>
      </c>
    </row>
    <row r="23" spans="1:20" hidden="1">
      <c r="A23" s="531"/>
      <c r="B23" s="523"/>
      <c r="C23" s="561"/>
      <c r="D23" s="523"/>
      <c r="E23" s="533"/>
      <c r="F23" s="533"/>
      <c r="G23" s="533"/>
      <c r="H23" s="533"/>
      <c r="I23" s="533"/>
      <c r="J23" s="523"/>
      <c r="K23" s="533"/>
      <c r="L23" s="523"/>
      <c r="M23" s="533"/>
      <c r="N23" s="523"/>
      <c r="O23" s="534"/>
      <c r="P23" s="547"/>
      <c r="T23" s="536">
        <v>1583</v>
      </c>
    </row>
    <row r="24" spans="1:20" hidden="1">
      <c r="A24" s="531"/>
      <c r="B24" s="525"/>
      <c r="C24" s="561"/>
      <c r="D24" s="525"/>
      <c r="E24" s="533"/>
      <c r="F24" s="533"/>
      <c r="G24" s="533"/>
      <c r="H24" s="533"/>
      <c r="I24" s="533"/>
      <c r="J24" s="525"/>
      <c r="K24" s="533"/>
      <c r="L24" s="525"/>
      <c r="M24" s="533"/>
      <c r="N24" s="525"/>
      <c r="O24" s="534"/>
      <c r="P24" s="547"/>
      <c r="T24" s="536" t="e">
        <f>T22-T23</f>
        <v>#REF!</v>
      </c>
    </row>
    <row r="25" spans="1:20" hidden="1">
      <c r="A25" s="531"/>
      <c r="B25" s="525"/>
      <c r="C25" s="561"/>
      <c r="D25" s="525"/>
      <c r="E25" s="533"/>
      <c r="F25" s="533"/>
      <c r="G25" s="533"/>
      <c r="H25" s="533"/>
      <c r="I25" s="533"/>
      <c r="J25" s="525"/>
      <c r="K25" s="533"/>
      <c r="L25" s="525"/>
      <c r="M25" s="533"/>
      <c r="N25" s="525"/>
      <c r="O25" s="534"/>
      <c r="P25" s="547"/>
      <c r="T25" s="569" t="e">
        <f>T24/T22</f>
        <v>#REF!</v>
      </c>
    </row>
    <row r="26" spans="1:20">
      <c r="A26" s="531"/>
      <c r="B26" s="525"/>
      <c r="C26" s="561"/>
      <c r="D26" s="525"/>
      <c r="E26" s="533"/>
      <c r="F26" s="533"/>
      <c r="G26" s="533"/>
      <c r="H26" s="533"/>
      <c r="I26" s="533"/>
      <c r="J26" s="525"/>
      <c r="K26" s="533"/>
      <c r="L26" s="525"/>
      <c r="M26" s="533"/>
      <c r="N26" s="525"/>
      <c r="O26" s="534"/>
      <c r="P26" s="547"/>
      <c r="T26" s="536"/>
    </row>
    <row r="27" spans="1:20">
      <c r="A27" s="531"/>
      <c r="B27" s="515"/>
      <c r="C27" s="561"/>
      <c r="D27" s="529"/>
      <c r="E27" s="533"/>
      <c r="F27" s="533"/>
      <c r="G27" s="533"/>
      <c r="H27" s="533"/>
      <c r="I27" s="533"/>
      <c r="J27" s="529"/>
      <c r="K27" s="533"/>
      <c r="L27" s="529"/>
      <c r="M27" s="533"/>
      <c r="N27" s="529"/>
      <c r="O27" s="534"/>
      <c r="P27" s="547"/>
      <c r="T27" s="536"/>
    </row>
    <row r="28" spans="1:20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20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80"/>
      <c r="C37" s="545"/>
      <c r="D37" s="545"/>
      <c r="E37" s="545"/>
      <c r="F37" s="545"/>
      <c r="G37" s="545"/>
      <c r="H37" s="545"/>
      <c r="I37" s="545"/>
      <c r="J37" s="545"/>
      <c r="K37" s="545"/>
      <c r="L37" s="545"/>
      <c r="M37" s="545"/>
      <c r="O37" s="541"/>
    </row>
    <row r="38" spans="1:16">
      <c r="A38" s="580"/>
      <c r="C38" s="545"/>
      <c r="D38" s="545"/>
      <c r="E38" s="545"/>
      <c r="F38" s="545"/>
      <c r="G38" s="545"/>
      <c r="H38" s="545"/>
      <c r="I38" s="545"/>
      <c r="J38" s="545"/>
      <c r="K38" s="545"/>
      <c r="L38" s="545"/>
      <c r="M38" s="545"/>
      <c r="O38" s="541"/>
    </row>
    <row r="39" spans="1:16">
      <c r="A39" s="580"/>
      <c r="C39" s="545"/>
      <c r="D39" s="545"/>
      <c r="E39" s="545"/>
      <c r="F39" s="545"/>
      <c r="G39" s="545"/>
      <c r="H39" s="545"/>
      <c r="I39" s="545"/>
      <c r="J39" s="545"/>
      <c r="K39" s="545"/>
      <c r="L39" s="545"/>
      <c r="M39" s="545"/>
      <c r="O39" s="541"/>
    </row>
    <row r="40" spans="1:16">
      <c r="A40" s="580"/>
      <c r="C40" s="545"/>
      <c r="D40" s="545"/>
      <c r="E40" s="545"/>
      <c r="F40" s="545"/>
      <c r="G40" s="545"/>
      <c r="H40" s="545"/>
      <c r="I40" s="545"/>
      <c r="J40" s="545"/>
      <c r="K40" s="545"/>
      <c r="L40" s="545"/>
      <c r="M40" s="545"/>
      <c r="O40" s="541"/>
    </row>
    <row r="41" spans="1:16">
      <c r="A41" s="580"/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O41" s="541"/>
    </row>
    <row r="42" spans="1:16">
      <c r="A42" s="580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O42" s="541"/>
    </row>
    <row r="43" spans="1:16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106"/>
  <sheetViews>
    <sheetView view="pageBreakPreview" zoomScaleNormal="100" zoomScaleSheetLayoutView="100" workbookViewId="0">
      <selection activeCell="C22" sqref="C22"/>
    </sheetView>
  </sheetViews>
  <sheetFormatPr defaultRowHeight="12.75"/>
  <cols>
    <col min="1" max="1" width="8.875" style="1161" customWidth="1"/>
    <col min="2" max="2" width="43.5" style="1161" bestFit="1" customWidth="1"/>
    <col min="3" max="3" width="1.25" style="1161" customWidth="1"/>
    <col min="4" max="4" width="9.25" style="1137" bestFit="1" customWidth="1"/>
    <col min="5" max="5" width="1.25" style="1137" customWidth="1"/>
    <col min="6" max="6" width="10.875" style="1137" bestFit="1" customWidth="1"/>
    <col min="7" max="7" width="1.5" style="1137" customWidth="1"/>
    <col min="8" max="8" width="9.875" style="1137" bestFit="1" customWidth="1"/>
    <col min="9" max="9" width="1.125" style="1137" customWidth="1"/>
    <col min="10" max="10" width="11.625" style="1137" bestFit="1" customWidth="1"/>
    <col min="11" max="11" width="9" style="1137"/>
    <col min="12" max="12" width="12.5" style="1223" bestFit="1" customWidth="1"/>
    <col min="13" max="16384" width="9" style="1161"/>
  </cols>
  <sheetData>
    <row r="1" spans="1:12">
      <c r="A1" s="1274" t="str">
        <f>'Input Schedule'!G6</f>
        <v>WATER SERVICE CORPORATION OF KENTUCKY</v>
      </c>
      <c r="F1" s="1317" t="s">
        <v>94</v>
      </c>
      <c r="I1" s="1161"/>
      <c r="J1" s="1161"/>
      <c r="K1" s="1161"/>
      <c r="L1" s="1161"/>
    </row>
    <row r="2" spans="1:12">
      <c r="A2" s="1274" t="str">
        <f>'Sch.A-B.S'!F2</f>
        <v>Case No. 2013 - 00237</v>
      </c>
      <c r="I2" s="1161"/>
      <c r="J2" s="1161"/>
      <c r="K2" s="1161"/>
      <c r="L2" s="1161"/>
    </row>
    <row r="3" spans="1:12">
      <c r="A3" s="1274" t="str">
        <f>'Input Schedule'!G9</f>
        <v>Test Year 12/31/2012</v>
      </c>
      <c r="I3" s="1161"/>
      <c r="J3" s="1161"/>
      <c r="K3" s="1161"/>
      <c r="L3" s="1161"/>
    </row>
    <row r="4" spans="1:12">
      <c r="A4" s="1274" t="s">
        <v>1245</v>
      </c>
      <c r="I4" s="1161"/>
      <c r="J4" s="1161"/>
      <c r="K4" s="1161"/>
      <c r="L4" s="1161"/>
    </row>
    <row r="5" spans="1:12">
      <c r="A5" s="1274" t="s">
        <v>1246</v>
      </c>
      <c r="I5" s="1161"/>
      <c r="J5" s="1161"/>
      <c r="K5" s="1161"/>
      <c r="L5" s="1161"/>
    </row>
    <row r="8" spans="1:12">
      <c r="B8" s="1161" t="s">
        <v>1290</v>
      </c>
      <c r="E8" s="1161"/>
      <c r="F8" s="1275">
        <f>'Sch.B-I.S'!J8+'Sch.B-I.S'!J10</f>
        <v>2182807.7177777765</v>
      </c>
      <c r="I8" s="1161"/>
      <c r="J8" s="1161"/>
      <c r="K8" s="1161"/>
      <c r="L8" s="1161"/>
    </row>
    <row r="9" spans="1:12">
      <c r="B9" s="1161" t="s">
        <v>1291</v>
      </c>
      <c r="E9" s="1161"/>
      <c r="F9" s="1276">
        <f>'Sch.B-I.S'!J27+'Sch.B-I.S'!J39+'Sch.B-I.S'!J41+'Sch.B-I.S'!J43+'Sch.B-I.S'!J44+'Sch.B-I.S'!J47-'Linked TB'!E626</f>
        <v>1798552.0643267825</v>
      </c>
      <c r="I9" s="1161"/>
      <c r="J9" s="1161"/>
      <c r="K9" s="1161"/>
      <c r="L9" s="1161"/>
    </row>
    <row r="10" spans="1:12" ht="13.5" thickBot="1">
      <c r="B10" s="1161" t="s">
        <v>1292</v>
      </c>
      <c r="E10" s="1161"/>
      <c r="F10" s="1277">
        <f>+F8/F9</f>
        <v>1.2136472227145814</v>
      </c>
      <c r="I10" s="1161"/>
      <c r="J10" s="1161"/>
      <c r="K10" s="1161"/>
      <c r="L10" s="1161"/>
    </row>
    <row r="11" spans="1:12" ht="13.5" thickTop="1">
      <c r="E11" s="1161"/>
      <c r="F11" s="1148"/>
      <c r="I11" s="1161"/>
      <c r="J11" s="1161"/>
      <c r="K11" s="1161"/>
      <c r="L11" s="1161"/>
    </row>
    <row r="12" spans="1:12">
      <c r="B12" s="1161" t="s">
        <v>1293</v>
      </c>
      <c r="E12" s="1161"/>
      <c r="F12" s="1148"/>
      <c r="H12" s="1137">
        <f>F12*0.12</f>
        <v>0</v>
      </c>
      <c r="I12" s="1161"/>
      <c r="J12" s="1161"/>
      <c r="K12" s="1161"/>
      <c r="L12" s="1161"/>
    </row>
    <row r="13" spans="1:12">
      <c r="B13" s="1161" t="s">
        <v>1737</v>
      </c>
      <c r="E13" s="1161"/>
      <c r="F13" s="1148">
        <f>'Sch.B-I.S'!N87</f>
        <v>877992.22898622823</v>
      </c>
      <c r="I13" s="1161"/>
      <c r="J13" s="1161"/>
      <c r="K13" s="1161"/>
      <c r="L13" s="1161"/>
    </row>
    <row r="14" spans="1:12">
      <c r="B14" s="1161" t="s">
        <v>1738</v>
      </c>
      <c r="E14" s="1161"/>
      <c r="F14" s="1148">
        <f>'Sch.B-I.S'!N99</f>
        <v>623526.40805033362</v>
      </c>
      <c r="I14" s="1161"/>
      <c r="J14" s="1161"/>
      <c r="K14" s="1161"/>
      <c r="L14" s="1161"/>
    </row>
    <row r="15" spans="1:12">
      <c r="B15" s="1161" t="s">
        <v>1739</v>
      </c>
      <c r="E15" s="1161"/>
      <c r="F15" s="1148">
        <f>'Sch.B-I.S'!N101</f>
        <v>281828.39030177274</v>
      </c>
      <c r="I15" s="1161"/>
      <c r="J15" s="1161"/>
      <c r="K15" s="1161"/>
      <c r="L15" s="1161"/>
    </row>
    <row r="16" spans="1:12">
      <c r="B16" s="1161" t="s">
        <v>1740</v>
      </c>
      <c r="E16" s="1161"/>
      <c r="F16" s="1148">
        <f>'Sch.B-I.S'!N105</f>
        <v>-4229.4045999999998</v>
      </c>
      <c r="I16" s="1161"/>
      <c r="J16" s="1161"/>
      <c r="K16" s="1161"/>
      <c r="L16" s="1161"/>
    </row>
    <row r="17" spans="1:12">
      <c r="B17" s="1161" t="s">
        <v>1761</v>
      </c>
      <c r="E17" s="1161"/>
      <c r="F17" s="1148">
        <f>'Sch.B-I.S'!N104</f>
        <v>-120708.3403681568</v>
      </c>
      <c r="I17" s="1161"/>
      <c r="J17" s="1161"/>
      <c r="K17" s="1161"/>
      <c r="L17" s="1161"/>
    </row>
    <row r="18" spans="1:12">
      <c r="B18" s="1161" t="s">
        <v>1741</v>
      </c>
      <c r="E18" s="1161"/>
      <c r="F18" s="1148">
        <f>SUM('Linked TB'!E621:E625)</f>
        <v>82391.7</v>
      </c>
    </row>
    <row r="19" spans="1:12">
      <c r="B19" s="1161" t="s">
        <v>1742</v>
      </c>
      <c r="E19" s="1161"/>
      <c r="F19" s="1148">
        <f>'Wp b - salary'!K80</f>
        <v>57751.081956604554</v>
      </c>
    </row>
    <row r="20" spans="1:12">
      <c r="B20" s="1161" t="s">
        <v>1760</v>
      </c>
      <c r="E20" s="1161"/>
      <c r="F20" s="1278">
        <f>SUM(F13:F19)</f>
        <v>1798552.0643267825</v>
      </c>
    </row>
    <row r="21" spans="1:12">
      <c r="B21" s="1161" t="s">
        <v>1294</v>
      </c>
      <c r="E21" s="1161"/>
      <c r="F21" s="1279">
        <v>0.88</v>
      </c>
    </row>
    <row r="22" spans="1:12">
      <c r="E22" s="1161"/>
      <c r="F22" s="1280"/>
    </row>
    <row r="23" spans="1:12">
      <c r="B23" s="1161" t="s">
        <v>374</v>
      </c>
      <c r="E23" s="1161"/>
      <c r="F23" s="1148">
        <f>F20/F21</f>
        <v>2043809.1640077073</v>
      </c>
    </row>
    <row r="24" spans="1:12" ht="18.75" customHeight="1">
      <c r="B24" s="1161" t="s">
        <v>1729</v>
      </c>
      <c r="E24" s="1161"/>
      <c r="F24" s="1148">
        <f>F9</f>
        <v>1798552.0643267825</v>
      </c>
    </row>
    <row r="25" spans="1:12" ht="13.5" thickBot="1">
      <c r="B25" s="1281" t="s">
        <v>1730</v>
      </c>
      <c r="E25" s="1161"/>
      <c r="F25" s="1282">
        <f>F23-F24</f>
        <v>245257.09968092479</v>
      </c>
    </row>
    <row r="26" spans="1:12" ht="13.5" thickTop="1">
      <c r="B26" s="1281"/>
      <c r="E26" s="1161"/>
      <c r="F26" s="1148"/>
    </row>
    <row r="28" spans="1:12">
      <c r="A28" s="1188"/>
      <c r="B28" s="1188"/>
      <c r="C28" s="1188"/>
      <c r="D28" s="1283"/>
      <c r="E28" s="1283"/>
      <c r="F28" s="1283"/>
      <c r="G28" s="1283"/>
      <c r="H28" s="1283"/>
      <c r="I28" s="1283"/>
      <c r="J28" s="1283"/>
      <c r="K28" s="1283"/>
      <c r="L28" s="1234"/>
    </row>
    <row r="29" spans="1:12">
      <c r="A29" s="1188"/>
      <c r="B29" s="1188"/>
      <c r="C29" s="1188"/>
      <c r="D29" s="1283"/>
      <c r="E29" s="1283"/>
      <c r="F29" s="1283"/>
      <c r="G29" s="1283"/>
      <c r="H29" s="1283"/>
      <c r="I29" s="1283"/>
      <c r="J29" s="1283"/>
      <c r="K29" s="1283"/>
      <c r="L29" s="1234"/>
    </row>
    <row r="30" spans="1:12">
      <c r="A30" s="1188"/>
      <c r="B30" s="1188"/>
      <c r="C30" s="1188"/>
      <c r="D30" s="1283"/>
      <c r="E30" s="1283"/>
      <c r="F30" s="1283"/>
      <c r="G30" s="1283"/>
      <c r="H30" s="1283"/>
      <c r="I30" s="1283"/>
      <c r="J30" s="1283"/>
      <c r="K30" s="1283"/>
      <c r="L30" s="1234"/>
    </row>
    <row r="31" spans="1:12">
      <c r="A31" s="1188"/>
      <c r="B31" s="1188"/>
      <c r="C31" s="1188"/>
      <c r="D31" s="1283"/>
      <c r="E31" s="1283"/>
      <c r="F31" s="1283"/>
      <c r="G31" s="1283"/>
      <c r="H31" s="1283"/>
      <c r="I31" s="1283"/>
      <c r="J31" s="1283"/>
      <c r="K31" s="1283"/>
      <c r="L31" s="1234"/>
    </row>
    <row r="32" spans="1:12">
      <c r="A32" s="1188"/>
      <c r="B32" s="1188"/>
      <c r="C32" s="1188"/>
      <c r="D32" s="1283"/>
      <c r="E32" s="1283"/>
      <c r="F32" s="1283"/>
      <c r="G32" s="1283"/>
      <c r="H32" s="1283"/>
      <c r="I32" s="1283"/>
      <c r="J32" s="1283"/>
      <c r="K32" s="1283"/>
      <c r="L32" s="1234"/>
    </row>
    <row r="33" spans="1:12">
      <c r="A33" s="1188"/>
      <c r="B33" s="1188"/>
      <c r="C33" s="1188"/>
      <c r="D33" s="1283"/>
      <c r="E33" s="1283"/>
      <c r="F33" s="1283"/>
      <c r="G33" s="1283"/>
      <c r="H33" s="1283"/>
      <c r="I33" s="1283"/>
      <c r="J33" s="1283"/>
      <c r="K33" s="1283"/>
      <c r="L33" s="1234"/>
    </row>
    <row r="34" spans="1:12">
      <c r="A34" s="1188"/>
      <c r="B34" s="1188"/>
      <c r="C34" s="1188"/>
      <c r="D34" s="1284"/>
      <c r="E34" s="1283"/>
      <c r="F34" s="1284"/>
      <c r="G34" s="1283"/>
      <c r="H34" s="1283"/>
      <c r="I34" s="1283"/>
      <c r="J34" s="1284"/>
      <c r="K34" s="1283"/>
      <c r="L34" s="1234"/>
    </row>
    <row r="35" spans="1:12">
      <c r="A35" s="1188"/>
      <c r="B35" s="1188"/>
      <c r="C35" s="1188"/>
      <c r="D35" s="1284"/>
      <c r="E35" s="1283"/>
      <c r="F35" s="1284"/>
      <c r="G35" s="1283"/>
      <c r="H35" s="1284"/>
      <c r="I35" s="1283"/>
      <c r="J35" s="1284"/>
      <c r="K35" s="1283"/>
      <c r="L35" s="1234"/>
    </row>
    <row r="36" spans="1:12">
      <c r="A36" s="1188"/>
      <c r="B36" s="1285"/>
      <c r="C36" s="1188"/>
      <c r="D36" s="1283"/>
      <c r="E36" s="1283"/>
      <c r="F36" s="1283"/>
      <c r="G36" s="1283"/>
      <c r="H36" s="1283"/>
      <c r="I36" s="1283"/>
      <c r="J36" s="1283"/>
      <c r="K36" s="1283"/>
      <c r="L36" s="1234"/>
    </row>
    <row r="37" spans="1:12">
      <c r="A37" s="1188"/>
      <c r="B37" s="1286"/>
      <c r="C37" s="1188"/>
      <c r="D37" s="1283"/>
      <c r="E37" s="1283"/>
      <c r="F37" s="1283"/>
      <c r="G37" s="1283"/>
      <c r="H37" s="1283"/>
      <c r="I37" s="1283"/>
      <c r="J37" s="1283"/>
      <c r="K37" s="1283"/>
      <c r="L37" s="1234"/>
    </row>
    <row r="38" spans="1:12">
      <c r="A38" s="1188"/>
      <c r="B38" s="1286"/>
      <c r="C38" s="1188"/>
      <c r="D38" s="1283"/>
      <c r="E38" s="1283"/>
      <c r="F38" s="1283"/>
      <c r="G38" s="1283"/>
      <c r="H38" s="1283"/>
      <c r="I38" s="1283"/>
      <c r="J38" s="1283"/>
      <c r="K38" s="1283"/>
      <c r="L38" s="1234"/>
    </row>
    <row r="39" spans="1:12">
      <c r="A39" s="1188"/>
      <c r="B39" s="1286"/>
      <c r="C39" s="1188"/>
      <c r="D39" s="1283"/>
      <c r="E39" s="1283"/>
      <c r="F39" s="1283"/>
      <c r="G39" s="1283"/>
      <c r="H39" s="1283"/>
      <c r="I39" s="1283"/>
      <c r="J39" s="1283"/>
      <c r="K39" s="1283"/>
      <c r="L39" s="1234"/>
    </row>
    <row r="40" spans="1:12">
      <c r="A40" s="1188"/>
      <c r="B40" s="1286"/>
      <c r="C40" s="1188"/>
      <c r="D40" s="1283"/>
      <c r="E40" s="1283"/>
      <c r="F40" s="1283"/>
      <c r="G40" s="1283"/>
      <c r="H40" s="1283"/>
      <c r="I40" s="1283"/>
      <c r="J40" s="1283"/>
      <c r="K40" s="1283"/>
      <c r="L40" s="1234"/>
    </row>
    <row r="41" spans="1:12">
      <c r="A41" s="1188"/>
      <c r="B41" s="1285"/>
      <c r="C41" s="1188"/>
      <c r="D41" s="1283"/>
      <c r="E41" s="1283"/>
      <c r="F41" s="1287"/>
      <c r="G41" s="1283"/>
      <c r="H41" s="1283"/>
      <c r="I41" s="1283"/>
      <c r="J41" s="1283"/>
      <c r="K41" s="1283"/>
      <c r="L41" s="1234"/>
    </row>
    <row r="42" spans="1:12">
      <c r="A42" s="1188"/>
      <c r="B42" s="1188"/>
      <c r="C42" s="1188"/>
      <c r="D42" s="1283"/>
      <c r="E42" s="1283"/>
      <c r="F42" s="1283"/>
      <c r="G42" s="1283"/>
      <c r="H42" s="1283"/>
      <c r="I42" s="1283"/>
      <c r="J42" s="1283"/>
      <c r="K42" s="1283"/>
      <c r="L42" s="1288"/>
    </row>
    <row r="43" spans="1:12">
      <c r="A43" s="1188"/>
      <c r="B43" s="1285"/>
      <c r="C43" s="1188"/>
      <c r="D43" s="1283"/>
      <c r="E43" s="1283"/>
      <c r="F43" s="1289"/>
      <c r="G43" s="1283"/>
      <c r="H43" s="1283"/>
      <c r="I43" s="1283"/>
      <c r="J43" s="1283"/>
      <c r="K43" s="1283"/>
      <c r="L43" s="1288"/>
    </row>
    <row r="44" spans="1:12">
      <c r="A44" s="1188"/>
      <c r="B44" s="1188"/>
      <c r="C44" s="1188"/>
      <c r="D44" s="1283"/>
      <c r="E44" s="1283"/>
      <c r="F44" s="1283"/>
      <c r="G44" s="1283"/>
      <c r="H44" s="1283"/>
      <c r="I44" s="1283"/>
      <c r="J44" s="1283"/>
      <c r="K44" s="1283"/>
      <c r="L44" s="1234"/>
    </row>
    <row r="45" spans="1:12">
      <c r="A45" s="1188"/>
      <c r="B45" s="1188"/>
      <c r="C45" s="1188"/>
      <c r="D45" s="1188"/>
      <c r="E45" s="1188"/>
      <c r="F45" s="1188"/>
      <c r="G45" s="1188"/>
      <c r="H45" s="1188"/>
      <c r="I45" s="1283"/>
      <c r="J45" s="1283"/>
      <c r="K45" s="1283"/>
      <c r="L45" s="1234"/>
    </row>
    <row r="46" spans="1:12">
      <c r="A46" s="1188"/>
      <c r="B46" s="1188"/>
      <c r="C46" s="1188"/>
      <c r="D46" s="1283"/>
      <c r="E46" s="1283"/>
      <c r="F46" s="1283"/>
      <c r="G46" s="1283"/>
      <c r="H46" s="1283"/>
      <c r="I46" s="1283"/>
      <c r="J46" s="1283"/>
      <c r="K46" s="1283"/>
      <c r="L46" s="1234"/>
    </row>
    <row r="47" spans="1:12">
      <c r="A47" s="1188"/>
      <c r="B47" s="1188"/>
      <c r="C47" s="1188"/>
      <c r="D47" s="1283"/>
      <c r="E47" s="1283"/>
      <c r="F47" s="1283"/>
      <c r="G47" s="1283"/>
      <c r="H47" s="1283"/>
      <c r="I47" s="1283"/>
      <c r="J47" s="1283"/>
      <c r="K47" s="1283"/>
      <c r="L47" s="1234"/>
    </row>
    <row r="48" spans="1:12">
      <c r="A48" s="1188"/>
      <c r="B48" s="1188"/>
      <c r="C48" s="1188"/>
      <c r="D48" s="1283"/>
      <c r="E48" s="1283"/>
      <c r="F48" s="1283"/>
      <c r="G48" s="1283"/>
      <c r="H48" s="1283"/>
      <c r="I48" s="1283"/>
      <c r="J48" s="1283"/>
      <c r="K48" s="1283"/>
      <c r="L48" s="1234"/>
    </row>
    <row r="49" spans="1:12">
      <c r="A49" s="1188"/>
      <c r="B49" s="1188"/>
      <c r="C49" s="1188"/>
      <c r="D49" s="1283"/>
      <c r="E49" s="1283"/>
      <c r="F49" s="1283"/>
      <c r="G49" s="1283"/>
      <c r="H49" s="1283"/>
      <c r="I49" s="1283"/>
      <c r="J49" s="1283"/>
      <c r="K49" s="1283"/>
      <c r="L49" s="1234"/>
    </row>
    <row r="50" spans="1:12">
      <c r="A50" s="1188"/>
      <c r="B50" s="1188"/>
      <c r="C50" s="1188"/>
      <c r="D50" s="1283"/>
      <c r="E50" s="1283"/>
      <c r="F50" s="1283"/>
      <c r="G50" s="1283"/>
      <c r="H50" s="1283"/>
      <c r="I50" s="1283"/>
      <c r="J50" s="1283"/>
      <c r="K50" s="1283"/>
      <c r="L50" s="1234"/>
    </row>
    <row r="51" spans="1:12">
      <c r="A51" s="1188"/>
      <c r="B51" s="1188"/>
      <c r="C51" s="1188"/>
      <c r="D51" s="1283"/>
      <c r="E51" s="1283"/>
      <c r="F51" s="1283"/>
      <c r="G51" s="1283"/>
      <c r="H51" s="1283"/>
      <c r="I51" s="1283"/>
      <c r="J51" s="1283"/>
      <c r="K51" s="1283"/>
      <c r="L51" s="1234"/>
    </row>
    <row r="52" spans="1:12">
      <c r="A52" s="1188"/>
      <c r="B52" s="1188"/>
      <c r="C52" s="1188"/>
      <c r="D52" s="1283"/>
      <c r="E52" s="1283"/>
      <c r="F52" s="1283"/>
      <c r="G52" s="1283"/>
      <c r="H52" s="1283"/>
      <c r="I52" s="1283"/>
      <c r="J52" s="1283"/>
      <c r="K52" s="1283"/>
      <c r="L52" s="1234"/>
    </row>
    <row r="53" spans="1:12">
      <c r="A53" s="1290"/>
      <c r="B53" s="1188"/>
      <c r="C53" s="1188"/>
      <c r="D53" s="1283"/>
      <c r="E53" s="1283"/>
      <c r="F53" s="1283"/>
      <c r="G53" s="1283"/>
      <c r="H53" s="1283"/>
      <c r="I53" s="1283"/>
      <c r="J53" s="1283"/>
      <c r="K53" s="1283"/>
      <c r="L53" s="1234"/>
    </row>
    <row r="54" spans="1:12">
      <c r="A54" s="1290"/>
      <c r="B54" s="1188"/>
      <c r="C54" s="1188"/>
      <c r="D54" s="1283"/>
      <c r="E54" s="1283"/>
      <c r="F54" s="1283"/>
      <c r="G54" s="1283"/>
      <c r="H54" s="1283"/>
      <c r="I54" s="1283"/>
      <c r="J54" s="1283"/>
      <c r="K54" s="1283"/>
      <c r="L54" s="1291"/>
    </row>
    <row r="55" spans="1:12">
      <c r="A55" s="1290"/>
      <c r="B55" s="1188"/>
      <c r="C55" s="1188"/>
      <c r="D55" s="1283"/>
      <c r="E55" s="1283"/>
      <c r="F55" s="1283"/>
      <c r="G55" s="1283"/>
      <c r="H55" s="1283"/>
      <c r="I55" s="1283"/>
      <c r="J55" s="1283"/>
      <c r="K55" s="1283"/>
      <c r="L55" s="1234"/>
    </row>
    <row r="56" spans="1:12">
      <c r="A56" s="1188"/>
      <c r="B56" s="1188"/>
      <c r="C56" s="1188"/>
      <c r="D56" s="1283"/>
      <c r="E56" s="1283"/>
      <c r="F56" s="1283"/>
      <c r="G56" s="1283"/>
      <c r="H56" s="1283"/>
      <c r="I56" s="1283"/>
      <c r="J56" s="1283"/>
      <c r="K56" s="1283"/>
      <c r="L56" s="1234"/>
    </row>
    <row r="57" spans="1:12">
      <c r="A57" s="1188"/>
      <c r="B57" s="1188"/>
      <c r="C57" s="1188"/>
      <c r="D57" s="1283"/>
      <c r="E57" s="1283"/>
      <c r="F57" s="1283"/>
      <c r="G57" s="1283"/>
      <c r="H57" s="1283"/>
      <c r="I57" s="1283"/>
      <c r="J57" s="1283"/>
      <c r="K57" s="1283"/>
      <c r="L57" s="1234"/>
    </row>
    <row r="58" spans="1:12">
      <c r="A58" s="1188"/>
      <c r="B58" s="1188"/>
      <c r="C58" s="1188"/>
      <c r="D58" s="1283"/>
      <c r="E58" s="1283"/>
      <c r="F58" s="1283"/>
      <c r="G58" s="1283"/>
      <c r="H58" s="1283"/>
      <c r="I58" s="1283"/>
      <c r="J58" s="1283"/>
      <c r="K58" s="1283"/>
      <c r="L58" s="1234"/>
    </row>
    <row r="59" spans="1:12">
      <c r="A59" s="1188"/>
      <c r="B59" s="1188"/>
      <c r="C59" s="1188"/>
      <c r="D59" s="1284"/>
      <c r="E59" s="1283"/>
      <c r="F59" s="1284"/>
      <c r="G59" s="1283"/>
      <c r="H59" s="1283"/>
      <c r="I59" s="1283"/>
      <c r="J59" s="1284"/>
      <c r="K59" s="1283"/>
      <c r="L59" s="1234"/>
    </row>
    <row r="60" spans="1:12">
      <c r="A60" s="1188"/>
      <c r="B60" s="1188"/>
      <c r="C60" s="1188"/>
      <c r="D60" s="1284"/>
      <c r="E60" s="1283"/>
      <c r="F60" s="1284"/>
      <c r="G60" s="1283"/>
      <c r="H60" s="1284"/>
      <c r="I60" s="1283"/>
      <c r="J60" s="1284"/>
      <c r="K60" s="1283"/>
      <c r="L60" s="1234"/>
    </row>
    <row r="61" spans="1:12">
      <c r="A61" s="1188"/>
      <c r="B61" s="1285"/>
      <c r="C61" s="1188"/>
      <c r="D61" s="1283"/>
      <c r="E61" s="1283"/>
      <c r="F61" s="1283"/>
      <c r="G61" s="1283"/>
      <c r="H61" s="1283"/>
      <c r="I61" s="1283"/>
      <c r="J61" s="1283"/>
      <c r="K61" s="1283"/>
      <c r="L61" s="1234"/>
    </row>
    <row r="62" spans="1:12">
      <c r="A62" s="1188"/>
      <c r="B62" s="1286"/>
      <c r="C62" s="1188"/>
      <c r="D62" s="1283"/>
      <c r="E62" s="1283"/>
      <c r="F62" s="1283"/>
      <c r="G62" s="1283"/>
      <c r="H62" s="1283"/>
      <c r="I62" s="1283"/>
      <c r="J62" s="1283"/>
      <c r="K62" s="1283"/>
      <c r="L62" s="1234"/>
    </row>
    <row r="63" spans="1:12">
      <c r="A63" s="1188"/>
      <c r="B63" s="1286"/>
      <c r="C63" s="1188"/>
      <c r="D63" s="1283"/>
      <c r="E63" s="1283"/>
      <c r="F63" s="1283"/>
      <c r="G63" s="1283"/>
      <c r="H63" s="1283"/>
      <c r="I63" s="1283"/>
      <c r="J63" s="1283"/>
      <c r="K63" s="1283"/>
      <c r="L63" s="1234"/>
    </row>
    <row r="64" spans="1:12">
      <c r="A64" s="1188"/>
      <c r="B64" s="1286"/>
      <c r="C64" s="1188"/>
      <c r="D64" s="1283"/>
      <c r="E64" s="1283"/>
      <c r="F64" s="1283"/>
      <c r="G64" s="1283"/>
      <c r="H64" s="1283"/>
      <c r="I64" s="1283"/>
      <c r="J64" s="1283"/>
      <c r="K64" s="1283"/>
      <c r="L64" s="1234"/>
    </row>
    <row r="65" spans="1:12">
      <c r="A65" s="1188"/>
      <c r="B65" s="1286"/>
      <c r="C65" s="1188"/>
      <c r="D65" s="1283"/>
      <c r="E65" s="1283"/>
      <c r="F65" s="1283"/>
      <c r="G65" s="1283"/>
      <c r="H65" s="1283"/>
      <c r="I65" s="1283"/>
      <c r="J65" s="1283"/>
      <c r="K65" s="1283"/>
      <c r="L65" s="1234"/>
    </row>
    <row r="66" spans="1:12">
      <c r="A66" s="1188"/>
      <c r="B66" s="1285"/>
      <c r="C66" s="1188"/>
      <c r="D66" s="1283"/>
      <c r="E66" s="1283"/>
      <c r="F66" s="1287"/>
      <c r="G66" s="1283"/>
      <c r="H66" s="1283"/>
      <c r="I66" s="1283"/>
      <c r="J66" s="1283"/>
      <c r="K66" s="1283"/>
      <c r="L66" s="1234"/>
    </row>
    <row r="67" spans="1:12">
      <c r="A67" s="1188"/>
      <c r="B67" s="1188"/>
      <c r="C67" s="1188"/>
      <c r="D67" s="1283"/>
      <c r="E67" s="1283"/>
      <c r="F67" s="1283"/>
      <c r="G67" s="1283"/>
      <c r="H67" s="1283"/>
      <c r="I67" s="1283"/>
      <c r="J67" s="1283"/>
      <c r="K67" s="1283"/>
      <c r="L67" s="1234"/>
    </row>
    <row r="68" spans="1:12">
      <c r="A68" s="1188"/>
      <c r="B68" s="1285"/>
      <c r="C68" s="1188"/>
      <c r="D68" s="1283"/>
      <c r="E68" s="1283"/>
      <c r="F68" s="1289"/>
      <c r="G68" s="1283"/>
      <c r="H68" s="1283"/>
      <c r="I68" s="1283"/>
      <c r="J68" s="1283"/>
      <c r="K68" s="1283"/>
      <c r="L68" s="1234"/>
    </row>
    <row r="69" spans="1:12">
      <c r="A69" s="1188"/>
      <c r="B69" s="1188"/>
      <c r="C69" s="1188"/>
      <c r="D69" s="1283"/>
      <c r="E69" s="1283"/>
      <c r="F69" s="1283"/>
      <c r="G69" s="1283"/>
      <c r="H69" s="1283"/>
      <c r="I69" s="1283"/>
      <c r="J69" s="1283"/>
      <c r="K69" s="1283"/>
      <c r="L69" s="1234"/>
    </row>
    <row r="70" spans="1:12">
      <c r="A70" s="1188"/>
      <c r="B70" s="1188"/>
      <c r="C70" s="1188"/>
      <c r="D70" s="1188"/>
      <c r="E70" s="1188"/>
      <c r="F70" s="1188"/>
      <c r="G70" s="1188"/>
      <c r="H70" s="1188"/>
      <c r="I70" s="1283"/>
      <c r="J70" s="1283"/>
      <c r="K70" s="1283"/>
      <c r="L70" s="1234"/>
    </row>
    <row r="71" spans="1:12">
      <c r="A71" s="1188"/>
      <c r="B71" s="1188"/>
      <c r="C71" s="1188"/>
      <c r="D71" s="1283"/>
      <c r="E71" s="1283"/>
      <c r="F71" s="1283"/>
      <c r="G71" s="1283"/>
      <c r="H71" s="1283"/>
      <c r="I71" s="1283"/>
      <c r="J71" s="1283"/>
      <c r="K71" s="1283"/>
      <c r="L71" s="1234"/>
    </row>
    <row r="72" spans="1:12">
      <c r="A72" s="1188"/>
      <c r="B72" s="1188"/>
      <c r="C72" s="1188"/>
      <c r="D72" s="1283"/>
      <c r="E72" s="1283"/>
      <c r="F72" s="1283"/>
      <c r="G72" s="1283"/>
      <c r="H72" s="1283"/>
      <c r="I72" s="1283"/>
      <c r="J72" s="1283"/>
      <c r="K72" s="1283"/>
      <c r="L72" s="1234"/>
    </row>
    <row r="73" spans="1:12">
      <c r="A73" s="1188"/>
      <c r="B73" s="1188"/>
      <c r="C73" s="1188"/>
      <c r="D73" s="1283"/>
      <c r="E73" s="1283"/>
      <c r="F73" s="1283"/>
      <c r="G73" s="1283"/>
      <c r="H73" s="1283"/>
      <c r="I73" s="1283"/>
      <c r="J73" s="1283"/>
      <c r="K73" s="1283"/>
      <c r="L73" s="1234"/>
    </row>
    <row r="74" spans="1:12">
      <c r="A74" s="1188"/>
      <c r="B74" s="1188"/>
      <c r="C74" s="1188"/>
      <c r="D74" s="1283"/>
      <c r="E74" s="1283"/>
      <c r="F74" s="1283"/>
      <c r="G74" s="1283"/>
      <c r="H74" s="1283"/>
      <c r="I74" s="1283"/>
      <c r="J74" s="1283"/>
      <c r="K74" s="1292"/>
      <c r="L74" s="1234"/>
    </row>
    <row r="75" spans="1:12">
      <c r="A75" s="1188"/>
      <c r="B75" s="1188"/>
      <c r="C75" s="1188"/>
      <c r="D75" s="1283"/>
      <c r="E75" s="1283"/>
      <c r="F75" s="1283"/>
      <c r="G75" s="1283"/>
      <c r="H75" s="1283"/>
      <c r="I75" s="1283"/>
      <c r="J75" s="1283"/>
      <c r="K75" s="1283"/>
      <c r="L75" s="1234"/>
    </row>
    <row r="76" spans="1:12">
      <c r="A76" s="1188"/>
      <c r="B76" s="1188"/>
      <c r="C76" s="1188"/>
      <c r="D76" s="1283"/>
      <c r="E76" s="1283"/>
      <c r="F76" s="1283"/>
      <c r="G76" s="1283"/>
      <c r="H76" s="1283"/>
      <c r="I76" s="1283"/>
      <c r="J76" s="1283"/>
      <c r="K76" s="1283"/>
      <c r="L76" s="1234"/>
    </row>
    <row r="77" spans="1:12">
      <c r="A77" s="1290"/>
      <c r="B77" s="1188"/>
      <c r="C77" s="1188"/>
      <c r="D77" s="1283"/>
      <c r="E77" s="1283"/>
      <c r="F77" s="1283"/>
      <c r="G77" s="1283"/>
      <c r="H77" s="1283"/>
      <c r="I77" s="1283"/>
      <c r="J77" s="1283"/>
      <c r="K77" s="1283"/>
      <c r="L77" s="1234"/>
    </row>
    <row r="78" spans="1:12">
      <c r="A78" s="1290"/>
      <c r="B78" s="1188"/>
      <c r="C78" s="1188"/>
      <c r="D78" s="1283"/>
      <c r="E78" s="1283"/>
      <c r="F78" s="1283"/>
      <c r="G78" s="1283"/>
      <c r="H78" s="1283"/>
      <c r="I78" s="1283"/>
      <c r="J78" s="1283"/>
      <c r="K78" s="1283"/>
      <c r="L78" s="1234"/>
    </row>
    <row r="79" spans="1:12">
      <c r="A79" s="1290"/>
      <c r="B79" s="1188"/>
      <c r="C79" s="1188"/>
      <c r="D79" s="1283"/>
      <c r="E79" s="1283"/>
      <c r="F79" s="1283"/>
      <c r="G79" s="1283"/>
      <c r="H79" s="1283"/>
      <c r="I79" s="1283"/>
      <c r="J79" s="1283"/>
      <c r="K79" s="1283"/>
      <c r="L79" s="1234"/>
    </row>
    <row r="80" spans="1:12">
      <c r="A80" s="1188"/>
      <c r="B80" s="1188"/>
      <c r="C80" s="1188"/>
      <c r="D80" s="1283"/>
      <c r="E80" s="1283"/>
      <c r="F80" s="1283"/>
      <c r="G80" s="1283"/>
      <c r="H80" s="1283"/>
      <c r="I80" s="1283"/>
      <c r="J80" s="1283"/>
      <c r="K80" s="1283"/>
      <c r="L80" s="1234"/>
    </row>
    <row r="81" spans="1:12">
      <c r="A81" s="1188"/>
      <c r="B81" s="1188"/>
      <c r="C81" s="1188"/>
      <c r="D81" s="1283"/>
      <c r="E81" s="1283"/>
      <c r="F81" s="1283"/>
      <c r="G81" s="1283"/>
      <c r="H81" s="1283"/>
      <c r="I81" s="1283"/>
      <c r="J81" s="1283"/>
      <c r="K81" s="1283"/>
      <c r="L81" s="1234"/>
    </row>
    <row r="82" spans="1:12">
      <c r="A82" s="1188"/>
      <c r="B82" s="1188"/>
      <c r="C82" s="1188"/>
      <c r="D82" s="1283"/>
      <c r="E82" s="1283"/>
      <c r="F82" s="1283"/>
      <c r="G82" s="1283"/>
      <c r="H82" s="1283"/>
      <c r="I82" s="1283"/>
      <c r="J82" s="1283"/>
      <c r="K82" s="1283"/>
      <c r="L82" s="1234"/>
    </row>
    <row r="83" spans="1:12">
      <c r="A83" s="1188"/>
      <c r="B83" s="1188"/>
      <c r="C83" s="1188"/>
      <c r="D83" s="1283"/>
      <c r="E83" s="1283"/>
      <c r="F83" s="1283"/>
      <c r="G83" s="1283"/>
      <c r="H83" s="1283"/>
      <c r="I83" s="1283"/>
      <c r="J83" s="1283"/>
      <c r="K83" s="1283"/>
      <c r="L83" s="1234"/>
    </row>
    <row r="84" spans="1:12">
      <c r="A84" s="1188"/>
      <c r="B84" s="1188"/>
      <c r="C84" s="1188"/>
      <c r="D84" s="1284"/>
      <c r="E84" s="1283"/>
      <c r="F84" s="1284"/>
      <c r="G84" s="1283"/>
      <c r="H84" s="1283"/>
      <c r="I84" s="1283"/>
      <c r="J84" s="1284"/>
      <c r="K84" s="1283"/>
      <c r="L84" s="1234"/>
    </row>
    <row r="85" spans="1:12">
      <c r="A85" s="1188"/>
      <c r="B85" s="1188"/>
      <c r="C85" s="1188"/>
      <c r="D85" s="1284"/>
      <c r="E85" s="1283"/>
      <c r="F85" s="1284"/>
      <c r="G85" s="1283"/>
      <c r="H85" s="1284"/>
      <c r="I85" s="1283"/>
      <c r="J85" s="1284"/>
      <c r="K85" s="1283"/>
      <c r="L85" s="1234"/>
    </row>
    <row r="86" spans="1:12">
      <c r="A86" s="1188"/>
      <c r="B86" s="1285"/>
      <c r="C86" s="1188"/>
      <c r="D86" s="1283"/>
      <c r="E86" s="1283"/>
      <c r="F86" s="1283"/>
      <c r="G86" s="1283"/>
      <c r="H86" s="1283"/>
      <c r="I86" s="1283"/>
      <c r="J86" s="1283"/>
      <c r="K86" s="1283"/>
      <c r="L86" s="1234"/>
    </row>
    <row r="87" spans="1:12">
      <c r="A87" s="1188"/>
      <c r="B87" s="1286"/>
      <c r="C87" s="1188"/>
      <c r="D87" s="1283"/>
      <c r="E87" s="1283"/>
      <c r="F87" s="1283"/>
      <c r="G87" s="1283"/>
      <c r="H87" s="1283"/>
      <c r="I87" s="1283"/>
      <c r="J87" s="1283"/>
      <c r="K87" s="1283"/>
      <c r="L87" s="1234"/>
    </row>
    <row r="88" spans="1:12">
      <c r="A88" s="1188"/>
      <c r="B88" s="1286"/>
      <c r="C88" s="1188"/>
      <c r="D88" s="1283"/>
      <c r="E88" s="1283"/>
      <c r="F88" s="1283"/>
      <c r="G88" s="1283"/>
      <c r="H88" s="1283"/>
      <c r="I88" s="1283"/>
      <c r="J88" s="1283"/>
      <c r="K88" s="1283"/>
      <c r="L88" s="1234"/>
    </row>
    <row r="89" spans="1:12">
      <c r="A89" s="1188"/>
      <c r="B89" s="1286"/>
      <c r="C89" s="1188"/>
      <c r="D89" s="1283"/>
      <c r="E89" s="1283"/>
      <c r="F89" s="1283"/>
      <c r="G89" s="1283"/>
      <c r="H89" s="1283"/>
      <c r="I89" s="1283"/>
      <c r="J89" s="1283"/>
      <c r="K89" s="1283"/>
      <c r="L89" s="1234"/>
    </row>
    <row r="90" spans="1:12">
      <c r="A90" s="1188"/>
      <c r="B90" s="1286"/>
      <c r="C90" s="1188"/>
      <c r="D90" s="1283"/>
      <c r="E90" s="1283"/>
      <c r="F90" s="1283"/>
      <c r="G90" s="1283"/>
      <c r="H90" s="1283"/>
      <c r="I90" s="1283"/>
      <c r="J90" s="1283"/>
      <c r="K90" s="1283"/>
      <c r="L90" s="1234"/>
    </row>
    <row r="91" spans="1:12">
      <c r="A91" s="1188"/>
      <c r="B91" s="1285"/>
      <c r="C91" s="1188"/>
      <c r="D91" s="1283"/>
      <c r="E91" s="1283"/>
      <c r="F91" s="1287"/>
      <c r="G91" s="1283"/>
      <c r="H91" s="1283"/>
      <c r="I91" s="1283"/>
      <c r="J91" s="1283"/>
      <c r="K91" s="1283"/>
      <c r="L91" s="1234"/>
    </row>
    <row r="92" spans="1:12">
      <c r="A92" s="1188"/>
      <c r="B92" s="1188"/>
      <c r="C92" s="1188"/>
      <c r="D92" s="1283"/>
      <c r="E92" s="1283"/>
      <c r="F92" s="1283"/>
      <c r="G92" s="1283"/>
      <c r="H92" s="1283"/>
      <c r="I92" s="1283"/>
      <c r="J92" s="1283"/>
      <c r="K92" s="1283"/>
      <c r="L92" s="1234"/>
    </row>
    <row r="93" spans="1:12">
      <c r="A93" s="1188"/>
      <c r="B93" s="1285"/>
      <c r="C93" s="1188"/>
      <c r="D93" s="1283"/>
      <c r="E93" s="1283"/>
      <c r="F93" s="1289"/>
      <c r="G93" s="1283"/>
      <c r="H93" s="1283"/>
      <c r="I93" s="1283"/>
      <c r="J93" s="1283"/>
      <c r="K93" s="1283"/>
      <c r="L93" s="1234"/>
    </row>
    <row r="94" spans="1:12">
      <c r="A94" s="1188"/>
      <c r="B94" s="1188"/>
      <c r="C94" s="1188"/>
      <c r="D94" s="1283"/>
      <c r="E94" s="1283"/>
      <c r="F94" s="1283"/>
      <c r="G94" s="1283"/>
      <c r="H94" s="1283"/>
      <c r="I94" s="1283"/>
      <c r="J94" s="1283"/>
      <c r="K94" s="1283"/>
      <c r="L94" s="1234"/>
    </row>
    <row r="95" spans="1:12">
      <c r="A95" s="1188"/>
      <c r="B95" s="1188"/>
      <c r="C95" s="1188"/>
      <c r="D95" s="1188"/>
      <c r="E95" s="1188"/>
      <c r="F95" s="1188"/>
      <c r="G95" s="1188"/>
      <c r="H95" s="1188"/>
      <c r="I95" s="1283"/>
      <c r="J95" s="1283"/>
      <c r="K95" s="1283"/>
      <c r="L95" s="1234"/>
    </row>
    <row r="96" spans="1:12">
      <c r="A96" s="1188"/>
      <c r="B96" s="1188"/>
      <c r="C96" s="1188"/>
      <c r="D96" s="1283"/>
      <c r="E96" s="1283"/>
      <c r="F96" s="1283"/>
      <c r="G96" s="1283"/>
      <c r="H96" s="1283"/>
      <c r="I96" s="1283"/>
      <c r="J96" s="1283"/>
      <c r="K96" s="1283"/>
      <c r="L96" s="1234"/>
    </row>
    <row r="97" spans="1:12">
      <c r="A97" s="1188"/>
      <c r="B97" s="1188"/>
      <c r="C97" s="1188"/>
      <c r="D97" s="1283"/>
      <c r="E97" s="1283"/>
      <c r="F97" s="1283"/>
      <c r="G97" s="1283"/>
      <c r="H97" s="1283"/>
      <c r="I97" s="1283"/>
      <c r="J97" s="1283"/>
      <c r="K97" s="1283"/>
      <c r="L97" s="1234"/>
    </row>
    <row r="98" spans="1:12">
      <c r="A98" s="1188"/>
      <c r="B98" s="1188"/>
      <c r="C98" s="1188"/>
      <c r="D98" s="1283"/>
      <c r="E98" s="1283"/>
      <c r="F98" s="1283"/>
      <c r="G98" s="1283"/>
      <c r="H98" s="1283"/>
      <c r="I98" s="1283"/>
      <c r="J98" s="1283"/>
      <c r="K98" s="1283"/>
      <c r="L98" s="1234"/>
    </row>
    <row r="99" spans="1:12">
      <c r="A99" s="1188"/>
      <c r="B99" s="1188"/>
      <c r="C99" s="1188"/>
      <c r="D99" s="1283"/>
      <c r="E99" s="1283"/>
      <c r="F99" s="1283"/>
      <c r="G99" s="1283"/>
      <c r="H99" s="1283"/>
      <c r="I99" s="1283"/>
      <c r="J99" s="1283"/>
      <c r="K99" s="1283"/>
      <c r="L99" s="1234"/>
    </row>
    <row r="100" spans="1:12">
      <c r="A100" s="1188"/>
      <c r="B100" s="1188"/>
      <c r="C100" s="1188"/>
      <c r="D100" s="1283"/>
      <c r="E100" s="1283"/>
      <c r="F100" s="1283"/>
      <c r="G100" s="1283"/>
      <c r="H100" s="1283"/>
      <c r="I100" s="1283"/>
      <c r="J100" s="1283"/>
      <c r="K100" s="1292"/>
      <c r="L100" s="1234"/>
    </row>
    <row r="101" spans="1:12">
      <c r="A101" s="1188"/>
      <c r="B101" s="1188"/>
      <c r="C101" s="1188"/>
      <c r="D101" s="1283"/>
      <c r="E101" s="1283"/>
      <c r="F101" s="1283"/>
      <c r="G101" s="1283"/>
      <c r="H101" s="1283"/>
      <c r="I101" s="1283"/>
      <c r="J101" s="1283"/>
      <c r="K101" s="1283"/>
      <c r="L101" s="1234"/>
    </row>
    <row r="102" spans="1:12">
      <c r="A102" s="1188"/>
      <c r="B102" s="1188"/>
      <c r="C102" s="1188"/>
      <c r="D102" s="1283"/>
      <c r="E102" s="1283"/>
      <c r="F102" s="1283"/>
      <c r="G102" s="1283"/>
      <c r="H102" s="1283"/>
      <c r="I102" s="1283"/>
      <c r="J102" s="1283"/>
      <c r="K102" s="1283"/>
      <c r="L102" s="1234"/>
    </row>
    <row r="103" spans="1:12">
      <c r="A103" s="1188"/>
      <c r="B103" s="1188"/>
      <c r="C103" s="1188"/>
      <c r="D103" s="1283"/>
      <c r="E103" s="1283"/>
      <c r="F103" s="1283"/>
      <c r="G103" s="1283"/>
      <c r="H103" s="1283"/>
      <c r="I103" s="1283"/>
      <c r="J103" s="1283"/>
      <c r="K103" s="1283"/>
      <c r="L103" s="1234"/>
    </row>
    <row r="104" spans="1:12">
      <c r="A104" s="1188"/>
      <c r="B104" s="1188"/>
      <c r="C104" s="1188"/>
      <c r="D104" s="1283"/>
      <c r="E104" s="1283"/>
      <c r="F104" s="1283"/>
      <c r="G104" s="1283"/>
      <c r="H104" s="1283"/>
      <c r="I104" s="1283"/>
      <c r="J104" s="1283"/>
      <c r="K104" s="1283"/>
      <c r="L104" s="1234"/>
    </row>
    <row r="105" spans="1:12">
      <c r="A105" s="1188"/>
      <c r="B105" s="1188"/>
      <c r="C105" s="1188"/>
      <c r="D105" s="1283"/>
      <c r="E105" s="1283"/>
      <c r="F105" s="1283"/>
      <c r="G105" s="1283"/>
      <c r="H105" s="1283"/>
      <c r="I105" s="1283"/>
      <c r="J105" s="1283"/>
      <c r="K105" s="1283"/>
      <c r="L105" s="1234"/>
    </row>
    <row r="106" spans="1:12">
      <c r="A106" s="1188"/>
      <c r="B106" s="1188"/>
      <c r="C106" s="1188"/>
      <c r="D106" s="1283"/>
      <c r="E106" s="1283"/>
      <c r="F106" s="1283"/>
      <c r="G106" s="1283"/>
      <c r="H106" s="1283"/>
      <c r="I106" s="1283"/>
      <c r="J106" s="1283"/>
      <c r="K106" s="1283"/>
      <c r="L106" s="1234"/>
    </row>
  </sheetData>
  <pageMargins left="0.7" right="0.7" top="0.75" bottom="0.75" header="0.3" footer="0.3"/>
  <pageSetup orientation="portrait" r:id="rId1"/>
  <rowBreaks count="2" manualBreakCount="2">
    <brk id="31" max="16383" man="1"/>
    <brk id="56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7"/>
  <sheetViews>
    <sheetView showGridLines="0" topLeftCell="H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7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'16093-172'!R2</f>
        <v>#REF!</v>
      </c>
      <c r="S2" s="518"/>
      <c r="T2" s="519" t="e">
        <f>'16093-172'!T2</f>
        <v>#REF!</v>
      </c>
    </row>
    <row r="3" spans="1:20">
      <c r="A3" s="513" t="s">
        <v>532</v>
      </c>
      <c r="M3" s="520" t="s">
        <v>524</v>
      </c>
      <c r="R3" s="519" t="e">
        <f>'16093-172'!R3</f>
        <v>#REF!</v>
      </c>
      <c r="S3" s="518"/>
      <c r="T3" s="519" t="e">
        <f>'16093-172'!T3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'16093-172'!R4</f>
        <v>#REF!</v>
      </c>
      <c r="S4" s="518"/>
      <c r="T4" s="519" t="e">
        <f>'16093-172'!T4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'16093-172'!R5</f>
        <v>#REF!</v>
      </c>
      <c r="S5" s="518"/>
      <c r="T5" s="519" t="e">
        <f>'16093-172'!T5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'16093-172'!R6</f>
        <v>#REF!</v>
      </c>
      <c r="S6" s="518"/>
      <c r="T6" s="519" t="e">
        <f>'16093-172'!T6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32">
        <v>3</v>
      </c>
      <c r="D10" s="533"/>
      <c r="E10" s="533">
        <f>C10</f>
        <v>3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$E$11-E10</f>
        <v>8</v>
      </c>
      <c r="L10" s="533"/>
      <c r="M10" s="533">
        <f>(A10*K10)+I10</f>
        <v>0</v>
      </c>
      <c r="O10" s="534">
        <f>I10/$I$11</f>
        <v>0</v>
      </c>
      <c r="P10" s="532">
        <v>0</v>
      </c>
      <c r="R10" s="535"/>
      <c r="S10" s="513"/>
      <c r="T10" s="536" t="e">
        <f>IF(A10&lt;13000,C10*$T$2,IF(A10=13000,C10*$T$2,IF(AND(A10&lt;26000,A10&gt;13000),(C10*$T$2)+((A10-13000)/1000*$T$3*C10),IF(AND(A10&gt;25000,A10&lt;51000),(C10*$T$2)+(12*$T$3*C10)+((A10-25000)/1000*$T$4*C10),IF(AND(A10&lt;51000,A10&gt;25000),(C10*$T$2)+(12*$T$3*C10)+(25*$T$4*C10)+((A10-25000)/1000*$T$5*C10),IF(AND(A10&lt;101000,A10&gt;50000),(C10*$T$2)+(12*$T$3*C10)+(25*$T$4*C10)+((A10-50000)/1000*$T$5*C10),IF(A10&gt;100000,(C10*$T$2)+(12*$T$3*C10)+(25*$T$4*C10)+(50*$T$5*C10)+((A10-100000)/1000*$T$6*C10))))))))</f>
        <v>#REF!</v>
      </c>
    </row>
    <row r="11" spans="1:20" s="515" customFormat="1">
      <c r="A11" s="552">
        <f>P11*1000</f>
        <v>1000</v>
      </c>
      <c r="C11" s="532">
        <v>8</v>
      </c>
      <c r="D11" s="533"/>
      <c r="E11" s="533">
        <f>E10+C11</f>
        <v>11</v>
      </c>
      <c r="F11" s="533"/>
      <c r="G11" s="533">
        <f>A11*C11</f>
        <v>8000</v>
      </c>
      <c r="H11" s="533"/>
      <c r="I11" s="533">
        <f>I10+G11</f>
        <v>8000</v>
      </c>
      <c r="J11" s="533"/>
      <c r="K11" s="533">
        <f>$E$11-E11</f>
        <v>0</v>
      </c>
      <c r="L11" s="533"/>
      <c r="M11" s="533">
        <f>(A11*K11)+I11</f>
        <v>8000</v>
      </c>
      <c r="O11" s="534">
        <f>I11/$I$11</f>
        <v>1</v>
      </c>
      <c r="P11" s="532">
        <v>1</v>
      </c>
      <c r="R11" s="535"/>
      <c r="S11" s="513"/>
      <c r="T11" s="536" t="e">
        <f>IF(A11&lt;13000,C11*$T$2,IF(A11=13000,C11*$T$2,IF(AND(A11&lt;26000,A11&gt;13000),(C11*$T$2)+((A11-13000)/1000*$T$3*C11),IF(AND(A11&gt;25000,A11&lt;51000),(C11*$T$2)+(12*$T$3*C11)+((A11-25000)/1000*$T$4*C11),IF(AND(A11&lt;51000,A11&gt;25000),(C11*$T$2)+(12*$T$3*C11)+(25*$T$4*C11)+((A11-25000)/1000*$T$5*C11),IF(AND(A11&lt;101000,A11&gt;50000),(C11*$T$2)+(12*$T$3*C11)+(25*$T$4*C11)+((A11-50000)/1000*$T$5*C11),IF(A11&gt;100000,(C11*$T$2)+(12*$T$3*C11)+(25*$T$4*C11)+(50*$T$5*C11)+((A11-100000)/1000*$T$6*C11))))))))</f>
        <v>#REF!</v>
      </c>
    </row>
    <row r="12" spans="1:20">
      <c r="A12" s="552"/>
      <c r="B12" s="515"/>
      <c r="C12" s="561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/>
      <c r="T12" s="584"/>
    </row>
    <row r="13" spans="1:20">
      <c r="A13" s="552"/>
      <c r="B13" s="515"/>
      <c r="C13" s="561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T13" s="581" t="e">
        <f>SUM(T10:T11)</f>
        <v>#REF!</v>
      </c>
    </row>
    <row r="14" spans="1:20" hidden="1">
      <c r="A14" s="531"/>
      <c r="B14" s="515"/>
      <c r="C14" s="561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T14" s="584">
        <v>427</v>
      </c>
    </row>
    <row r="15" spans="1:20" hidden="1">
      <c r="A15" s="531"/>
      <c r="B15" s="515"/>
      <c r="C15" s="561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T15" s="536" t="e">
        <f>T13-T14</f>
        <v>#REF!</v>
      </c>
    </row>
    <row r="16" spans="1:20" hidden="1">
      <c r="A16" s="531"/>
      <c r="B16" s="515"/>
      <c r="C16" s="561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T16" s="569" t="e">
        <f>T15/T13</f>
        <v>#REF!</v>
      </c>
    </row>
    <row r="17" spans="1:20">
      <c r="A17" s="531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T17" s="536"/>
    </row>
    <row r="18" spans="1:20">
      <c r="A18" s="531"/>
      <c r="B18" s="544"/>
      <c r="C18" s="561"/>
      <c r="D18" s="545"/>
      <c r="E18" s="533"/>
      <c r="F18" s="533"/>
      <c r="G18" s="533"/>
      <c r="H18" s="533"/>
      <c r="I18" s="533"/>
      <c r="J18" s="545"/>
      <c r="K18" s="533"/>
      <c r="L18" s="545"/>
      <c r="M18" s="533"/>
      <c r="O18" s="534"/>
      <c r="P18" s="547"/>
      <c r="T18" s="536"/>
    </row>
    <row r="19" spans="1:20">
      <c r="A19" s="531"/>
      <c r="B19" s="515"/>
      <c r="C19" s="561"/>
      <c r="D19" s="515"/>
      <c r="E19" s="533"/>
      <c r="F19" s="533"/>
      <c r="G19" s="533"/>
      <c r="H19" s="533"/>
      <c r="I19" s="533"/>
      <c r="J19" s="515"/>
      <c r="K19" s="533"/>
      <c r="L19" s="515"/>
      <c r="M19" s="533"/>
      <c r="N19" s="515"/>
      <c r="O19" s="534"/>
      <c r="P19" s="547"/>
      <c r="T19" s="536"/>
    </row>
    <row r="20" spans="1:20">
      <c r="A20" s="531"/>
      <c r="B20" s="515"/>
      <c r="C20" s="561"/>
      <c r="D20" s="515"/>
      <c r="E20" s="533"/>
      <c r="F20" s="533"/>
      <c r="G20" s="533"/>
      <c r="H20" s="533"/>
      <c r="I20" s="533"/>
      <c r="J20" s="515"/>
      <c r="K20" s="533"/>
      <c r="L20" s="515"/>
      <c r="M20" s="533"/>
      <c r="N20" s="515"/>
      <c r="O20" s="534"/>
      <c r="P20" s="547"/>
    </row>
    <row r="21" spans="1:20">
      <c r="A21" s="531"/>
      <c r="B21" s="529"/>
      <c r="C21" s="561"/>
      <c r="D21" s="529"/>
      <c r="E21" s="533"/>
      <c r="F21" s="533"/>
      <c r="G21" s="533"/>
      <c r="H21" s="533"/>
      <c r="I21" s="533"/>
      <c r="J21" s="529"/>
      <c r="K21" s="533"/>
      <c r="L21" s="529"/>
      <c r="M21" s="533"/>
      <c r="N21" s="529"/>
      <c r="O21" s="534"/>
      <c r="P21" s="547"/>
    </row>
    <row r="22" spans="1:20">
      <c r="A22" s="531"/>
      <c r="B22" s="523"/>
      <c r="C22" s="561"/>
      <c r="D22" s="523"/>
      <c r="E22" s="533"/>
      <c r="F22" s="533"/>
      <c r="G22" s="533"/>
      <c r="H22" s="533"/>
      <c r="I22" s="533"/>
      <c r="J22" s="523"/>
      <c r="K22" s="533"/>
      <c r="L22" s="523"/>
      <c r="M22" s="533"/>
      <c r="N22" s="523"/>
      <c r="O22" s="534"/>
      <c r="P22" s="547"/>
    </row>
    <row r="23" spans="1:20">
      <c r="A23" s="531"/>
      <c r="B23" s="525"/>
      <c r="C23" s="561"/>
      <c r="D23" s="525"/>
      <c r="E23" s="533"/>
      <c r="F23" s="533"/>
      <c r="G23" s="533"/>
      <c r="H23" s="533"/>
      <c r="I23" s="533"/>
      <c r="J23" s="525"/>
      <c r="K23" s="533"/>
      <c r="L23" s="525"/>
      <c r="M23" s="533"/>
      <c r="N23" s="525"/>
      <c r="O23" s="534"/>
      <c r="P23" s="547"/>
    </row>
    <row r="24" spans="1:20">
      <c r="A24" s="531"/>
      <c r="B24" s="525"/>
      <c r="C24" s="561"/>
      <c r="D24" s="525"/>
      <c r="E24" s="533"/>
      <c r="F24" s="533"/>
      <c r="G24" s="533"/>
      <c r="H24" s="533"/>
      <c r="I24" s="533"/>
      <c r="J24" s="525"/>
      <c r="K24" s="533"/>
      <c r="L24" s="525"/>
      <c r="M24" s="533"/>
      <c r="N24" s="525"/>
      <c r="O24" s="534"/>
      <c r="P24" s="547"/>
    </row>
    <row r="25" spans="1:20">
      <c r="A25" s="531"/>
      <c r="B25" s="525"/>
      <c r="C25" s="561"/>
      <c r="D25" s="525"/>
      <c r="E25" s="533"/>
      <c r="F25" s="533"/>
      <c r="G25" s="533"/>
      <c r="H25" s="533"/>
      <c r="I25" s="533"/>
      <c r="J25" s="525"/>
      <c r="K25" s="533"/>
      <c r="L25" s="525"/>
      <c r="M25" s="533"/>
      <c r="N25" s="525"/>
      <c r="O25" s="534"/>
      <c r="P25" s="547"/>
    </row>
    <row r="26" spans="1:20">
      <c r="A26" s="531"/>
      <c r="B26" s="515"/>
      <c r="C26" s="561"/>
      <c r="D26" s="529"/>
      <c r="E26" s="533"/>
      <c r="F26" s="533"/>
      <c r="G26" s="533"/>
      <c r="H26" s="533"/>
      <c r="I26" s="533"/>
      <c r="J26" s="529"/>
      <c r="K26" s="533"/>
      <c r="L26" s="529"/>
      <c r="M26" s="533"/>
      <c r="N26" s="529"/>
      <c r="O26" s="534"/>
      <c r="P26" s="547"/>
    </row>
    <row r="27" spans="1:20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20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20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80"/>
      <c r="C36" s="545"/>
      <c r="D36" s="545"/>
      <c r="E36" s="545"/>
      <c r="F36" s="545"/>
      <c r="G36" s="545"/>
      <c r="H36" s="545"/>
      <c r="I36" s="545"/>
      <c r="J36" s="545"/>
      <c r="K36" s="545"/>
      <c r="L36" s="545"/>
      <c r="M36" s="545"/>
      <c r="O36" s="541"/>
    </row>
    <row r="37" spans="1:16">
      <c r="A37" s="580"/>
      <c r="C37" s="545"/>
      <c r="D37" s="545"/>
      <c r="E37" s="545"/>
      <c r="F37" s="545"/>
      <c r="G37" s="545"/>
      <c r="H37" s="545"/>
      <c r="I37" s="545"/>
      <c r="J37" s="545"/>
      <c r="K37" s="545"/>
      <c r="L37" s="545"/>
      <c r="M37" s="545"/>
      <c r="O37" s="541"/>
    </row>
    <row r="38" spans="1:16">
      <c r="A38" s="580"/>
      <c r="C38" s="545"/>
      <c r="D38" s="545"/>
      <c r="E38" s="545"/>
      <c r="F38" s="545"/>
      <c r="G38" s="545"/>
      <c r="H38" s="545"/>
      <c r="I38" s="545"/>
      <c r="J38" s="545"/>
      <c r="K38" s="545"/>
      <c r="L38" s="545"/>
      <c r="M38" s="545"/>
      <c r="O38" s="541"/>
    </row>
    <row r="39" spans="1:16">
      <c r="A39" s="580"/>
      <c r="C39" s="545"/>
      <c r="D39" s="545"/>
      <c r="E39" s="545"/>
      <c r="F39" s="545"/>
      <c r="G39" s="545"/>
      <c r="H39" s="545"/>
      <c r="I39" s="545"/>
      <c r="J39" s="545"/>
      <c r="K39" s="545"/>
      <c r="L39" s="545"/>
      <c r="M39" s="545"/>
      <c r="O39" s="541"/>
    </row>
    <row r="40" spans="1:16">
      <c r="A40" s="580"/>
      <c r="C40" s="545"/>
      <c r="D40" s="545"/>
      <c r="E40" s="545"/>
      <c r="F40" s="545"/>
      <c r="G40" s="545"/>
      <c r="H40" s="545"/>
      <c r="I40" s="545"/>
      <c r="J40" s="545"/>
      <c r="K40" s="545"/>
      <c r="L40" s="545"/>
      <c r="M40" s="545"/>
      <c r="O40" s="541"/>
    </row>
    <row r="41" spans="1:16">
      <c r="A41" s="580"/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O41" s="541"/>
    </row>
    <row r="42" spans="1:16">
      <c r="A42" s="580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O42" s="541"/>
    </row>
    <row r="43" spans="1:16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9"/>
  <sheetViews>
    <sheetView showGridLines="0" topLeftCell="H28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5.625" style="513" customWidth="1"/>
    <col min="19" max="19" width="8.1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'16083-171'!R2</f>
        <v>#REF!</v>
      </c>
      <c r="S2" s="518"/>
      <c r="T2" s="519" t="e">
        <f>'16083-171'!T2</f>
        <v>#REF!</v>
      </c>
    </row>
    <row r="3" spans="1:20">
      <c r="A3" s="513" t="s">
        <v>532</v>
      </c>
      <c r="M3" s="520" t="s">
        <v>525</v>
      </c>
      <c r="R3" s="519" t="e">
        <f>'16083-171'!R3</f>
        <v>#REF!</v>
      </c>
      <c r="S3" s="518"/>
      <c r="T3" s="519" t="e">
        <f>'16083-171'!T3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'16083-171'!R4</f>
        <v>#REF!</v>
      </c>
      <c r="S4" s="518"/>
      <c r="T4" s="519" t="e">
        <f>'16083-171'!T4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'16083-171'!R5</f>
        <v>#REF!</v>
      </c>
      <c r="S5" s="518"/>
      <c r="T5" s="519" t="e">
        <f>'16083-171'!T5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'16083-171'!R6</f>
        <v>#REF!</v>
      </c>
      <c r="S6" s="518"/>
      <c r="T6" s="519" t="e">
        <f>'16083-171'!T6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47" si="0">P10*1000</f>
        <v>0</v>
      </c>
      <c r="C10" s="532">
        <v>7</v>
      </c>
      <c r="D10" s="533"/>
      <c r="E10" s="533">
        <f>C10</f>
        <v>7</v>
      </c>
      <c r="F10" s="533"/>
      <c r="G10" s="533">
        <f t="shared" ref="G10:G47" si="1">A10*C10</f>
        <v>0</v>
      </c>
      <c r="H10" s="533"/>
      <c r="I10" s="533">
        <f>G10</f>
        <v>0</v>
      </c>
      <c r="J10" s="533"/>
      <c r="K10" s="533">
        <f t="shared" ref="K10:K47" si="2">$E$47-E10</f>
        <v>48</v>
      </c>
      <c r="L10" s="533"/>
      <c r="M10" s="533">
        <f t="shared" ref="M10:M47" si="3">(A10*K10)+I10</f>
        <v>0</v>
      </c>
      <c r="O10" s="534">
        <f t="shared" ref="O10:O47" si="4">I10/$I$47</f>
        <v>0</v>
      </c>
      <c r="P10" s="532">
        <v>0</v>
      </c>
      <c r="R10" s="535"/>
      <c r="S10" s="513"/>
      <c r="T10" s="536" t="e">
        <f t="shared" ref="T10:T47" si="5">IF(A10&lt;21400,C10*$T$2,IF(A10=21400,C10*$T$2,IF(AND(A10&lt;26000,A10&gt;21400),(C10*$T$2)+((A10-21400)*C10/1000*$T$3),IF(AND(A10&gt;25000,A10&lt;51000),(C10*$T$2)+(3.6*$T$3*C10)+((A10-25000)/1000*$T$4*C10),IF(AND(A10&lt;101000,A10&gt;50000),(C10*$T$2)+(3.6*$T$3*C10)+(25*$T$4*C10)+((A10-50000)/1000*$T$5*C10),IF(A10&gt;100000,(C10*$T$2)+(3.6*$T$3*C10)+(25*$T$4*C10)+(50*$T$5*C10)+((A10-100000)/1000*$T$6*C10)))))))</f>
        <v>#REF!</v>
      </c>
    </row>
    <row r="11" spans="1:20" s="515" customFormat="1">
      <c r="A11" s="552">
        <f t="shared" si="0"/>
        <v>3000</v>
      </c>
      <c r="C11" s="532">
        <v>1</v>
      </c>
      <c r="D11" s="533"/>
      <c r="E11" s="533">
        <f t="shared" ref="E11:E47" si="6">E10+C11</f>
        <v>8</v>
      </c>
      <c r="F11" s="533"/>
      <c r="G11" s="533">
        <f t="shared" si="1"/>
        <v>3000</v>
      </c>
      <c r="H11" s="533"/>
      <c r="I11" s="533">
        <f t="shared" ref="I11:I47" si="7">I10+G11</f>
        <v>3000</v>
      </c>
      <c r="J11" s="533"/>
      <c r="K11" s="533">
        <f t="shared" si="2"/>
        <v>47</v>
      </c>
      <c r="L11" s="533"/>
      <c r="M11" s="533">
        <f t="shared" si="3"/>
        <v>144000</v>
      </c>
      <c r="O11" s="534">
        <f t="shared" si="4"/>
        <v>1.4970059880239522E-3</v>
      </c>
      <c r="P11" s="532">
        <v>3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4000</v>
      </c>
      <c r="C12" s="532">
        <v>4</v>
      </c>
      <c r="D12" s="533"/>
      <c r="E12" s="533">
        <f t="shared" si="6"/>
        <v>12</v>
      </c>
      <c r="F12" s="533"/>
      <c r="G12" s="533">
        <f t="shared" si="1"/>
        <v>16000</v>
      </c>
      <c r="H12" s="533"/>
      <c r="I12" s="533">
        <f t="shared" si="7"/>
        <v>19000</v>
      </c>
      <c r="J12" s="533"/>
      <c r="K12" s="533">
        <f t="shared" si="2"/>
        <v>43</v>
      </c>
      <c r="L12" s="533"/>
      <c r="M12" s="533">
        <f t="shared" si="3"/>
        <v>191000</v>
      </c>
      <c r="O12" s="534">
        <f t="shared" si="4"/>
        <v>9.4810379241516973E-3</v>
      </c>
      <c r="P12" s="532">
        <v>4</v>
      </c>
      <c r="R12" s="513"/>
      <c r="S12" s="513"/>
      <c r="T12" s="536" t="e">
        <f t="shared" si="5"/>
        <v>#REF!</v>
      </c>
    </row>
    <row r="13" spans="1:20">
      <c r="A13" s="552">
        <f t="shared" si="0"/>
        <v>5000</v>
      </c>
      <c r="B13" s="515"/>
      <c r="C13" s="532">
        <v>4</v>
      </c>
      <c r="D13" s="533"/>
      <c r="E13" s="533">
        <f t="shared" si="6"/>
        <v>16</v>
      </c>
      <c r="F13" s="533"/>
      <c r="G13" s="533">
        <f t="shared" si="1"/>
        <v>20000</v>
      </c>
      <c r="H13" s="533"/>
      <c r="I13" s="533">
        <f t="shared" si="7"/>
        <v>39000</v>
      </c>
      <c r="J13" s="533"/>
      <c r="K13" s="533">
        <f t="shared" si="2"/>
        <v>39</v>
      </c>
      <c r="L13" s="533"/>
      <c r="M13" s="533">
        <f t="shared" si="3"/>
        <v>234000</v>
      </c>
      <c r="N13" s="515"/>
      <c r="O13" s="534">
        <f t="shared" si="4"/>
        <v>1.9461077844311378E-2</v>
      </c>
      <c r="P13" s="532">
        <v>5</v>
      </c>
      <c r="T13" s="536" t="e">
        <f t="shared" si="5"/>
        <v>#REF!</v>
      </c>
    </row>
    <row r="14" spans="1:20">
      <c r="A14" s="552">
        <f t="shared" si="0"/>
        <v>7000</v>
      </c>
      <c r="B14" s="515"/>
      <c r="C14" s="532">
        <v>1</v>
      </c>
      <c r="D14" s="533"/>
      <c r="E14" s="533">
        <f t="shared" si="6"/>
        <v>17</v>
      </c>
      <c r="F14" s="533"/>
      <c r="G14" s="533">
        <f t="shared" si="1"/>
        <v>7000</v>
      </c>
      <c r="H14" s="533"/>
      <c r="I14" s="533">
        <f t="shared" si="7"/>
        <v>46000</v>
      </c>
      <c r="J14" s="533"/>
      <c r="K14" s="533">
        <f t="shared" si="2"/>
        <v>38</v>
      </c>
      <c r="L14" s="533"/>
      <c r="M14" s="533">
        <f t="shared" si="3"/>
        <v>312000</v>
      </c>
      <c r="N14" s="515"/>
      <c r="O14" s="534">
        <f t="shared" si="4"/>
        <v>2.2954091816367265E-2</v>
      </c>
      <c r="P14" s="532">
        <v>7</v>
      </c>
      <c r="T14" s="536" t="e">
        <f t="shared" si="5"/>
        <v>#REF!</v>
      </c>
    </row>
    <row r="15" spans="1:20">
      <c r="A15" s="552">
        <f t="shared" si="0"/>
        <v>8000</v>
      </c>
      <c r="B15" s="515"/>
      <c r="C15" s="532">
        <v>1</v>
      </c>
      <c r="D15" s="533"/>
      <c r="E15" s="533">
        <f t="shared" si="6"/>
        <v>18</v>
      </c>
      <c r="F15" s="533"/>
      <c r="G15" s="533">
        <f t="shared" si="1"/>
        <v>8000</v>
      </c>
      <c r="H15" s="533"/>
      <c r="I15" s="533">
        <f t="shared" si="7"/>
        <v>54000</v>
      </c>
      <c r="J15" s="533"/>
      <c r="K15" s="533">
        <f t="shared" si="2"/>
        <v>37</v>
      </c>
      <c r="L15" s="533"/>
      <c r="M15" s="533">
        <f t="shared" si="3"/>
        <v>350000</v>
      </c>
      <c r="N15" s="515"/>
      <c r="O15" s="534">
        <f t="shared" si="4"/>
        <v>2.6946107784431138E-2</v>
      </c>
      <c r="P15" s="532">
        <v>8</v>
      </c>
      <c r="T15" s="536" t="e">
        <f t="shared" si="5"/>
        <v>#REF!</v>
      </c>
    </row>
    <row r="16" spans="1:20">
      <c r="A16" s="531">
        <f t="shared" si="0"/>
        <v>9000</v>
      </c>
      <c r="B16" s="515"/>
      <c r="C16" s="532">
        <v>1</v>
      </c>
      <c r="D16" s="533"/>
      <c r="E16" s="533">
        <f t="shared" si="6"/>
        <v>19</v>
      </c>
      <c r="F16" s="533"/>
      <c r="G16" s="533">
        <f t="shared" si="1"/>
        <v>9000</v>
      </c>
      <c r="H16" s="533"/>
      <c r="I16" s="533">
        <f t="shared" si="7"/>
        <v>63000</v>
      </c>
      <c r="J16" s="533"/>
      <c r="K16" s="533">
        <f t="shared" si="2"/>
        <v>36</v>
      </c>
      <c r="L16" s="533"/>
      <c r="M16" s="533">
        <f t="shared" si="3"/>
        <v>387000</v>
      </c>
      <c r="N16" s="515"/>
      <c r="O16" s="534">
        <f t="shared" si="4"/>
        <v>3.1437125748502992E-2</v>
      </c>
      <c r="P16" s="532">
        <v>9</v>
      </c>
      <c r="T16" s="536" t="e">
        <f t="shared" si="5"/>
        <v>#REF!</v>
      </c>
    </row>
    <row r="17" spans="1:20">
      <c r="A17" s="531">
        <f t="shared" si="0"/>
        <v>10000</v>
      </c>
      <c r="B17" s="515"/>
      <c r="C17" s="532">
        <v>2</v>
      </c>
      <c r="D17" s="533"/>
      <c r="E17" s="533">
        <f t="shared" si="6"/>
        <v>21</v>
      </c>
      <c r="F17" s="533"/>
      <c r="G17" s="533">
        <f t="shared" si="1"/>
        <v>20000</v>
      </c>
      <c r="H17" s="533"/>
      <c r="I17" s="533">
        <f t="shared" si="7"/>
        <v>83000</v>
      </c>
      <c r="J17" s="533"/>
      <c r="K17" s="533">
        <f t="shared" si="2"/>
        <v>34</v>
      </c>
      <c r="L17" s="533"/>
      <c r="M17" s="533">
        <f t="shared" si="3"/>
        <v>423000</v>
      </c>
      <c r="N17" s="515"/>
      <c r="O17" s="534">
        <f t="shared" si="4"/>
        <v>4.1417165668662673E-2</v>
      </c>
      <c r="P17" s="532">
        <v>10</v>
      </c>
      <c r="T17" s="536" t="e">
        <f t="shared" si="5"/>
        <v>#REF!</v>
      </c>
    </row>
    <row r="18" spans="1:20">
      <c r="A18" s="531">
        <f t="shared" si="0"/>
        <v>13000</v>
      </c>
      <c r="B18" s="515"/>
      <c r="C18" s="532">
        <v>1</v>
      </c>
      <c r="D18" s="533"/>
      <c r="E18" s="533">
        <f t="shared" si="6"/>
        <v>22</v>
      </c>
      <c r="F18" s="533"/>
      <c r="G18" s="533">
        <f t="shared" si="1"/>
        <v>13000</v>
      </c>
      <c r="H18" s="533"/>
      <c r="I18" s="533">
        <f t="shared" si="7"/>
        <v>96000</v>
      </c>
      <c r="J18" s="533"/>
      <c r="K18" s="533">
        <f t="shared" si="2"/>
        <v>33</v>
      </c>
      <c r="L18" s="533"/>
      <c r="M18" s="533">
        <f t="shared" si="3"/>
        <v>525000</v>
      </c>
      <c r="N18" s="515"/>
      <c r="O18" s="534">
        <f t="shared" si="4"/>
        <v>4.790419161676647E-2</v>
      </c>
      <c r="P18" s="532">
        <v>13</v>
      </c>
      <c r="T18" s="536" t="e">
        <f t="shared" si="5"/>
        <v>#REF!</v>
      </c>
    </row>
    <row r="19" spans="1:20">
      <c r="A19" s="531">
        <f t="shared" si="0"/>
        <v>14000</v>
      </c>
      <c r="B19" s="515"/>
      <c r="C19" s="532">
        <v>1</v>
      </c>
      <c r="D19" s="533"/>
      <c r="E19" s="533">
        <f t="shared" si="6"/>
        <v>23</v>
      </c>
      <c r="F19" s="533"/>
      <c r="G19" s="533">
        <f t="shared" si="1"/>
        <v>14000</v>
      </c>
      <c r="H19" s="533"/>
      <c r="I19" s="533">
        <f t="shared" si="7"/>
        <v>110000</v>
      </c>
      <c r="J19" s="533"/>
      <c r="K19" s="533">
        <f t="shared" si="2"/>
        <v>32</v>
      </c>
      <c r="L19" s="533"/>
      <c r="M19" s="533">
        <f t="shared" si="3"/>
        <v>558000</v>
      </c>
      <c r="N19" s="515"/>
      <c r="O19" s="534">
        <f t="shared" si="4"/>
        <v>5.4890219560878244E-2</v>
      </c>
      <c r="P19" s="532">
        <v>14</v>
      </c>
      <c r="T19" s="536" t="e">
        <f t="shared" si="5"/>
        <v>#REF!</v>
      </c>
    </row>
    <row r="20" spans="1:20">
      <c r="A20" s="531">
        <f t="shared" si="0"/>
        <v>15000</v>
      </c>
      <c r="B20" s="544"/>
      <c r="C20" s="532">
        <v>1</v>
      </c>
      <c r="D20" s="545"/>
      <c r="E20" s="533">
        <f t="shared" si="6"/>
        <v>24</v>
      </c>
      <c r="F20" s="533"/>
      <c r="G20" s="533">
        <f t="shared" si="1"/>
        <v>15000</v>
      </c>
      <c r="H20" s="533"/>
      <c r="I20" s="533">
        <f t="shared" si="7"/>
        <v>125000</v>
      </c>
      <c r="J20" s="545"/>
      <c r="K20" s="533">
        <f t="shared" si="2"/>
        <v>31</v>
      </c>
      <c r="L20" s="545"/>
      <c r="M20" s="533">
        <f t="shared" si="3"/>
        <v>590000</v>
      </c>
      <c r="O20" s="534">
        <f t="shared" si="4"/>
        <v>6.2375249500998001E-2</v>
      </c>
      <c r="P20" s="532">
        <v>15</v>
      </c>
      <c r="T20" s="536" t="e">
        <f t="shared" si="5"/>
        <v>#REF!</v>
      </c>
    </row>
    <row r="21" spans="1:20">
      <c r="A21" s="531">
        <f t="shared" si="0"/>
        <v>17000</v>
      </c>
      <c r="B21" s="515"/>
      <c r="C21" s="532">
        <v>1</v>
      </c>
      <c r="D21" s="515"/>
      <c r="E21" s="533">
        <f t="shared" si="6"/>
        <v>25</v>
      </c>
      <c r="F21" s="533"/>
      <c r="G21" s="533">
        <f t="shared" si="1"/>
        <v>17000</v>
      </c>
      <c r="H21" s="533"/>
      <c r="I21" s="533">
        <f t="shared" si="7"/>
        <v>142000</v>
      </c>
      <c r="J21" s="515"/>
      <c r="K21" s="533">
        <f t="shared" si="2"/>
        <v>30</v>
      </c>
      <c r="L21" s="515"/>
      <c r="M21" s="533">
        <f t="shared" si="3"/>
        <v>652000</v>
      </c>
      <c r="N21" s="515"/>
      <c r="O21" s="534">
        <f t="shared" si="4"/>
        <v>7.0858283433133731E-2</v>
      </c>
      <c r="P21" s="532">
        <v>17</v>
      </c>
      <c r="T21" s="536" t="e">
        <f t="shared" si="5"/>
        <v>#REF!</v>
      </c>
    </row>
    <row r="22" spans="1:20">
      <c r="A22" s="531">
        <f t="shared" si="0"/>
        <v>18000</v>
      </c>
      <c r="B22" s="515"/>
      <c r="C22" s="532">
        <v>1</v>
      </c>
      <c r="D22" s="515"/>
      <c r="E22" s="533">
        <f t="shared" si="6"/>
        <v>26</v>
      </c>
      <c r="F22" s="533"/>
      <c r="G22" s="533">
        <f t="shared" si="1"/>
        <v>18000</v>
      </c>
      <c r="H22" s="533"/>
      <c r="I22" s="533">
        <f t="shared" si="7"/>
        <v>160000</v>
      </c>
      <c r="J22" s="515"/>
      <c r="K22" s="533">
        <f t="shared" si="2"/>
        <v>29</v>
      </c>
      <c r="L22" s="515"/>
      <c r="M22" s="533">
        <f t="shared" si="3"/>
        <v>682000</v>
      </c>
      <c r="N22" s="515"/>
      <c r="O22" s="534">
        <f t="shared" si="4"/>
        <v>7.9840319361277445E-2</v>
      </c>
      <c r="P22" s="532">
        <v>18</v>
      </c>
      <c r="T22" s="536" t="e">
        <f t="shared" si="5"/>
        <v>#REF!</v>
      </c>
    </row>
    <row r="23" spans="1:20">
      <c r="A23" s="531">
        <f t="shared" si="0"/>
        <v>25000</v>
      </c>
      <c r="B23" s="529"/>
      <c r="C23" s="532">
        <v>2</v>
      </c>
      <c r="D23" s="529"/>
      <c r="E23" s="533">
        <f t="shared" si="6"/>
        <v>28</v>
      </c>
      <c r="F23" s="533"/>
      <c r="G23" s="533">
        <f t="shared" si="1"/>
        <v>50000</v>
      </c>
      <c r="H23" s="533"/>
      <c r="I23" s="533">
        <f t="shared" si="7"/>
        <v>210000</v>
      </c>
      <c r="J23" s="529"/>
      <c r="K23" s="533">
        <f t="shared" si="2"/>
        <v>27</v>
      </c>
      <c r="L23" s="529"/>
      <c r="M23" s="533">
        <f t="shared" si="3"/>
        <v>885000</v>
      </c>
      <c r="N23" s="529"/>
      <c r="O23" s="534">
        <f t="shared" si="4"/>
        <v>0.10479041916167664</v>
      </c>
      <c r="P23" s="532">
        <v>25</v>
      </c>
      <c r="T23" s="536" t="e">
        <f t="shared" si="5"/>
        <v>#REF!</v>
      </c>
    </row>
    <row r="24" spans="1:20">
      <c r="A24" s="531">
        <f t="shared" si="0"/>
        <v>29000</v>
      </c>
      <c r="B24" s="523"/>
      <c r="C24" s="532">
        <v>1</v>
      </c>
      <c r="D24" s="523"/>
      <c r="E24" s="533">
        <f t="shared" si="6"/>
        <v>29</v>
      </c>
      <c r="F24" s="533"/>
      <c r="G24" s="533">
        <f t="shared" si="1"/>
        <v>29000</v>
      </c>
      <c r="H24" s="533"/>
      <c r="I24" s="533">
        <f t="shared" si="7"/>
        <v>239000</v>
      </c>
      <c r="J24" s="523"/>
      <c r="K24" s="533">
        <f t="shared" si="2"/>
        <v>26</v>
      </c>
      <c r="L24" s="523"/>
      <c r="M24" s="533">
        <f t="shared" si="3"/>
        <v>993000</v>
      </c>
      <c r="N24" s="523"/>
      <c r="O24" s="534">
        <f t="shared" si="4"/>
        <v>0.11926147704590818</v>
      </c>
      <c r="P24" s="532">
        <v>29</v>
      </c>
      <c r="T24" s="536" t="e">
        <f t="shared" si="5"/>
        <v>#REF!</v>
      </c>
    </row>
    <row r="25" spans="1:20">
      <c r="A25" s="531">
        <f t="shared" si="0"/>
        <v>32000</v>
      </c>
      <c r="B25" s="525"/>
      <c r="C25" s="532">
        <v>1</v>
      </c>
      <c r="D25" s="525"/>
      <c r="E25" s="533">
        <f t="shared" si="6"/>
        <v>30</v>
      </c>
      <c r="F25" s="533"/>
      <c r="G25" s="533">
        <f t="shared" si="1"/>
        <v>32000</v>
      </c>
      <c r="H25" s="533"/>
      <c r="I25" s="533">
        <f t="shared" si="7"/>
        <v>271000</v>
      </c>
      <c r="J25" s="525"/>
      <c r="K25" s="533">
        <f t="shared" si="2"/>
        <v>25</v>
      </c>
      <c r="L25" s="525"/>
      <c r="M25" s="533">
        <f t="shared" si="3"/>
        <v>1071000</v>
      </c>
      <c r="N25" s="525"/>
      <c r="O25" s="534">
        <f t="shared" si="4"/>
        <v>0.13522954091816367</v>
      </c>
      <c r="P25" s="532">
        <v>32</v>
      </c>
      <c r="T25" s="536" t="e">
        <f t="shared" si="5"/>
        <v>#REF!</v>
      </c>
    </row>
    <row r="26" spans="1:20">
      <c r="A26" s="531">
        <f t="shared" si="0"/>
        <v>33000</v>
      </c>
      <c r="B26" s="525"/>
      <c r="C26" s="532">
        <v>1</v>
      </c>
      <c r="D26" s="525"/>
      <c r="E26" s="533">
        <f t="shared" si="6"/>
        <v>31</v>
      </c>
      <c r="F26" s="533"/>
      <c r="G26" s="533">
        <f t="shared" si="1"/>
        <v>33000</v>
      </c>
      <c r="H26" s="533"/>
      <c r="I26" s="533">
        <f t="shared" si="7"/>
        <v>304000</v>
      </c>
      <c r="J26" s="525"/>
      <c r="K26" s="533">
        <f t="shared" si="2"/>
        <v>24</v>
      </c>
      <c r="L26" s="525"/>
      <c r="M26" s="533">
        <f t="shared" si="3"/>
        <v>1096000</v>
      </c>
      <c r="N26" s="525"/>
      <c r="O26" s="534">
        <f t="shared" si="4"/>
        <v>0.15169660678642716</v>
      </c>
      <c r="P26" s="532">
        <v>33</v>
      </c>
      <c r="T26" s="536" t="e">
        <f t="shared" si="5"/>
        <v>#REF!</v>
      </c>
    </row>
    <row r="27" spans="1:20">
      <c r="A27" s="531">
        <f t="shared" si="0"/>
        <v>38000</v>
      </c>
      <c r="B27" s="525"/>
      <c r="C27" s="532">
        <v>1</v>
      </c>
      <c r="D27" s="525"/>
      <c r="E27" s="533">
        <f t="shared" si="6"/>
        <v>32</v>
      </c>
      <c r="F27" s="533"/>
      <c r="G27" s="533">
        <f t="shared" si="1"/>
        <v>38000</v>
      </c>
      <c r="H27" s="533"/>
      <c r="I27" s="533">
        <f t="shared" si="7"/>
        <v>342000</v>
      </c>
      <c r="J27" s="525"/>
      <c r="K27" s="533">
        <f t="shared" si="2"/>
        <v>23</v>
      </c>
      <c r="L27" s="525"/>
      <c r="M27" s="533">
        <f t="shared" si="3"/>
        <v>1216000</v>
      </c>
      <c r="N27" s="525"/>
      <c r="O27" s="534">
        <f t="shared" si="4"/>
        <v>0.17065868263473055</v>
      </c>
      <c r="P27" s="532">
        <v>38</v>
      </c>
      <c r="T27" s="536" t="e">
        <f t="shared" si="5"/>
        <v>#REF!</v>
      </c>
    </row>
    <row r="28" spans="1:20">
      <c r="A28" s="531">
        <f t="shared" si="0"/>
        <v>48000</v>
      </c>
      <c r="B28" s="515"/>
      <c r="C28" s="532">
        <v>1</v>
      </c>
      <c r="D28" s="529"/>
      <c r="E28" s="533">
        <f t="shared" si="6"/>
        <v>33</v>
      </c>
      <c r="F28" s="533"/>
      <c r="G28" s="533">
        <f t="shared" si="1"/>
        <v>48000</v>
      </c>
      <c r="H28" s="533"/>
      <c r="I28" s="533">
        <f t="shared" si="7"/>
        <v>390000</v>
      </c>
      <c r="J28" s="529"/>
      <c r="K28" s="533">
        <f t="shared" si="2"/>
        <v>22</v>
      </c>
      <c r="L28" s="529"/>
      <c r="M28" s="533">
        <f t="shared" si="3"/>
        <v>1446000</v>
      </c>
      <c r="N28" s="529"/>
      <c r="O28" s="534">
        <f t="shared" si="4"/>
        <v>0.19461077844311378</v>
      </c>
      <c r="P28" s="532">
        <v>48</v>
      </c>
      <c r="T28" s="536" t="e">
        <f t="shared" si="5"/>
        <v>#REF!</v>
      </c>
    </row>
    <row r="29" spans="1:20">
      <c r="A29" s="531">
        <f t="shared" si="0"/>
        <v>52000</v>
      </c>
      <c r="B29" s="515"/>
      <c r="C29" s="532">
        <v>1</v>
      </c>
      <c r="D29" s="533"/>
      <c r="E29" s="533">
        <f t="shared" si="6"/>
        <v>34</v>
      </c>
      <c r="F29" s="533"/>
      <c r="G29" s="533">
        <f t="shared" si="1"/>
        <v>52000</v>
      </c>
      <c r="H29" s="533"/>
      <c r="I29" s="533">
        <f t="shared" si="7"/>
        <v>442000</v>
      </c>
      <c r="J29" s="533"/>
      <c r="K29" s="533">
        <f t="shared" si="2"/>
        <v>21</v>
      </c>
      <c r="L29" s="533"/>
      <c r="M29" s="533">
        <f t="shared" si="3"/>
        <v>1534000</v>
      </c>
      <c r="N29" s="515"/>
      <c r="O29" s="534">
        <f t="shared" si="4"/>
        <v>0.22055888223552894</v>
      </c>
      <c r="P29" s="532">
        <v>52</v>
      </c>
      <c r="T29" s="536" t="e">
        <f t="shared" si="5"/>
        <v>#REF!</v>
      </c>
    </row>
    <row r="30" spans="1:20">
      <c r="A30" s="531">
        <f t="shared" si="0"/>
        <v>54000</v>
      </c>
      <c r="B30" s="515"/>
      <c r="C30" s="532">
        <v>1</v>
      </c>
      <c r="D30" s="533"/>
      <c r="E30" s="533">
        <f t="shared" si="6"/>
        <v>35</v>
      </c>
      <c r="F30" s="533"/>
      <c r="G30" s="533">
        <f t="shared" si="1"/>
        <v>54000</v>
      </c>
      <c r="H30" s="533"/>
      <c r="I30" s="533">
        <f t="shared" si="7"/>
        <v>496000</v>
      </c>
      <c r="J30" s="533"/>
      <c r="K30" s="533">
        <f t="shared" si="2"/>
        <v>20</v>
      </c>
      <c r="L30" s="533"/>
      <c r="M30" s="533">
        <f t="shared" si="3"/>
        <v>1576000</v>
      </c>
      <c r="N30" s="515"/>
      <c r="O30" s="534">
        <f t="shared" si="4"/>
        <v>0.24750499001996007</v>
      </c>
      <c r="P30" s="532">
        <v>54</v>
      </c>
      <c r="T30" s="536" t="e">
        <f t="shared" si="5"/>
        <v>#REF!</v>
      </c>
    </row>
    <row r="31" spans="1:20">
      <c r="A31" s="531">
        <f t="shared" si="0"/>
        <v>57000</v>
      </c>
      <c r="B31" s="515"/>
      <c r="C31" s="532">
        <v>1</v>
      </c>
      <c r="D31" s="533"/>
      <c r="E31" s="533">
        <f t="shared" si="6"/>
        <v>36</v>
      </c>
      <c r="F31" s="533"/>
      <c r="G31" s="533">
        <f t="shared" si="1"/>
        <v>57000</v>
      </c>
      <c r="H31" s="533"/>
      <c r="I31" s="533">
        <f t="shared" si="7"/>
        <v>553000</v>
      </c>
      <c r="J31" s="533"/>
      <c r="K31" s="533">
        <f t="shared" si="2"/>
        <v>19</v>
      </c>
      <c r="L31" s="533"/>
      <c r="M31" s="533">
        <f t="shared" si="3"/>
        <v>1636000</v>
      </c>
      <c r="N31" s="515"/>
      <c r="O31" s="534">
        <f t="shared" si="4"/>
        <v>0.27594810379241519</v>
      </c>
      <c r="P31" s="532">
        <v>57</v>
      </c>
      <c r="T31" s="536" t="e">
        <f t="shared" si="5"/>
        <v>#REF!</v>
      </c>
    </row>
    <row r="32" spans="1:20">
      <c r="A32" s="531">
        <f t="shared" si="0"/>
        <v>59000</v>
      </c>
      <c r="B32" s="515"/>
      <c r="C32" s="532">
        <v>2</v>
      </c>
      <c r="D32" s="533"/>
      <c r="E32" s="533">
        <f t="shared" si="6"/>
        <v>38</v>
      </c>
      <c r="F32" s="533"/>
      <c r="G32" s="533">
        <f t="shared" si="1"/>
        <v>118000</v>
      </c>
      <c r="H32" s="533"/>
      <c r="I32" s="533">
        <f t="shared" si="7"/>
        <v>671000</v>
      </c>
      <c r="J32" s="533"/>
      <c r="K32" s="533">
        <f t="shared" si="2"/>
        <v>17</v>
      </c>
      <c r="L32" s="533"/>
      <c r="M32" s="533">
        <f t="shared" si="3"/>
        <v>1674000</v>
      </c>
      <c r="N32" s="515"/>
      <c r="O32" s="534">
        <f t="shared" si="4"/>
        <v>0.33483033932135731</v>
      </c>
      <c r="P32" s="532">
        <v>59</v>
      </c>
      <c r="T32" s="536" t="e">
        <f t="shared" si="5"/>
        <v>#REF!</v>
      </c>
    </row>
    <row r="33" spans="1:20">
      <c r="A33" s="531">
        <f t="shared" si="0"/>
        <v>60000</v>
      </c>
      <c r="B33" s="515"/>
      <c r="C33" s="532">
        <v>1</v>
      </c>
      <c r="D33" s="533"/>
      <c r="E33" s="533">
        <f t="shared" si="6"/>
        <v>39</v>
      </c>
      <c r="F33" s="533"/>
      <c r="G33" s="533">
        <f t="shared" si="1"/>
        <v>60000</v>
      </c>
      <c r="H33" s="533"/>
      <c r="I33" s="533">
        <f t="shared" si="7"/>
        <v>731000</v>
      </c>
      <c r="J33" s="533"/>
      <c r="K33" s="533">
        <f t="shared" si="2"/>
        <v>16</v>
      </c>
      <c r="L33" s="533"/>
      <c r="M33" s="533">
        <f t="shared" si="3"/>
        <v>1691000</v>
      </c>
      <c r="N33" s="515"/>
      <c r="O33" s="534">
        <f t="shared" si="4"/>
        <v>0.36477045908183631</v>
      </c>
      <c r="P33" s="532">
        <v>60</v>
      </c>
      <c r="T33" s="536" t="e">
        <f t="shared" si="5"/>
        <v>#REF!</v>
      </c>
    </row>
    <row r="34" spans="1:20">
      <c r="A34" s="531">
        <f t="shared" si="0"/>
        <v>62000</v>
      </c>
      <c r="B34" s="515"/>
      <c r="C34" s="532">
        <v>2</v>
      </c>
      <c r="D34" s="533"/>
      <c r="E34" s="533">
        <f t="shared" si="6"/>
        <v>41</v>
      </c>
      <c r="F34" s="533"/>
      <c r="G34" s="533">
        <f t="shared" si="1"/>
        <v>124000</v>
      </c>
      <c r="H34" s="533"/>
      <c r="I34" s="533">
        <f t="shared" si="7"/>
        <v>855000</v>
      </c>
      <c r="J34" s="533"/>
      <c r="K34" s="533">
        <f t="shared" si="2"/>
        <v>14</v>
      </c>
      <c r="L34" s="533"/>
      <c r="M34" s="533">
        <f t="shared" si="3"/>
        <v>1723000</v>
      </c>
      <c r="N34" s="515"/>
      <c r="O34" s="534">
        <f t="shared" si="4"/>
        <v>0.42664670658682635</v>
      </c>
      <c r="P34" s="532">
        <v>62</v>
      </c>
      <c r="T34" s="536" t="e">
        <f t="shared" si="5"/>
        <v>#REF!</v>
      </c>
    </row>
    <row r="35" spans="1:20">
      <c r="A35" s="531">
        <f t="shared" si="0"/>
        <v>64000</v>
      </c>
      <c r="B35" s="515"/>
      <c r="C35" s="532">
        <v>1</v>
      </c>
      <c r="D35" s="533"/>
      <c r="E35" s="533">
        <f t="shared" si="6"/>
        <v>42</v>
      </c>
      <c r="F35" s="533"/>
      <c r="G35" s="533">
        <f t="shared" si="1"/>
        <v>64000</v>
      </c>
      <c r="H35" s="533"/>
      <c r="I35" s="533">
        <f t="shared" si="7"/>
        <v>919000</v>
      </c>
      <c r="J35" s="533"/>
      <c r="K35" s="533">
        <f t="shared" si="2"/>
        <v>13</v>
      </c>
      <c r="L35" s="533"/>
      <c r="M35" s="533">
        <f t="shared" si="3"/>
        <v>1751000</v>
      </c>
      <c r="N35" s="515"/>
      <c r="O35" s="534">
        <f t="shared" si="4"/>
        <v>0.45858283433133734</v>
      </c>
      <c r="P35" s="532">
        <v>64</v>
      </c>
      <c r="T35" s="536" t="e">
        <f t="shared" si="5"/>
        <v>#REF!</v>
      </c>
    </row>
    <row r="36" spans="1:20">
      <c r="A36" s="531">
        <f t="shared" si="0"/>
        <v>67000</v>
      </c>
      <c r="B36" s="515"/>
      <c r="C36" s="532">
        <v>2</v>
      </c>
      <c r="D36" s="533"/>
      <c r="E36" s="533">
        <f t="shared" si="6"/>
        <v>44</v>
      </c>
      <c r="F36" s="533"/>
      <c r="G36" s="533">
        <f t="shared" si="1"/>
        <v>134000</v>
      </c>
      <c r="H36" s="533"/>
      <c r="I36" s="533">
        <f t="shared" si="7"/>
        <v>1053000</v>
      </c>
      <c r="J36" s="533"/>
      <c r="K36" s="533">
        <f t="shared" si="2"/>
        <v>11</v>
      </c>
      <c r="L36" s="533"/>
      <c r="M36" s="533">
        <f t="shared" si="3"/>
        <v>1790000</v>
      </c>
      <c r="N36" s="515"/>
      <c r="O36" s="534">
        <f t="shared" si="4"/>
        <v>0.52544910179640714</v>
      </c>
      <c r="P36" s="532">
        <v>67</v>
      </c>
      <c r="T36" s="536" t="e">
        <f t="shared" si="5"/>
        <v>#REF!</v>
      </c>
    </row>
    <row r="37" spans="1:20">
      <c r="A37" s="531">
        <f t="shared" si="0"/>
        <v>69000</v>
      </c>
      <c r="B37" s="515"/>
      <c r="C37" s="532">
        <v>1</v>
      </c>
      <c r="D37" s="533"/>
      <c r="E37" s="533">
        <f t="shared" si="6"/>
        <v>45</v>
      </c>
      <c r="F37" s="533"/>
      <c r="G37" s="533">
        <f t="shared" si="1"/>
        <v>69000</v>
      </c>
      <c r="H37" s="533"/>
      <c r="I37" s="533">
        <f t="shared" si="7"/>
        <v>1122000</v>
      </c>
      <c r="J37" s="533"/>
      <c r="K37" s="533">
        <f t="shared" si="2"/>
        <v>10</v>
      </c>
      <c r="L37" s="533"/>
      <c r="M37" s="533">
        <f t="shared" si="3"/>
        <v>1812000</v>
      </c>
      <c r="N37" s="515"/>
      <c r="O37" s="534">
        <f t="shared" si="4"/>
        <v>0.55988023952095811</v>
      </c>
      <c r="P37" s="532">
        <v>69</v>
      </c>
      <c r="T37" s="536" t="e">
        <f t="shared" si="5"/>
        <v>#REF!</v>
      </c>
    </row>
    <row r="38" spans="1:20">
      <c r="A38" s="580">
        <f t="shared" si="0"/>
        <v>71000</v>
      </c>
      <c r="C38" s="532">
        <v>1</v>
      </c>
      <c r="D38" s="545"/>
      <c r="E38" s="533">
        <f t="shared" si="6"/>
        <v>46</v>
      </c>
      <c r="F38" s="545"/>
      <c r="G38" s="545">
        <f t="shared" si="1"/>
        <v>71000</v>
      </c>
      <c r="H38" s="545"/>
      <c r="I38" s="533">
        <f t="shared" si="7"/>
        <v>1193000</v>
      </c>
      <c r="J38" s="545"/>
      <c r="K38" s="533">
        <f t="shared" si="2"/>
        <v>9</v>
      </c>
      <c r="L38" s="545"/>
      <c r="M38" s="533">
        <f t="shared" si="3"/>
        <v>1832000</v>
      </c>
      <c r="O38" s="534">
        <f t="shared" si="4"/>
        <v>0.59530938123752497</v>
      </c>
      <c r="P38" s="532">
        <v>71</v>
      </c>
      <c r="T38" s="536" t="e">
        <f t="shared" si="5"/>
        <v>#REF!</v>
      </c>
    </row>
    <row r="39" spans="1:20">
      <c r="A39" s="580">
        <f t="shared" si="0"/>
        <v>73000</v>
      </c>
      <c r="C39" s="532">
        <v>1</v>
      </c>
      <c r="D39" s="545"/>
      <c r="E39" s="533">
        <f t="shared" si="6"/>
        <v>47</v>
      </c>
      <c r="F39" s="545"/>
      <c r="G39" s="545">
        <f t="shared" si="1"/>
        <v>73000</v>
      </c>
      <c r="H39" s="545"/>
      <c r="I39" s="533">
        <f t="shared" si="7"/>
        <v>1266000</v>
      </c>
      <c r="J39" s="545"/>
      <c r="K39" s="533">
        <f t="shared" si="2"/>
        <v>8</v>
      </c>
      <c r="L39" s="545"/>
      <c r="M39" s="533">
        <f t="shared" si="3"/>
        <v>1850000</v>
      </c>
      <c r="O39" s="534">
        <f t="shared" si="4"/>
        <v>0.63173652694610782</v>
      </c>
      <c r="P39" s="532">
        <v>73</v>
      </c>
      <c r="T39" s="536" t="e">
        <f t="shared" si="5"/>
        <v>#REF!</v>
      </c>
    </row>
    <row r="40" spans="1:20">
      <c r="A40" s="580">
        <f t="shared" si="0"/>
        <v>74000</v>
      </c>
      <c r="C40" s="532">
        <v>1</v>
      </c>
      <c r="D40" s="545"/>
      <c r="E40" s="533">
        <f t="shared" si="6"/>
        <v>48</v>
      </c>
      <c r="F40" s="545"/>
      <c r="G40" s="545">
        <f t="shared" si="1"/>
        <v>74000</v>
      </c>
      <c r="H40" s="545"/>
      <c r="I40" s="533">
        <f t="shared" si="7"/>
        <v>1340000</v>
      </c>
      <c r="J40" s="545"/>
      <c r="K40" s="533">
        <f t="shared" si="2"/>
        <v>7</v>
      </c>
      <c r="L40" s="545"/>
      <c r="M40" s="533">
        <f t="shared" si="3"/>
        <v>1858000</v>
      </c>
      <c r="O40" s="534">
        <f t="shared" si="4"/>
        <v>0.66866267465069862</v>
      </c>
      <c r="P40" s="532">
        <v>74</v>
      </c>
      <c r="T40" s="536" t="e">
        <f t="shared" si="5"/>
        <v>#REF!</v>
      </c>
    </row>
    <row r="41" spans="1:20">
      <c r="A41" s="580">
        <f t="shared" si="0"/>
        <v>75000</v>
      </c>
      <c r="C41" s="532">
        <v>1</v>
      </c>
      <c r="D41" s="545"/>
      <c r="E41" s="533">
        <f t="shared" si="6"/>
        <v>49</v>
      </c>
      <c r="F41" s="545"/>
      <c r="G41" s="545">
        <f t="shared" si="1"/>
        <v>75000</v>
      </c>
      <c r="H41" s="545"/>
      <c r="I41" s="533">
        <f t="shared" si="7"/>
        <v>1415000</v>
      </c>
      <c r="J41" s="545"/>
      <c r="K41" s="533">
        <f t="shared" si="2"/>
        <v>6</v>
      </c>
      <c r="L41" s="545"/>
      <c r="M41" s="533">
        <f t="shared" si="3"/>
        <v>1865000</v>
      </c>
      <c r="O41" s="534">
        <f t="shared" si="4"/>
        <v>0.70608782435129736</v>
      </c>
      <c r="P41" s="532">
        <v>75</v>
      </c>
      <c r="T41" s="536" t="e">
        <f t="shared" si="5"/>
        <v>#REF!</v>
      </c>
    </row>
    <row r="42" spans="1:20">
      <c r="A42" s="580">
        <f t="shared" si="0"/>
        <v>76000</v>
      </c>
      <c r="C42" s="532">
        <v>1</v>
      </c>
      <c r="D42" s="545"/>
      <c r="E42" s="533">
        <f t="shared" si="6"/>
        <v>50</v>
      </c>
      <c r="F42" s="545"/>
      <c r="G42" s="545">
        <f t="shared" si="1"/>
        <v>76000</v>
      </c>
      <c r="H42" s="545"/>
      <c r="I42" s="533">
        <f t="shared" si="7"/>
        <v>1491000</v>
      </c>
      <c r="J42" s="545"/>
      <c r="K42" s="533">
        <f t="shared" si="2"/>
        <v>5</v>
      </c>
      <c r="L42" s="545"/>
      <c r="M42" s="533">
        <f t="shared" si="3"/>
        <v>1871000</v>
      </c>
      <c r="O42" s="534">
        <f t="shared" si="4"/>
        <v>0.74401197604790414</v>
      </c>
      <c r="P42" s="532">
        <v>76</v>
      </c>
      <c r="T42" s="536" t="e">
        <f t="shared" si="5"/>
        <v>#REF!</v>
      </c>
    </row>
    <row r="43" spans="1:20">
      <c r="A43" s="580">
        <f t="shared" si="0"/>
        <v>84000</v>
      </c>
      <c r="C43" s="532">
        <v>1</v>
      </c>
      <c r="D43" s="545"/>
      <c r="E43" s="533">
        <f t="shared" si="6"/>
        <v>51</v>
      </c>
      <c r="F43" s="545"/>
      <c r="G43" s="545">
        <f t="shared" si="1"/>
        <v>84000</v>
      </c>
      <c r="H43" s="545"/>
      <c r="I43" s="533">
        <f t="shared" si="7"/>
        <v>1575000</v>
      </c>
      <c r="J43" s="545"/>
      <c r="K43" s="533">
        <f t="shared" si="2"/>
        <v>4</v>
      </c>
      <c r="L43" s="545"/>
      <c r="M43" s="533">
        <f t="shared" si="3"/>
        <v>1911000</v>
      </c>
      <c r="O43" s="534">
        <f t="shared" si="4"/>
        <v>0.7859281437125748</v>
      </c>
      <c r="P43" s="532">
        <v>84</v>
      </c>
      <c r="T43" s="536" t="e">
        <f t="shared" si="5"/>
        <v>#REF!</v>
      </c>
    </row>
    <row r="44" spans="1:20">
      <c r="A44" s="580">
        <f t="shared" si="0"/>
        <v>90000</v>
      </c>
      <c r="C44" s="532">
        <v>1</v>
      </c>
      <c r="D44" s="545"/>
      <c r="E44" s="533">
        <f t="shared" si="6"/>
        <v>52</v>
      </c>
      <c r="F44" s="545"/>
      <c r="G44" s="545">
        <f t="shared" si="1"/>
        <v>90000</v>
      </c>
      <c r="H44" s="545"/>
      <c r="I44" s="533">
        <f t="shared" si="7"/>
        <v>1665000</v>
      </c>
      <c r="J44" s="545"/>
      <c r="K44" s="533">
        <f t="shared" si="2"/>
        <v>3</v>
      </c>
      <c r="L44" s="545"/>
      <c r="M44" s="533">
        <f t="shared" si="3"/>
        <v>1935000</v>
      </c>
      <c r="O44" s="534">
        <f t="shared" si="4"/>
        <v>0.83083832335329344</v>
      </c>
      <c r="P44" s="532">
        <v>90</v>
      </c>
      <c r="T44" s="536" t="e">
        <f t="shared" si="5"/>
        <v>#REF!</v>
      </c>
    </row>
    <row r="45" spans="1:20">
      <c r="A45" s="580">
        <f t="shared" si="0"/>
        <v>92000</v>
      </c>
      <c r="C45" s="532">
        <v>1</v>
      </c>
      <c r="D45" s="545"/>
      <c r="E45" s="533">
        <f t="shared" si="6"/>
        <v>53</v>
      </c>
      <c r="F45" s="545"/>
      <c r="G45" s="545">
        <f t="shared" si="1"/>
        <v>92000</v>
      </c>
      <c r="H45" s="545"/>
      <c r="I45" s="533">
        <f t="shared" si="7"/>
        <v>1757000</v>
      </c>
      <c r="J45" s="545"/>
      <c r="K45" s="533">
        <f t="shared" si="2"/>
        <v>2</v>
      </c>
      <c r="L45" s="545"/>
      <c r="M45" s="533">
        <f t="shared" si="3"/>
        <v>1941000</v>
      </c>
      <c r="O45" s="534">
        <f t="shared" si="4"/>
        <v>0.87674650698602796</v>
      </c>
      <c r="P45" s="532">
        <v>92</v>
      </c>
      <c r="T45" s="536" t="e">
        <f t="shared" si="5"/>
        <v>#REF!</v>
      </c>
    </row>
    <row r="46" spans="1:20">
      <c r="A46" s="580">
        <f t="shared" si="0"/>
        <v>120000</v>
      </c>
      <c r="C46" s="532">
        <v>1</v>
      </c>
      <c r="D46" s="545"/>
      <c r="E46" s="533">
        <f t="shared" si="6"/>
        <v>54</v>
      </c>
      <c r="F46" s="545"/>
      <c r="G46" s="545">
        <f t="shared" si="1"/>
        <v>120000</v>
      </c>
      <c r="H46" s="545"/>
      <c r="I46" s="533">
        <f t="shared" si="7"/>
        <v>1877000</v>
      </c>
      <c r="J46" s="545"/>
      <c r="K46" s="533">
        <f t="shared" si="2"/>
        <v>1</v>
      </c>
      <c r="L46" s="545"/>
      <c r="M46" s="533">
        <f t="shared" si="3"/>
        <v>1997000</v>
      </c>
      <c r="O46" s="534">
        <f t="shared" si="4"/>
        <v>0.93662674650698607</v>
      </c>
      <c r="P46" s="532">
        <v>120</v>
      </c>
      <c r="T46" s="536" t="e">
        <f t="shared" si="5"/>
        <v>#REF!</v>
      </c>
    </row>
    <row r="47" spans="1:20">
      <c r="A47" s="580">
        <f t="shared" si="0"/>
        <v>127000</v>
      </c>
      <c r="C47" s="532">
        <v>1</v>
      </c>
      <c r="D47" s="545"/>
      <c r="E47" s="533">
        <f t="shared" si="6"/>
        <v>55</v>
      </c>
      <c r="F47" s="545"/>
      <c r="G47" s="545">
        <f t="shared" si="1"/>
        <v>127000</v>
      </c>
      <c r="H47" s="545"/>
      <c r="I47" s="533">
        <f t="shared" si="7"/>
        <v>2004000</v>
      </c>
      <c r="J47" s="545"/>
      <c r="K47" s="533">
        <f t="shared" si="2"/>
        <v>0</v>
      </c>
      <c r="L47" s="545"/>
      <c r="M47" s="533">
        <f t="shared" si="3"/>
        <v>2004000</v>
      </c>
      <c r="O47" s="534">
        <f t="shared" si="4"/>
        <v>1</v>
      </c>
      <c r="P47" s="532">
        <v>127</v>
      </c>
      <c r="T47" s="536" t="e">
        <f t="shared" si="5"/>
        <v>#REF!</v>
      </c>
    </row>
    <row r="48" spans="1:20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20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  <c r="T49" s="539" t="e">
        <f>SUM(T10:T47)</f>
        <v>#REF!</v>
      </c>
    </row>
    <row r="50" spans="1:20" hidden="1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  <c r="T50" s="513">
        <v>6104</v>
      </c>
    </row>
    <row r="51" spans="1:20" hidden="1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  <c r="T51" s="540" t="e">
        <f>T49-T50</f>
        <v>#REF!</v>
      </c>
    </row>
    <row r="52" spans="1:20" hidden="1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  <c r="T52" s="555" t="e">
        <f>T51/T49</f>
        <v>#REF!</v>
      </c>
    </row>
    <row r="53" spans="1:20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20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20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20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20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20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20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2"/>
  <sheetViews>
    <sheetView showGridLines="0" topLeftCell="H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'16094-170'!R2</f>
        <v>#REF!</v>
      </c>
      <c r="S2" s="518"/>
      <c r="T2" s="519" t="e">
        <f>'16094-170'!T2</f>
        <v>#REF!</v>
      </c>
    </row>
    <row r="3" spans="1:20">
      <c r="A3" s="513" t="s">
        <v>532</v>
      </c>
      <c r="M3" s="520" t="s">
        <v>525</v>
      </c>
      <c r="R3" s="519" t="e">
        <f>'16094-170'!R3</f>
        <v>#REF!</v>
      </c>
      <c r="S3" s="518"/>
      <c r="T3" s="519" t="e">
        <f>'16094-170'!T3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'16094-170'!R4</f>
        <v>#REF!</v>
      </c>
      <c r="S4" s="518"/>
      <c r="T4" s="519" t="e">
        <f>'16094-170'!T4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'16094-170'!R5</f>
        <v>#REF!</v>
      </c>
      <c r="S5" s="518"/>
      <c r="T5" s="519" t="e">
        <f>'16094-170'!T5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'16094-170'!R6</f>
        <v>#REF!</v>
      </c>
      <c r="S6" s="518"/>
      <c r="T6" s="519" t="e">
        <f>'16094-170'!T6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1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1" si="1">A10*C10</f>
        <v>0</v>
      </c>
      <c r="H10" s="533"/>
      <c r="I10" s="533">
        <f>G10</f>
        <v>0</v>
      </c>
      <c r="J10" s="533"/>
      <c r="K10" s="533">
        <f t="shared" ref="K10:K21" si="2">$E$21-E10</f>
        <v>33</v>
      </c>
      <c r="L10" s="533"/>
      <c r="M10" s="533">
        <f t="shared" ref="M10:M21" si="3">(A10*K10)+I10</f>
        <v>0</v>
      </c>
      <c r="O10" s="534">
        <f t="shared" ref="O10:O21" si="4">I10/$I$21</f>
        <v>0</v>
      </c>
      <c r="P10" s="532">
        <v>0</v>
      </c>
      <c r="R10" s="535"/>
      <c r="S10" s="513"/>
      <c r="T10" s="536" t="e">
        <f t="shared" ref="T10:T21" si="5">IF(A10&lt;21400,C10*$T$2,IF(A10=21400,C10*$T$2,IF(AND(A10&lt;26000,A10&gt;21400),(C10*$T$2)+((A10-21400)*C10/1000*$T$3),IF(AND(A10&gt;25000,A10&lt;51000),(C10*$T$2)+(3.6*$T$3*C10)+((A10-25000)/1000*$T$4*C10),IF(AND(A10&lt;101000,A10&gt;50000),(C10*$T$2)+(3.6*$T$3*C10)+(25*$T$4*C10)+((A10-50000)/1000*$T$5*C10),IF(A10&gt;100000,(C10*$T$2)+(3.6*$T$3*C10)+(25*$T$4*C10)+(50*$T$5*C10)+((A10-100000)/1000*$T$6*C10)))))))</f>
        <v>#REF!</v>
      </c>
    </row>
    <row r="11" spans="1:20" s="515" customFormat="1">
      <c r="A11" s="552">
        <f t="shared" si="0"/>
        <v>3000</v>
      </c>
      <c r="C11" s="532">
        <v>2</v>
      </c>
      <c r="D11" s="533"/>
      <c r="E11" s="533">
        <f t="shared" ref="E11:E21" si="6">E10+C11</f>
        <v>2</v>
      </c>
      <c r="F11" s="533"/>
      <c r="G11" s="533">
        <f t="shared" si="1"/>
        <v>6000</v>
      </c>
      <c r="H11" s="533"/>
      <c r="I11" s="533">
        <f t="shared" ref="I11:I21" si="7">I10+G11</f>
        <v>6000</v>
      </c>
      <c r="J11" s="533"/>
      <c r="K11" s="533">
        <f t="shared" si="2"/>
        <v>31</v>
      </c>
      <c r="L11" s="533"/>
      <c r="M11" s="533">
        <f t="shared" si="3"/>
        <v>99000</v>
      </c>
      <c r="O11" s="534">
        <f t="shared" si="4"/>
        <v>2.4291497975708502E-2</v>
      </c>
      <c r="P11" s="532">
        <v>3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4000</v>
      </c>
      <c r="C12" s="532">
        <v>6</v>
      </c>
      <c r="D12" s="533"/>
      <c r="E12" s="533">
        <f t="shared" si="6"/>
        <v>8</v>
      </c>
      <c r="F12" s="533"/>
      <c r="G12" s="533">
        <f t="shared" si="1"/>
        <v>24000</v>
      </c>
      <c r="H12" s="533"/>
      <c r="I12" s="533">
        <f t="shared" si="7"/>
        <v>30000</v>
      </c>
      <c r="J12" s="533"/>
      <c r="K12" s="533">
        <f t="shared" si="2"/>
        <v>25</v>
      </c>
      <c r="L12" s="533"/>
      <c r="M12" s="533">
        <f t="shared" si="3"/>
        <v>130000</v>
      </c>
      <c r="O12" s="534">
        <f t="shared" si="4"/>
        <v>0.1214574898785425</v>
      </c>
      <c r="P12" s="532">
        <v>4</v>
      </c>
      <c r="R12" s="513"/>
      <c r="S12" s="513"/>
      <c r="T12" s="536" t="e">
        <f t="shared" si="5"/>
        <v>#REF!</v>
      </c>
    </row>
    <row r="13" spans="1:20">
      <c r="A13" s="552">
        <f t="shared" si="0"/>
        <v>5000</v>
      </c>
      <c r="B13" s="515"/>
      <c r="C13" s="532">
        <v>8</v>
      </c>
      <c r="D13" s="533"/>
      <c r="E13" s="533">
        <f t="shared" si="6"/>
        <v>16</v>
      </c>
      <c r="F13" s="533"/>
      <c r="G13" s="533">
        <f t="shared" si="1"/>
        <v>40000</v>
      </c>
      <c r="H13" s="533"/>
      <c r="I13" s="533">
        <f t="shared" si="7"/>
        <v>70000</v>
      </c>
      <c r="J13" s="533"/>
      <c r="K13" s="533">
        <f t="shared" si="2"/>
        <v>17</v>
      </c>
      <c r="L13" s="533"/>
      <c r="M13" s="533">
        <f t="shared" si="3"/>
        <v>155000</v>
      </c>
      <c r="N13" s="515"/>
      <c r="O13" s="534">
        <f t="shared" si="4"/>
        <v>0.2834008097165992</v>
      </c>
      <c r="P13" s="532">
        <v>5</v>
      </c>
      <c r="T13" s="536" t="e">
        <f t="shared" si="5"/>
        <v>#REF!</v>
      </c>
    </row>
    <row r="14" spans="1:20">
      <c r="A14" s="552">
        <f t="shared" si="0"/>
        <v>6000</v>
      </c>
      <c r="B14" s="515"/>
      <c r="C14" s="532">
        <v>5</v>
      </c>
      <c r="D14" s="533"/>
      <c r="E14" s="533">
        <f t="shared" si="6"/>
        <v>21</v>
      </c>
      <c r="F14" s="533"/>
      <c r="G14" s="533">
        <f t="shared" si="1"/>
        <v>30000</v>
      </c>
      <c r="H14" s="533"/>
      <c r="I14" s="533">
        <f t="shared" si="7"/>
        <v>100000</v>
      </c>
      <c r="J14" s="533"/>
      <c r="K14" s="533">
        <f t="shared" si="2"/>
        <v>12</v>
      </c>
      <c r="L14" s="533"/>
      <c r="M14" s="533">
        <f t="shared" si="3"/>
        <v>172000</v>
      </c>
      <c r="N14" s="515"/>
      <c r="O14" s="534">
        <f t="shared" si="4"/>
        <v>0.40485829959514169</v>
      </c>
      <c r="P14" s="532">
        <v>6</v>
      </c>
      <c r="T14" s="536" t="e">
        <f t="shared" si="5"/>
        <v>#REF!</v>
      </c>
    </row>
    <row r="15" spans="1:20">
      <c r="A15" s="552">
        <f t="shared" si="0"/>
        <v>7000</v>
      </c>
      <c r="B15" s="515"/>
      <c r="C15" s="532">
        <v>1</v>
      </c>
      <c r="D15" s="533"/>
      <c r="E15" s="533">
        <f t="shared" si="6"/>
        <v>22</v>
      </c>
      <c r="F15" s="533"/>
      <c r="G15" s="533">
        <f t="shared" si="1"/>
        <v>7000</v>
      </c>
      <c r="H15" s="533"/>
      <c r="I15" s="533">
        <f t="shared" si="7"/>
        <v>107000</v>
      </c>
      <c r="J15" s="533"/>
      <c r="K15" s="533">
        <f t="shared" si="2"/>
        <v>11</v>
      </c>
      <c r="L15" s="533"/>
      <c r="M15" s="533">
        <f t="shared" si="3"/>
        <v>184000</v>
      </c>
      <c r="N15" s="515"/>
      <c r="O15" s="534">
        <f t="shared" si="4"/>
        <v>0.4331983805668016</v>
      </c>
      <c r="P15" s="532">
        <v>7</v>
      </c>
      <c r="T15" s="536" t="e">
        <f t="shared" si="5"/>
        <v>#REF!</v>
      </c>
    </row>
    <row r="16" spans="1:20">
      <c r="A16" s="531">
        <f t="shared" si="0"/>
        <v>8000</v>
      </c>
      <c r="B16" s="515"/>
      <c r="C16" s="532">
        <v>5</v>
      </c>
      <c r="D16" s="533"/>
      <c r="E16" s="533">
        <f t="shared" si="6"/>
        <v>27</v>
      </c>
      <c r="F16" s="533"/>
      <c r="G16" s="533">
        <f t="shared" si="1"/>
        <v>40000</v>
      </c>
      <c r="H16" s="533"/>
      <c r="I16" s="533">
        <f t="shared" si="7"/>
        <v>147000</v>
      </c>
      <c r="J16" s="533"/>
      <c r="K16" s="533">
        <f t="shared" si="2"/>
        <v>6</v>
      </c>
      <c r="L16" s="533"/>
      <c r="M16" s="533">
        <f t="shared" si="3"/>
        <v>195000</v>
      </c>
      <c r="N16" s="515"/>
      <c r="O16" s="534">
        <f t="shared" si="4"/>
        <v>0.59514170040485825</v>
      </c>
      <c r="P16" s="532">
        <v>8</v>
      </c>
      <c r="T16" s="536" t="e">
        <f t="shared" si="5"/>
        <v>#REF!</v>
      </c>
    </row>
    <row r="17" spans="1:20">
      <c r="A17" s="531">
        <f t="shared" si="0"/>
        <v>10000</v>
      </c>
      <c r="B17" s="515"/>
      <c r="C17" s="532">
        <v>1</v>
      </c>
      <c r="D17" s="533"/>
      <c r="E17" s="533">
        <f t="shared" si="6"/>
        <v>28</v>
      </c>
      <c r="F17" s="533"/>
      <c r="G17" s="533">
        <f t="shared" si="1"/>
        <v>10000</v>
      </c>
      <c r="H17" s="533"/>
      <c r="I17" s="533">
        <f t="shared" si="7"/>
        <v>157000</v>
      </c>
      <c r="J17" s="533"/>
      <c r="K17" s="533">
        <f t="shared" si="2"/>
        <v>5</v>
      </c>
      <c r="L17" s="533"/>
      <c r="M17" s="533">
        <f t="shared" si="3"/>
        <v>207000</v>
      </c>
      <c r="N17" s="515"/>
      <c r="O17" s="534">
        <f t="shared" si="4"/>
        <v>0.63562753036437247</v>
      </c>
      <c r="P17" s="532">
        <v>10</v>
      </c>
      <c r="T17" s="536" t="e">
        <f t="shared" si="5"/>
        <v>#REF!</v>
      </c>
    </row>
    <row r="18" spans="1:20">
      <c r="A18" s="531">
        <f t="shared" si="0"/>
        <v>11000</v>
      </c>
      <c r="B18" s="515"/>
      <c r="C18" s="532">
        <v>2</v>
      </c>
      <c r="D18" s="533"/>
      <c r="E18" s="533">
        <f t="shared" si="6"/>
        <v>30</v>
      </c>
      <c r="F18" s="533"/>
      <c r="G18" s="533">
        <f t="shared" si="1"/>
        <v>22000</v>
      </c>
      <c r="H18" s="533"/>
      <c r="I18" s="533">
        <f t="shared" si="7"/>
        <v>179000</v>
      </c>
      <c r="J18" s="533"/>
      <c r="K18" s="533">
        <f t="shared" si="2"/>
        <v>3</v>
      </c>
      <c r="L18" s="533"/>
      <c r="M18" s="533">
        <f t="shared" si="3"/>
        <v>212000</v>
      </c>
      <c r="N18" s="515"/>
      <c r="O18" s="534">
        <f t="shared" si="4"/>
        <v>0.7246963562753036</v>
      </c>
      <c r="P18" s="532">
        <v>11</v>
      </c>
      <c r="T18" s="536" t="e">
        <f t="shared" si="5"/>
        <v>#REF!</v>
      </c>
    </row>
    <row r="19" spans="1:20">
      <c r="A19" s="531">
        <f t="shared" si="0"/>
        <v>16000</v>
      </c>
      <c r="B19" s="515"/>
      <c r="C19" s="532">
        <v>1</v>
      </c>
      <c r="D19" s="533"/>
      <c r="E19" s="533">
        <f t="shared" si="6"/>
        <v>31</v>
      </c>
      <c r="F19" s="533"/>
      <c r="G19" s="533">
        <f t="shared" si="1"/>
        <v>16000</v>
      </c>
      <c r="H19" s="533"/>
      <c r="I19" s="533">
        <f t="shared" si="7"/>
        <v>195000</v>
      </c>
      <c r="J19" s="533"/>
      <c r="K19" s="533">
        <f t="shared" si="2"/>
        <v>2</v>
      </c>
      <c r="L19" s="533"/>
      <c r="M19" s="533">
        <f t="shared" si="3"/>
        <v>227000</v>
      </c>
      <c r="N19" s="515"/>
      <c r="O19" s="534">
        <f t="shared" si="4"/>
        <v>0.78947368421052633</v>
      </c>
      <c r="P19" s="532">
        <v>16</v>
      </c>
      <c r="T19" s="536" t="e">
        <f t="shared" si="5"/>
        <v>#REF!</v>
      </c>
    </row>
    <row r="20" spans="1:20">
      <c r="A20" s="531">
        <f t="shared" si="0"/>
        <v>22000</v>
      </c>
      <c r="B20" s="515"/>
      <c r="C20" s="532">
        <v>1</v>
      </c>
      <c r="D20" s="533"/>
      <c r="E20" s="533">
        <f t="shared" si="6"/>
        <v>32</v>
      </c>
      <c r="F20" s="533"/>
      <c r="G20" s="533">
        <f t="shared" si="1"/>
        <v>22000</v>
      </c>
      <c r="H20" s="533"/>
      <c r="I20" s="533">
        <f t="shared" si="7"/>
        <v>217000</v>
      </c>
      <c r="J20" s="533"/>
      <c r="K20" s="533">
        <f t="shared" si="2"/>
        <v>1</v>
      </c>
      <c r="L20" s="533"/>
      <c r="M20" s="533">
        <f t="shared" si="3"/>
        <v>239000</v>
      </c>
      <c r="N20" s="515"/>
      <c r="O20" s="534">
        <f t="shared" si="4"/>
        <v>0.87854251012145745</v>
      </c>
      <c r="P20" s="532">
        <v>22</v>
      </c>
      <c r="T20" s="536" t="e">
        <f t="shared" si="5"/>
        <v>#REF!</v>
      </c>
    </row>
    <row r="21" spans="1:20">
      <c r="A21" s="531">
        <f t="shared" si="0"/>
        <v>30000</v>
      </c>
      <c r="B21" s="515"/>
      <c r="C21" s="532">
        <v>1</v>
      </c>
      <c r="D21" s="533"/>
      <c r="E21" s="533">
        <f t="shared" si="6"/>
        <v>33</v>
      </c>
      <c r="F21" s="533"/>
      <c r="G21" s="533">
        <f t="shared" si="1"/>
        <v>30000</v>
      </c>
      <c r="H21" s="533"/>
      <c r="I21" s="533">
        <f t="shared" si="7"/>
        <v>247000</v>
      </c>
      <c r="J21" s="533"/>
      <c r="K21" s="533">
        <f t="shared" si="2"/>
        <v>0</v>
      </c>
      <c r="L21" s="533"/>
      <c r="M21" s="533">
        <f t="shared" si="3"/>
        <v>247000</v>
      </c>
      <c r="N21" s="515"/>
      <c r="O21" s="534">
        <f t="shared" si="4"/>
        <v>1</v>
      </c>
      <c r="P21" s="532">
        <v>30</v>
      </c>
      <c r="T21" s="536" t="e">
        <f t="shared" si="5"/>
        <v>#REF!</v>
      </c>
    </row>
    <row r="22" spans="1:20">
      <c r="A22" s="552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6"/>
    </row>
    <row r="23" spans="1:20">
      <c r="A23" s="552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36"/>
    </row>
    <row r="24" spans="1:20">
      <c r="T24" s="536"/>
    </row>
    <row r="25" spans="1:20">
      <c r="T25" s="554" t="e">
        <f>SUM(T10:T21)</f>
        <v>#REF!</v>
      </c>
    </row>
    <row r="26" spans="1:20" hidden="1">
      <c r="T26" s="536">
        <v>1978</v>
      </c>
    </row>
    <row r="27" spans="1:20">
      <c r="T27" s="536"/>
    </row>
    <row r="28" spans="1:20">
      <c r="T28" s="536"/>
    </row>
    <row r="29" spans="1:20">
      <c r="T29" s="536"/>
    </row>
    <row r="30" spans="1:20">
      <c r="T30" s="536"/>
    </row>
    <row r="31" spans="1:20">
      <c r="T31" s="536"/>
    </row>
    <row r="32" spans="1:20">
      <c r="T32" s="536"/>
    </row>
    <row r="33" spans="20:20">
      <c r="T33" s="536"/>
    </row>
    <row r="34" spans="20:20">
      <c r="T34" s="536"/>
    </row>
    <row r="35" spans="20:20">
      <c r="T35" s="536"/>
    </row>
    <row r="36" spans="20:20">
      <c r="T36" s="536"/>
    </row>
    <row r="37" spans="20:20">
      <c r="T37" s="536"/>
    </row>
    <row r="38" spans="20:20">
      <c r="T38" s="536"/>
    </row>
    <row r="39" spans="20:20">
      <c r="T39" s="536"/>
    </row>
    <row r="40" spans="20:20">
      <c r="T40" s="536"/>
    </row>
    <row r="41" spans="20:20">
      <c r="T41" s="536"/>
    </row>
    <row r="42" spans="20:20">
      <c r="T42" s="536"/>
    </row>
    <row r="43" spans="20:20">
      <c r="T43" s="536"/>
    </row>
    <row r="44" spans="20:20">
      <c r="T44" s="536"/>
    </row>
    <row r="45" spans="20:20">
      <c r="T45" s="536"/>
    </row>
    <row r="46" spans="20:20">
      <c r="T46" s="536"/>
    </row>
    <row r="47" spans="20:20">
      <c r="T47" s="536"/>
    </row>
    <row r="48" spans="20:20">
      <c r="T48" s="536"/>
    </row>
    <row r="49" spans="20:20">
      <c r="T49" s="536"/>
    </row>
    <row r="50" spans="20:20">
      <c r="T50" s="536"/>
    </row>
    <row r="51" spans="20:20">
      <c r="T51" s="536"/>
    </row>
    <row r="52" spans="20:20">
      <c r="T52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0"/>
  <sheetViews>
    <sheetView showGridLines="0" topLeftCell="N22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3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'16094-171'!R2</f>
        <v>#REF!</v>
      </c>
      <c r="S2" s="518"/>
      <c r="T2" s="519" t="e">
        <f>'16094-171'!T2</f>
        <v>#REF!</v>
      </c>
    </row>
    <row r="3" spans="1:20">
      <c r="A3" s="513" t="s">
        <v>532</v>
      </c>
      <c r="M3" s="520" t="s">
        <v>525</v>
      </c>
      <c r="R3" s="519" t="e">
        <f>'16094-171'!R3</f>
        <v>#REF!</v>
      </c>
      <c r="S3" s="518"/>
      <c r="T3" s="519" t="e">
        <f>'16094-171'!T3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'16094-171'!R4</f>
        <v>#REF!</v>
      </c>
      <c r="S4" s="518"/>
      <c r="T4" s="519" t="e">
        <f>'16094-171'!T4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'16094-171'!R5</f>
        <v>#REF!</v>
      </c>
      <c r="S5" s="518"/>
      <c r="T5" s="519" t="e">
        <f>'16094-171'!T5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'16094-171'!R6</f>
        <v>#REF!</v>
      </c>
      <c r="S6" s="518"/>
      <c r="T6" s="519" t="e">
        <f>'16094-171'!T6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35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35" si="1">A10*C10</f>
        <v>0</v>
      </c>
      <c r="H10" s="533"/>
      <c r="I10" s="533">
        <f>G10</f>
        <v>0</v>
      </c>
      <c r="J10" s="533"/>
      <c r="K10" s="533">
        <f t="shared" ref="K10:K35" si="2">$E$35-E10</f>
        <v>33</v>
      </c>
      <c r="L10" s="533"/>
      <c r="M10" s="533">
        <f t="shared" ref="M10:M35" si="3">(A10*K10)+I10</f>
        <v>0</v>
      </c>
      <c r="O10" s="534">
        <f t="shared" ref="O10:O35" si="4">I10/$I$35</f>
        <v>0</v>
      </c>
      <c r="P10" s="532">
        <v>0</v>
      </c>
      <c r="R10" s="535"/>
      <c r="S10" s="513"/>
      <c r="T10" s="536" t="e">
        <f t="shared" ref="T10:T35" si="5">IF(A10&lt;21400,C10*$T$2,IF(A10=21400,C10*$T$2,IF(AND(A10&lt;26000,A10&gt;21400),(C10*$T$2)+((A10-21400)*C10/1000*$T$3),IF(AND(A10&gt;25000,A10&lt;51000),(C10*$T$2)+(3.6*$T$3*C10)+((A10-25000)/1000*$T$4*C10),IF(AND(A10&lt;101000,A10&gt;50000),(C10*$T$2)+(3.6*$T$3*C10)+(25*$T$4*C10)+((A10-50000)/1000*$T$5*C10),IF(A10&gt;100000,(C10*$T$2)+(3.6*$T$3*C10)+(25*$T$4*C10)+(50*$T$5*C10)+((A10-100000)/1000*$T$6*C10)))))))</f>
        <v>#REF!</v>
      </c>
    </row>
    <row r="11" spans="1:20" s="515" customFormat="1">
      <c r="A11" s="552">
        <f t="shared" si="0"/>
        <v>1000</v>
      </c>
      <c r="C11" s="532">
        <v>2</v>
      </c>
      <c r="D11" s="533"/>
      <c r="E11" s="533">
        <f t="shared" ref="E11:E35" si="6">E10+C11</f>
        <v>2</v>
      </c>
      <c r="F11" s="533"/>
      <c r="G11" s="533">
        <f t="shared" si="1"/>
        <v>2000</v>
      </c>
      <c r="H11" s="533"/>
      <c r="I11" s="533">
        <f t="shared" ref="I11:I35" si="7">I10+G11</f>
        <v>2000</v>
      </c>
      <c r="J11" s="533"/>
      <c r="K11" s="533">
        <f t="shared" si="2"/>
        <v>31</v>
      </c>
      <c r="L11" s="533"/>
      <c r="M11" s="533">
        <f t="shared" si="3"/>
        <v>33000</v>
      </c>
      <c r="O11" s="534">
        <f t="shared" si="4"/>
        <v>2.3733238400379733E-4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5</v>
      </c>
      <c r="D12" s="533"/>
      <c r="E12" s="533">
        <f t="shared" si="6"/>
        <v>7</v>
      </c>
      <c r="F12" s="533"/>
      <c r="G12" s="533">
        <f t="shared" si="1"/>
        <v>10000</v>
      </c>
      <c r="H12" s="533"/>
      <c r="I12" s="533">
        <f t="shared" si="7"/>
        <v>12000</v>
      </c>
      <c r="J12" s="533"/>
      <c r="K12" s="533">
        <f t="shared" si="2"/>
        <v>26</v>
      </c>
      <c r="L12" s="533"/>
      <c r="M12" s="533">
        <f t="shared" si="3"/>
        <v>64000</v>
      </c>
      <c r="O12" s="534">
        <f t="shared" si="4"/>
        <v>1.423994304022784E-3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2</v>
      </c>
      <c r="D13" s="533"/>
      <c r="E13" s="533">
        <f t="shared" si="6"/>
        <v>9</v>
      </c>
      <c r="F13" s="533"/>
      <c r="G13" s="533">
        <f t="shared" si="1"/>
        <v>6000</v>
      </c>
      <c r="H13" s="533"/>
      <c r="I13" s="533">
        <f t="shared" si="7"/>
        <v>18000</v>
      </c>
      <c r="J13" s="533"/>
      <c r="K13" s="533">
        <f t="shared" si="2"/>
        <v>24</v>
      </c>
      <c r="L13" s="533"/>
      <c r="M13" s="533">
        <f t="shared" si="3"/>
        <v>90000</v>
      </c>
      <c r="N13" s="515"/>
      <c r="O13" s="534">
        <f t="shared" si="4"/>
        <v>2.135991456034176E-3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2</v>
      </c>
      <c r="D14" s="533"/>
      <c r="E14" s="533">
        <f t="shared" si="6"/>
        <v>11</v>
      </c>
      <c r="F14" s="533"/>
      <c r="G14" s="533">
        <f t="shared" si="1"/>
        <v>8000</v>
      </c>
      <c r="H14" s="533"/>
      <c r="I14" s="533">
        <f t="shared" si="7"/>
        <v>26000</v>
      </c>
      <c r="J14" s="533"/>
      <c r="K14" s="533">
        <f t="shared" si="2"/>
        <v>22</v>
      </c>
      <c r="L14" s="533"/>
      <c r="M14" s="533">
        <f t="shared" si="3"/>
        <v>114000</v>
      </c>
      <c r="N14" s="515"/>
      <c r="O14" s="534">
        <f t="shared" si="4"/>
        <v>3.0853209920493653E-3</v>
      </c>
      <c r="P14" s="532">
        <v>4</v>
      </c>
      <c r="T14" s="536" t="e">
        <f t="shared" si="5"/>
        <v>#REF!</v>
      </c>
    </row>
    <row r="15" spans="1:20">
      <c r="A15" s="552">
        <f t="shared" si="0"/>
        <v>6000</v>
      </c>
      <c r="B15" s="515"/>
      <c r="C15" s="532">
        <v>1</v>
      </c>
      <c r="D15" s="533"/>
      <c r="E15" s="533">
        <f t="shared" si="6"/>
        <v>12</v>
      </c>
      <c r="F15" s="533"/>
      <c r="G15" s="533">
        <f t="shared" si="1"/>
        <v>6000</v>
      </c>
      <c r="H15" s="533"/>
      <c r="I15" s="533">
        <f t="shared" si="7"/>
        <v>32000</v>
      </c>
      <c r="J15" s="533"/>
      <c r="K15" s="533">
        <f t="shared" si="2"/>
        <v>21</v>
      </c>
      <c r="L15" s="533"/>
      <c r="M15" s="533">
        <f t="shared" si="3"/>
        <v>158000</v>
      </c>
      <c r="N15" s="515"/>
      <c r="O15" s="534">
        <f t="shared" si="4"/>
        <v>3.7973181440607573E-3</v>
      </c>
      <c r="P15" s="532">
        <v>6</v>
      </c>
      <c r="T15" s="536" t="e">
        <f t="shared" si="5"/>
        <v>#REF!</v>
      </c>
    </row>
    <row r="16" spans="1:20">
      <c r="A16" s="531">
        <f t="shared" si="0"/>
        <v>10000</v>
      </c>
      <c r="B16" s="515"/>
      <c r="C16" s="532">
        <v>2</v>
      </c>
      <c r="D16" s="533"/>
      <c r="E16" s="533">
        <f t="shared" si="6"/>
        <v>14</v>
      </c>
      <c r="F16" s="533"/>
      <c r="G16" s="533">
        <f t="shared" si="1"/>
        <v>20000</v>
      </c>
      <c r="H16" s="533"/>
      <c r="I16" s="533">
        <f t="shared" si="7"/>
        <v>52000</v>
      </c>
      <c r="J16" s="533"/>
      <c r="K16" s="533">
        <f t="shared" si="2"/>
        <v>19</v>
      </c>
      <c r="L16" s="533"/>
      <c r="M16" s="533">
        <f t="shared" si="3"/>
        <v>242000</v>
      </c>
      <c r="N16" s="515"/>
      <c r="O16" s="534">
        <f t="shared" si="4"/>
        <v>6.1706419840987306E-3</v>
      </c>
      <c r="P16" s="532">
        <v>10</v>
      </c>
      <c r="T16" s="536" t="e">
        <f t="shared" si="5"/>
        <v>#REF!</v>
      </c>
    </row>
    <row r="17" spans="1:20">
      <c r="A17" s="531">
        <f t="shared" si="0"/>
        <v>14000</v>
      </c>
      <c r="B17" s="515"/>
      <c r="C17" s="532">
        <v>1</v>
      </c>
      <c r="D17" s="533"/>
      <c r="E17" s="533">
        <f t="shared" si="6"/>
        <v>15</v>
      </c>
      <c r="F17" s="533"/>
      <c r="G17" s="533">
        <f t="shared" si="1"/>
        <v>14000</v>
      </c>
      <c r="H17" s="533"/>
      <c r="I17" s="533">
        <f t="shared" si="7"/>
        <v>66000</v>
      </c>
      <c r="J17" s="533"/>
      <c r="K17" s="533">
        <f t="shared" si="2"/>
        <v>18</v>
      </c>
      <c r="L17" s="533"/>
      <c r="M17" s="533">
        <f t="shared" si="3"/>
        <v>318000</v>
      </c>
      <c r="N17" s="515"/>
      <c r="O17" s="534">
        <f t="shared" si="4"/>
        <v>7.8319686721253119E-3</v>
      </c>
      <c r="P17" s="532">
        <v>14</v>
      </c>
      <c r="T17" s="536" t="e">
        <f t="shared" si="5"/>
        <v>#REF!</v>
      </c>
    </row>
    <row r="18" spans="1:20">
      <c r="A18" s="531">
        <f t="shared" si="0"/>
        <v>19000</v>
      </c>
      <c r="B18" s="515"/>
      <c r="C18" s="532">
        <v>1</v>
      </c>
      <c r="D18" s="533"/>
      <c r="E18" s="533">
        <f t="shared" si="6"/>
        <v>16</v>
      </c>
      <c r="F18" s="533"/>
      <c r="G18" s="533">
        <f t="shared" si="1"/>
        <v>19000</v>
      </c>
      <c r="H18" s="533"/>
      <c r="I18" s="533">
        <f t="shared" si="7"/>
        <v>85000</v>
      </c>
      <c r="J18" s="533"/>
      <c r="K18" s="533">
        <f t="shared" si="2"/>
        <v>17</v>
      </c>
      <c r="L18" s="533"/>
      <c r="M18" s="533">
        <f t="shared" si="3"/>
        <v>408000</v>
      </c>
      <c r="N18" s="515"/>
      <c r="O18" s="534">
        <f t="shared" si="4"/>
        <v>1.0086626320161387E-2</v>
      </c>
      <c r="P18" s="532">
        <v>19</v>
      </c>
      <c r="T18" s="536" t="e">
        <f t="shared" si="5"/>
        <v>#REF!</v>
      </c>
    </row>
    <row r="19" spans="1:20">
      <c r="A19" s="531">
        <f t="shared" si="0"/>
        <v>45000</v>
      </c>
      <c r="B19" s="515"/>
      <c r="C19" s="532">
        <v>1</v>
      </c>
      <c r="D19" s="533"/>
      <c r="E19" s="533">
        <f t="shared" si="6"/>
        <v>17</v>
      </c>
      <c r="F19" s="533"/>
      <c r="G19" s="533">
        <f t="shared" si="1"/>
        <v>45000</v>
      </c>
      <c r="H19" s="533"/>
      <c r="I19" s="533">
        <f t="shared" si="7"/>
        <v>130000</v>
      </c>
      <c r="J19" s="533"/>
      <c r="K19" s="533">
        <f t="shared" si="2"/>
        <v>16</v>
      </c>
      <c r="L19" s="533"/>
      <c r="M19" s="533">
        <f t="shared" si="3"/>
        <v>850000</v>
      </c>
      <c r="N19" s="515"/>
      <c r="O19" s="534">
        <f t="shared" si="4"/>
        <v>1.5426604960246827E-2</v>
      </c>
      <c r="P19" s="532">
        <v>45</v>
      </c>
      <c r="T19" s="536" t="e">
        <f t="shared" si="5"/>
        <v>#REF!</v>
      </c>
    </row>
    <row r="20" spans="1:20">
      <c r="A20" s="531">
        <f t="shared" si="0"/>
        <v>48000</v>
      </c>
      <c r="B20" s="544"/>
      <c r="C20" s="532">
        <v>1</v>
      </c>
      <c r="D20" s="545"/>
      <c r="E20" s="533">
        <f t="shared" si="6"/>
        <v>18</v>
      </c>
      <c r="F20" s="533"/>
      <c r="G20" s="533">
        <f t="shared" si="1"/>
        <v>48000</v>
      </c>
      <c r="H20" s="533"/>
      <c r="I20" s="533">
        <f t="shared" si="7"/>
        <v>178000</v>
      </c>
      <c r="J20" s="545"/>
      <c r="K20" s="533">
        <f t="shared" si="2"/>
        <v>15</v>
      </c>
      <c r="L20" s="545"/>
      <c r="M20" s="533">
        <f t="shared" si="3"/>
        <v>898000</v>
      </c>
      <c r="O20" s="534">
        <f t="shared" si="4"/>
        <v>2.1122582176337962E-2</v>
      </c>
      <c r="P20" s="532">
        <v>48</v>
      </c>
      <c r="T20" s="536" t="e">
        <f t="shared" si="5"/>
        <v>#REF!</v>
      </c>
    </row>
    <row r="21" spans="1:20">
      <c r="A21" s="531">
        <f t="shared" si="0"/>
        <v>59000</v>
      </c>
      <c r="B21" s="515"/>
      <c r="C21" s="532">
        <v>1</v>
      </c>
      <c r="D21" s="515"/>
      <c r="E21" s="533">
        <f t="shared" si="6"/>
        <v>19</v>
      </c>
      <c r="F21" s="533"/>
      <c r="G21" s="533">
        <f t="shared" si="1"/>
        <v>59000</v>
      </c>
      <c r="H21" s="533"/>
      <c r="I21" s="533">
        <f t="shared" si="7"/>
        <v>237000</v>
      </c>
      <c r="J21" s="515"/>
      <c r="K21" s="533">
        <f t="shared" si="2"/>
        <v>14</v>
      </c>
      <c r="L21" s="515"/>
      <c r="M21" s="533">
        <f t="shared" si="3"/>
        <v>1063000</v>
      </c>
      <c r="N21" s="515"/>
      <c r="O21" s="534">
        <f t="shared" si="4"/>
        <v>2.8123887504449982E-2</v>
      </c>
      <c r="P21" s="532">
        <v>59</v>
      </c>
      <c r="T21" s="536" t="e">
        <f t="shared" si="5"/>
        <v>#REF!</v>
      </c>
    </row>
    <row r="22" spans="1:20">
      <c r="A22" s="531">
        <f t="shared" si="0"/>
        <v>61000</v>
      </c>
      <c r="B22" s="515"/>
      <c r="C22" s="532">
        <v>1</v>
      </c>
      <c r="D22" s="515"/>
      <c r="E22" s="533">
        <f t="shared" si="6"/>
        <v>20</v>
      </c>
      <c r="F22" s="533"/>
      <c r="G22" s="533">
        <f t="shared" si="1"/>
        <v>61000</v>
      </c>
      <c r="H22" s="533"/>
      <c r="I22" s="533">
        <f t="shared" si="7"/>
        <v>298000</v>
      </c>
      <c r="J22" s="515"/>
      <c r="K22" s="533">
        <f t="shared" si="2"/>
        <v>13</v>
      </c>
      <c r="L22" s="515"/>
      <c r="M22" s="533">
        <f t="shared" si="3"/>
        <v>1091000</v>
      </c>
      <c r="N22" s="515"/>
      <c r="O22" s="534">
        <f t="shared" si="4"/>
        <v>3.5362525216565799E-2</v>
      </c>
      <c r="P22" s="532">
        <v>61</v>
      </c>
      <c r="T22" s="536" t="e">
        <f t="shared" si="5"/>
        <v>#REF!</v>
      </c>
    </row>
    <row r="23" spans="1:20">
      <c r="A23" s="531">
        <f t="shared" si="0"/>
        <v>66000</v>
      </c>
      <c r="B23" s="529"/>
      <c r="C23" s="532">
        <v>1</v>
      </c>
      <c r="D23" s="529"/>
      <c r="E23" s="533">
        <f t="shared" si="6"/>
        <v>21</v>
      </c>
      <c r="F23" s="533"/>
      <c r="G23" s="533">
        <f t="shared" si="1"/>
        <v>66000</v>
      </c>
      <c r="H23" s="533"/>
      <c r="I23" s="533">
        <f t="shared" si="7"/>
        <v>364000</v>
      </c>
      <c r="J23" s="529"/>
      <c r="K23" s="533">
        <f t="shared" si="2"/>
        <v>12</v>
      </c>
      <c r="L23" s="529"/>
      <c r="M23" s="533">
        <f t="shared" si="3"/>
        <v>1156000</v>
      </c>
      <c r="N23" s="529"/>
      <c r="O23" s="534">
        <f t="shared" si="4"/>
        <v>4.3194493888691114E-2</v>
      </c>
      <c r="P23" s="532">
        <v>66</v>
      </c>
      <c r="T23" s="536" t="e">
        <f t="shared" si="5"/>
        <v>#REF!</v>
      </c>
    </row>
    <row r="24" spans="1:20">
      <c r="A24" s="531">
        <f t="shared" si="0"/>
        <v>72000</v>
      </c>
      <c r="B24" s="523"/>
      <c r="C24" s="532">
        <v>1</v>
      </c>
      <c r="D24" s="523"/>
      <c r="E24" s="533">
        <f t="shared" si="6"/>
        <v>22</v>
      </c>
      <c r="F24" s="533"/>
      <c r="G24" s="533">
        <f t="shared" si="1"/>
        <v>72000</v>
      </c>
      <c r="H24" s="533"/>
      <c r="I24" s="533">
        <f t="shared" si="7"/>
        <v>436000</v>
      </c>
      <c r="J24" s="523"/>
      <c r="K24" s="533">
        <f t="shared" si="2"/>
        <v>11</v>
      </c>
      <c r="L24" s="523"/>
      <c r="M24" s="533">
        <f t="shared" si="3"/>
        <v>1228000</v>
      </c>
      <c r="N24" s="523"/>
      <c r="O24" s="534">
        <f t="shared" si="4"/>
        <v>5.1738459712827818E-2</v>
      </c>
      <c r="P24" s="532">
        <v>72</v>
      </c>
      <c r="T24" s="536" t="e">
        <f t="shared" si="5"/>
        <v>#REF!</v>
      </c>
    </row>
    <row r="25" spans="1:20">
      <c r="A25" s="531">
        <f t="shared" si="0"/>
        <v>74000</v>
      </c>
      <c r="B25" s="525"/>
      <c r="C25" s="532">
        <v>1</v>
      </c>
      <c r="D25" s="525"/>
      <c r="E25" s="533">
        <f t="shared" si="6"/>
        <v>23</v>
      </c>
      <c r="F25" s="533"/>
      <c r="G25" s="533">
        <f t="shared" si="1"/>
        <v>74000</v>
      </c>
      <c r="H25" s="533"/>
      <c r="I25" s="533">
        <f t="shared" si="7"/>
        <v>510000</v>
      </c>
      <c r="J25" s="525"/>
      <c r="K25" s="533">
        <f t="shared" si="2"/>
        <v>10</v>
      </c>
      <c r="L25" s="525"/>
      <c r="M25" s="533">
        <f t="shared" si="3"/>
        <v>1250000</v>
      </c>
      <c r="N25" s="525"/>
      <c r="O25" s="534">
        <f t="shared" si="4"/>
        <v>6.0519757920968316E-2</v>
      </c>
      <c r="P25" s="532">
        <v>74</v>
      </c>
      <c r="T25" s="536" t="e">
        <f t="shared" si="5"/>
        <v>#REF!</v>
      </c>
    </row>
    <row r="26" spans="1:20">
      <c r="A26" s="531">
        <f t="shared" si="0"/>
        <v>82000</v>
      </c>
      <c r="B26" s="525"/>
      <c r="C26" s="532">
        <v>1</v>
      </c>
      <c r="D26" s="525"/>
      <c r="E26" s="533">
        <f t="shared" si="6"/>
        <v>24</v>
      </c>
      <c r="F26" s="533"/>
      <c r="G26" s="533">
        <f t="shared" si="1"/>
        <v>82000</v>
      </c>
      <c r="H26" s="533"/>
      <c r="I26" s="533">
        <f t="shared" si="7"/>
        <v>592000</v>
      </c>
      <c r="J26" s="525"/>
      <c r="K26" s="533">
        <f t="shared" si="2"/>
        <v>9</v>
      </c>
      <c r="L26" s="525"/>
      <c r="M26" s="533">
        <f t="shared" si="3"/>
        <v>1330000</v>
      </c>
      <c r="N26" s="525"/>
      <c r="O26" s="534">
        <f t="shared" si="4"/>
        <v>7.025038566512401E-2</v>
      </c>
      <c r="P26" s="532">
        <v>82</v>
      </c>
      <c r="T26" s="536" t="e">
        <f t="shared" si="5"/>
        <v>#REF!</v>
      </c>
    </row>
    <row r="27" spans="1:20">
      <c r="A27" s="531">
        <f t="shared" si="0"/>
        <v>83000</v>
      </c>
      <c r="B27" s="525"/>
      <c r="C27" s="532">
        <v>1</v>
      </c>
      <c r="D27" s="525"/>
      <c r="E27" s="533">
        <f t="shared" si="6"/>
        <v>25</v>
      </c>
      <c r="F27" s="533"/>
      <c r="G27" s="533">
        <f t="shared" si="1"/>
        <v>83000</v>
      </c>
      <c r="H27" s="533"/>
      <c r="I27" s="533">
        <f t="shared" si="7"/>
        <v>675000</v>
      </c>
      <c r="J27" s="525"/>
      <c r="K27" s="533">
        <f t="shared" si="2"/>
        <v>8</v>
      </c>
      <c r="L27" s="525"/>
      <c r="M27" s="533">
        <f t="shared" si="3"/>
        <v>1339000</v>
      </c>
      <c r="N27" s="525"/>
      <c r="O27" s="534">
        <f t="shared" si="4"/>
        <v>8.0099679601281601E-2</v>
      </c>
      <c r="P27" s="532">
        <v>83</v>
      </c>
      <c r="T27" s="536" t="e">
        <f t="shared" si="5"/>
        <v>#REF!</v>
      </c>
    </row>
    <row r="28" spans="1:20">
      <c r="A28" s="531">
        <f t="shared" si="0"/>
        <v>93000</v>
      </c>
      <c r="B28" s="515"/>
      <c r="C28" s="532">
        <v>1</v>
      </c>
      <c r="D28" s="529"/>
      <c r="E28" s="533">
        <f t="shared" si="6"/>
        <v>26</v>
      </c>
      <c r="F28" s="533"/>
      <c r="G28" s="533">
        <f t="shared" si="1"/>
        <v>93000</v>
      </c>
      <c r="H28" s="533"/>
      <c r="I28" s="533">
        <f t="shared" si="7"/>
        <v>768000</v>
      </c>
      <c r="J28" s="529"/>
      <c r="K28" s="533">
        <f t="shared" si="2"/>
        <v>7</v>
      </c>
      <c r="L28" s="529"/>
      <c r="M28" s="533">
        <f t="shared" si="3"/>
        <v>1419000</v>
      </c>
      <c r="N28" s="529"/>
      <c r="O28" s="534">
        <f t="shared" si="4"/>
        <v>9.1135635457458175E-2</v>
      </c>
      <c r="P28" s="532">
        <v>93</v>
      </c>
      <c r="T28" s="536" t="e">
        <f t="shared" si="5"/>
        <v>#REF!</v>
      </c>
    </row>
    <row r="29" spans="1:20">
      <c r="A29" s="531">
        <f t="shared" si="0"/>
        <v>103000</v>
      </c>
      <c r="B29" s="515"/>
      <c r="C29" s="532">
        <v>1</v>
      </c>
      <c r="D29" s="533"/>
      <c r="E29" s="533">
        <f t="shared" si="6"/>
        <v>27</v>
      </c>
      <c r="F29" s="533"/>
      <c r="G29" s="533">
        <f t="shared" si="1"/>
        <v>103000</v>
      </c>
      <c r="H29" s="533"/>
      <c r="I29" s="533">
        <f t="shared" si="7"/>
        <v>871000</v>
      </c>
      <c r="J29" s="533"/>
      <c r="K29" s="533">
        <f t="shared" si="2"/>
        <v>6</v>
      </c>
      <c r="L29" s="533"/>
      <c r="M29" s="533">
        <f t="shared" si="3"/>
        <v>1489000</v>
      </c>
      <c r="N29" s="515"/>
      <c r="O29" s="534">
        <f t="shared" si="4"/>
        <v>0.10335825323365373</v>
      </c>
      <c r="P29" s="532">
        <v>103</v>
      </c>
      <c r="T29" s="536" t="e">
        <f t="shared" si="5"/>
        <v>#REF!</v>
      </c>
    </row>
    <row r="30" spans="1:20">
      <c r="A30" s="531">
        <f t="shared" si="0"/>
        <v>275000</v>
      </c>
      <c r="B30" s="515"/>
      <c r="C30" s="532">
        <v>1</v>
      </c>
      <c r="D30" s="533"/>
      <c r="E30" s="533">
        <f t="shared" si="6"/>
        <v>28</v>
      </c>
      <c r="F30" s="533"/>
      <c r="G30" s="533">
        <f t="shared" si="1"/>
        <v>275000</v>
      </c>
      <c r="H30" s="533"/>
      <c r="I30" s="533">
        <f t="shared" si="7"/>
        <v>1146000</v>
      </c>
      <c r="J30" s="533"/>
      <c r="K30" s="533">
        <f t="shared" si="2"/>
        <v>5</v>
      </c>
      <c r="L30" s="533"/>
      <c r="M30" s="533">
        <f t="shared" si="3"/>
        <v>2521000</v>
      </c>
      <c r="N30" s="515"/>
      <c r="O30" s="534">
        <f t="shared" si="4"/>
        <v>0.13599145603417587</v>
      </c>
      <c r="P30" s="532">
        <v>275</v>
      </c>
      <c r="T30" s="536" t="e">
        <f t="shared" si="5"/>
        <v>#REF!</v>
      </c>
    </row>
    <row r="31" spans="1:20">
      <c r="A31" s="531">
        <f t="shared" si="0"/>
        <v>430000</v>
      </c>
      <c r="B31" s="515"/>
      <c r="C31" s="532">
        <v>1</v>
      </c>
      <c r="D31" s="533"/>
      <c r="E31" s="533">
        <f t="shared" si="6"/>
        <v>29</v>
      </c>
      <c r="F31" s="533"/>
      <c r="G31" s="533">
        <f t="shared" si="1"/>
        <v>430000</v>
      </c>
      <c r="H31" s="533"/>
      <c r="I31" s="533">
        <f t="shared" si="7"/>
        <v>1576000</v>
      </c>
      <c r="J31" s="533"/>
      <c r="K31" s="533">
        <f t="shared" si="2"/>
        <v>4</v>
      </c>
      <c r="L31" s="533"/>
      <c r="M31" s="533">
        <f t="shared" si="3"/>
        <v>3296000</v>
      </c>
      <c r="N31" s="515"/>
      <c r="O31" s="534">
        <f t="shared" si="4"/>
        <v>0.18701791859499228</v>
      </c>
      <c r="P31" s="532">
        <v>430</v>
      </c>
      <c r="T31" s="536" t="e">
        <f t="shared" si="5"/>
        <v>#REF!</v>
      </c>
    </row>
    <row r="32" spans="1:20">
      <c r="A32" s="531">
        <f t="shared" si="0"/>
        <v>540000</v>
      </c>
      <c r="B32" s="515"/>
      <c r="C32" s="532">
        <v>1</v>
      </c>
      <c r="D32" s="533"/>
      <c r="E32" s="533">
        <f t="shared" si="6"/>
        <v>30</v>
      </c>
      <c r="F32" s="533"/>
      <c r="G32" s="533">
        <f t="shared" si="1"/>
        <v>540000</v>
      </c>
      <c r="H32" s="533"/>
      <c r="I32" s="533">
        <f t="shared" si="7"/>
        <v>2116000</v>
      </c>
      <c r="J32" s="533"/>
      <c r="K32" s="533">
        <f t="shared" si="2"/>
        <v>3</v>
      </c>
      <c r="L32" s="533"/>
      <c r="M32" s="533">
        <f t="shared" si="3"/>
        <v>3736000</v>
      </c>
      <c r="N32" s="515"/>
      <c r="O32" s="534">
        <f t="shared" si="4"/>
        <v>0.25109766227601754</v>
      </c>
      <c r="P32" s="532">
        <v>540</v>
      </c>
      <c r="T32" s="536" t="e">
        <f t="shared" si="5"/>
        <v>#REF!</v>
      </c>
    </row>
    <row r="33" spans="1:20">
      <c r="A33" s="531">
        <f t="shared" si="0"/>
        <v>653000</v>
      </c>
      <c r="B33" s="515"/>
      <c r="C33" s="532">
        <v>1</v>
      </c>
      <c r="D33" s="533"/>
      <c r="E33" s="533">
        <f t="shared" si="6"/>
        <v>31</v>
      </c>
      <c r="F33" s="533"/>
      <c r="G33" s="533">
        <f t="shared" si="1"/>
        <v>653000</v>
      </c>
      <c r="H33" s="533"/>
      <c r="I33" s="533">
        <f t="shared" si="7"/>
        <v>2769000</v>
      </c>
      <c r="J33" s="533"/>
      <c r="K33" s="533">
        <f t="shared" si="2"/>
        <v>2</v>
      </c>
      <c r="L33" s="533"/>
      <c r="M33" s="533">
        <f t="shared" si="3"/>
        <v>4075000</v>
      </c>
      <c r="N33" s="515"/>
      <c r="O33" s="534">
        <f t="shared" si="4"/>
        <v>0.32858668565325738</v>
      </c>
      <c r="P33" s="532">
        <v>653</v>
      </c>
      <c r="T33" s="536" t="e">
        <f t="shared" si="5"/>
        <v>#REF!</v>
      </c>
    </row>
    <row r="34" spans="1:20">
      <c r="A34" s="531">
        <f t="shared" si="0"/>
        <v>828000</v>
      </c>
      <c r="B34" s="515"/>
      <c r="C34" s="532">
        <v>1</v>
      </c>
      <c r="D34" s="533"/>
      <c r="E34" s="533">
        <f t="shared" si="6"/>
        <v>32</v>
      </c>
      <c r="F34" s="533"/>
      <c r="G34" s="533">
        <f t="shared" si="1"/>
        <v>828000</v>
      </c>
      <c r="H34" s="533"/>
      <c r="I34" s="533">
        <f t="shared" si="7"/>
        <v>3597000</v>
      </c>
      <c r="J34" s="533"/>
      <c r="K34" s="533">
        <f t="shared" si="2"/>
        <v>1</v>
      </c>
      <c r="L34" s="533"/>
      <c r="M34" s="533">
        <f t="shared" si="3"/>
        <v>4425000</v>
      </c>
      <c r="N34" s="515"/>
      <c r="O34" s="534">
        <f t="shared" si="4"/>
        <v>0.42684229263082946</v>
      </c>
      <c r="P34" s="532">
        <v>828</v>
      </c>
      <c r="T34" s="536" t="e">
        <f t="shared" si="5"/>
        <v>#REF!</v>
      </c>
    </row>
    <row r="35" spans="1:20">
      <c r="A35" s="531">
        <f t="shared" si="0"/>
        <v>4830000</v>
      </c>
      <c r="B35" s="515"/>
      <c r="C35" s="532">
        <v>1</v>
      </c>
      <c r="D35" s="533"/>
      <c r="E35" s="533">
        <f t="shared" si="6"/>
        <v>33</v>
      </c>
      <c r="F35" s="533"/>
      <c r="G35" s="533">
        <f t="shared" si="1"/>
        <v>4830000</v>
      </c>
      <c r="H35" s="533"/>
      <c r="I35" s="533">
        <f t="shared" si="7"/>
        <v>8427000</v>
      </c>
      <c r="J35" s="533"/>
      <c r="K35" s="533">
        <f t="shared" si="2"/>
        <v>0</v>
      </c>
      <c r="L35" s="533"/>
      <c r="M35" s="533">
        <f t="shared" si="3"/>
        <v>8427000</v>
      </c>
      <c r="N35" s="515"/>
      <c r="O35" s="534">
        <f t="shared" si="4"/>
        <v>1</v>
      </c>
      <c r="P35" s="532">
        <v>4830</v>
      </c>
      <c r="T35" s="536" t="e">
        <f t="shared" si="5"/>
        <v>#REF!</v>
      </c>
    </row>
    <row r="37" spans="1:20">
      <c r="T37" s="539" t="e">
        <f>SUM(T10:T35)</f>
        <v>#REF!</v>
      </c>
    </row>
    <row r="38" spans="1:20" hidden="1">
      <c r="T38" s="513">
        <v>11156</v>
      </c>
    </row>
    <row r="39" spans="1:20" hidden="1">
      <c r="T39" s="540" t="e">
        <f>T37-T38</f>
        <v>#REF!</v>
      </c>
    </row>
    <row r="40" spans="1:20" hidden="1">
      <c r="T40" s="555" t="e">
        <f>T39/T37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8"/>
  <sheetViews>
    <sheetView showGridLines="0" topLeftCell="H40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'16094-172'!R2</f>
        <v>#REF!</v>
      </c>
      <c r="S2" s="518"/>
      <c r="T2" s="519" t="e">
        <f>'16094-172'!T2</f>
        <v>#REF!</v>
      </c>
    </row>
    <row r="3" spans="1:20">
      <c r="A3" s="513" t="s">
        <v>532</v>
      </c>
      <c r="M3" s="520" t="s">
        <v>525</v>
      </c>
      <c r="R3" s="519" t="e">
        <f>'16094-172'!R3</f>
        <v>#REF!</v>
      </c>
      <c r="S3" s="518"/>
      <c r="T3" s="519" t="e">
        <f>'16094-172'!T3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'16094-172'!R4</f>
        <v>#REF!</v>
      </c>
      <c r="S4" s="518"/>
      <c r="T4" s="519" t="e">
        <f>'16094-172'!T4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'16094-172'!R5</f>
        <v>#REF!</v>
      </c>
      <c r="S5" s="518"/>
      <c r="T5" s="519" t="e">
        <f>'16094-172'!T5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'16094-172'!R6</f>
        <v>#REF!</v>
      </c>
      <c r="S6" s="518"/>
      <c r="T6" s="519" t="e">
        <f>'16094-172'!T6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52" si="0">P10*1000</f>
        <v>0</v>
      </c>
      <c r="C10" s="532">
        <v>6</v>
      </c>
      <c r="D10" s="533"/>
      <c r="E10" s="533">
        <f>C10</f>
        <v>6</v>
      </c>
      <c r="F10" s="533"/>
      <c r="G10" s="533">
        <f t="shared" ref="G10:G52" si="1">A10*C10</f>
        <v>0</v>
      </c>
      <c r="H10" s="533"/>
      <c r="I10" s="533">
        <f>G10</f>
        <v>0</v>
      </c>
      <c r="J10" s="533"/>
      <c r="K10" s="533">
        <f t="shared" ref="K10:K52" si="2">$E$52-E10</f>
        <v>49</v>
      </c>
      <c r="L10" s="533"/>
      <c r="M10" s="533">
        <f t="shared" ref="M10:M52" si="3">(A10*K10)+I10</f>
        <v>0</v>
      </c>
      <c r="O10" s="534">
        <f t="shared" ref="O10:O52" si="4">I10/$I$52</f>
        <v>0</v>
      </c>
      <c r="P10" s="532">
        <v>0</v>
      </c>
      <c r="R10" s="535"/>
      <c r="S10" s="513"/>
      <c r="T10" s="536" t="e">
        <f t="shared" ref="T10:T52" si="5">IF(A10&lt;21400,C10*$T$2,IF(A10=21400,C10*$T$2,IF(AND(A10&lt;26000,A10&gt;21400),(C10*$T$2)+((A10-21400)*C10/1000*$T$3),IF(AND(A10&gt;25000,A10&lt;51000),(C10*$T$2)+(3.6*$T$3*C10)+((A10-25000)/1000*$T$4*C10),IF(AND(A10&lt;101000,A10&gt;50000),(C10*$T$2)+(3.6*$T$3*C10)+(25*$T$4*C10)+((A10-50000)/1000*$T$5*C10),IF(A10&gt;100000,(C10*$T$2)+(3.6*$T$3*C10)+(25*$T$4*C10)+(50*$T$5*C10)+((A10-100000)/1000*$T$6*C10)))))))</f>
        <v>#REF!</v>
      </c>
    </row>
    <row r="11" spans="1:20" s="515" customFormat="1">
      <c r="A11" s="552">
        <f t="shared" si="0"/>
        <v>3000</v>
      </c>
      <c r="C11" s="532">
        <v>1</v>
      </c>
      <c r="D11" s="533"/>
      <c r="E11" s="533">
        <f t="shared" ref="E11:E52" si="6">E10+C11</f>
        <v>7</v>
      </c>
      <c r="F11" s="533"/>
      <c r="G11" s="533">
        <f t="shared" si="1"/>
        <v>3000</v>
      </c>
      <c r="H11" s="533"/>
      <c r="I11" s="533">
        <f t="shared" ref="I11:I52" si="7">I10+G11</f>
        <v>3000</v>
      </c>
      <c r="J11" s="533"/>
      <c r="K11" s="533">
        <f t="shared" si="2"/>
        <v>48</v>
      </c>
      <c r="L11" s="533"/>
      <c r="M11" s="533">
        <f t="shared" si="3"/>
        <v>147000</v>
      </c>
      <c r="O11" s="534">
        <f t="shared" si="4"/>
        <v>9.3632958801498128E-4</v>
      </c>
      <c r="P11" s="532">
        <v>3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7000</v>
      </c>
      <c r="C12" s="532">
        <v>3</v>
      </c>
      <c r="D12" s="533"/>
      <c r="E12" s="533">
        <f t="shared" si="6"/>
        <v>10</v>
      </c>
      <c r="F12" s="533"/>
      <c r="G12" s="533">
        <f t="shared" si="1"/>
        <v>21000</v>
      </c>
      <c r="H12" s="533"/>
      <c r="I12" s="533">
        <f t="shared" si="7"/>
        <v>24000</v>
      </c>
      <c r="J12" s="533"/>
      <c r="K12" s="533">
        <f t="shared" si="2"/>
        <v>45</v>
      </c>
      <c r="L12" s="533"/>
      <c r="M12" s="533">
        <f t="shared" si="3"/>
        <v>339000</v>
      </c>
      <c r="O12" s="534">
        <f t="shared" si="4"/>
        <v>7.4906367041198503E-3</v>
      </c>
      <c r="P12" s="532">
        <v>7</v>
      </c>
      <c r="R12" s="513"/>
      <c r="S12" s="513"/>
      <c r="T12" s="536" t="e">
        <f t="shared" si="5"/>
        <v>#REF!</v>
      </c>
    </row>
    <row r="13" spans="1:20">
      <c r="A13" s="552">
        <f t="shared" si="0"/>
        <v>9000</v>
      </c>
      <c r="B13" s="515"/>
      <c r="C13" s="532">
        <v>1</v>
      </c>
      <c r="D13" s="533"/>
      <c r="E13" s="533">
        <f t="shared" si="6"/>
        <v>11</v>
      </c>
      <c r="F13" s="533"/>
      <c r="G13" s="533">
        <f t="shared" si="1"/>
        <v>9000</v>
      </c>
      <c r="H13" s="533"/>
      <c r="I13" s="533">
        <f t="shared" si="7"/>
        <v>33000</v>
      </c>
      <c r="J13" s="533"/>
      <c r="K13" s="533">
        <f t="shared" si="2"/>
        <v>44</v>
      </c>
      <c r="L13" s="533"/>
      <c r="M13" s="533">
        <f t="shared" si="3"/>
        <v>429000</v>
      </c>
      <c r="N13" s="515"/>
      <c r="O13" s="534">
        <f t="shared" si="4"/>
        <v>1.0299625468164793E-2</v>
      </c>
      <c r="P13" s="532">
        <v>9</v>
      </c>
      <c r="T13" s="536" t="e">
        <f t="shared" si="5"/>
        <v>#REF!</v>
      </c>
    </row>
    <row r="14" spans="1:20">
      <c r="A14" s="552">
        <f t="shared" si="0"/>
        <v>10000</v>
      </c>
      <c r="B14" s="515"/>
      <c r="C14" s="532">
        <v>3</v>
      </c>
      <c r="D14" s="533"/>
      <c r="E14" s="533">
        <f t="shared" si="6"/>
        <v>14</v>
      </c>
      <c r="F14" s="533"/>
      <c r="G14" s="533">
        <f t="shared" si="1"/>
        <v>30000</v>
      </c>
      <c r="H14" s="533"/>
      <c r="I14" s="533">
        <f t="shared" si="7"/>
        <v>63000</v>
      </c>
      <c r="J14" s="533"/>
      <c r="K14" s="533">
        <f t="shared" si="2"/>
        <v>41</v>
      </c>
      <c r="L14" s="533"/>
      <c r="M14" s="533">
        <f t="shared" si="3"/>
        <v>473000</v>
      </c>
      <c r="N14" s="515"/>
      <c r="O14" s="534">
        <f t="shared" si="4"/>
        <v>1.9662921348314606E-2</v>
      </c>
      <c r="P14" s="532">
        <v>10</v>
      </c>
      <c r="T14" s="536" t="e">
        <f t="shared" si="5"/>
        <v>#REF!</v>
      </c>
    </row>
    <row r="15" spans="1:20">
      <c r="A15" s="552">
        <f t="shared" si="0"/>
        <v>11000</v>
      </c>
      <c r="B15" s="515"/>
      <c r="C15" s="532">
        <v>2</v>
      </c>
      <c r="D15" s="533"/>
      <c r="E15" s="533">
        <f t="shared" si="6"/>
        <v>16</v>
      </c>
      <c r="F15" s="533"/>
      <c r="G15" s="533">
        <f t="shared" si="1"/>
        <v>22000</v>
      </c>
      <c r="H15" s="533"/>
      <c r="I15" s="533">
        <f t="shared" si="7"/>
        <v>85000</v>
      </c>
      <c r="J15" s="533"/>
      <c r="K15" s="533">
        <f t="shared" si="2"/>
        <v>39</v>
      </c>
      <c r="L15" s="533"/>
      <c r="M15" s="533">
        <f t="shared" si="3"/>
        <v>514000</v>
      </c>
      <c r="N15" s="515"/>
      <c r="O15" s="534">
        <f t="shared" si="4"/>
        <v>2.6529338327091135E-2</v>
      </c>
      <c r="P15" s="532">
        <v>11</v>
      </c>
      <c r="T15" s="536" t="e">
        <f t="shared" si="5"/>
        <v>#REF!</v>
      </c>
    </row>
    <row r="16" spans="1:20">
      <c r="A16" s="531">
        <f t="shared" si="0"/>
        <v>16000</v>
      </c>
      <c r="B16" s="515"/>
      <c r="C16" s="532">
        <v>2</v>
      </c>
      <c r="D16" s="533"/>
      <c r="E16" s="533">
        <f t="shared" si="6"/>
        <v>18</v>
      </c>
      <c r="F16" s="533"/>
      <c r="G16" s="533">
        <f t="shared" si="1"/>
        <v>32000</v>
      </c>
      <c r="H16" s="533"/>
      <c r="I16" s="533">
        <f t="shared" si="7"/>
        <v>117000</v>
      </c>
      <c r="J16" s="533"/>
      <c r="K16" s="533">
        <f t="shared" si="2"/>
        <v>37</v>
      </c>
      <c r="L16" s="533"/>
      <c r="M16" s="533">
        <f t="shared" si="3"/>
        <v>709000</v>
      </c>
      <c r="N16" s="515"/>
      <c r="O16" s="534">
        <f t="shared" si="4"/>
        <v>3.6516853932584269E-2</v>
      </c>
      <c r="P16" s="532">
        <v>16</v>
      </c>
      <c r="T16" s="536" t="e">
        <f t="shared" si="5"/>
        <v>#REF!</v>
      </c>
    </row>
    <row r="17" spans="1:20">
      <c r="A17" s="531">
        <f t="shared" si="0"/>
        <v>24000</v>
      </c>
      <c r="B17" s="515"/>
      <c r="C17" s="532">
        <v>1</v>
      </c>
      <c r="D17" s="533"/>
      <c r="E17" s="533">
        <f t="shared" si="6"/>
        <v>19</v>
      </c>
      <c r="F17" s="533"/>
      <c r="G17" s="533">
        <f t="shared" si="1"/>
        <v>24000</v>
      </c>
      <c r="H17" s="533"/>
      <c r="I17" s="533">
        <f t="shared" si="7"/>
        <v>141000</v>
      </c>
      <c r="J17" s="533"/>
      <c r="K17" s="533">
        <f t="shared" si="2"/>
        <v>36</v>
      </c>
      <c r="L17" s="533"/>
      <c r="M17" s="533">
        <f t="shared" si="3"/>
        <v>1005000</v>
      </c>
      <c r="N17" s="515"/>
      <c r="O17" s="534">
        <f t="shared" si="4"/>
        <v>4.4007490636704123E-2</v>
      </c>
      <c r="P17" s="532">
        <v>24</v>
      </c>
      <c r="T17" s="536" t="e">
        <f t="shared" si="5"/>
        <v>#REF!</v>
      </c>
    </row>
    <row r="18" spans="1:20">
      <c r="A18" s="531">
        <f t="shared" si="0"/>
        <v>25000</v>
      </c>
      <c r="B18" s="515"/>
      <c r="C18" s="532">
        <v>1</v>
      </c>
      <c r="D18" s="533"/>
      <c r="E18" s="533">
        <f t="shared" si="6"/>
        <v>20</v>
      </c>
      <c r="F18" s="533"/>
      <c r="G18" s="533">
        <f t="shared" si="1"/>
        <v>25000</v>
      </c>
      <c r="H18" s="533"/>
      <c r="I18" s="533">
        <f t="shared" si="7"/>
        <v>166000</v>
      </c>
      <c r="J18" s="533"/>
      <c r="K18" s="533">
        <f t="shared" si="2"/>
        <v>35</v>
      </c>
      <c r="L18" s="533"/>
      <c r="M18" s="533">
        <f t="shared" si="3"/>
        <v>1041000</v>
      </c>
      <c r="N18" s="515"/>
      <c r="O18" s="534">
        <f t="shared" si="4"/>
        <v>5.1810237203495632E-2</v>
      </c>
      <c r="P18" s="532">
        <v>25</v>
      </c>
      <c r="T18" s="536" t="e">
        <f t="shared" si="5"/>
        <v>#REF!</v>
      </c>
    </row>
    <row r="19" spans="1:20">
      <c r="A19" s="531">
        <f t="shared" si="0"/>
        <v>29000</v>
      </c>
      <c r="B19" s="515"/>
      <c r="C19" s="532">
        <v>1</v>
      </c>
      <c r="D19" s="533"/>
      <c r="E19" s="533">
        <f t="shared" si="6"/>
        <v>21</v>
      </c>
      <c r="F19" s="533"/>
      <c r="G19" s="533">
        <f t="shared" si="1"/>
        <v>29000</v>
      </c>
      <c r="H19" s="533"/>
      <c r="I19" s="533">
        <f t="shared" si="7"/>
        <v>195000</v>
      </c>
      <c r="J19" s="533"/>
      <c r="K19" s="533">
        <f t="shared" si="2"/>
        <v>34</v>
      </c>
      <c r="L19" s="533"/>
      <c r="M19" s="533">
        <f t="shared" si="3"/>
        <v>1181000</v>
      </c>
      <c r="N19" s="515"/>
      <c r="O19" s="534">
        <f t="shared" si="4"/>
        <v>6.0861423220973786E-2</v>
      </c>
      <c r="P19" s="532">
        <v>29</v>
      </c>
      <c r="T19" s="536" t="e">
        <f t="shared" si="5"/>
        <v>#REF!</v>
      </c>
    </row>
    <row r="20" spans="1:20">
      <c r="A20" s="531">
        <f t="shared" si="0"/>
        <v>32000</v>
      </c>
      <c r="B20" s="544"/>
      <c r="C20" s="532">
        <v>1</v>
      </c>
      <c r="D20" s="545"/>
      <c r="E20" s="533">
        <f t="shared" si="6"/>
        <v>22</v>
      </c>
      <c r="F20" s="533"/>
      <c r="G20" s="533">
        <f t="shared" si="1"/>
        <v>32000</v>
      </c>
      <c r="H20" s="533"/>
      <c r="I20" s="533">
        <f t="shared" si="7"/>
        <v>227000</v>
      </c>
      <c r="J20" s="545"/>
      <c r="K20" s="533">
        <f t="shared" si="2"/>
        <v>33</v>
      </c>
      <c r="L20" s="545"/>
      <c r="M20" s="533">
        <f t="shared" si="3"/>
        <v>1283000</v>
      </c>
      <c r="O20" s="534">
        <f t="shared" si="4"/>
        <v>7.0848938826466923E-2</v>
      </c>
      <c r="P20" s="532">
        <v>32</v>
      </c>
      <c r="T20" s="536" t="e">
        <f t="shared" si="5"/>
        <v>#REF!</v>
      </c>
    </row>
    <row r="21" spans="1:20">
      <c r="A21" s="531">
        <f t="shared" si="0"/>
        <v>35000</v>
      </c>
      <c r="B21" s="515"/>
      <c r="C21" s="532">
        <v>1</v>
      </c>
      <c r="D21" s="515"/>
      <c r="E21" s="533">
        <f t="shared" si="6"/>
        <v>23</v>
      </c>
      <c r="F21" s="533"/>
      <c r="G21" s="533">
        <f t="shared" si="1"/>
        <v>35000</v>
      </c>
      <c r="H21" s="533"/>
      <c r="I21" s="533">
        <f t="shared" si="7"/>
        <v>262000</v>
      </c>
      <c r="J21" s="515"/>
      <c r="K21" s="533">
        <f t="shared" si="2"/>
        <v>32</v>
      </c>
      <c r="L21" s="515"/>
      <c r="M21" s="533">
        <f t="shared" si="3"/>
        <v>1382000</v>
      </c>
      <c r="N21" s="515"/>
      <c r="O21" s="534">
        <f t="shared" si="4"/>
        <v>8.1772784019975037E-2</v>
      </c>
      <c r="P21" s="532">
        <v>35</v>
      </c>
      <c r="T21" s="536" t="e">
        <f t="shared" si="5"/>
        <v>#REF!</v>
      </c>
    </row>
    <row r="22" spans="1:20">
      <c r="A22" s="531">
        <f t="shared" si="0"/>
        <v>36000</v>
      </c>
      <c r="B22" s="515"/>
      <c r="C22" s="532">
        <v>1</v>
      </c>
      <c r="D22" s="515"/>
      <c r="E22" s="533">
        <f t="shared" si="6"/>
        <v>24</v>
      </c>
      <c r="F22" s="533"/>
      <c r="G22" s="533">
        <f t="shared" si="1"/>
        <v>36000</v>
      </c>
      <c r="H22" s="533"/>
      <c r="I22" s="533">
        <f t="shared" si="7"/>
        <v>298000</v>
      </c>
      <c r="J22" s="515"/>
      <c r="K22" s="533">
        <f t="shared" si="2"/>
        <v>31</v>
      </c>
      <c r="L22" s="515"/>
      <c r="M22" s="533">
        <f t="shared" si="3"/>
        <v>1414000</v>
      </c>
      <c r="N22" s="515"/>
      <c r="O22" s="534">
        <f t="shared" si="4"/>
        <v>9.3008739076154812E-2</v>
      </c>
      <c r="P22" s="532">
        <v>36</v>
      </c>
      <c r="T22" s="536" t="e">
        <f t="shared" si="5"/>
        <v>#REF!</v>
      </c>
    </row>
    <row r="23" spans="1:20">
      <c r="A23" s="531">
        <f t="shared" si="0"/>
        <v>39000</v>
      </c>
      <c r="B23" s="529"/>
      <c r="C23" s="532">
        <v>1</v>
      </c>
      <c r="D23" s="529"/>
      <c r="E23" s="533">
        <f t="shared" si="6"/>
        <v>25</v>
      </c>
      <c r="F23" s="533"/>
      <c r="G23" s="533">
        <f t="shared" si="1"/>
        <v>39000</v>
      </c>
      <c r="H23" s="533"/>
      <c r="I23" s="533">
        <f t="shared" si="7"/>
        <v>337000</v>
      </c>
      <c r="J23" s="529"/>
      <c r="K23" s="533">
        <f t="shared" si="2"/>
        <v>30</v>
      </c>
      <c r="L23" s="529"/>
      <c r="M23" s="533">
        <f t="shared" si="3"/>
        <v>1507000</v>
      </c>
      <c r="N23" s="529"/>
      <c r="O23" s="534">
        <f t="shared" si="4"/>
        <v>0.10518102372034956</v>
      </c>
      <c r="P23" s="532">
        <v>39</v>
      </c>
      <c r="T23" s="536" t="e">
        <f t="shared" si="5"/>
        <v>#REF!</v>
      </c>
    </row>
    <row r="24" spans="1:20">
      <c r="A24" s="531">
        <f t="shared" si="0"/>
        <v>43000</v>
      </c>
      <c r="B24" s="523"/>
      <c r="C24" s="532">
        <v>1</v>
      </c>
      <c r="D24" s="523"/>
      <c r="E24" s="533">
        <f t="shared" si="6"/>
        <v>26</v>
      </c>
      <c r="F24" s="533"/>
      <c r="G24" s="533">
        <f t="shared" si="1"/>
        <v>43000</v>
      </c>
      <c r="H24" s="533"/>
      <c r="I24" s="533">
        <f t="shared" si="7"/>
        <v>380000</v>
      </c>
      <c r="J24" s="523"/>
      <c r="K24" s="533">
        <f t="shared" si="2"/>
        <v>29</v>
      </c>
      <c r="L24" s="523"/>
      <c r="M24" s="533">
        <f t="shared" si="3"/>
        <v>1627000</v>
      </c>
      <c r="N24" s="523"/>
      <c r="O24" s="534">
        <f t="shared" si="4"/>
        <v>0.11860174781523096</v>
      </c>
      <c r="P24" s="532">
        <v>43</v>
      </c>
      <c r="T24" s="536" t="e">
        <f t="shared" si="5"/>
        <v>#REF!</v>
      </c>
    </row>
    <row r="25" spans="1:20">
      <c r="A25" s="531">
        <f t="shared" si="0"/>
        <v>44000</v>
      </c>
      <c r="B25" s="525"/>
      <c r="C25" s="532">
        <v>1</v>
      </c>
      <c r="D25" s="525"/>
      <c r="E25" s="533">
        <f t="shared" si="6"/>
        <v>27</v>
      </c>
      <c r="F25" s="533"/>
      <c r="G25" s="533">
        <f t="shared" si="1"/>
        <v>44000</v>
      </c>
      <c r="H25" s="533"/>
      <c r="I25" s="533">
        <f t="shared" si="7"/>
        <v>424000</v>
      </c>
      <c r="J25" s="525"/>
      <c r="K25" s="533">
        <f t="shared" si="2"/>
        <v>28</v>
      </c>
      <c r="L25" s="525"/>
      <c r="M25" s="533">
        <f t="shared" si="3"/>
        <v>1656000</v>
      </c>
      <c r="N25" s="525"/>
      <c r="O25" s="534">
        <f t="shared" si="4"/>
        <v>0.13233458177278401</v>
      </c>
      <c r="P25" s="532">
        <v>44</v>
      </c>
      <c r="T25" s="536" t="e">
        <f t="shared" si="5"/>
        <v>#REF!</v>
      </c>
    </row>
    <row r="26" spans="1:20">
      <c r="A26" s="531">
        <f t="shared" si="0"/>
        <v>48000</v>
      </c>
      <c r="B26" s="525"/>
      <c r="C26" s="532">
        <v>1</v>
      </c>
      <c r="D26" s="525"/>
      <c r="E26" s="533">
        <f t="shared" si="6"/>
        <v>28</v>
      </c>
      <c r="F26" s="533"/>
      <c r="G26" s="533">
        <f t="shared" si="1"/>
        <v>48000</v>
      </c>
      <c r="H26" s="533"/>
      <c r="I26" s="533">
        <f t="shared" si="7"/>
        <v>472000</v>
      </c>
      <c r="J26" s="525"/>
      <c r="K26" s="533">
        <f t="shared" si="2"/>
        <v>27</v>
      </c>
      <c r="L26" s="525"/>
      <c r="M26" s="533">
        <f t="shared" si="3"/>
        <v>1768000</v>
      </c>
      <c r="N26" s="525"/>
      <c r="O26" s="534">
        <f t="shared" si="4"/>
        <v>0.14731585518102372</v>
      </c>
      <c r="P26" s="532">
        <v>48</v>
      </c>
      <c r="T26" s="536" t="e">
        <f t="shared" si="5"/>
        <v>#REF!</v>
      </c>
    </row>
    <row r="27" spans="1:20">
      <c r="A27" s="531">
        <f t="shared" si="0"/>
        <v>49000</v>
      </c>
      <c r="B27" s="525"/>
      <c r="C27" s="532">
        <v>1</v>
      </c>
      <c r="D27" s="525"/>
      <c r="E27" s="533">
        <f t="shared" si="6"/>
        <v>29</v>
      </c>
      <c r="F27" s="533"/>
      <c r="G27" s="533">
        <f t="shared" si="1"/>
        <v>49000</v>
      </c>
      <c r="H27" s="533"/>
      <c r="I27" s="533">
        <f t="shared" si="7"/>
        <v>521000</v>
      </c>
      <c r="J27" s="525"/>
      <c r="K27" s="533">
        <f t="shared" si="2"/>
        <v>26</v>
      </c>
      <c r="L27" s="525"/>
      <c r="M27" s="533">
        <f t="shared" si="3"/>
        <v>1795000</v>
      </c>
      <c r="N27" s="525"/>
      <c r="O27" s="534">
        <f t="shared" si="4"/>
        <v>0.16260923845193509</v>
      </c>
      <c r="P27" s="532">
        <v>49</v>
      </c>
      <c r="T27" s="536" t="e">
        <f t="shared" si="5"/>
        <v>#REF!</v>
      </c>
    </row>
    <row r="28" spans="1:20">
      <c r="A28" s="531">
        <f t="shared" si="0"/>
        <v>50000</v>
      </c>
      <c r="B28" s="515"/>
      <c r="C28" s="532">
        <v>2</v>
      </c>
      <c r="D28" s="529"/>
      <c r="E28" s="533">
        <f t="shared" si="6"/>
        <v>31</v>
      </c>
      <c r="F28" s="533"/>
      <c r="G28" s="533">
        <f t="shared" si="1"/>
        <v>100000</v>
      </c>
      <c r="H28" s="533"/>
      <c r="I28" s="533">
        <f t="shared" si="7"/>
        <v>621000</v>
      </c>
      <c r="J28" s="529"/>
      <c r="K28" s="533">
        <f t="shared" si="2"/>
        <v>24</v>
      </c>
      <c r="L28" s="529"/>
      <c r="M28" s="533">
        <f t="shared" si="3"/>
        <v>1821000</v>
      </c>
      <c r="N28" s="529"/>
      <c r="O28" s="534">
        <f t="shared" si="4"/>
        <v>0.19382022471910113</v>
      </c>
      <c r="P28" s="532">
        <v>50</v>
      </c>
      <c r="T28" s="536" t="e">
        <f t="shared" si="5"/>
        <v>#REF!</v>
      </c>
    </row>
    <row r="29" spans="1:20">
      <c r="A29" s="531">
        <f t="shared" si="0"/>
        <v>56000</v>
      </c>
      <c r="B29" s="515"/>
      <c r="C29" s="532">
        <v>1</v>
      </c>
      <c r="D29" s="533"/>
      <c r="E29" s="533">
        <f t="shared" si="6"/>
        <v>32</v>
      </c>
      <c r="F29" s="533"/>
      <c r="G29" s="533">
        <f t="shared" si="1"/>
        <v>56000</v>
      </c>
      <c r="H29" s="533"/>
      <c r="I29" s="533">
        <f t="shared" si="7"/>
        <v>677000</v>
      </c>
      <c r="J29" s="533"/>
      <c r="K29" s="533">
        <f t="shared" si="2"/>
        <v>23</v>
      </c>
      <c r="L29" s="533"/>
      <c r="M29" s="533">
        <f t="shared" si="3"/>
        <v>1965000</v>
      </c>
      <c r="N29" s="515"/>
      <c r="O29" s="534">
        <f t="shared" si="4"/>
        <v>0.2112983770287141</v>
      </c>
      <c r="P29" s="532">
        <v>56</v>
      </c>
      <c r="T29" s="536" t="e">
        <f t="shared" si="5"/>
        <v>#REF!</v>
      </c>
    </row>
    <row r="30" spans="1:20">
      <c r="A30" s="531">
        <f t="shared" si="0"/>
        <v>66000</v>
      </c>
      <c r="B30" s="515"/>
      <c r="C30" s="532">
        <v>1</v>
      </c>
      <c r="D30" s="533"/>
      <c r="E30" s="533">
        <f t="shared" si="6"/>
        <v>33</v>
      </c>
      <c r="F30" s="533"/>
      <c r="G30" s="533">
        <f t="shared" si="1"/>
        <v>66000</v>
      </c>
      <c r="H30" s="533"/>
      <c r="I30" s="533">
        <f t="shared" si="7"/>
        <v>743000</v>
      </c>
      <c r="J30" s="533"/>
      <c r="K30" s="533">
        <f t="shared" si="2"/>
        <v>22</v>
      </c>
      <c r="L30" s="533"/>
      <c r="M30" s="533">
        <f t="shared" si="3"/>
        <v>2195000</v>
      </c>
      <c r="N30" s="515"/>
      <c r="O30" s="534">
        <f t="shared" si="4"/>
        <v>0.23189762796504371</v>
      </c>
      <c r="P30" s="532">
        <v>66</v>
      </c>
      <c r="T30" s="536" t="e">
        <f t="shared" si="5"/>
        <v>#REF!</v>
      </c>
    </row>
    <row r="31" spans="1:20">
      <c r="A31" s="531">
        <f t="shared" si="0"/>
        <v>68000</v>
      </c>
      <c r="B31" s="515"/>
      <c r="C31" s="532">
        <v>1</v>
      </c>
      <c r="D31" s="533"/>
      <c r="E31" s="533">
        <f t="shared" si="6"/>
        <v>34</v>
      </c>
      <c r="F31" s="533"/>
      <c r="G31" s="533">
        <f t="shared" si="1"/>
        <v>68000</v>
      </c>
      <c r="H31" s="533"/>
      <c r="I31" s="533">
        <f t="shared" si="7"/>
        <v>811000</v>
      </c>
      <c r="J31" s="533"/>
      <c r="K31" s="533">
        <f t="shared" si="2"/>
        <v>21</v>
      </c>
      <c r="L31" s="533"/>
      <c r="M31" s="533">
        <f t="shared" si="3"/>
        <v>2239000</v>
      </c>
      <c r="N31" s="515"/>
      <c r="O31" s="534">
        <f t="shared" si="4"/>
        <v>0.25312109862671661</v>
      </c>
      <c r="P31" s="532">
        <v>68</v>
      </c>
      <c r="T31" s="536" t="e">
        <f t="shared" si="5"/>
        <v>#REF!</v>
      </c>
    </row>
    <row r="32" spans="1:20">
      <c r="A32" s="531">
        <f t="shared" si="0"/>
        <v>69000</v>
      </c>
      <c r="B32" s="515"/>
      <c r="C32" s="532">
        <v>1</v>
      </c>
      <c r="D32" s="533"/>
      <c r="E32" s="533">
        <f t="shared" si="6"/>
        <v>35</v>
      </c>
      <c r="F32" s="533"/>
      <c r="G32" s="533">
        <f t="shared" si="1"/>
        <v>69000</v>
      </c>
      <c r="H32" s="533"/>
      <c r="I32" s="533">
        <f t="shared" si="7"/>
        <v>880000</v>
      </c>
      <c r="J32" s="533"/>
      <c r="K32" s="533">
        <f t="shared" si="2"/>
        <v>20</v>
      </c>
      <c r="L32" s="533"/>
      <c r="M32" s="533">
        <f t="shared" si="3"/>
        <v>2260000</v>
      </c>
      <c r="N32" s="515"/>
      <c r="O32" s="534">
        <f t="shared" si="4"/>
        <v>0.27465667915106118</v>
      </c>
      <c r="P32" s="532">
        <v>69</v>
      </c>
      <c r="T32" s="536" t="e">
        <f t="shared" si="5"/>
        <v>#REF!</v>
      </c>
    </row>
    <row r="33" spans="1:20">
      <c r="A33" s="531">
        <f t="shared" si="0"/>
        <v>70000</v>
      </c>
      <c r="B33" s="515"/>
      <c r="C33" s="532">
        <v>1</v>
      </c>
      <c r="D33" s="533"/>
      <c r="E33" s="533">
        <f t="shared" si="6"/>
        <v>36</v>
      </c>
      <c r="F33" s="533"/>
      <c r="G33" s="533">
        <f t="shared" si="1"/>
        <v>70000</v>
      </c>
      <c r="H33" s="533"/>
      <c r="I33" s="533">
        <f t="shared" si="7"/>
        <v>950000</v>
      </c>
      <c r="J33" s="533"/>
      <c r="K33" s="533">
        <f t="shared" si="2"/>
        <v>19</v>
      </c>
      <c r="L33" s="533"/>
      <c r="M33" s="533">
        <f t="shared" si="3"/>
        <v>2280000</v>
      </c>
      <c r="N33" s="515"/>
      <c r="O33" s="534">
        <f t="shared" si="4"/>
        <v>0.29650436953807741</v>
      </c>
      <c r="P33" s="532">
        <v>70</v>
      </c>
      <c r="T33" s="536" t="e">
        <f t="shared" si="5"/>
        <v>#REF!</v>
      </c>
    </row>
    <row r="34" spans="1:20">
      <c r="A34" s="531">
        <f t="shared" si="0"/>
        <v>71000</v>
      </c>
      <c r="B34" s="515"/>
      <c r="C34" s="532">
        <v>1</v>
      </c>
      <c r="D34" s="533"/>
      <c r="E34" s="533">
        <f t="shared" si="6"/>
        <v>37</v>
      </c>
      <c r="F34" s="533"/>
      <c r="G34" s="533">
        <f t="shared" si="1"/>
        <v>71000</v>
      </c>
      <c r="H34" s="533"/>
      <c r="I34" s="533">
        <f t="shared" si="7"/>
        <v>1021000</v>
      </c>
      <c r="J34" s="533"/>
      <c r="K34" s="533">
        <f t="shared" si="2"/>
        <v>18</v>
      </c>
      <c r="L34" s="533"/>
      <c r="M34" s="533">
        <f t="shared" si="3"/>
        <v>2299000</v>
      </c>
      <c r="N34" s="515"/>
      <c r="O34" s="534">
        <f t="shared" si="4"/>
        <v>0.31866416978776529</v>
      </c>
      <c r="P34" s="532">
        <v>71</v>
      </c>
      <c r="T34" s="536" t="e">
        <f t="shared" si="5"/>
        <v>#REF!</v>
      </c>
    </row>
    <row r="35" spans="1:20">
      <c r="A35" s="531">
        <f t="shared" si="0"/>
        <v>78000</v>
      </c>
      <c r="B35" s="515"/>
      <c r="C35" s="532">
        <v>1</v>
      </c>
      <c r="D35" s="533"/>
      <c r="E35" s="533">
        <f t="shared" si="6"/>
        <v>38</v>
      </c>
      <c r="F35" s="533"/>
      <c r="G35" s="533">
        <f t="shared" si="1"/>
        <v>78000</v>
      </c>
      <c r="H35" s="533"/>
      <c r="I35" s="533">
        <f t="shared" si="7"/>
        <v>1099000</v>
      </c>
      <c r="J35" s="533"/>
      <c r="K35" s="533">
        <f t="shared" si="2"/>
        <v>17</v>
      </c>
      <c r="L35" s="533"/>
      <c r="M35" s="533">
        <f t="shared" si="3"/>
        <v>2425000</v>
      </c>
      <c r="N35" s="515"/>
      <c r="O35" s="534">
        <f t="shared" si="4"/>
        <v>0.34300873907615481</v>
      </c>
      <c r="P35" s="532">
        <v>78</v>
      </c>
      <c r="T35" s="536" t="e">
        <f t="shared" si="5"/>
        <v>#REF!</v>
      </c>
    </row>
    <row r="36" spans="1:20">
      <c r="A36" s="531">
        <f t="shared" si="0"/>
        <v>88000</v>
      </c>
      <c r="B36" s="515"/>
      <c r="C36" s="532">
        <v>1</v>
      </c>
      <c r="D36" s="533"/>
      <c r="E36" s="533">
        <f t="shared" si="6"/>
        <v>39</v>
      </c>
      <c r="F36" s="533"/>
      <c r="G36" s="533">
        <f t="shared" si="1"/>
        <v>88000</v>
      </c>
      <c r="H36" s="533"/>
      <c r="I36" s="533">
        <f t="shared" si="7"/>
        <v>1187000</v>
      </c>
      <c r="J36" s="533"/>
      <c r="K36" s="533">
        <f t="shared" si="2"/>
        <v>16</v>
      </c>
      <c r="L36" s="533"/>
      <c r="M36" s="533">
        <f t="shared" si="3"/>
        <v>2595000</v>
      </c>
      <c r="N36" s="515"/>
      <c r="O36" s="534">
        <f t="shared" si="4"/>
        <v>0.37047440699126094</v>
      </c>
      <c r="P36" s="532">
        <v>88</v>
      </c>
      <c r="T36" s="536" t="e">
        <f t="shared" si="5"/>
        <v>#REF!</v>
      </c>
    </row>
    <row r="37" spans="1:20">
      <c r="A37" s="531">
        <f t="shared" si="0"/>
        <v>91000</v>
      </c>
      <c r="B37" s="515"/>
      <c r="C37" s="532">
        <v>1</v>
      </c>
      <c r="D37" s="533"/>
      <c r="E37" s="533">
        <f t="shared" si="6"/>
        <v>40</v>
      </c>
      <c r="F37" s="533"/>
      <c r="G37" s="533">
        <f t="shared" si="1"/>
        <v>91000</v>
      </c>
      <c r="H37" s="533"/>
      <c r="I37" s="533">
        <f t="shared" si="7"/>
        <v>1278000</v>
      </c>
      <c r="J37" s="533"/>
      <c r="K37" s="533">
        <f t="shared" si="2"/>
        <v>15</v>
      </c>
      <c r="L37" s="533"/>
      <c r="M37" s="533">
        <f t="shared" si="3"/>
        <v>2643000</v>
      </c>
      <c r="N37" s="515"/>
      <c r="O37" s="534">
        <f t="shared" si="4"/>
        <v>0.398876404494382</v>
      </c>
      <c r="P37" s="532">
        <v>91</v>
      </c>
      <c r="T37" s="536" t="e">
        <f t="shared" si="5"/>
        <v>#REF!</v>
      </c>
    </row>
    <row r="38" spans="1:20">
      <c r="A38" s="580">
        <f t="shared" si="0"/>
        <v>92000</v>
      </c>
      <c r="C38" s="532">
        <v>1</v>
      </c>
      <c r="D38" s="545"/>
      <c r="E38" s="533">
        <f t="shared" si="6"/>
        <v>41</v>
      </c>
      <c r="F38" s="545"/>
      <c r="G38" s="545">
        <f t="shared" si="1"/>
        <v>92000</v>
      </c>
      <c r="H38" s="545"/>
      <c r="I38" s="533">
        <f t="shared" si="7"/>
        <v>1370000</v>
      </c>
      <c r="J38" s="545"/>
      <c r="K38" s="533">
        <f t="shared" si="2"/>
        <v>14</v>
      </c>
      <c r="L38" s="545"/>
      <c r="M38" s="533">
        <f t="shared" si="3"/>
        <v>2658000</v>
      </c>
      <c r="O38" s="534">
        <f t="shared" si="4"/>
        <v>0.42759051186017477</v>
      </c>
      <c r="P38" s="532">
        <v>92</v>
      </c>
      <c r="T38" s="536" t="e">
        <f t="shared" si="5"/>
        <v>#REF!</v>
      </c>
    </row>
    <row r="39" spans="1:20">
      <c r="A39" s="580">
        <f t="shared" si="0"/>
        <v>93000</v>
      </c>
      <c r="C39" s="532">
        <v>1</v>
      </c>
      <c r="D39" s="545"/>
      <c r="E39" s="533">
        <f t="shared" si="6"/>
        <v>42</v>
      </c>
      <c r="F39" s="545"/>
      <c r="G39" s="545">
        <f t="shared" si="1"/>
        <v>93000</v>
      </c>
      <c r="H39" s="545"/>
      <c r="I39" s="533">
        <f t="shared" si="7"/>
        <v>1463000</v>
      </c>
      <c r="J39" s="545"/>
      <c r="K39" s="533">
        <f t="shared" si="2"/>
        <v>13</v>
      </c>
      <c r="L39" s="545"/>
      <c r="M39" s="533">
        <f t="shared" si="3"/>
        <v>2672000</v>
      </c>
      <c r="O39" s="534">
        <f t="shared" si="4"/>
        <v>0.45661672908863921</v>
      </c>
      <c r="P39" s="532">
        <v>93</v>
      </c>
      <c r="T39" s="536" t="e">
        <f t="shared" si="5"/>
        <v>#REF!</v>
      </c>
    </row>
    <row r="40" spans="1:20">
      <c r="A40" s="580">
        <f t="shared" si="0"/>
        <v>95000</v>
      </c>
      <c r="C40" s="532">
        <v>1</v>
      </c>
      <c r="D40" s="545"/>
      <c r="E40" s="533">
        <f t="shared" si="6"/>
        <v>43</v>
      </c>
      <c r="F40" s="545"/>
      <c r="G40" s="545">
        <f t="shared" si="1"/>
        <v>95000</v>
      </c>
      <c r="H40" s="545"/>
      <c r="I40" s="533">
        <f t="shared" si="7"/>
        <v>1558000</v>
      </c>
      <c r="J40" s="545"/>
      <c r="K40" s="533">
        <f t="shared" si="2"/>
        <v>12</v>
      </c>
      <c r="L40" s="545"/>
      <c r="M40" s="533">
        <f t="shared" si="3"/>
        <v>2698000</v>
      </c>
      <c r="O40" s="534">
        <f t="shared" si="4"/>
        <v>0.48626716604244696</v>
      </c>
      <c r="P40" s="532">
        <v>95</v>
      </c>
      <c r="T40" s="536" t="e">
        <f t="shared" si="5"/>
        <v>#REF!</v>
      </c>
    </row>
    <row r="41" spans="1:20">
      <c r="A41" s="580">
        <f t="shared" si="0"/>
        <v>96000</v>
      </c>
      <c r="C41" s="532">
        <v>1</v>
      </c>
      <c r="D41" s="545"/>
      <c r="E41" s="533">
        <f t="shared" si="6"/>
        <v>44</v>
      </c>
      <c r="F41" s="545"/>
      <c r="G41" s="545">
        <f t="shared" si="1"/>
        <v>96000</v>
      </c>
      <c r="H41" s="545"/>
      <c r="I41" s="533">
        <f t="shared" si="7"/>
        <v>1654000</v>
      </c>
      <c r="J41" s="545"/>
      <c r="K41" s="533">
        <f t="shared" si="2"/>
        <v>11</v>
      </c>
      <c r="L41" s="545"/>
      <c r="M41" s="533">
        <f t="shared" si="3"/>
        <v>2710000</v>
      </c>
      <c r="O41" s="534">
        <f t="shared" si="4"/>
        <v>0.51622971285892638</v>
      </c>
      <c r="P41" s="532">
        <v>96</v>
      </c>
      <c r="T41" s="536" t="e">
        <f t="shared" si="5"/>
        <v>#REF!</v>
      </c>
    </row>
    <row r="42" spans="1:20">
      <c r="A42" s="580">
        <f t="shared" si="0"/>
        <v>106000</v>
      </c>
      <c r="C42" s="532">
        <v>1</v>
      </c>
      <c r="D42" s="545"/>
      <c r="E42" s="533">
        <f t="shared" si="6"/>
        <v>45</v>
      </c>
      <c r="F42" s="545"/>
      <c r="G42" s="545">
        <f t="shared" si="1"/>
        <v>106000</v>
      </c>
      <c r="H42" s="545"/>
      <c r="I42" s="533">
        <f t="shared" si="7"/>
        <v>1760000</v>
      </c>
      <c r="J42" s="545"/>
      <c r="K42" s="533">
        <f t="shared" si="2"/>
        <v>10</v>
      </c>
      <c r="L42" s="545"/>
      <c r="M42" s="533">
        <f t="shared" si="3"/>
        <v>2820000</v>
      </c>
      <c r="O42" s="534">
        <f t="shared" si="4"/>
        <v>0.54931335830212236</v>
      </c>
      <c r="P42" s="532">
        <v>106</v>
      </c>
      <c r="T42" s="536" t="e">
        <f t="shared" si="5"/>
        <v>#REF!</v>
      </c>
    </row>
    <row r="43" spans="1:20">
      <c r="A43" s="580">
        <f t="shared" si="0"/>
        <v>114000</v>
      </c>
      <c r="C43" s="532">
        <v>1</v>
      </c>
      <c r="D43" s="545"/>
      <c r="E43" s="533">
        <f t="shared" si="6"/>
        <v>46</v>
      </c>
      <c r="F43" s="545"/>
      <c r="G43" s="545">
        <f t="shared" si="1"/>
        <v>114000</v>
      </c>
      <c r="H43" s="545"/>
      <c r="I43" s="533">
        <f t="shared" si="7"/>
        <v>1874000</v>
      </c>
      <c r="J43" s="545"/>
      <c r="K43" s="533">
        <f t="shared" si="2"/>
        <v>9</v>
      </c>
      <c r="L43" s="545"/>
      <c r="M43" s="533">
        <f t="shared" si="3"/>
        <v>2900000</v>
      </c>
      <c r="O43" s="534">
        <f t="shared" si="4"/>
        <v>0.58489388264669162</v>
      </c>
      <c r="P43" s="532">
        <v>114</v>
      </c>
      <c r="T43" s="536" t="e">
        <f t="shared" si="5"/>
        <v>#REF!</v>
      </c>
    </row>
    <row r="44" spans="1:20">
      <c r="A44" s="580">
        <f t="shared" si="0"/>
        <v>118000</v>
      </c>
      <c r="C44" s="532">
        <v>1</v>
      </c>
      <c r="D44" s="545"/>
      <c r="E44" s="533">
        <f t="shared" si="6"/>
        <v>47</v>
      </c>
      <c r="F44" s="545"/>
      <c r="G44" s="545">
        <f t="shared" si="1"/>
        <v>118000</v>
      </c>
      <c r="H44" s="545"/>
      <c r="I44" s="533">
        <f t="shared" si="7"/>
        <v>1992000</v>
      </c>
      <c r="J44" s="545"/>
      <c r="K44" s="533">
        <f t="shared" si="2"/>
        <v>8</v>
      </c>
      <c r="L44" s="545"/>
      <c r="M44" s="533">
        <f t="shared" si="3"/>
        <v>2936000</v>
      </c>
      <c r="O44" s="534">
        <f t="shared" si="4"/>
        <v>0.62172284644194753</v>
      </c>
      <c r="P44" s="532">
        <v>118</v>
      </c>
      <c r="T44" s="536" t="e">
        <f t="shared" si="5"/>
        <v>#REF!</v>
      </c>
    </row>
    <row r="45" spans="1:20">
      <c r="A45" s="580">
        <f t="shared" si="0"/>
        <v>123000</v>
      </c>
      <c r="C45" s="532">
        <v>1</v>
      </c>
      <c r="D45" s="545"/>
      <c r="E45" s="533">
        <f t="shared" si="6"/>
        <v>48</v>
      </c>
      <c r="F45" s="545"/>
      <c r="G45" s="545">
        <f t="shared" si="1"/>
        <v>123000</v>
      </c>
      <c r="H45" s="545"/>
      <c r="I45" s="533">
        <f t="shared" si="7"/>
        <v>2115000</v>
      </c>
      <c r="J45" s="545"/>
      <c r="K45" s="533">
        <f t="shared" si="2"/>
        <v>7</v>
      </c>
      <c r="L45" s="545"/>
      <c r="M45" s="533">
        <f t="shared" si="3"/>
        <v>2976000</v>
      </c>
      <c r="O45" s="534">
        <f t="shared" si="4"/>
        <v>0.6601123595505618</v>
      </c>
      <c r="P45" s="532">
        <v>123</v>
      </c>
      <c r="T45" s="536" t="e">
        <f t="shared" si="5"/>
        <v>#REF!</v>
      </c>
    </row>
    <row r="46" spans="1:20">
      <c r="A46" s="580">
        <f t="shared" si="0"/>
        <v>124000</v>
      </c>
      <c r="C46" s="532">
        <v>1</v>
      </c>
      <c r="D46" s="545"/>
      <c r="E46" s="533">
        <f t="shared" si="6"/>
        <v>49</v>
      </c>
      <c r="F46" s="545"/>
      <c r="G46" s="545">
        <f t="shared" si="1"/>
        <v>124000</v>
      </c>
      <c r="H46" s="545"/>
      <c r="I46" s="533">
        <f t="shared" si="7"/>
        <v>2239000</v>
      </c>
      <c r="J46" s="545"/>
      <c r="K46" s="533">
        <f t="shared" si="2"/>
        <v>6</v>
      </c>
      <c r="L46" s="545"/>
      <c r="M46" s="533">
        <f t="shared" si="3"/>
        <v>2983000</v>
      </c>
      <c r="O46" s="534">
        <f t="shared" si="4"/>
        <v>0.69881398252184768</v>
      </c>
      <c r="P46" s="532">
        <v>124</v>
      </c>
      <c r="T46" s="536" t="e">
        <f t="shared" si="5"/>
        <v>#REF!</v>
      </c>
    </row>
    <row r="47" spans="1:20">
      <c r="A47" s="580">
        <f t="shared" si="0"/>
        <v>126000</v>
      </c>
      <c r="C47" s="532">
        <v>1</v>
      </c>
      <c r="D47" s="545"/>
      <c r="E47" s="533">
        <f t="shared" si="6"/>
        <v>50</v>
      </c>
      <c r="F47" s="545"/>
      <c r="G47" s="545">
        <f t="shared" si="1"/>
        <v>126000</v>
      </c>
      <c r="H47" s="545"/>
      <c r="I47" s="533">
        <f t="shared" si="7"/>
        <v>2365000</v>
      </c>
      <c r="J47" s="545"/>
      <c r="K47" s="533">
        <f t="shared" si="2"/>
        <v>5</v>
      </c>
      <c r="L47" s="545"/>
      <c r="M47" s="533">
        <f t="shared" si="3"/>
        <v>2995000</v>
      </c>
      <c r="O47" s="534">
        <f t="shared" si="4"/>
        <v>0.73813982521847687</v>
      </c>
      <c r="P47" s="532">
        <v>126</v>
      </c>
      <c r="T47" s="536" t="e">
        <f t="shared" si="5"/>
        <v>#REF!</v>
      </c>
    </row>
    <row r="48" spans="1:20">
      <c r="A48" s="580">
        <f t="shared" si="0"/>
        <v>133000</v>
      </c>
      <c r="C48" s="532">
        <v>1</v>
      </c>
      <c r="D48" s="545"/>
      <c r="E48" s="533">
        <f t="shared" si="6"/>
        <v>51</v>
      </c>
      <c r="F48" s="545"/>
      <c r="G48" s="545">
        <f t="shared" si="1"/>
        <v>133000</v>
      </c>
      <c r="H48" s="545"/>
      <c r="I48" s="533">
        <f t="shared" si="7"/>
        <v>2498000</v>
      </c>
      <c r="J48" s="545"/>
      <c r="K48" s="533">
        <f t="shared" si="2"/>
        <v>4</v>
      </c>
      <c r="L48" s="545"/>
      <c r="M48" s="533">
        <f t="shared" si="3"/>
        <v>3030000</v>
      </c>
      <c r="O48" s="534">
        <f t="shared" si="4"/>
        <v>0.77965043695380776</v>
      </c>
      <c r="P48" s="532">
        <v>133</v>
      </c>
      <c r="T48" s="536" t="e">
        <f t="shared" si="5"/>
        <v>#REF!</v>
      </c>
    </row>
    <row r="49" spans="1:20">
      <c r="A49" s="580">
        <f t="shared" si="0"/>
        <v>134000</v>
      </c>
      <c r="C49" s="532">
        <v>1</v>
      </c>
      <c r="D49" s="545"/>
      <c r="E49" s="533">
        <f t="shared" si="6"/>
        <v>52</v>
      </c>
      <c r="F49" s="545"/>
      <c r="G49" s="545">
        <f t="shared" si="1"/>
        <v>134000</v>
      </c>
      <c r="H49" s="545"/>
      <c r="I49" s="533">
        <f t="shared" si="7"/>
        <v>2632000</v>
      </c>
      <c r="J49" s="545"/>
      <c r="K49" s="533">
        <f t="shared" si="2"/>
        <v>3</v>
      </c>
      <c r="L49" s="545"/>
      <c r="M49" s="533">
        <f t="shared" si="3"/>
        <v>3034000</v>
      </c>
      <c r="O49" s="534">
        <f t="shared" si="4"/>
        <v>0.82147315855181025</v>
      </c>
      <c r="P49" s="532">
        <v>134</v>
      </c>
      <c r="T49" s="536" t="e">
        <f t="shared" si="5"/>
        <v>#REF!</v>
      </c>
    </row>
    <row r="50" spans="1:20">
      <c r="A50" s="580">
        <f t="shared" si="0"/>
        <v>146000</v>
      </c>
      <c r="C50" s="532">
        <v>1</v>
      </c>
      <c r="D50" s="545"/>
      <c r="E50" s="533">
        <f t="shared" si="6"/>
        <v>53</v>
      </c>
      <c r="F50" s="545"/>
      <c r="G50" s="545">
        <f t="shared" si="1"/>
        <v>146000</v>
      </c>
      <c r="H50" s="545"/>
      <c r="I50" s="533">
        <f t="shared" si="7"/>
        <v>2778000</v>
      </c>
      <c r="J50" s="545"/>
      <c r="K50" s="533">
        <f t="shared" si="2"/>
        <v>2</v>
      </c>
      <c r="L50" s="545"/>
      <c r="M50" s="533">
        <f t="shared" si="3"/>
        <v>3070000</v>
      </c>
      <c r="O50" s="534">
        <f t="shared" si="4"/>
        <v>0.86704119850187267</v>
      </c>
      <c r="P50" s="532">
        <v>146</v>
      </c>
      <c r="T50" s="536" t="e">
        <f t="shared" si="5"/>
        <v>#REF!</v>
      </c>
    </row>
    <row r="51" spans="1:20">
      <c r="A51" s="580">
        <f t="shared" si="0"/>
        <v>179000</v>
      </c>
      <c r="C51" s="532">
        <v>1</v>
      </c>
      <c r="D51" s="545"/>
      <c r="E51" s="533">
        <f t="shared" si="6"/>
        <v>54</v>
      </c>
      <c r="F51" s="545"/>
      <c r="G51" s="545">
        <f t="shared" si="1"/>
        <v>179000</v>
      </c>
      <c r="H51" s="545"/>
      <c r="I51" s="533">
        <f t="shared" si="7"/>
        <v>2957000</v>
      </c>
      <c r="J51" s="545"/>
      <c r="K51" s="533">
        <f t="shared" si="2"/>
        <v>1</v>
      </c>
      <c r="L51" s="545"/>
      <c r="M51" s="533">
        <f t="shared" si="3"/>
        <v>3136000</v>
      </c>
      <c r="O51" s="534">
        <f t="shared" si="4"/>
        <v>0.92290886392009985</v>
      </c>
      <c r="P51" s="532">
        <v>179</v>
      </c>
      <c r="T51" s="536" t="e">
        <f t="shared" si="5"/>
        <v>#REF!</v>
      </c>
    </row>
    <row r="52" spans="1:20">
      <c r="A52" s="580">
        <f t="shared" si="0"/>
        <v>247000</v>
      </c>
      <c r="C52" s="532">
        <v>1</v>
      </c>
      <c r="D52" s="545"/>
      <c r="E52" s="533">
        <f t="shared" si="6"/>
        <v>55</v>
      </c>
      <c r="F52" s="545"/>
      <c r="G52" s="545">
        <f t="shared" si="1"/>
        <v>247000</v>
      </c>
      <c r="H52" s="545"/>
      <c r="I52" s="533">
        <f t="shared" si="7"/>
        <v>3204000</v>
      </c>
      <c r="J52" s="545"/>
      <c r="K52" s="533">
        <f t="shared" si="2"/>
        <v>0</v>
      </c>
      <c r="L52" s="545"/>
      <c r="M52" s="533">
        <f t="shared" si="3"/>
        <v>3204000</v>
      </c>
      <c r="O52" s="534">
        <f t="shared" si="4"/>
        <v>1</v>
      </c>
      <c r="P52" s="532">
        <v>247</v>
      </c>
      <c r="T52" s="536" t="e">
        <f t="shared" si="5"/>
        <v>#REF!</v>
      </c>
    </row>
    <row r="53" spans="1:20">
      <c r="A53" s="580"/>
      <c r="C53" s="545"/>
      <c r="D53" s="545"/>
      <c r="E53" s="533"/>
      <c r="F53" s="545"/>
      <c r="G53" s="545"/>
      <c r="H53" s="545"/>
      <c r="I53" s="533"/>
      <c r="J53" s="545"/>
      <c r="K53" s="533"/>
      <c r="L53" s="545"/>
      <c r="M53" s="533"/>
      <c r="O53" s="534"/>
      <c r="T53" s="536"/>
    </row>
    <row r="54" spans="1:20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20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  <c r="T55" s="539" t="e">
        <f>SUM(T10:T52)</f>
        <v>#REF!</v>
      </c>
    </row>
    <row r="56" spans="1:20" hidden="1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  <c r="T56" s="513">
        <v>8245</v>
      </c>
    </row>
    <row r="57" spans="1:20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20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20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20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20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20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20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20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  <pageSetUpPr fitToPage="1"/>
  </sheetPr>
  <dimension ref="A1:T24"/>
  <sheetViews>
    <sheetView showGridLines="0" topLeftCell="J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str">
        <f>'16077-171'!R2</f>
        <v>First 68,400</v>
      </c>
      <c r="S2" s="518"/>
      <c r="T2" s="519" t="e">
        <f>'16077-171'!T2</f>
        <v>#REF!</v>
      </c>
    </row>
    <row r="3" spans="1:20">
      <c r="A3" s="513" t="s">
        <v>532</v>
      </c>
      <c r="M3" s="520" t="s">
        <v>526</v>
      </c>
      <c r="R3" s="519" t="str">
        <f>'16077-171'!R3</f>
        <v>Next 31,600</v>
      </c>
      <c r="S3" s="518"/>
      <c r="T3" s="519" t="e">
        <f>'16077-171'!T3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'16077-171'!R4</f>
        <v>Over 100,000</v>
      </c>
      <c r="S4" s="518"/>
      <c r="T4" s="519" t="e">
        <f>'16077-171'!T4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2" si="0">P10*1000</f>
        <v>0</v>
      </c>
      <c r="C10" s="547">
        <v>0</v>
      </c>
      <c r="D10" s="533"/>
      <c r="E10" s="533">
        <f>C10</f>
        <v>0</v>
      </c>
      <c r="F10" s="533"/>
      <c r="G10" s="533">
        <f t="shared" ref="G10:G22" si="1">A10*C10</f>
        <v>0</v>
      </c>
      <c r="H10" s="533"/>
      <c r="I10" s="533">
        <f>G10</f>
        <v>0</v>
      </c>
      <c r="J10" s="533"/>
      <c r="K10" s="533">
        <f t="shared" ref="K10:K22" si="2">$E$22-E10</f>
        <v>12</v>
      </c>
      <c r="L10" s="533"/>
      <c r="M10" s="533">
        <f t="shared" ref="M10:M22" si="3">(A10*K10)+I10</f>
        <v>0</v>
      </c>
      <c r="O10" s="534">
        <f t="shared" ref="O10:O22" si="4">I10/$I$22</f>
        <v>0</v>
      </c>
      <c r="P10" s="547">
        <v>0</v>
      </c>
      <c r="R10" s="535"/>
      <c r="S10" s="513"/>
      <c r="T10" s="584" t="e">
        <f t="shared" ref="T10:T15" si="5">($T$2+($T$3*9)+(15*$T$4)+(25*$T$5)+(19*$T$6))*$C10</f>
        <v>#REF!</v>
      </c>
    </row>
    <row r="11" spans="1:20" s="515" customFormat="1">
      <c r="A11" s="552">
        <f t="shared" si="0"/>
        <v>31000</v>
      </c>
      <c r="C11" s="547">
        <v>1</v>
      </c>
      <c r="D11" s="533"/>
      <c r="E11" s="533">
        <f t="shared" ref="E11:E22" si="6">E10+C11</f>
        <v>1</v>
      </c>
      <c r="F11" s="533"/>
      <c r="G11" s="533">
        <f t="shared" si="1"/>
        <v>31000</v>
      </c>
      <c r="H11" s="533"/>
      <c r="I11" s="533">
        <f t="shared" ref="I11:I22" si="7">I10+G11</f>
        <v>31000</v>
      </c>
      <c r="J11" s="533"/>
      <c r="K11" s="533">
        <f t="shared" si="2"/>
        <v>11</v>
      </c>
      <c r="L11" s="533"/>
      <c r="M11" s="533">
        <f t="shared" si="3"/>
        <v>372000</v>
      </c>
      <c r="O11" s="534">
        <f t="shared" si="4"/>
        <v>2.3773006134969327E-2</v>
      </c>
      <c r="P11" s="547">
        <v>31</v>
      </c>
      <c r="R11" s="535"/>
      <c r="S11" s="513"/>
      <c r="T11" s="584" t="e">
        <f t="shared" si="5"/>
        <v>#REF!</v>
      </c>
    </row>
    <row r="12" spans="1:20" s="515" customFormat="1">
      <c r="A12" s="552">
        <f t="shared" si="0"/>
        <v>33000</v>
      </c>
      <c r="C12" s="547">
        <v>1</v>
      </c>
      <c r="D12" s="533"/>
      <c r="E12" s="533">
        <f t="shared" si="6"/>
        <v>2</v>
      </c>
      <c r="F12" s="533"/>
      <c r="G12" s="533">
        <f t="shared" si="1"/>
        <v>33000</v>
      </c>
      <c r="H12" s="533"/>
      <c r="I12" s="533">
        <f t="shared" si="7"/>
        <v>64000</v>
      </c>
      <c r="J12" s="533"/>
      <c r="K12" s="533">
        <f t="shared" si="2"/>
        <v>10</v>
      </c>
      <c r="L12" s="533"/>
      <c r="M12" s="533">
        <f t="shared" si="3"/>
        <v>394000</v>
      </c>
      <c r="O12" s="534">
        <f t="shared" si="4"/>
        <v>4.9079754601226995E-2</v>
      </c>
      <c r="P12" s="547">
        <v>33</v>
      </c>
      <c r="R12" s="513"/>
      <c r="S12" s="513"/>
      <c r="T12" s="584" t="e">
        <f t="shared" si="5"/>
        <v>#REF!</v>
      </c>
    </row>
    <row r="13" spans="1:20">
      <c r="A13" s="552">
        <f t="shared" si="0"/>
        <v>36000</v>
      </c>
      <c r="B13" s="515"/>
      <c r="C13" s="547">
        <v>1</v>
      </c>
      <c r="D13" s="533"/>
      <c r="E13" s="533">
        <f t="shared" si="6"/>
        <v>3</v>
      </c>
      <c r="F13" s="533"/>
      <c r="G13" s="533">
        <f t="shared" si="1"/>
        <v>36000</v>
      </c>
      <c r="H13" s="533"/>
      <c r="I13" s="533">
        <f t="shared" si="7"/>
        <v>100000</v>
      </c>
      <c r="J13" s="533"/>
      <c r="K13" s="533">
        <f t="shared" si="2"/>
        <v>9</v>
      </c>
      <c r="L13" s="533"/>
      <c r="M13" s="533">
        <f t="shared" si="3"/>
        <v>424000</v>
      </c>
      <c r="N13" s="515"/>
      <c r="O13" s="534">
        <f t="shared" si="4"/>
        <v>7.6687116564417179E-2</v>
      </c>
      <c r="P13" s="547">
        <v>36</v>
      </c>
      <c r="T13" s="584" t="e">
        <f t="shared" si="5"/>
        <v>#REF!</v>
      </c>
    </row>
    <row r="14" spans="1:20">
      <c r="A14" s="552">
        <f t="shared" si="0"/>
        <v>42000</v>
      </c>
      <c r="B14" s="515"/>
      <c r="C14" s="547">
        <v>1</v>
      </c>
      <c r="D14" s="533"/>
      <c r="E14" s="533">
        <f t="shared" si="6"/>
        <v>4</v>
      </c>
      <c r="F14" s="533"/>
      <c r="G14" s="533">
        <f t="shared" si="1"/>
        <v>42000</v>
      </c>
      <c r="H14" s="533"/>
      <c r="I14" s="533">
        <f t="shared" si="7"/>
        <v>142000</v>
      </c>
      <c r="J14" s="533"/>
      <c r="K14" s="533">
        <f t="shared" si="2"/>
        <v>8</v>
      </c>
      <c r="L14" s="533"/>
      <c r="M14" s="533">
        <f t="shared" si="3"/>
        <v>478000</v>
      </c>
      <c r="N14" s="515"/>
      <c r="O14" s="534">
        <f t="shared" si="4"/>
        <v>0.10889570552147239</v>
      </c>
      <c r="P14" s="547">
        <v>42</v>
      </c>
      <c r="T14" s="584" t="e">
        <f t="shared" si="5"/>
        <v>#REF!</v>
      </c>
    </row>
    <row r="15" spans="1:20">
      <c r="A15" s="552">
        <f t="shared" si="0"/>
        <v>66000</v>
      </c>
      <c r="B15" s="515"/>
      <c r="C15" s="547">
        <v>1</v>
      </c>
      <c r="D15" s="533"/>
      <c r="E15" s="533">
        <f t="shared" si="6"/>
        <v>5</v>
      </c>
      <c r="F15" s="533"/>
      <c r="G15" s="533">
        <f t="shared" si="1"/>
        <v>66000</v>
      </c>
      <c r="H15" s="533"/>
      <c r="I15" s="533">
        <f t="shared" si="7"/>
        <v>208000</v>
      </c>
      <c r="J15" s="533"/>
      <c r="K15" s="533">
        <f t="shared" si="2"/>
        <v>7</v>
      </c>
      <c r="L15" s="533"/>
      <c r="M15" s="533">
        <f t="shared" si="3"/>
        <v>670000</v>
      </c>
      <c r="N15" s="515"/>
      <c r="O15" s="534">
        <f t="shared" si="4"/>
        <v>0.15950920245398773</v>
      </c>
      <c r="P15" s="547">
        <v>66</v>
      </c>
      <c r="T15" s="584" t="e">
        <f t="shared" si="5"/>
        <v>#REF!</v>
      </c>
    </row>
    <row r="16" spans="1:20">
      <c r="A16" s="531">
        <f t="shared" si="0"/>
        <v>78000</v>
      </c>
      <c r="B16" s="515"/>
      <c r="C16" s="547">
        <v>1</v>
      </c>
      <c r="D16" s="533"/>
      <c r="E16" s="533">
        <f t="shared" si="6"/>
        <v>6</v>
      </c>
      <c r="F16" s="533"/>
      <c r="G16" s="533">
        <f t="shared" si="1"/>
        <v>78000</v>
      </c>
      <c r="H16" s="533"/>
      <c r="I16" s="533">
        <f t="shared" si="7"/>
        <v>286000</v>
      </c>
      <c r="J16" s="533"/>
      <c r="K16" s="533">
        <f t="shared" si="2"/>
        <v>6</v>
      </c>
      <c r="L16" s="533"/>
      <c r="M16" s="533">
        <f t="shared" si="3"/>
        <v>754000</v>
      </c>
      <c r="N16" s="515"/>
      <c r="O16" s="534">
        <f t="shared" si="4"/>
        <v>0.21932515337423314</v>
      </c>
      <c r="P16" s="547">
        <v>78</v>
      </c>
      <c r="T16" s="536" t="e">
        <f t="shared" ref="T16:T22" si="8">IF(A16&lt;1000,C16*$T$2,IF(A16=1000,C16*$T$2,IF(AND(A16&lt;11000,A16&gt;1000),(C16*$T$2)+((A16-1000)*C16/1000*$T$3),IF(AND(A16&gt;10000,A16&lt;26000),(C16*$T$2)+(9*$T$3*C16)+((A16-10000)/1000*$T$4*C16),IF(AND(A16&lt;51000,A16&gt;25000),(C16*$T$2)+(9*$T$3*C16)+(15*$T$4*C16)+((A16-25000)/1000*$T$5*C16),IF(AND(A16&lt;101000,A16&gt;50000),(C16*$T$2)+(9*$T$3*C16)+(15*$T$4*C16)+(25*$T$5*C16)+((A16-50000)/1000*$T$6*C16),IF(A16&gt;100000,(C16*$T$2)+(9*$T$3*C16)+(15*$T$4*C16)+(25*$T$5*C16)+(50*$T$6*C16)+((A16-100000)/1000*$T$7*C16))))))))</f>
        <v>#REF!</v>
      </c>
    </row>
    <row r="17" spans="1:20">
      <c r="A17" s="531">
        <f t="shared" si="0"/>
        <v>79000</v>
      </c>
      <c r="B17" s="515"/>
      <c r="C17" s="547">
        <v>1</v>
      </c>
      <c r="D17" s="533"/>
      <c r="E17" s="533">
        <f t="shared" si="6"/>
        <v>7</v>
      </c>
      <c r="F17" s="533"/>
      <c r="G17" s="533">
        <f t="shared" si="1"/>
        <v>79000</v>
      </c>
      <c r="H17" s="533"/>
      <c r="I17" s="533">
        <f t="shared" si="7"/>
        <v>365000</v>
      </c>
      <c r="J17" s="533"/>
      <c r="K17" s="533">
        <f t="shared" si="2"/>
        <v>5</v>
      </c>
      <c r="L17" s="533"/>
      <c r="M17" s="533">
        <f t="shared" si="3"/>
        <v>760000</v>
      </c>
      <c r="N17" s="515"/>
      <c r="O17" s="534">
        <f t="shared" si="4"/>
        <v>0.27990797546012269</v>
      </c>
      <c r="P17" s="547">
        <v>79</v>
      </c>
      <c r="T17" s="536" t="e">
        <f t="shared" si="8"/>
        <v>#REF!</v>
      </c>
    </row>
    <row r="18" spans="1:20">
      <c r="A18" s="531">
        <f t="shared" si="0"/>
        <v>162000</v>
      </c>
      <c r="B18" s="515"/>
      <c r="C18" s="547">
        <v>1</v>
      </c>
      <c r="D18" s="533"/>
      <c r="E18" s="533">
        <f t="shared" si="6"/>
        <v>8</v>
      </c>
      <c r="F18" s="533"/>
      <c r="G18" s="533">
        <f t="shared" si="1"/>
        <v>162000</v>
      </c>
      <c r="H18" s="533"/>
      <c r="I18" s="533">
        <f t="shared" si="7"/>
        <v>527000</v>
      </c>
      <c r="J18" s="533"/>
      <c r="K18" s="533">
        <f t="shared" si="2"/>
        <v>4</v>
      </c>
      <c r="L18" s="533"/>
      <c r="M18" s="533">
        <f t="shared" si="3"/>
        <v>1175000</v>
      </c>
      <c r="N18" s="515"/>
      <c r="O18" s="534">
        <f t="shared" si="4"/>
        <v>0.40414110429447853</v>
      </c>
      <c r="P18" s="547">
        <v>162</v>
      </c>
      <c r="T18" s="536" t="e">
        <f t="shared" si="8"/>
        <v>#REF!</v>
      </c>
    </row>
    <row r="19" spans="1:20">
      <c r="A19" s="531">
        <f t="shared" si="0"/>
        <v>168000</v>
      </c>
      <c r="B19" s="515"/>
      <c r="C19" s="547">
        <v>1</v>
      </c>
      <c r="D19" s="533"/>
      <c r="E19" s="533">
        <f t="shared" si="6"/>
        <v>9</v>
      </c>
      <c r="F19" s="533"/>
      <c r="G19" s="533">
        <f t="shared" si="1"/>
        <v>168000</v>
      </c>
      <c r="H19" s="533"/>
      <c r="I19" s="533">
        <f t="shared" si="7"/>
        <v>695000</v>
      </c>
      <c r="J19" s="533"/>
      <c r="K19" s="533">
        <f t="shared" si="2"/>
        <v>3</v>
      </c>
      <c r="L19" s="533"/>
      <c r="M19" s="533">
        <f t="shared" si="3"/>
        <v>1199000</v>
      </c>
      <c r="N19" s="515"/>
      <c r="O19" s="534">
        <f t="shared" si="4"/>
        <v>0.53297546012269936</v>
      </c>
      <c r="P19" s="547">
        <v>168</v>
      </c>
      <c r="T19" s="536" t="e">
        <f t="shared" si="8"/>
        <v>#REF!</v>
      </c>
    </row>
    <row r="20" spans="1:20">
      <c r="A20" s="531">
        <f t="shared" si="0"/>
        <v>185000</v>
      </c>
      <c r="B20" s="544"/>
      <c r="C20" s="547">
        <v>1</v>
      </c>
      <c r="D20" s="545"/>
      <c r="E20" s="533">
        <f t="shared" si="6"/>
        <v>10</v>
      </c>
      <c r="F20" s="533"/>
      <c r="G20" s="533">
        <f t="shared" si="1"/>
        <v>185000</v>
      </c>
      <c r="H20" s="533"/>
      <c r="I20" s="533">
        <f t="shared" si="7"/>
        <v>880000</v>
      </c>
      <c r="J20" s="545"/>
      <c r="K20" s="533">
        <f t="shared" si="2"/>
        <v>2</v>
      </c>
      <c r="L20" s="545"/>
      <c r="M20" s="533">
        <f t="shared" si="3"/>
        <v>1250000</v>
      </c>
      <c r="O20" s="534">
        <f t="shared" si="4"/>
        <v>0.67484662576687116</v>
      </c>
      <c r="P20" s="547">
        <v>185</v>
      </c>
      <c r="T20" s="536" t="e">
        <f t="shared" si="8"/>
        <v>#REF!</v>
      </c>
    </row>
    <row r="21" spans="1:20">
      <c r="A21" s="531">
        <f t="shared" si="0"/>
        <v>204000</v>
      </c>
      <c r="B21" s="515"/>
      <c r="C21" s="547">
        <v>1</v>
      </c>
      <c r="D21" s="515"/>
      <c r="E21" s="533">
        <f t="shared" si="6"/>
        <v>11</v>
      </c>
      <c r="F21" s="533"/>
      <c r="G21" s="533">
        <f t="shared" si="1"/>
        <v>204000</v>
      </c>
      <c r="H21" s="533"/>
      <c r="I21" s="533">
        <f t="shared" si="7"/>
        <v>1084000</v>
      </c>
      <c r="J21" s="515"/>
      <c r="K21" s="533">
        <f t="shared" si="2"/>
        <v>1</v>
      </c>
      <c r="L21" s="515"/>
      <c r="M21" s="533">
        <f t="shared" si="3"/>
        <v>1288000</v>
      </c>
      <c r="N21" s="515"/>
      <c r="O21" s="534">
        <f t="shared" si="4"/>
        <v>0.83128834355828218</v>
      </c>
      <c r="P21" s="547">
        <v>204</v>
      </c>
      <c r="T21" s="536" t="e">
        <f t="shared" si="8"/>
        <v>#REF!</v>
      </c>
    </row>
    <row r="22" spans="1:20">
      <c r="A22" s="531">
        <f t="shared" si="0"/>
        <v>220000</v>
      </c>
      <c r="B22" s="515"/>
      <c r="C22" s="547">
        <v>1</v>
      </c>
      <c r="D22" s="515"/>
      <c r="E22" s="533">
        <f t="shared" si="6"/>
        <v>12</v>
      </c>
      <c r="F22" s="533"/>
      <c r="G22" s="533">
        <f t="shared" si="1"/>
        <v>220000</v>
      </c>
      <c r="H22" s="533"/>
      <c r="I22" s="533">
        <f t="shared" si="7"/>
        <v>1304000</v>
      </c>
      <c r="J22" s="515"/>
      <c r="K22" s="533">
        <f t="shared" si="2"/>
        <v>0</v>
      </c>
      <c r="L22" s="515"/>
      <c r="M22" s="533">
        <f t="shared" si="3"/>
        <v>1304000</v>
      </c>
      <c r="N22" s="515"/>
      <c r="O22" s="534">
        <f t="shared" si="4"/>
        <v>1</v>
      </c>
      <c r="P22" s="547">
        <v>220</v>
      </c>
      <c r="T22" s="536" t="e">
        <f t="shared" si="8"/>
        <v>#REF!</v>
      </c>
    </row>
    <row r="24" spans="1:20">
      <c r="T24" s="539" t="e">
        <f>SUM(T10:T22)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6"/>
  <sheetViews>
    <sheetView showGridLines="0" topLeftCell="J28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3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str">
        <f>'16095-170'!R2</f>
        <v>First 68,400</v>
      </c>
      <c r="S2" s="518"/>
      <c r="T2" s="519" t="e">
        <f>'16095-170'!T2</f>
        <v>#REF!</v>
      </c>
    </row>
    <row r="3" spans="1:20">
      <c r="A3" s="513" t="s">
        <v>532</v>
      </c>
      <c r="M3" s="520" t="s">
        <v>526</v>
      </c>
      <c r="R3" s="519" t="str">
        <f>'16095-170'!R3</f>
        <v>Next 31,600</v>
      </c>
      <c r="S3" s="518"/>
      <c r="T3" s="519" t="e">
        <f>'16095-170'!T3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'16095-170'!R4</f>
        <v>Over 100,000</v>
      </c>
      <c r="S4" s="518"/>
      <c r="T4" s="519" t="e">
        <f>'16095-170'!T4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41" si="0">P10*1000</f>
        <v>0</v>
      </c>
      <c r="C10" s="547">
        <v>0</v>
      </c>
      <c r="D10" s="533"/>
      <c r="E10" s="533">
        <f>C10</f>
        <v>0</v>
      </c>
      <c r="F10" s="533"/>
      <c r="G10" s="533">
        <f t="shared" ref="G10:G41" si="1">A10*C10</f>
        <v>0</v>
      </c>
      <c r="H10" s="533"/>
      <c r="I10" s="533">
        <f>G10</f>
        <v>0</v>
      </c>
      <c r="J10" s="533"/>
      <c r="K10" s="533">
        <f t="shared" ref="K10:K41" si="2">$E$41-E10</f>
        <v>48</v>
      </c>
      <c r="L10" s="533"/>
      <c r="M10" s="533">
        <f t="shared" ref="M10:M41" si="3">(A10*K10)+I10</f>
        <v>0</v>
      </c>
      <c r="O10" s="534">
        <f t="shared" ref="O10:O41" si="4">I10/$I$41</f>
        <v>0</v>
      </c>
      <c r="P10" s="547">
        <v>0</v>
      </c>
      <c r="R10" s="535"/>
      <c r="S10" s="513"/>
      <c r="T10" s="536" t="e">
        <f t="shared" ref="T10:T41" si="5">IF(A10&lt;68400,C10*$T$2,IF(A10=68400,C10*$T$2,IF(AND(A10&lt;101000,A10&gt;68400),(C10*$T$2)+((A10-68400)/1000*$T$3*C10),IF(A10&gt;100000,(C10*$T$2)+(31.6*$T$3*C10)+((A10-100000)/1000*$T$4*C10)))))</f>
        <v>#REF!</v>
      </c>
    </row>
    <row r="11" spans="1:20" s="515" customFormat="1">
      <c r="A11" s="552">
        <f t="shared" si="0"/>
        <v>4000</v>
      </c>
      <c r="C11" s="547">
        <v>2</v>
      </c>
      <c r="D11" s="533"/>
      <c r="E11" s="533">
        <f t="shared" ref="E11:E41" si="6">E10+C11</f>
        <v>2</v>
      </c>
      <c r="F11" s="533"/>
      <c r="G11" s="533">
        <f t="shared" si="1"/>
        <v>8000</v>
      </c>
      <c r="H11" s="533"/>
      <c r="I11" s="533">
        <f t="shared" ref="I11:I41" si="7">I10+G11</f>
        <v>8000</v>
      </c>
      <c r="J11" s="533"/>
      <c r="K11" s="533">
        <f t="shared" si="2"/>
        <v>46</v>
      </c>
      <c r="L11" s="533"/>
      <c r="M11" s="533">
        <f t="shared" si="3"/>
        <v>192000</v>
      </c>
      <c r="O11" s="534">
        <f t="shared" si="4"/>
        <v>1.8054615211013315E-3</v>
      </c>
      <c r="P11" s="547">
        <v>4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5000</v>
      </c>
      <c r="C12" s="547">
        <v>1</v>
      </c>
      <c r="D12" s="533"/>
      <c r="E12" s="533">
        <f t="shared" si="6"/>
        <v>3</v>
      </c>
      <c r="F12" s="533"/>
      <c r="G12" s="533">
        <f t="shared" si="1"/>
        <v>5000</v>
      </c>
      <c r="H12" s="533"/>
      <c r="I12" s="533">
        <f t="shared" si="7"/>
        <v>13000</v>
      </c>
      <c r="J12" s="533"/>
      <c r="K12" s="533">
        <f t="shared" si="2"/>
        <v>45</v>
      </c>
      <c r="L12" s="533"/>
      <c r="M12" s="533">
        <f t="shared" si="3"/>
        <v>238000</v>
      </c>
      <c r="O12" s="534">
        <f t="shared" si="4"/>
        <v>2.9338749717896639E-3</v>
      </c>
      <c r="P12" s="547">
        <v>5</v>
      </c>
      <c r="R12" s="513"/>
      <c r="S12" s="513"/>
      <c r="T12" s="536" t="e">
        <f t="shared" si="5"/>
        <v>#REF!</v>
      </c>
    </row>
    <row r="13" spans="1:20">
      <c r="A13" s="552">
        <f t="shared" si="0"/>
        <v>6000</v>
      </c>
      <c r="B13" s="515"/>
      <c r="C13" s="561">
        <v>1</v>
      </c>
      <c r="D13" s="533"/>
      <c r="E13" s="533">
        <f t="shared" si="6"/>
        <v>4</v>
      </c>
      <c r="F13" s="533"/>
      <c r="G13" s="533">
        <f t="shared" si="1"/>
        <v>6000</v>
      </c>
      <c r="H13" s="533"/>
      <c r="I13" s="533">
        <f t="shared" si="7"/>
        <v>19000</v>
      </c>
      <c r="J13" s="533"/>
      <c r="K13" s="533">
        <f t="shared" si="2"/>
        <v>44</v>
      </c>
      <c r="L13" s="533"/>
      <c r="M13" s="533">
        <f t="shared" si="3"/>
        <v>283000</v>
      </c>
      <c r="N13" s="515"/>
      <c r="O13" s="534">
        <f t="shared" si="4"/>
        <v>4.2879711126156623E-3</v>
      </c>
      <c r="P13" s="547">
        <v>6</v>
      </c>
      <c r="T13" s="536" t="e">
        <f t="shared" si="5"/>
        <v>#REF!</v>
      </c>
    </row>
    <row r="14" spans="1:20">
      <c r="A14" s="552">
        <f t="shared" si="0"/>
        <v>7000</v>
      </c>
      <c r="B14" s="515"/>
      <c r="C14" s="561">
        <v>2</v>
      </c>
      <c r="D14" s="533"/>
      <c r="E14" s="533">
        <f t="shared" si="6"/>
        <v>6</v>
      </c>
      <c r="F14" s="533"/>
      <c r="G14" s="533">
        <f t="shared" si="1"/>
        <v>14000</v>
      </c>
      <c r="H14" s="533"/>
      <c r="I14" s="533">
        <f t="shared" si="7"/>
        <v>33000</v>
      </c>
      <c r="J14" s="533"/>
      <c r="K14" s="533">
        <f t="shared" si="2"/>
        <v>42</v>
      </c>
      <c r="L14" s="533"/>
      <c r="M14" s="533">
        <f t="shared" si="3"/>
        <v>327000</v>
      </c>
      <c r="N14" s="515"/>
      <c r="O14" s="534">
        <f t="shared" si="4"/>
        <v>7.4475287745429924E-3</v>
      </c>
      <c r="P14" s="547">
        <v>7</v>
      </c>
      <c r="T14" s="536" t="e">
        <f t="shared" si="5"/>
        <v>#REF!</v>
      </c>
    </row>
    <row r="15" spans="1:20">
      <c r="A15" s="552">
        <f t="shared" si="0"/>
        <v>8000</v>
      </c>
      <c r="B15" s="515"/>
      <c r="C15" s="561">
        <v>1</v>
      </c>
      <c r="D15" s="533"/>
      <c r="E15" s="533">
        <f t="shared" si="6"/>
        <v>7</v>
      </c>
      <c r="F15" s="533"/>
      <c r="G15" s="533">
        <f t="shared" si="1"/>
        <v>8000</v>
      </c>
      <c r="H15" s="533"/>
      <c r="I15" s="533">
        <f t="shared" si="7"/>
        <v>41000</v>
      </c>
      <c r="J15" s="533"/>
      <c r="K15" s="533">
        <f t="shared" si="2"/>
        <v>41</v>
      </c>
      <c r="L15" s="533"/>
      <c r="M15" s="533">
        <f t="shared" si="3"/>
        <v>369000</v>
      </c>
      <c r="N15" s="515"/>
      <c r="O15" s="534">
        <f t="shared" si="4"/>
        <v>9.2529902956443241E-3</v>
      </c>
      <c r="P15" s="547">
        <v>8</v>
      </c>
      <c r="T15" s="536" t="e">
        <f t="shared" si="5"/>
        <v>#REF!</v>
      </c>
    </row>
    <row r="16" spans="1:20">
      <c r="A16" s="531">
        <f t="shared" si="0"/>
        <v>9000</v>
      </c>
      <c r="B16" s="515"/>
      <c r="C16" s="561">
        <v>1</v>
      </c>
      <c r="D16" s="533"/>
      <c r="E16" s="533">
        <f t="shared" si="6"/>
        <v>8</v>
      </c>
      <c r="F16" s="533"/>
      <c r="G16" s="533">
        <f t="shared" si="1"/>
        <v>9000</v>
      </c>
      <c r="H16" s="533"/>
      <c r="I16" s="533">
        <f t="shared" si="7"/>
        <v>50000</v>
      </c>
      <c r="J16" s="533"/>
      <c r="K16" s="533">
        <f t="shared" si="2"/>
        <v>40</v>
      </c>
      <c r="L16" s="533"/>
      <c r="M16" s="533">
        <f t="shared" si="3"/>
        <v>410000</v>
      </c>
      <c r="N16" s="515"/>
      <c r="O16" s="534">
        <f t="shared" si="4"/>
        <v>1.1284134506883321E-2</v>
      </c>
      <c r="P16" s="547">
        <v>9</v>
      </c>
      <c r="T16" s="536" t="e">
        <f t="shared" si="5"/>
        <v>#REF!</v>
      </c>
    </row>
    <row r="17" spans="1:20">
      <c r="A17" s="531">
        <f t="shared" si="0"/>
        <v>10000</v>
      </c>
      <c r="B17" s="515"/>
      <c r="C17" s="561">
        <v>1</v>
      </c>
      <c r="D17" s="533"/>
      <c r="E17" s="533">
        <f t="shared" si="6"/>
        <v>9</v>
      </c>
      <c r="F17" s="533"/>
      <c r="G17" s="533">
        <f t="shared" si="1"/>
        <v>10000</v>
      </c>
      <c r="H17" s="533"/>
      <c r="I17" s="533">
        <f t="shared" si="7"/>
        <v>60000</v>
      </c>
      <c r="J17" s="533"/>
      <c r="K17" s="533">
        <f t="shared" si="2"/>
        <v>39</v>
      </c>
      <c r="L17" s="533"/>
      <c r="M17" s="533">
        <f t="shared" si="3"/>
        <v>450000</v>
      </c>
      <c r="N17" s="515"/>
      <c r="O17" s="534">
        <f t="shared" si="4"/>
        <v>1.3540961408259987E-2</v>
      </c>
      <c r="P17" s="547">
        <v>10</v>
      </c>
      <c r="T17" s="536" t="e">
        <f t="shared" si="5"/>
        <v>#REF!</v>
      </c>
    </row>
    <row r="18" spans="1:20">
      <c r="A18" s="531">
        <f t="shared" si="0"/>
        <v>12000</v>
      </c>
      <c r="B18" s="515"/>
      <c r="C18" s="561">
        <v>2</v>
      </c>
      <c r="D18" s="533"/>
      <c r="E18" s="533">
        <f t="shared" si="6"/>
        <v>11</v>
      </c>
      <c r="F18" s="533"/>
      <c r="G18" s="533">
        <f t="shared" si="1"/>
        <v>24000</v>
      </c>
      <c r="H18" s="533"/>
      <c r="I18" s="533">
        <f t="shared" si="7"/>
        <v>84000</v>
      </c>
      <c r="J18" s="533"/>
      <c r="K18" s="533">
        <f t="shared" si="2"/>
        <v>37</v>
      </c>
      <c r="L18" s="533"/>
      <c r="M18" s="533">
        <f t="shared" si="3"/>
        <v>528000</v>
      </c>
      <c r="N18" s="515"/>
      <c r="O18" s="534">
        <f t="shared" si="4"/>
        <v>1.8957345971563982E-2</v>
      </c>
      <c r="P18" s="547">
        <v>12</v>
      </c>
      <c r="T18" s="536" t="e">
        <f t="shared" si="5"/>
        <v>#REF!</v>
      </c>
    </row>
    <row r="19" spans="1:20">
      <c r="A19" s="531">
        <f t="shared" si="0"/>
        <v>13000</v>
      </c>
      <c r="B19" s="515"/>
      <c r="C19" s="561">
        <v>2</v>
      </c>
      <c r="D19" s="533"/>
      <c r="E19" s="533">
        <f t="shared" si="6"/>
        <v>13</v>
      </c>
      <c r="F19" s="533"/>
      <c r="G19" s="533">
        <f t="shared" si="1"/>
        <v>26000</v>
      </c>
      <c r="H19" s="533"/>
      <c r="I19" s="533">
        <f t="shared" si="7"/>
        <v>110000</v>
      </c>
      <c r="J19" s="533"/>
      <c r="K19" s="533">
        <f t="shared" si="2"/>
        <v>35</v>
      </c>
      <c r="L19" s="533"/>
      <c r="M19" s="533">
        <f t="shared" si="3"/>
        <v>565000</v>
      </c>
      <c r="N19" s="515"/>
      <c r="O19" s="534">
        <f t="shared" si="4"/>
        <v>2.482509591514331E-2</v>
      </c>
      <c r="P19" s="547">
        <v>13</v>
      </c>
      <c r="T19" s="536" t="e">
        <f t="shared" si="5"/>
        <v>#REF!</v>
      </c>
    </row>
    <row r="20" spans="1:20">
      <c r="A20" s="531">
        <f t="shared" si="0"/>
        <v>14000</v>
      </c>
      <c r="B20" s="544"/>
      <c r="C20" s="561">
        <v>2</v>
      </c>
      <c r="D20" s="545"/>
      <c r="E20" s="533">
        <f t="shared" si="6"/>
        <v>15</v>
      </c>
      <c r="F20" s="533"/>
      <c r="G20" s="533">
        <f t="shared" si="1"/>
        <v>28000</v>
      </c>
      <c r="H20" s="533"/>
      <c r="I20" s="533">
        <f t="shared" si="7"/>
        <v>138000</v>
      </c>
      <c r="J20" s="545"/>
      <c r="K20" s="533">
        <f t="shared" si="2"/>
        <v>33</v>
      </c>
      <c r="L20" s="545"/>
      <c r="M20" s="533">
        <f t="shared" si="3"/>
        <v>600000</v>
      </c>
      <c r="O20" s="534">
        <f t="shared" si="4"/>
        <v>3.1144211238997969E-2</v>
      </c>
      <c r="P20" s="547">
        <v>14</v>
      </c>
      <c r="T20" s="536" t="e">
        <f t="shared" si="5"/>
        <v>#REF!</v>
      </c>
    </row>
    <row r="21" spans="1:20">
      <c r="A21" s="531">
        <f t="shared" si="0"/>
        <v>15000</v>
      </c>
      <c r="B21" s="515"/>
      <c r="C21" s="561">
        <v>3</v>
      </c>
      <c r="D21" s="515"/>
      <c r="E21" s="533">
        <f t="shared" si="6"/>
        <v>18</v>
      </c>
      <c r="F21" s="533"/>
      <c r="G21" s="533">
        <f t="shared" si="1"/>
        <v>45000</v>
      </c>
      <c r="H21" s="533"/>
      <c r="I21" s="533">
        <f t="shared" si="7"/>
        <v>183000</v>
      </c>
      <c r="J21" s="515"/>
      <c r="K21" s="533">
        <f t="shared" si="2"/>
        <v>30</v>
      </c>
      <c r="L21" s="515"/>
      <c r="M21" s="533">
        <f t="shared" si="3"/>
        <v>633000</v>
      </c>
      <c r="N21" s="515"/>
      <c r="O21" s="534">
        <f t="shared" si="4"/>
        <v>4.1299932295192958E-2</v>
      </c>
      <c r="P21" s="547">
        <v>15</v>
      </c>
      <c r="T21" s="536" t="e">
        <f t="shared" si="5"/>
        <v>#REF!</v>
      </c>
    </row>
    <row r="22" spans="1:20">
      <c r="A22" s="531">
        <f t="shared" si="0"/>
        <v>16000</v>
      </c>
      <c r="B22" s="515"/>
      <c r="C22" s="561">
        <v>1</v>
      </c>
      <c r="D22" s="515"/>
      <c r="E22" s="533">
        <f t="shared" si="6"/>
        <v>19</v>
      </c>
      <c r="F22" s="533"/>
      <c r="G22" s="533">
        <f t="shared" si="1"/>
        <v>16000</v>
      </c>
      <c r="H22" s="533"/>
      <c r="I22" s="533">
        <f t="shared" si="7"/>
        <v>199000</v>
      </c>
      <c r="J22" s="515"/>
      <c r="K22" s="533">
        <f t="shared" si="2"/>
        <v>29</v>
      </c>
      <c r="L22" s="515"/>
      <c r="M22" s="533">
        <f t="shared" si="3"/>
        <v>663000</v>
      </c>
      <c r="N22" s="515"/>
      <c r="O22" s="534">
        <f t="shared" si="4"/>
        <v>4.4910855337395625E-2</v>
      </c>
      <c r="P22" s="547">
        <v>16</v>
      </c>
      <c r="T22" s="536" t="e">
        <f t="shared" si="5"/>
        <v>#REF!</v>
      </c>
    </row>
    <row r="23" spans="1:20">
      <c r="A23" s="531">
        <f t="shared" si="0"/>
        <v>17000</v>
      </c>
      <c r="B23" s="529"/>
      <c r="C23" s="561">
        <v>5</v>
      </c>
      <c r="D23" s="529"/>
      <c r="E23" s="533">
        <f t="shared" si="6"/>
        <v>24</v>
      </c>
      <c r="F23" s="533"/>
      <c r="G23" s="533">
        <f t="shared" si="1"/>
        <v>85000</v>
      </c>
      <c r="H23" s="533"/>
      <c r="I23" s="533">
        <f t="shared" si="7"/>
        <v>284000</v>
      </c>
      <c r="J23" s="529"/>
      <c r="K23" s="533">
        <f t="shared" si="2"/>
        <v>24</v>
      </c>
      <c r="L23" s="529"/>
      <c r="M23" s="533">
        <f t="shared" si="3"/>
        <v>692000</v>
      </c>
      <c r="N23" s="529"/>
      <c r="O23" s="534">
        <f t="shared" si="4"/>
        <v>6.4093883999097268E-2</v>
      </c>
      <c r="P23" s="547">
        <v>17</v>
      </c>
      <c r="T23" s="536" t="e">
        <f t="shared" si="5"/>
        <v>#REF!</v>
      </c>
    </row>
    <row r="24" spans="1:20">
      <c r="A24" s="531">
        <f t="shared" si="0"/>
        <v>18000</v>
      </c>
      <c r="B24" s="523"/>
      <c r="C24" s="561">
        <v>2</v>
      </c>
      <c r="D24" s="523"/>
      <c r="E24" s="533">
        <f t="shared" si="6"/>
        <v>26</v>
      </c>
      <c r="F24" s="533"/>
      <c r="G24" s="533">
        <f t="shared" si="1"/>
        <v>36000</v>
      </c>
      <c r="H24" s="533"/>
      <c r="I24" s="533">
        <f t="shared" si="7"/>
        <v>320000</v>
      </c>
      <c r="J24" s="523"/>
      <c r="K24" s="533">
        <f t="shared" si="2"/>
        <v>22</v>
      </c>
      <c r="L24" s="523"/>
      <c r="M24" s="533">
        <f t="shared" si="3"/>
        <v>716000</v>
      </c>
      <c r="N24" s="523"/>
      <c r="O24" s="534">
        <f t="shared" si="4"/>
        <v>7.2218460844053256E-2</v>
      </c>
      <c r="P24" s="547">
        <v>18</v>
      </c>
      <c r="T24" s="536" t="e">
        <f t="shared" si="5"/>
        <v>#REF!</v>
      </c>
    </row>
    <row r="25" spans="1:20">
      <c r="A25" s="531">
        <f t="shared" si="0"/>
        <v>19000</v>
      </c>
      <c r="B25" s="525"/>
      <c r="C25" s="561">
        <v>3</v>
      </c>
      <c r="D25" s="525"/>
      <c r="E25" s="533">
        <f t="shared" si="6"/>
        <v>29</v>
      </c>
      <c r="F25" s="533"/>
      <c r="G25" s="533">
        <f t="shared" si="1"/>
        <v>57000</v>
      </c>
      <c r="H25" s="533"/>
      <c r="I25" s="533">
        <f t="shared" si="7"/>
        <v>377000</v>
      </c>
      <c r="J25" s="525"/>
      <c r="K25" s="533">
        <f t="shared" si="2"/>
        <v>19</v>
      </c>
      <c r="L25" s="525"/>
      <c r="M25" s="533">
        <f t="shared" si="3"/>
        <v>738000</v>
      </c>
      <c r="N25" s="525"/>
      <c r="O25" s="534">
        <f t="shared" si="4"/>
        <v>8.5082374181900247E-2</v>
      </c>
      <c r="P25" s="547">
        <v>19</v>
      </c>
      <c r="T25" s="536" t="e">
        <f t="shared" si="5"/>
        <v>#REF!</v>
      </c>
    </row>
    <row r="26" spans="1:20">
      <c r="A26" s="531">
        <f t="shared" si="0"/>
        <v>20000</v>
      </c>
      <c r="B26" s="525"/>
      <c r="C26" s="561">
        <v>3</v>
      </c>
      <c r="D26" s="525"/>
      <c r="E26" s="533">
        <f t="shared" si="6"/>
        <v>32</v>
      </c>
      <c r="F26" s="533"/>
      <c r="G26" s="533">
        <f t="shared" si="1"/>
        <v>60000</v>
      </c>
      <c r="H26" s="533"/>
      <c r="I26" s="533">
        <f t="shared" si="7"/>
        <v>437000</v>
      </c>
      <c r="J26" s="525"/>
      <c r="K26" s="533">
        <f t="shared" si="2"/>
        <v>16</v>
      </c>
      <c r="L26" s="525"/>
      <c r="M26" s="533">
        <f t="shared" si="3"/>
        <v>757000</v>
      </c>
      <c r="N26" s="525"/>
      <c r="O26" s="534">
        <f t="shared" si="4"/>
        <v>9.8623335590160233E-2</v>
      </c>
      <c r="P26" s="547">
        <v>20</v>
      </c>
      <c r="T26" s="536" t="e">
        <f t="shared" si="5"/>
        <v>#REF!</v>
      </c>
    </row>
    <row r="27" spans="1:20">
      <c r="A27" s="531">
        <f t="shared" si="0"/>
        <v>21000</v>
      </c>
      <c r="B27" s="525"/>
      <c r="C27" s="561">
        <v>2</v>
      </c>
      <c r="D27" s="525"/>
      <c r="E27" s="533">
        <f t="shared" si="6"/>
        <v>34</v>
      </c>
      <c r="F27" s="533"/>
      <c r="G27" s="533">
        <f t="shared" si="1"/>
        <v>42000</v>
      </c>
      <c r="H27" s="533"/>
      <c r="I27" s="533">
        <f t="shared" si="7"/>
        <v>479000</v>
      </c>
      <c r="J27" s="525"/>
      <c r="K27" s="533">
        <f t="shared" si="2"/>
        <v>14</v>
      </c>
      <c r="L27" s="525"/>
      <c r="M27" s="533">
        <f t="shared" si="3"/>
        <v>773000</v>
      </c>
      <c r="N27" s="525"/>
      <c r="O27" s="534">
        <f t="shared" si="4"/>
        <v>0.10810200857594222</v>
      </c>
      <c r="P27" s="547">
        <v>21</v>
      </c>
      <c r="T27" s="536" t="e">
        <f t="shared" si="5"/>
        <v>#REF!</v>
      </c>
    </row>
    <row r="28" spans="1:20">
      <c r="A28" s="531">
        <f t="shared" si="0"/>
        <v>24000</v>
      </c>
      <c r="B28" s="515"/>
      <c r="C28" s="561">
        <v>1</v>
      </c>
      <c r="D28" s="529"/>
      <c r="E28" s="533">
        <f t="shared" si="6"/>
        <v>35</v>
      </c>
      <c r="F28" s="533"/>
      <c r="G28" s="533">
        <f t="shared" si="1"/>
        <v>24000</v>
      </c>
      <c r="H28" s="533"/>
      <c r="I28" s="533">
        <f t="shared" si="7"/>
        <v>503000</v>
      </c>
      <c r="J28" s="529"/>
      <c r="K28" s="533">
        <f t="shared" si="2"/>
        <v>13</v>
      </c>
      <c r="L28" s="529"/>
      <c r="M28" s="533">
        <f t="shared" si="3"/>
        <v>815000</v>
      </c>
      <c r="N28" s="529"/>
      <c r="O28" s="534">
        <f t="shared" si="4"/>
        <v>0.11351839313924622</v>
      </c>
      <c r="P28" s="547">
        <v>24</v>
      </c>
      <c r="T28" s="536" t="e">
        <f t="shared" si="5"/>
        <v>#REF!</v>
      </c>
    </row>
    <row r="29" spans="1:20">
      <c r="A29" s="531">
        <f t="shared" si="0"/>
        <v>27000</v>
      </c>
      <c r="B29" s="515"/>
      <c r="C29" s="561">
        <v>1</v>
      </c>
      <c r="D29" s="533"/>
      <c r="E29" s="533">
        <f t="shared" si="6"/>
        <v>36</v>
      </c>
      <c r="F29" s="533"/>
      <c r="G29" s="533">
        <f t="shared" si="1"/>
        <v>27000</v>
      </c>
      <c r="H29" s="533"/>
      <c r="I29" s="533">
        <f t="shared" si="7"/>
        <v>530000</v>
      </c>
      <c r="J29" s="533"/>
      <c r="K29" s="533">
        <f t="shared" si="2"/>
        <v>12</v>
      </c>
      <c r="L29" s="533"/>
      <c r="M29" s="533">
        <f t="shared" si="3"/>
        <v>854000</v>
      </c>
      <c r="N29" s="515"/>
      <c r="O29" s="534">
        <f t="shared" si="4"/>
        <v>0.11961182577296321</v>
      </c>
      <c r="P29" s="547">
        <v>27</v>
      </c>
      <c r="T29" s="536" t="e">
        <f t="shared" si="5"/>
        <v>#REF!</v>
      </c>
    </row>
    <row r="30" spans="1:20">
      <c r="A30" s="531">
        <f t="shared" si="0"/>
        <v>255000</v>
      </c>
      <c r="B30" s="515"/>
      <c r="C30" s="561">
        <v>1</v>
      </c>
      <c r="D30" s="533"/>
      <c r="E30" s="533">
        <f t="shared" si="6"/>
        <v>37</v>
      </c>
      <c r="F30" s="533"/>
      <c r="G30" s="533">
        <f t="shared" si="1"/>
        <v>255000</v>
      </c>
      <c r="H30" s="533"/>
      <c r="I30" s="533">
        <f t="shared" si="7"/>
        <v>785000</v>
      </c>
      <c r="J30" s="533"/>
      <c r="K30" s="533">
        <f t="shared" si="2"/>
        <v>11</v>
      </c>
      <c r="L30" s="533"/>
      <c r="M30" s="533">
        <f t="shared" si="3"/>
        <v>3590000</v>
      </c>
      <c r="N30" s="515"/>
      <c r="O30" s="534">
        <f t="shared" si="4"/>
        <v>0.17716091175806817</v>
      </c>
      <c r="P30" s="547">
        <v>255</v>
      </c>
      <c r="T30" s="536" t="e">
        <f t="shared" si="5"/>
        <v>#REF!</v>
      </c>
    </row>
    <row r="31" spans="1:20">
      <c r="A31" s="531">
        <f t="shared" si="0"/>
        <v>260000</v>
      </c>
      <c r="B31" s="515"/>
      <c r="C31" s="561">
        <v>1</v>
      </c>
      <c r="D31" s="533"/>
      <c r="E31" s="533">
        <f t="shared" si="6"/>
        <v>38</v>
      </c>
      <c r="F31" s="533"/>
      <c r="G31" s="533">
        <f t="shared" si="1"/>
        <v>260000</v>
      </c>
      <c r="H31" s="533"/>
      <c r="I31" s="533">
        <f t="shared" si="7"/>
        <v>1045000</v>
      </c>
      <c r="J31" s="533"/>
      <c r="K31" s="533">
        <f t="shared" si="2"/>
        <v>10</v>
      </c>
      <c r="L31" s="533"/>
      <c r="M31" s="533">
        <f t="shared" si="3"/>
        <v>3645000</v>
      </c>
      <c r="N31" s="515"/>
      <c r="O31" s="534">
        <f t="shared" si="4"/>
        <v>0.23583841119386142</v>
      </c>
      <c r="P31" s="547">
        <v>260</v>
      </c>
      <c r="T31" s="536" t="e">
        <f t="shared" si="5"/>
        <v>#REF!</v>
      </c>
    </row>
    <row r="32" spans="1:20">
      <c r="A32" s="531">
        <f t="shared" si="0"/>
        <v>268000</v>
      </c>
      <c r="B32" s="515"/>
      <c r="C32" s="561">
        <v>1</v>
      </c>
      <c r="D32" s="533"/>
      <c r="E32" s="533">
        <f t="shared" si="6"/>
        <v>39</v>
      </c>
      <c r="F32" s="533"/>
      <c r="G32" s="533">
        <f t="shared" si="1"/>
        <v>268000</v>
      </c>
      <c r="H32" s="533"/>
      <c r="I32" s="533">
        <f t="shared" si="7"/>
        <v>1313000</v>
      </c>
      <c r="J32" s="533"/>
      <c r="K32" s="533">
        <f t="shared" si="2"/>
        <v>9</v>
      </c>
      <c r="L32" s="533"/>
      <c r="M32" s="533">
        <f t="shared" si="3"/>
        <v>3725000</v>
      </c>
      <c r="N32" s="515"/>
      <c r="O32" s="534">
        <f t="shared" si="4"/>
        <v>0.29632137215075605</v>
      </c>
      <c r="P32" s="547">
        <v>268</v>
      </c>
      <c r="T32" s="536" t="e">
        <f t="shared" si="5"/>
        <v>#REF!</v>
      </c>
    </row>
    <row r="33" spans="1:20">
      <c r="A33" s="531">
        <f t="shared" si="0"/>
        <v>275000</v>
      </c>
      <c r="B33" s="515"/>
      <c r="C33" s="561">
        <v>1</v>
      </c>
      <c r="D33" s="533"/>
      <c r="E33" s="533">
        <f t="shared" si="6"/>
        <v>40</v>
      </c>
      <c r="F33" s="533"/>
      <c r="G33" s="533">
        <f t="shared" si="1"/>
        <v>275000</v>
      </c>
      <c r="H33" s="533"/>
      <c r="I33" s="533">
        <f t="shared" si="7"/>
        <v>1588000</v>
      </c>
      <c r="J33" s="533"/>
      <c r="K33" s="533">
        <f t="shared" si="2"/>
        <v>8</v>
      </c>
      <c r="L33" s="533"/>
      <c r="M33" s="533">
        <f t="shared" si="3"/>
        <v>3788000</v>
      </c>
      <c r="N33" s="515"/>
      <c r="O33" s="534">
        <f t="shared" si="4"/>
        <v>0.3583841119386143</v>
      </c>
      <c r="P33" s="547">
        <v>275</v>
      </c>
      <c r="T33" s="536" t="e">
        <f t="shared" si="5"/>
        <v>#REF!</v>
      </c>
    </row>
    <row r="34" spans="1:20">
      <c r="A34" s="531">
        <f t="shared" si="0"/>
        <v>301000</v>
      </c>
      <c r="B34" s="515"/>
      <c r="C34" s="561">
        <v>1</v>
      </c>
      <c r="D34" s="533"/>
      <c r="E34" s="533">
        <f t="shared" si="6"/>
        <v>41</v>
      </c>
      <c r="F34" s="533"/>
      <c r="G34" s="533">
        <f t="shared" si="1"/>
        <v>301000</v>
      </c>
      <c r="H34" s="533"/>
      <c r="I34" s="533">
        <f t="shared" si="7"/>
        <v>1889000</v>
      </c>
      <c r="J34" s="533"/>
      <c r="K34" s="533">
        <f t="shared" si="2"/>
        <v>7</v>
      </c>
      <c r="L34" s="533"/>
      <c r="M34" s="533">
        <f t="shared" si="3"/>
        <v>3996000</v>
      </c>
      <c r="N34" s="515"/>
      <c r="O34" s="534">
        <f t="shared" si="4"/>
        <v>0.42631460167005192</v>
      </c>
      <c r="P34" s="547">
        <v>301</v>
      </c>
      <c r="T34" s="536" t="e">
        <f t="shared" si="5"/>
        <v>#REF!</v>
      </c>
    </row>
    <row r="35" spans="1:20">
      <c r="A35" s="531">
        <f t="shared" si="0"/>
        <v>302000</v>
      </c>
      <c r="B35" s="515"/>
      <c r="C35" s="561">
        <v>1</v>
      </c>
      <c r="D35" s="533"/>
      <c r="E35" s="533">
        <f t="shared" si="6"/>
        <v>42</v>
      </c>
      <c r="F35" s="533"/>
      <c r="G35" s="533">
        <f t="shared" si="1"/>
        <v>302000</v>
      </c>
      <c r="H35" s="533"/>
      <c r="I35" s="533">
        <f t="shared" si="7"/>
        <v>2191000</v>
      </c>
      <c r="J35" s="533"/>
      <c r="K35" s="533">
        <f t="shared" si="2"/>
        <v>6</v>
      </c>
      <c r="L35" s="533"/>
      <c r="M35" s="533">
        <f t="shared" si="3"/>
        <v>4003000</v>
      </c>
      <c r="N35" s="515"/>
      <c r="O35" s="534">
        <f t="shared" si="4"/>
        <v>0.49447077409162715</v>
      </c>
      <c r="P35" s="547">
        <v>302</v>
      </c>
      <c r="T35" s="536" t="e">
        <f t="shared" si="5"/>
        <v>#REF!</v>
      </c>
    </row>
    <row r="36" spans="1:20">
      <c r="A36" s="531">
        <f t="shared" si="0"/>
        <v>312000</v>
      </c>
      <c r="C36" s="561">
        <v>1</v>
      </c>
      <c r="E36" s="533">
        <f t="shared" si="6"/>
        <v>43</v>
      </c>
      <c r="G36" s="533">
        <f t="shared" si="1"/>
        <v>312000</v>
      </c>
      <c r="H36" s="533"/>
      <c r="I36" s="533">
        <f t="shared" si="7"/>
        <v>2503000</v>
      </c>
      <c r="K36" s="533">
        <f t="shared" si="2"/>
        <v>5</v>
      </c>
      <c r="M36" s="533">
        <f t="shared" si="3"/>
        <v>4063000</v>
      </c>
      <c r="O36" s="534">
        <f t="shared" si="4"/>
        <v>0.56488377341457907</v>
      </c>
      <c r="P36" s="515">
        <v>312</v>
      </c>
      <c r="T36" s="536" t="e">
        <f t="shared" si="5"/>
        <v>#REF!</v>
      </c>
    </row>
    <row r="37" spans="1:20">
      <c r="A37" s="531">
        <f t="shared" si="0"/>
        <v>315000</v>
      </c>
      <c r="C37" s="561">
        <v>1</v>
      </c>
      <c r="E37" s="533">
        <f t="shared" si="6"/>
        <v>44</v>
      </c>
      <c r="G37" s="533">
        <f t="shared" si="1"/>
        <v>315000</v>
      </c>
      <c r="H37" s="533"/>
      <c r="I37" s="533">
        <f t="shared" si="7"/>
        <v>2818000</v>
      </c>
      <c r="K37" s="533">
        <f t="shared" si="2"/>
        <v>4</v>
      </c>
      <c r="M37" s="533">
        <f t="shared" si="3"/>
        <v>4078000</v>
      </c>
      <c r="O37" s="534">
        <f t="shared" si="4"/>
        <v>0.63597382080794407</v>
      </c>
      <c r="P37" s="515">
        <v>315</v>
      </c>
      <c r="T37" s="536" t="e">
        <f t="shared" si="5"/>
        <v>#REF!</v>
      </c>
    </row>
    <row r="38" spans="1:20">
      <c r="A38" s="531">
        <f t="shared" si="0"/>
        <v>323000</v>
      </c>
      <c r="C38" s="561">
        <v>1</v>
      </c>
      <c r="E38" s="533">
        <f t="shared" si="6"/>
        <v>45</v>
      </c>
      <c r="G38" s="533">
        <f t="shared" si="1"/>
        <v>323000</v>
      </c>
      <c r="H38" s="533"/>
      <c r="I38" s="533">
        <f t="shared" si="7"/>
        <v>3141000</v>
      </c>
      <c r="K38" s="533">
        <f t="shared" si="2"/>
        <v>3</v>
      </c>
      <c r="M38" s="533">
        <f t="shared" si="3"/>
        <v>4110000</v>
      </c>
      <c r="O38" s="534">
        <f t="shared" si="4"/>
        <v>0.70886932972241035</v>
      </c>
      <c r="P38" s="515">
        <v>323</v>
      </c>
      <c r="T38" s="536" t="e">
        <f t="shared" si="5"/>
        <v>#REF!</v>
      </c>
    </row>
    <row r="39" spans="1:20">
      <c r="A39" s="531">
        <f t="shared" si="0"/>
        <v>368000</v>
      </c>
      <c r="C39" s="561">
        <v>1</v>
      </c>
      <c r="E39" s="533">
        <f t="shared" si="6"/>
        <v>46</v>
      </c>
      <c r="G39" s="533">
        <f t="shared" si="1"/>
        <v>368000</v>
      </c>
      <c r="H39" s="533"/>
      <c r="I39" s="533">
        <f t="shared" si="7"/>
        <v>3509000</v>
      </c>
      <c r="K39" s="533">
        <f t="shared" si="2"/>
        <v>2</v>
      </c>
      <c r="M39" s="533">
        <f t="shared" si="3"/>
        <v>4245000</v>
      </c>
      <c r="O39" s="534">
        <f t="shared" si="4"/>
        <v>0.79192055969307151</v>
      </c>
      <c r="P39" s="515">
        <v>368</v>
      </c>
      <c r="T39" s="536" t="e">
        <f t="shared" si="5"/>
        <v>#REF!</v>
      </c>
    </row>
    <row r="40" spans="1:20">
      <c r="A40" s="531">
        <f t="shared" si="0"/>
        <v>389000</v>
      </c>
      <c r="C40" s="561">
        <v>1</v>
      </c>
      <c r="E40" s="533">
        <f t="shared" si="6"/>
        <v>47</v>
      </c>
      <c r="G40" s="533">
        <f t="shared" si="1"/>
        <v>389000</v>
      </c>
      <c r="H40" s="533"/>
      <c r="I40" s="533">
        <f t="shared" si="7"/>
        <v>3898000</v>
      </c>
      <c r="K40" s="533">
        <f t="shared" si="2"/>
        <v>1</v>
      </c>
      <c r="M40" s="533">
        <f t="shared" si="3"/>
        <v>4287000</v>
      </c>
      <c r="O40" s="534">
        <f t="shared" si="4"/>
        <v>0.87971112615662383</v>
      </c>
      <c r="P40" s="515">
        <v>389</v>
      </c>
      <c r="T40" s="536" t="e">
        <f t="shared" si="5"/>
        <v>#REF!</v>
      </c>
    </row>
    <row r="41" spans="1:20">
      <c r="A41" s="531">
        <f t="shared" si="0"/>
        <v>533000</v>
      </c>
      <c r="C41" s="561">
        <v>1</v>
      </c>
      <c r="E41" s="533">
        <f t="shared" si="6"/>
        <v>48</v>
      </c>
      <c r="G41" s="533">
        <f t="shared" si="1"/>
        <v>533000</v>
      </c>
      <c r="H41" s="533"/>
      <c r="I41" s="533">
        <f t="shared" si="7"/>
        <v>4431000</v>
      </c>
      <c r="K41" s="533">
        <f t="shared" si="2"/>
        <v>0</v>
      </c>
      <c r="M41" s="533">
        <f t="shared" si="3"/>
        <v>4431000</v>
      </c>
      <c r="O41" s="534">
        <f t="shared" si="4"/>
        <v>1</v>
      </c>
      <c r="P41" s="515">
        <v>533</v>
      </c>
      <c r="T41" s="536" t="e">
        <f t="shared" si="5"/>
        <v>#REF!</v>
      </c>
    </row>
    <row r="43" spans="1:20">
      <c r="T43" s="539" t="e">
        <f>SUM(T10:T41)</f>
        <v>#REF!</v>
      </c>
    </row>
    <row r="44" spans="1:20" hidden="1">
      <c r="T44" s="513">
        <v>13367</v>
      </c>
    </row>
    <row r="45" spans="1:20" hidden="1">
      <c r="T45" s="540" t="e">
        <f>T43-T44</f>
        <v>#REF!</v>
      </c>
    </row>
    <row r="46" spans="1:20" hidden="1">
      <c r="T46" s="555" t="e">
        <f>T45/T43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"/>
  <sheetViews>
    <sheetView showGridLines="0" topLeftCell="H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'16078-170'!R2</f>
        <v>#REF!</v>
      </c>
      <c r="S2" s="518"/>
      <c r="T2" s="519" t="e">
        <f>'16078-170'!T2</f>
        <v>#REF!</v>
      </c>
    </row>
    <row r="3" spans="1:20">
      <c r="A3" s="513" t="s">
        <v>532</v>
      </c>
      <c r="M3" s="520" t="s">
        <v>527</v>
      </c>
      <c r="R3" s="519" t="e">
        <f>'16078-170'!R3</f>
        <v>#REF!</v>
      </c>
      <c r="S3" s="518"/>
      <c r="T3" s="519" t="e">
        <f>'16078-170'!T3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/>
      <c r="S4" s="518"/>
      <c r="T4" s="519"/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0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0" si="1">A10*C10</f>
        <v>0</v>
      </c>
      <c r="H10" s="533"/>
      <c r="I10" s="533">
        <f>G10</f>
        <v>0</v>
      </c>
      <c r="J10" s="533"/>
      <c r="K10" s="533">
        <f t="shared" ref="K10:K20" si="2">$E$20-E10</f>
        <v>11</v>
      </c>
      <c r="L10" s="533"/>
      <c r="M10" s="533">
        <f t="shared" ref="M10:M20" si="3">(A10*K10)+I10</f>
        <v>0</v>
      </c>
      <c r="O10" s="534">
        <f t="shared" ref="O10:O20" si="4">I10/$I$20</f>
        <v>0</v>
      </c>
      <c r="P10" s="532">
        <v>0</v>
      </c>
      <c r="R10" s="535"/>
      <c r="S10" s="513"/>
      <c r="T10" s="536" t="e">
        <f t="shared" ref="T10:T20" si="5">IF(A10&lt;127500,C10*$T$2,IF(A10=127500,C10*$T$2,IF(A10&gt;127500,(C10*$T$2)+((A10-127500)/1000*$T$3*C10))))</f>
        <v>#REF!</v>
      </c>
    </row>
    <row r="11" spans="1:20" s="515" customFormat="1">
      <c r="A11" s="552">
        <f t="shared" si="0"/>
        <v>5000</v>
      </c>
      <c r="C11" s="532">
        <v>1</v>
      </c>
      <c r="D11" s="533"/>
      <c r="E11" s="533">
        <f t="shared" ref="E11:E20" si="6">E10+C11</f>
        <v>1</v>
      </c>
      <c r="F11" s="533"/>
      <c r="G11" s="533">
        <f t="shared" si="1"/>
        <v>5000</v>
      </c>
      <c r="H11" s="533"/>
      <c r="I11" s="533">
        <f t="shared" ref="I11:I20" si="7">I10+G11</f>
        <v>5000</v>
      </c>
      <c r="J11" s="533"/>
      <c r="K11" s="533">
        <f t="shared" si="2"/>
        <v>10</v>
      </c>
      <c r="L11" s="533"/>
      <c r="M11" s="533">
        <f t="shared" si="3"/>
        <v>55000</v>
      </c>
      <c r="O11" s="534">
        <f t="shared" si="4"/>
        <v>1.6339869281045753E-2</v>
      </c>
      <c r="P11" s="532">
        <v>5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6000</v>
      </c>
      <c r="C12" s="532">
        <v>2</v>
      </c>
      <c r="D12" s="533"/>
      <c r="E12" s="533">
        <f t="shared" si="6"/>
        <v>3</v>
      </c>
      <c r="F12" s="533"/>
      <c r="G12" s="533">
        <f t="shared" si="1"/>
        <v>12000</v>
      </c>
      <c r="H12" s="533"/>
      <c r="I12" s="533">
        <f t="shared" si="7"/>
        <v>17000</v>
      </c>
      <c r="J12" s="533"/>
      <c r="K12" s="533">
        <f t="shared" si="2"/>
        <v>8</v>
      </c>
      <c r="L12" s="533"/>
      <c r="M12" s="533">
        <f t="shared" si="3"/>
        <v>65000</v>
      </c>
      <c r="O12" s="534">
        <f t="shared" si="4"/>
        <v>5.5555555555555552E-2</v>
      </c>
      <c r="P12" s="532">
        <v>6</v>
      </c>
      <c r="R12" s="513"/>
      <c r="S12" s="513"/>
      <c r="T12" s="536" t="e">
        <f t="shared" si="5"/>
        <v>#REF!</v>
      </c>
    </row>
    <row r="13" spans="1:20">
      <c r="A13" s="552">
        <f t="shared" si="0"/>
        <v>11000</v>
      </c>
      <c r="B13" s="515"/>
      <c r="C13" s="532">
        <v>1</v>
      </c>
      <c r="D13" s="533"/>
      <c r="E13" s="533">
        <f t="shared" si="6"/>
        <v>4</v>
      </c>
      <c r="F13" s="533"/>
      <c r="G13" s="533">
        <f t="shared" si="1"/>
        <v>11000</v>
      </c>
      <c r="H13" s="533"/>
      <c r="I13" s="533">
        <f t="shared" si="7"/>
        <v>28000</v>
      </c>
      <c r="J13" s="533"/>
      <c r="K13" s="533">
        <f t="shared" si="2"/>
        <v>7</v>
      </c>
      <c r="L13" s="533"/>
      <c r="M13" s="533">
        <f t="shared" si="3"/>
        <v>105000</v>
      </c>
      <c r="N13" s="515"/>
      <c r="O13" s="534">
        <f t="shared" si="4"/>
        <v>9.1503267973856203E-2</v>
      </c>
      <c r="P13" s="532">
        <v>11</v>
      </c>
      <c r="T13" s="536" t="e">
        <f t="shared" si="5"/>
        <v>#REF!</v>
      </c>
    </row>
    <row r="14" spans="1:20">
      <c r="A14" s="552">
        <f t="shared" si="0"/>
        <v>21000</v>
      </c>
      <c r="B14" s="515"/>
      <c r="C14" s="532">
        <v>1</v>
      </c>
      <c r="D14" s="533"/>
      <c r="E14" s="533">
        <f t="shared" si="6"/>
        <v>5</v>
      </c>
      <c r="F14" s="533"/>
      <c r="G14" s="533">
        <f t="shared" si="1"/>
        <v>21000</v>
      </c>
      <c r="H14" s="533"/>
      <c r="I14" s="533">
        <f t="shared" si="7"/>
        <v>49000</v>
      </c>
      <c r="J14" s="533"/>
      <c r="K14" s="533">
        <f t="shared" si="2"/>
        <v>6</v>
      </c>
      <c r="L14" s="533"/>
      <c r="M14" s="533">
        <f t="shared" si="3"/>
        <v>175000</v>
      </c>
      <c r="N14" s="515"/>
      <c r="O14" s="534">
        <f t="shared" si="4"/>
        <v>0.16013071895424835</v>
      </c>
      <c r="P14" s="532">
        <v>21</v>
      </c>
      <c r="T14" s="536" t="e">
        <f t="shared" si="5"/>
        <v>#REF!</v>
      </c>
    </row>
    <row r="15" spans="1:20">
      <c r="A15" s="552">
        <f t="shared" si="0"/>
        <v>25000</v>
      </c>
      <c r="B15" s="515"/>
      <c r="C15" s="532">
        <v>1</v>
      </c>
      <c r="D15" s="533"/>
      <c r="E15" s="533">
        <f t="shared" si="6"/>
        <v>6</v>
      </c>
      <c r="F15" s="533"/>
      <c r="G15" s="533">
        <f t="shared" si="1"/>
        <v>25000</v>
      </c>
      <c r="H15" s="533"/>
      <c r="I15" s="533">
        <f t="shared" si="7"/>
        <v>74000</v>
      </c>
      <c r="J15" s="533"/>
      <c r="K15" s="533">
        <f t="shared" si="2"/>
        <v>5</v>
      </c>
      <c r="L15" s="533"/>
      <c r="M15" s="533">
        <f t="shared" si="3"/>
        <v>199000</v>
      </c>
      <c r="N15" s="515"/>
      <c r="O15" s="534">
        <f t="shared" si="4"/>
        <v>0.24183006535947713</v>
      </c>
      <c r="P15" s="532">
        <v>25</v>
      </c>
      <c r="T15" s="536" t="e">
        <f t="shared" si="5"/>
        <v>#REF!</v>
      </c>
    </row>
    <row r="16" spans="1:20">
      <c r="A16" s="531">
        <f t="shared" si="0"/>
        <v>33000</v>
      </c>
      <c r="B16" s="515"/>
      <c r="C16" s="532">
        <v>1</v>
      </c>
      <c r="D16" s="533"/>
      <c r="E16" s="533">
        <f t="shared" si="6"/>
        <v>7</v>
      </c>
      <c r="F16" s="533"/>
      <c r="G16" s="533">
        <f t="shared" si="1"/>
        <v>33000</v>
      </c>
      <c r="H16" s="533"/>
      <c r="I16" s="533">
        <f t="shared" si="7"/>
        <v>107000</v>
      </c>
      <c r="J16" s="533"/>
      <c r="K16" s="533">
        <f t="shared" si="2"/>
        <v>4</v>
      </c>
      <c r="L16" s="533"/>
      <c r="M16" s="533">
        <f t="shared" si="3"/>
        <v>239000</v>
      </c>
      <c r="N16" s="515"/>
      <c r="O16" s="534">
        <f t="shared" si="4"/>
        <v>0.34967320261437906</v>
      </c>
      <c r="P16" s="532">
        <v>33</v>
      </c>
      <c r="T16" s="536" t="e">
        <f t="shared" si="5"/>
        <v>#REF!</v>
      </c>
    </row>
    <row r="17" spans="1:20">
      <c r="A17" s="531">
        <f t="shared" si="0"/>
        <v>41000</v>
      </c>
      <c r="B17" s="515"/>
      <c r="C17" s="532">
        <v>1</v>
      </c>
      <c r="D17" s="533"/>
      <c r="E17" s="533">
        <f t="shared" si="6"/>
        <v>8</v>
      </c>
      <c r="F17" s="533"/>
      <c r="G17" s="533">
        <f t="shared" si="1"/>
        <v>41000</v>
      </c>
      <c r="H17" s="533"/>
      <c r="I17" s="533">
        <f t="shared" si="7"/>
        <v>148000</v>
      </c>
      <c r="J17" s="533"/>
      <c r="K17" s="533">
        <f t="shared" si="2"/>
        <v>3</v>
      </c>
      <c r="L17" s="533"/>
      <c r="M17" s="533">
        <f t="shared" si="3"/>
        <v>271000</v>
      </c>
      <c r="N17" s="515"/>
      <c r="O17" s="534">
        <f t="shared" si="4"/>
        <v>0.48366013071895425</v>
      </c>
      <c r="P17" s="532">
        <v>41</v>
      </c>
      <c r="T17" s="536" t="e">
        <f t="shared" si="5"/>
        <v>#REF!</v>
      </c>
    </row>
    <row r="18" spans="1:20">
      <c r="A18" s="531">
        <f t="shared" si="0"/>
        <v>43000</v>
      </c>
      <c r="B18" s="515"/>
      <c r="C18" s="532">
        <v>1</v>
      </c>
      <c r="D18" s="533"/>
      <c r="E18" s="533">
        <f t="shared" si="6"/>
        <v>9</v>
      </c>
      <c r="F18" s="533"/>
      <c r="G18" s="533">
        <f t="shared" si="1"/>
        <v>43000</v>
      </c>
      <c r="H18" s="533"/>
      <c r="I18" s="533">
        <f t="shared" si="7"/>
        <v>191000</v>
      </c>
      <c r="J18" s="533"/>
      <c r="K18" s="533">
        <f t="shared" si="2"/>
        <v>2</v>
      </c>
      <c r="L18" s="533"/>
      <c r="M18" s="533">
        <f t="shared" si="3"/>
        <v>277000</v>
      </c>
      <c r="N18" s="515"/>
      <c r="O18" s="534">
        <f t="shared" si="4"/>
        <v>0.62418300653594772</v>
      </c>
      <c r="P18" s="532">
        <v>43</v>
      </c>
      <c r="T18" s="536" t="e">
        <f t="shared" si="5"/>
        <v>#REF!</v>
      </c>
    </row>
    <row r="19" spans="1:20">
      <c r="A19" s="531">
        <f t="shared" si="0"/>
        <v>49000</v>
      </c>
      <c r="B19" s="515"/>
      <c r="C19" s="532">
        <v>1</v>
      </c>
      <c r="D19" s="533"/>
      <c r="E19" s="533">
        <f t="shared" si="6"/>
        <v>10</v>
      </c>
      <c r="F19" s="533"/>
      <c r="G19" s="533">
        <f t="shared" si="1"/>
        <v>49000</v>
      </c>
      <c r="H19" s="533"/>
      <c r="I19" s="533">
        <f t="shared" si="7"/>
        <v>240000</v>
      </c>
      <c r="J19" s="533"/>
      <c r="K19" s="533">
        <f t="shared" si="2"/>
        <v>1</v>
      </c>
      <c r="L19" s="533"/>
      <c r="M19" s="533">
        <f t="shared" si="3"/>
        <v>289000</v>
      </c>
      <c r="N19" s="515"/>
      <c r="O19" s="534">
        <f t="shared" si="4"/>
        <v>0.78431372549019607</v>
      </c>
      <c r="P19" s="532">
        <v>49</v>
      </c>
      <c r="T19" s="536" t="e">
        <f t="shared" si="5"/>
        <v>#REF!</v>
      </c>
    </row>
    <row r="20" spans="1:20">
      <c r="A20" s="531">
        <f t="shared" si="0"/>
        <v>66000</v>
      </c>
      <c r="B20" s="544"/>
      <c r="C20" s="532">
        <v>1</v>
      </c>
      <c r="D20" s="545"/>
      <c r="E20" s="533">
        <f t="shared" si="6"/>
        <v>11</v>
      </c>
      <c r="F20" s="533"/>
      <c r="G20" s="533">
        <f t="shared" si="1"/>
        <v>66000</v>
      </c>
      <c r="H20" s="533"/>
      <c r="I20" s="533">
        <f t="shared" si="7"/>
        <v>306000</v>
      </c>
      <c r="J20" s="545"/>
      <c r="K20" s="533">
        <f t="shared" si="2"/>
        <v>0</v>
      </c>
      <c r="L20" s="545"/>
      <c r="M20" s="533">
        <f t="shared" si="3"/>
        <v>306000</v>
      </c>
      <c r="O20" s="534">
        <f t="shared" si="4"/>
        <v>1</v>
      </c>
      <c r="P20" s="532">
        <v>66</v>
      </c>
      <c r="T20" s="536" t="e">
        <f t="shared" si="5"/>
        <v>#REF!</v>
      </c>
    </row>
    <row r="21" spans="1:20">
      <c r="T21" s="584"/>
    </row>
    <row r="22" spans="1:20">
      <c r="T22" s="539" t="e">
        <f>SUM(T10:T20)</f>
        <v>#REF!</v>
      </c>
    </row>
    <row r="23" spans="1:20" hidden="1">
      <c r="T23" s="513">
        <v>3135</v>
      </c>
    </row>
    <row r="24" spans="1:20" hidden="1">
      <c r="T24" s="540" t="e">
        <f>T22-T23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  <pageSetUpPr fitToPage="1"/>
  </sheetPr>
  <dimension ref="A1:Q182"/>
  <sheetViews>
    <sheetView showGridLines="0" topLeftCell="F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hidden="1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533</v>
      </c>
      <c r="M3" s="520" t="s">
        <v>297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7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7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7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7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7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7">
      <c r="A10" s="560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6" t="e">
        <f>'Sch.D&amp;E-REV'!D722</f>
        <v>#REF!</v>
      </c>
    </row>
    <row r="11" spans="1:17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10076</v>
      </c>
      <c r="Q11" s="561"/>
    </row>
    <row r="12" spans="1:17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/>
      <c r="Q12" s="561"/>
    </row>
    <row r="13" spans="1:17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Q13" s="561"/>
    </row>
    <row r="14" spans="1:17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0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9"/>
  <sheetViews>
    <sheetView showGridLines="0" topLeftCell="N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6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94" t="e">
        <f>'Sch.D&amp;E-REV'!K740</f>
        <v>#REF!</v>
      </c>
    </row>
    <row r="3" spans="1:20">
      <c r="A3" s="513" t="s">
        <v>534</v>
      </c>
      <c r="M3" s="520" t="s">
        <v>522</v>
      </c>
      <c r="R3" s="518" t="s">
        <v>274</v>
      </c>
      <c r="S3" s="518"/>
      <c r="T3" s="594" t="e">
        <f>'Sch.D&amp;E-REV'!D732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94" t="e">
        <f>'Sch.D&amp;E-REV'!D733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94" t="e">
        <f>'Sch.D&amp;E-REV'!D734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94" t="e">
        <f>'Sch.D&amp;E-REV'!D735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94" t="e">
        <f>'Sch.D&amp;E-REV'!D736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5" si="0">P10*1000</f>
        <v>0</v>
      </c>
      <c r="C10" s="532">
        <v>1</v>
      </c>
      <c r="D10" s="533"/>
      <c r="E10" s="533">
        <f>C10</f>
        <v>1</v>
      </c>
      <c r="F10" s="533"/>
      <c r="G10" s="533">
        <f t="shared" ref="G10:G15" si="1">A10*C10</f>
        <v>0</v>
      </c>
      <c r="H10" s="533"/>
      <c r="I10" s="533">
        <f>G10</f>
        <v>0</v>
      </c>
      <c r="J10" s="533"/>
      <c r="K10" s="533">
        <f t="shared" ref="K10:K15" si="2">$E$15-E10</f>
        <v>30</v>
      </c>
      <c r="L10" s="533"/>
      <c r="M10" s="533">
        <f t="shared" ref="M10:M15" si="3">(A10*K10)+I10</f>
        <v>0</v>
      </c>
      <c r="O10" s="534">
        <f t="shared" ref="O10:O15" si="4">I10/$I$15</f>
        <v>0</v>
      </c>
      <c r="P10" s="532">
        <v>0</v>
      </c>
      <c r="R10" s="535"/>
      <c r="S10" s="513"/>
      <c r="T10" s="536" t="e">
        <f t="shared" ref="T10:T15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21</v>
      </c>
      <c r="D11" s="533"/>
      <c r="E11" s="533">
        <f>E10+C11</f>
        <v>22</v>
      </c>
      <c r="F11" s="533"/>
      <c r="G11" s="533">
        <f t="shared" si="1"/>
        <v>21000</v>
      </c>
      <c r="H11" s="533"/>
      <c r="I11" s="533">
        <f>I10+G11</f>
        <v>21000</v>
      </c>
      <c r="J11" s="533"/>
      <c r="K11" s="533">
        <f t="shared" si="2"/>
        <v>9</v>
      </c>
      <c r="L11" s="533"/>
      <c r="M11" s="533">
        <f t="shared" si="3"/>
        <v>30000</v>
      </c>
      <c r="O11" s="534">
        <f t="shared" si="4"/>
        <v>0.4375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5</v>
      </c>
      <c r="D12" s="533"/>
      <c r="E12" s="533">
        <f>E11+C12</f>
        <v>27</v>
      </c>
      <c r="F12" s="533"/>
      <c r="G12" s="533">
        <f t="shared" si="1"/>
        <v>10000</v>
      </c>
      <c r="H12" s="533"/>
      <c r="I12" s="533">
        <f>I11+G12</f>
        <v>31000</v>
      </c>
      <c r="J12" s="533"/>
      <c r="K12" s="533">
        <f t="shared" si="2"/>
        <v>4</v>
      </c>
      <c r="L12" s="533"/>
      <c r="M12" s="533">
        <f t="shared" si="3"/>
        <v>39000</v>
      </c>
      <c r="O12" s="534">
        <f t="shared" si="4"/>
        <v>0.64583333333333337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2</v>
      </c>
      <c r="D13" s="533"/>
      <c r="E13" s="533">
        <f>E12+C13</f>
        <v>29</v>
      </c>
      <c r="F13" s="533"/>
      <c r="G13" s="533">
        <f t="shared" si="1"/>
        <v>6000</v>
      </c>
      <c r="H13" s="533"/>
      <c r="I13" s="533">
        <f>I12+G13</f>
        <v>37000</v>
      </c>
      <c r="J13" s="533"/>
      <c r="K13" s="533">
        <f t="shared" si="2"/>
        <v>2</v>
      </c>
      <c r="L13" s="533"/>
      <c r="M13" s="533">
        <f t="shared" si="3"/>
        <v>43000</v>
      </c>
      <c r="N13" s="515"/>
      <c r="O13" s="534">
        <f t="shared" si="4"/>
        <v>0.77083333333333337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1</v>
      </c>
      <c r="D14" s="533"/>
      <c r="E14" s="533">
        <f>E13+C14</f>
        <v>30</v>
      </c>
      <c r="F14" s="533"/>
      <c r="G14" s="533">
        <f t="shared" si="1"/>
        <v>4000</v>
      </c>
      <c r="H14" s="533"/>
      <c r="I14" s="533">
        <f>I13+G14</f>
        <v>41000</v>
      </c>
      <c r="J14" s="533"/>
      <c r="K14" s="533">
        <f t="shared" si="2"/>
        <v>1</v>
      </c>
      <c r="L14" s="533"/>
      <c r="M14" s="533">
        <f t="shared" si="3"/>
        <v>45000</v>
      </c>
      <c r="N14" s="515"/>
      <c r="O14" s="534">
        <f t="shared" si="4"/>
        <v>0.85416666666666663</v>
      </c>
      <c r="P14" s="532">
        <v>4</v>
      </c>
      <c r="T14" s="536" t="e">
        <f t="shared" si="5"/>
        <v>#REF!</v>
      </c>
    </row>
    <row r="15" spans="1:20">
      <c r="A15" s="552">
        <f t="shared" si="0"/>
        <v>7000</v>
      </c>
      <c r="B15" s="515"/>
      <c r="C15" s="532">
        <v>1</v>
      </c>
      <c r="D15" s="533"/>
      <c r="E15" s="533">
        <f>E14+C15</f>
        <v>31</v>
      </c>
      <c r="F15" s="533"/>
      <c r="G15" s="533">
        <f t="shared" si="1"/>
        <v>7000</v>
      </c>
      <c r="H15" s="533"/>
      <c r="I15" s="533">
        <f>I14+G15</f>
        <v>48000</v>
      </c>
      <c r="J15" s="533"/>
      <c r="K15" s="533">
        <f t="shared" si="2"/>
        <v>0</v>
      </c>
      <c r="L15" s="533"/>
      <c r="M15" s="533">
        <f t="shared" si="3"/>
        <v>48000</v>
      </c>
      <c r="N15" s="515"/>
      <c r="O15" s="534">
        <f t="shared" si="4"/>
        <v>1</v>
      </c>
      <c r="P15" s="532">
        <v>7</v>
      </c>
      <c r="T15" s="536" t="e">
        <f t="shared" si="5"/>
        <v>#REF!</v>
      </c>
    </row>
    <row r="16" spans="1:20">
      <c r="T16" s="539" t="e">
        <f>SUM(T10:T15)</f>
        <v>#REF!</v>
      </c>
    </row>
    <row r="17" spans="20:20" hidden="1">
      <c r="T17" s="513">
        <v>435</v>
      </c>
    </row>
    <row r="18" spans="20:20" hidden="1">
      <c r="T18" s="540" t="e">
        <f>T16-T17</f>
        <v>#REF!</v>
      </c>
    </row>
    <row r="19" spans="20:20" hidden="1">
      <c r="T19" s="555" t="e">
        <f>T18/T16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view="pageBreakPreview" zoomScale="60" zoomScaleNormal="100" workbookViewId="0">
      <selection activeCell="A2" sqref="A2"/>
    </sheetView>
  </sheetViews>
  <sheetFormatPr defaultRowHeight="15.75"/>
  <cols>
    <col min="1" max="1" width="46.75" style="1024" bestFit="1" customWidth="1"/>
    <col min="2" max="2" width="12.25" style="1024" customWidth="1"/>
    <col min="3" max="3" width="12.375" style="1024" customWidth="1"/>
    <col min="4" max="4" width="11.5" style="1024" customWidth="1"/>
    <col min="5" max="5" width="9.875" style="1024" bestFit="1" customWidth="1"/>
    <col min="6" max="6" width="13.25" style="1024" customWidth="1"/>
    <col min="7" max="7" width="12.25" style="1024" bestFit="1" customWidth="1"/>
    <col min="8" max="8" width="19.875" style="1024" bestFit="1" customWidth="1"/>
    <col min="9" max="9" width="11.875" style="1024" bestFit="1" customWidth="1"/>
    <col min="10" max="10" width="20.75" style="1024" bestFit="1" customWidth="1"/>
    <col min="11" max="11" width="9" style="1024"/>
    <col min="12" max="12" width="15.125" style="1024" bestFit="1" customWidth="1"/>
    <col min="13" max="16384" width="9" style="1024"/>
  </cols>
  <sheetData>
    <row r="1" spans="1:8">
      <c r="A1" s="1026" t="str">
        <f>+'xxxRate-Rev Comp'!A1</f>
        <v>WATER SERVICE CORPORATION OF KENTUCKY</v>
      </c>
    </row>
    <row r="2" spans="1:8">
      <c r="A2" s="1024" t="s">
        <v>2001</v>
      </c>
    </row>
    <row r="3" spans="1:8">
      <c r="A3" s="1010"/>
      <c r="B3" s="1010"/>
      <c r="C3" s="1010"/>
      <c r="D3" s="1010"/>
      <c r="E3" s="1010"/>
      <c r="F3" s="1010"/>
      <c r="G3" s="1010"/>
      <c r="H3" s="1010"/>
    </row>
    <row r="4" spans="1:8">
      <c r="A4" s="1010"/>
      <c r="B4" s="1011" t="s">
        <v>1731</v>
      </c>
      <c r="C4" s="1010"/>
      <c r="D4" s="1010"/>
      <c r="E4" s="1010"/>
      <c r="F4" s="1010"/>
      <c r="G4" s="1010"/>
    </row>
    <row r="5" spans="1:8">
      <c r="A5" s="1010"/>
      <c r="B5" s="1011" t="s">
        <v>815</v>
      </c>
      <c r="C5" s="1010"/>
      <c r="D5" s="1011" t="s">
        <v>1247</v>
      </c>
      <c r="E5" s="1010"/>
      <c r="F5" s="1011" t="s">
        <v>390</v>
      </c>
      <c r="G5" s="1010"/>
    </row>
    <row r="6" spans="1:8">
      <c r="A6" s="1012" t="s">
        <v>1732</v>
      </c>
      <c r="B6" s="1011" t="s">
        <v>91</v>
      </c>
      <c r="C6" s="1010"/>
      <c r="D6" s="1011" t="s">
        <v>286</v>
      </c>
      <c r="E6" s="1010"/>
      <c r="F6" s="1011" t="s">
        <v>1248</v>
      </c>
      <c r="G6" s="1010"/>
    </row>
    <row r="7" spans="1:8">
      <c r="A7" s="1010"/>
      <c r="B7" s="1013" t="s">
        <v>1733</v>
      </c>
      <c r="C7" s="1010"/>
      <c r="D7" s="1013" t="s">
        <v>1734</v>
      </c>
      <c r="E7" s="1010"/>
      <c r="F7" s="1013" t="s">
        <v>1735</v>
      </c>
      <c r="G7" s="1010"/>
    </row>
    <row r="8" spans="1:8">
      <c r="A8" s="1010" t="s">
        <v>1736</v>
      </c>
      <c r="B8" s="1010"/>
      <c r="C8" s="1010"/>
      <c r="D8" s="1010"/>
      <c r="E8" s="1010"/>
      <c r="F8" s="1010"/>
      <c r="G8" s="1010"/>
    </row>
    <row r="9" spans="1:8">
      <c r="A9" s="1025" t="s">
        <v>1737</v>
      </c>
      <c r="B9" s="1014">
        <f>'Sch.B-I.S'!J27</f>
        <v>877992.22898622823</v>
      </c>
      <c r="C9" s="1010"/>
      <c r="D9" s="1010"/>
      <c r="E9" s="1010"/>
      <c r="F9" s="1010"/>
      <c r="G9" s="1010"/>
    </row>
    <row r="10" spans="1:8">
      <c r="A10" s="1025" t="s">
        <v>1738</v>
      </c>
      <c r="B10" s="1015">
        <f>'Sch.B-I.S'!J39</f>
        <v>623526.40805033362</v>
      </c>
      <c r="C10" s="1010"/>
      <c r="D10" s="1010"/>
      <c r="E10" s="1010"/>
      <c r="F10" s="1010"/>
      <c r="G10" s="1010"/>
    </row>
    <row r="11" spans="1:8">
      <c r="A11" s="1010" t="s">
        <v>1739</v>
      </c>
      <c r="B11" s="1026">
        <f>'Sch.B-I.S'!J41</f>
        <v>281828.39030177274</v>
      </c>
      <c r="C11" s="1010"/>
      <c r="D11" s="1010"/>
      <c r="E11" s="1010"/>
      <c r="F11" s="1010"/>
      <c r="G11" s="1010"/>
    </row>
    <row r="12" spans="1:8">
      <c r="A12" s="1025" t="s">
        <v>1740</v>
      </c>
      <c r="B12" s="1026">
        <f>'Sch.B-I.S'!N47</f>
        <v>-4229.4045999999998</v>
      </c>
      <c r="C12" s="1010"/>
      <c r="D12" s="1010"/>
      <c r="E12" s="1010"/>
      <c r="F12" s="1010"/>
      <c r="G12" s="1010"/>
    </row>
    <row r="13" spans="1:8">
      <c r="A13" s="1010" t="s">
        <v>1747</v>
      </c>
      <c r="B13" s="1026">
        <f>'Sch.B-I.S'!J44</f>
        <v>-120708.3403681568</v>
      </c>
      <c r="C13" s="1010"/>
      <c r="D13" s="1010"/>
      <c r="E13" s="1010"/>
      <c r="F13" s="1010"/>
      <c r="G13" s="1010"/>
    </row>
    <row r="14" spans="1:8">
      <c r="A14" s="1010" t="s">
        <v>1741</v>
      </c>
      <c r="B14" s="1026">
        <f>'Linked TB'!E628-'Linked TB'!E626</f>
        <v>82391.7</v>
      </c>
      <c r="C14" s="1015"/>
      <c r="D14" s="1010"/>
      <c r="E14" s="1010"/>
      <c r="F14" s="1010"/>
      <c r="G14" s="1010"/>
    </row>
    <row r="15" spans="1:8">
      <c r="A15" s="1010" t="s">
        <v>1742</v>
      </c>
      <c r="B15" s="1026">
        <f>'Wp b - salary'!K80</f>
        <v>57751.081956604554</v>
      </c>
      <c r="C15" s="1010"/>
      <c r="D15" s="1010"/>
      <c r="E15" s="1010"/>
      <c r="F15" s="1010"/>
      <c r="G15" s="1010"/>
    </row>
    <row r="16" spans="1:8">
      <c r="A16" s="1010"/>
      <c r="B16" s="1016"/>
      <c r="C16" s="1010"/>
      <c r="D16" s="1010"/>
      <c r="E16" s="1010"/>
      <c r="F16" s="1010"/>
      <c r="G16" s="1010"/>
    </row>
    <row r="17" spans="1:9">
      <c r="A17" s="1010" t="s">
        <v>1743</v>
      </c>
      <c r="B17" s="1026">
        <f>SUM(B9:B16)</f>
        <v>1798552.0643267825</v>
      </c>
      <c r="C17" s="1010"/>
      <c r="D17" s="1027">
        <f>1-0.001583</f>
        <v>0.998417</v>
      </c>
      <c r="E17" s="1010"/>
      <c r="F17" s="1014">
        <f>ROUND(+B17/D17,0)</f>
        <v>1801404</v>
      </c>
      <c r="G17" s="1017"/>
    </row>
    <row r="18" spans="1:9">
      <c r="A18" s="1010"/>
      <c r="B18" s="1015"/>
      <c r="C18" s="1010"/>
      <c r="D18" s="1010"/>
      <c r="E18" s="1010"/>
      <c r="F18" s="1010"/>
      <c r="G18" s="1010"/>
    </row>
    <row r="19" spans="1:9">
      <c r="A19" s="1010"/>
      <c r="B19" s="1015"/>
      <c r="C19" s="1010"/>
      <c r="D19" s="1010"/>
      <c r="E19" s="1010"/>
      <c r="F19" s="1010"/>
      <c r="G19" s="1010"/>
    </row>
    <row r="20" spans="1:9">
      <c r="A20" s="1010" t="s">
        <v>1744</v>
      </c>
      <c r="B20" s="1015"/>
      <c r="C20" s="1010"/>
      <c r="D20" s="1010"/>
      <c r="E20" s="1010"/>
      <c r="F20" s="1010"/>
      <c r="G20" s="1010"/>
    </row>
    <row r="21" spans="1:9">
      <c r="A21" s="1010" t="s">
        <v>1745</v>
      </c>
      <c r="B21" s="1026">
        <f>'Sch.B-I.S'!J57</f>
        <v>171808.77043470205</v>
      </c>
      <c r="C21" s="1010"/>
      <c r="D21" s="1027">
        <f>+D17</f>
        <v>0.998417</v>
      </c>
      <c r="E21" s="1010"/>
      <c r="F21" s="1026">
        <f>ROUND(+B21/D21,0)</f>
        <v>172081</v>
      </c>
      <c r="G21" s="1015"/>
    </row>
    <row r="22" spans="1:9">
      <c r="A22" s="1010" t="s">
        <v>1746</v>
      </c>
      <c r="B22" s="1015"/>
      <c r="C22" s="1010"/>
      <c r="D22" s="1010"/>
      <c r="E22" s="1010"/>
      <c r="F22" s="1010"/>
      <c r="G22" s="1010"/>
    </row>
    <row r="23" spans="1:9">
      <c r="A23" s="1010" t="s">
        <v>1753</v>
      </c>
      <c r="B23" s="1015">
        <f>B30</f>
        <v>245257.09968092479</v>
      </c>
      <c r="C23" s="1010"/>
      <c r="D23" s="1027">
        <f>D21*(1-0.06)*(1-0.34)</f>
        <v>0.61941790679999986</v>
      </c>
      <c r="E23" s="1010"/>
      <c r="F23" s="1026">
        <f>ROUND(B23/D23,0)</f>
        <v>395948</v>
      </c>
      <c r="G23" s="1010"/>
    </row>
    <row r="24" spans="1:9">
      <c r="A24" s="1010"/>
      <c r="B24" s="1010"/>
      <c r="C24" s="1010"/>
      <c r="D24" s="1010"/>
      <c r="E24" s="1010"/>
      <c r="F24" s="1016"/>
      <c r="G24" s="1010"/>
    </row>
    <row r="25" spans="1:9" ht="16.5" thickBot="1">
      <c r="A25" s="1010" t="s">
        <v>1752</v>
      </c>
      <c r="B25" s="1010"/>
      <c r="C25" s="1010"/>
      <c r="D25" s="1010"/>
      <c r="E25" s="1010"/>
      <c r="F25" s="1018">
        <f>SUM(F17:F24)</f>
        <v>2369433</v>
      </c>
      <c r="G25" s="1010"/>
      <c r="I25" s="1028"/>
    </row>
    <row r="26" spans="1:9" ht="16.5" thickTop="1">
      <c r="A26" s="1010"/>
      <c r="B26" s="1010"/>
      <c r="C26" s="1010"/>
      <c r="D26" s="1010"/>
      <c r="E26" s="1010"/>
      <c r="F26" s="1029"/>
      <c r="G26" s="1010"/>
    </row>
    <row r="27" spans="1:9">
      <c r="A27" s="1010"/>
      <c r="B27" s="1010"/>
      <c r="C27" s="1010"/>
      <c r="D27" s="1010"/>
      <c r="E27" s="1010"/>
      <c r="F27" s="1010"/>
      <c r="G27" s="1018"/>
      <c r="H27" s="1010"/>
    </row>
    <row r="28" spans="1:9">
      <c r="A28" s="1010"/>
      <c r="B28" s="1010"/>
      <c r="C28" s="1010"/>
      <c r="D28" s="1010"/>
      <c r="E28" s="1010"/>
      <c r="F28" s="1010"/>
      <c r="G28" s="1015"/>
      <c r="H28" s="1010"/>
    </row>
    <row r="29" spans="1:9">
      <c r="A29" s="1019"/>
      <c r="B29" s="1019"/>
      <c r="C29" s="1019"/>
      <c r="D29" s="1030"/>
      <c r="E29" s="1030"/>
      <c r="F29" s="1030"/>
      <c r="G29" s="1030"/>
    </row>
    <row r="30" spans="1:9">
      <c r="A30" s="1010" t="s">
        <v>1748</v>
      </c>
      <c r="B30" s="1020">
        <f>B34/B36-B34</f>
        <v>245257.09968092479</v>
      </c>
      <c r="C30" s="1019"/>
      <c r="D30" s="1030"/>
      <c r="E30" s="1030"/>
      <c r="F30" s="1030"/>
      <c r="G30" s="1030"/>
    </row>
    <row r="32" spans="1:9">
      <c r="A32" s="1019"/>
      <c r="B32" s="1019"/>
      <c r="C32" s="1019"/>
      <c r="D32" s="1030"/>
      <c r="E32" s="1030"/>
      <c r="F32" s="1030"/>
      <c r="G32" s="1030"/>
    </row>
    <row r="33" spans="1:7">
      <c r="A33" s="1010" t="s">
        <v>1749</v>
      </c>
      <c r="B33" s="1019"/>
      <c r="C33" s="1019"/>
      <c r="D33" s="1030"/>
      <c r="E33" s="1030"/>
      <c r="F33" s="1030"/>
      <c r="G33" s="1030"/>
    </row>
    <row r="34" spans="1:7">
      <c r="A34" s="1010" t="s">
        <v>1750</v>
      </c>
      <c r="B34" s="1015">
        <f>B17</f>
        <v>1798552.0643267825</v>
      </c>
      <c r="C34" s="1019"/>
      <c r="D34" s="1030"/>
      <c r="E34" s="1030"/>
      <c r="F34" s="1030"/>
      <c r="G34" s="1030"/>
    </row>
    <row r="35" spans="1:7">
      <c r="A35" s="1019"/>
      <c r="B35" s="1031"/>
      <c r="C35" s="1470"/>
      <c r="D35" s="1030"/>
      <c r="E35" s="1030"/>
      <c r="F35" s="1030"/>
      <c r="G35" s="1030"/>
    </row>
    <row r="36" spans="1:7" ht="16.5" thickBot="1">
      <c r="A36" s="1010" t="s">
        <v>1751</v>
      </c>
      <c r="B36" s="1021">
        <v>0.88</v>
      </c>
      <c r="C36" s="1470"/>
      <c r="D36" s="1030"/>
      <c r="E36" s="1030"/>
      <c r="F36" s="1030"/>
      <c r="G36" s="1030"/>
    </row>
    <row r="37" spans="1:7" ht="16.5" thickTop="1">
      <c r="A37" s="1019"/>
      <c r="B37" s="1032"/>
      <c r="C37" s="1471"/>
      <c r="D37" s="1033"/>
      <c r="E37" s="1022"/>
      <c r="F37" s="1033"/>
      <c r="G37" s="1023"/>
    </row>
    <row r="38" spans="1:7">
      <c r="C38" s="1472" t="s">
        <v>822</v>
      </c>
      <c r="G38" s="1019"/>
    </row>
    <row r="39" spans="1:7">
      <c r="C39" s="1473"/>
      <c r="G39" s="1019"/>
    </row>
    <row r="40" spans="1:7">
      <c r="A40" s="1024" t="s">
        <v>1754</v>
      </c>
      <c r="C40" s="1474">
        <f>'wp.a-uncoll'!D17</f>
        <v>1.8075977978480404E-2</v>
      </c>
      <c r="G40" s="1019"/>
    </row>
    <row r="41" spans="1:7">
      <c r="C41" s="1473"/>
      <c r="G41" s="1019"/>
    </row>
    <row r="42" spans="1:7">
      <c r="A42" s="1024" t="s">
        <v>892</v>
      </c>
      <c r="C42" s="1474">
        <v>1</v>
      </c>
    </row>
    <row r="43" spans="1:7">
      <c r="A43" s="1024" t="s">
        <v>1755</v>
      </c>
      <c r="C43" s="1474">
        <f>C42*C40</f>
        <v>1.8075977978480404E-2</v>
      </c>
    </row>
    <row r="44" spans="1:7" ht="16.5" thickBot="1">
      <c r="A44" s="1024" t="s">
        <v>1756</v>
      </c>
      <c r="C44" s="1475">
        <f>+C42-C43</f>
        <v>0.98192402202151963</v>
      </c>
    </row>
    <row r="45" spans="1:7" ht="16.5" thickTop="1">
      <c r="C45" s="1473"/>
    </row>
    <row r="46" spans="1:7">
      <c r="A46" s="1024" t="s">
        <v>1757</v>
      </c>
      <c r="C46" s="1473">
        <f>F25</f>
        <v>2369433</v>
      </c>
    </row>
    <row r="47" spans="1:7">
      <c r="A47" s="1024" t="s">
        <v>1758</v>
      </c>
      <c r="C47" s="1473">
        <f>'Sch.B-I.S'!N10</f>
        <v>78994.850000000006</v>
      </c>
    </row>
    <row r="48" spans="1:7">
      <c r="A48" s="1024" t="s">
        <v>1759</v>
      </c>
      <c r="C48" s="1476">
        <f>+C46-C47</f>
        <v>2290438.15</v>
      </c>
    </row>
    <row r="49" spans="1:3">
      <c r="A49" s="1024" t="s">
        <v>286</v>
      </c>
      <c r="C49" s="1474">
        <f>+C44</f>
        <v>0.98192402202151963</v>
      </c>
    </row>
    <row r="50" spans="1:3" ht="16.5" thickBot="1">
      <c r="A50" s="1024" t="s">
        <v>1756</v>
      </c>
      <c r="C50" s="1477">
        <f>ROUND(C48/C49,0)</f>
        <v>2332602</v>
      </c>
    </row>
    <row r="51" spans="1:3" ht="16.5" thickTop="1"/>
  </sheetData>
  <pageMargins left="0.7" right="0.7" top="0.75" bottom="0.75" header="0.3" footer="0.3"/>
  <pageSetup scale="84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showGridLines="0" topLeftCell="H8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'16204'!R2</f>
        <v>First 1,000 gallons</v>
      </c>
      <c r="S2" s="518"/>
      <c r="T2" s="519" t="e">
        <f>'16204'!T2</f>
        <v>#REF!</v>
      </c>
    </row>
    <row r="3" spans="1:20">
      <c r="A3" s="513" t="s">
        <v>535</v>
      </c>
      <c r="M3" s="520" t="s">
        <v>522</v>
      </c>
      <c r="R3" s="519" t="str">
        <f>'16204'!R3</f>
        <v>Next 9,000 gallons</v>
      </c>
      <c r="S3" s="518"/>
      <c r="T3" s="519" t="e">
        <f>'16204'!T3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'16204'!R4</f>
        <v>Next 15,000 gallons</v>
      </c>
      <c r="S4" s="518"/>
      <c r="T4" s="519" t="e">
        <f>'16204'!T4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'16204'!R5</f>
        <v>Next 25,000 gallons</v>
      </c>
      <c r="S5" s="518"/>
      <c r="T5" s="519" t="e">
        <f>'16204'!T5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'16204'!R6</f>
        <v>Next 50,000 gallons</v>
      </c>
      <c r="S6" s="518"/>
      <c r="T6" s="519" t="e">
        <f>'16204'!T6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 t="str">
        <f>'16204'!R7</f>
        <v>Next 100,000 gallons</v>
      </c>
      <c r="S7" s="518"/>
      <c r="T7" s="519" t="e">
        <f>'16204'!T7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7" si="0">P10*1000</f>
        <v>0</v>
      </c>
      <c r="C10" s="532">
        <v>30</v>
      </c>
      <c r="D10" s="533"/>
      <c r="E10" s="533">
        <f>C10</f>
        <v>30</v>
      </c>
      <c r="F10" s="533"/>
      <c r="G10" s="533">
        <f t="shared" ref="G10:G27" si="1">A10*C10</f>
        <v>0</v>
      </c>
      <c r="H10" s="533"/>
      <c r="I10" s="533">
        <f>G10</f>
        <v>0</v>
      </c>
      <c r="J10" s="533"/>
      <c r="K10" s="533">
        <f t="shared" ref="K10:K27" si="2">$E$27-E10</f>
        <v>206</v>
      </c>
      <c r="L10" s="533"/>
      <c r="M10" s="533">
        <f t="shared" ref="M10:M27" si="3">(A10*K10)+I10</f>
        <v>0</v>
      </c>
      <c r="O10" s="534">
        <f t="shared" ref="O10:O27" si="4">I10/$I$27</f>
        <v>0</v>
      </c>
      <c r="P10" s="532">
        <v>0</v>
      </c>
      <c r="R10" s="535"/>
      <c r="S10" s="513"/>
      <c r="T10" s="536" t="e">
        <f t="shared" ref="T10:T27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50</v>
      </c>
      <c r="D11" s="533"/>
      <c r="E11" s="533">
        <f t="shared" ref="E11:E27" si="6">E10+C11</f>
        <v>80</v>
      </c>
      <c r="F11" s="533"/>
      <c r="G11" s="533">
        <f t="shared" si="1"/>
        <v>50000</v>
      </c>
      <c r="H11" s="533"/>
      <c r="I11" s="533">
        <f t="shared" ref="I11:I27" si="7">I10+G11</f>
        <v>50000</v>
      </c>
      <c r="J11" s="533"/>
      <c r="K11" s="533">
        <f t="shared" si="2"/>
        <v>156</v>
      </c>
      <c r="L11" s="533"/>
      <c r="M11" s="533">
        <f t="shared" si="3"/>
        <v>206000</v>
      </c>
      <c r="O11" s="534">
        <f t="shared" si="4"/>
        <v>6.0096153846153848E-2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39</v>
      </c>
      <c r="D12" s="533"/>
      <c r="E12" s="533">
        <f t="shared" si="6"/>
        <v>119</v>
      </c>
      <c r="F12" s="533"/>
      <c r="G12" s="533">
        <f t="shared" si="1"/>
        <v>78000</v>
      </c>
      <c r="H12" s="533"/>
      <c r="I12" s="533">
        <f t="shared" si="7"/>
        <v>128000</v>
      </c>
      <c r="J12" s="533"/>
      <c r="K12" s="533">
        <f t="shared" si="2"/>
        <v>117</v>
      </c>
      <c r="L12" s="533"/>
      <c r="M12" s="533">
        <f t="shared" si="3"/>
        <v>362000</v>
      </c>
      <c r="O12" s="534">
        <f t="shared" si="4"/>
        <v>0.15384615384615385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40</v>
      </c>
      <c r="D13" s="533"/>
      <c r="E13" s="533">
        <f t="shared" si="6"/>
        <v>159</v>
      </c>
      <c r="F13" s="533"/>
      <c r="G13" s="533">
        <f t="shared" si="1"/>
        <v>120000</v>
      </c>
      <c r="H13" s="533"/>
      <c r="I13" s="533">
        <f t="shared" si="7"/>
        <v>248000</v>
      </c>
      <c r="J13" s="533"/>
      <c r="K13" s="533">
        <f t="shared" si="2"/>
        <v>77</v>
      </c>
      <c r="L13" s="533"/>
      <c r="M13" s="533">
        <f t="shared" si="3"/>
        <v>479000</v>
      </c>
      <c r="N13" s="515"/>
      <c r="O13" s="534">
        <f t="shared" si="4"/>
        <v>0.29807692307692307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27</v>
      </c>
      <c r="D14" s="533"/>
      <c r="E14" s="533">
        <f t="shared" si="6"/>
        <v>186</v>
      </c>
      <c r="F14" s="533"/>
      <c r="G14" s="533">
        <f t="shared" si="1"/>
        <v>108000</v>
      </c>
      <c r="H14" s="533"/>
      <c r="I14" s="533">
        <f t="shared" si="7"/>
        <v>356000</v>
      </c>
      <c r="J14" s="533"/>
      <c r="K14" s="533">
        <f t="shared" si="2"/>
        <v>50</v>
      </c>
      <c r="L14" s="533"/>
      <c r="M14" s="533">
        <f t="shared" si="3"/>
        <v>556000</v>
      </c>
      <c r="N14" s="515"/>
      <c r="O14" s="534">
        <f t="shared" si="4"/>
        <v>0.42788461538461536</v>
      </c>
      <c r="P14" s="532">
        <v>4</v>
      </c>
      <c r="T14" s="536" t="e">
        <f t="shared" si="5"/>
        <v>#REF!</v>
      </c>
    </row>
    <row r="15" spans="1:20">
      <c r="A15" s="552">
        <f t="shared" si="0"/>
        <v>5000</v>
      </c>
      <c r="B15" s="515"/>
      <c r="C15" s="532">
        <v>7</v>
      </c>
      <c r="D15" s="533"/>
      <c r="E15" s="533">
        <f t="shared" si="6"/>
        <v>193</v>
      </c>
      <c r="F15" s="533"/>
      <c r="G15" s="533">
        <f t="shared" si="1"/>
        <v>35000</v>
      </c>
      <c r="H15" s="533"/>
      <c r="I15" s="533">
        <f t="shared" si="7"/>
        <v>391000</v>
      </c>
      <c r="J15" s="533"/>
      <c r="K15" s="533">
        <f t="shared" si="2"/>
        <v>43</v>
      </c>
      <c r="L15" s="533"/>
      <c r="M15" s="533">
        <f t="shared" si="3"/>
        <v>606000</v>
      </c>
      <c r="N15" s="515"/>
      <c r="O15" s="534">
        <f t="shared" si="4"/>
        <v>0.46995192307692307</v>
      </c>
      <c r="P15" s="532">
        <v>5</v>
      </c>
      <c r="T15" s="536" t="e">
        <f t="shared" si="5"/>
        <v>#REF!</v>
      </c>
    </row>
    <row r="16" spans="1:20">
      <c r="A16" s="531">
        <f t="shared" si="0"/>
        <v>6000</v>
      </c>
      <c r="B16" s="515"/>
      <c r="C16" s="532">
        <v>8</v>
      </c>
      <c r="D16" s="533"/>
      <c r="E16" s="533">
        <f t="shared" si="6"/>
        <v>201</v>
      </c>
      <c r="F16" s="533"/>
      <c r="G16" s="533">
        <f t="shared" si="1"/>
        <v>48000</v>
      </c>
      <c r="H16" s="533"/>
      <c r="I16" s="533">
        <f t="shared" si="7"/>
        <v>439000</v>
      </c>
      <c r="J16" s="533"/>
      <c r="K16" s="533">
        <f t="shared" si="2"/>
        <v>35</v>
      </c>
      <c r="L16" s="533"/>
      <c r="M16" s="533">
        <f t="shared" si="3"/>
        <v>649000</v>
      </c>
      <c r="N16" s="515"/>
      <c r="O16" s="534">
        <f t="shared" si="4"/>
        <v>0.52764423076923073</v>
      </c>
      <c r="P16" s="532">
        <v>6</v>
      </c>
      <c r="T16" s="536" t="e">
        <f t="shared" si="5"/>
        <v>#REF!</v>
      </c>
    </row>
    <row r="17" spans="1:20">
      <c r="A17" s="531">
        <f t="shared" si="0"/>
        <v>7000</v>
      </c>
      <c r="B17" s="515"/>
      <c r="C17" s="532">
        <v>8</v>
      </c>
      <c r="D17" s="533"/>
      <c r="E17" s="533">
        <f t="shared" si="6"/>
        <v>209</v>
      </c>
      <c r="F17" s="533"/>
      <c r="G17" s="533">
        <f t="shared" si="1"/>
        <v>56000</v>
      </c>
      <c r="H17" s="533"/>
      <c r="I17" s="533">
        <f t="shared" si="7"/>
        <v>495000</v>
      </c>
      <c r="J17" s="533"/>
      <c r="K17" s="533">
        <f t="shared" si="2"/>
        <v>27</v>
      </c>
      <c r="L17" s="533"/>
      <c r="M17" s="533">
        <f t="shared" si="3"/>
        <v>684000</v>
      </c>
      <c r="N17" s="515"/>
      <c r="O17" s="534">
        <f t="shared" si="4"/>
        <v>0.59495192307692313</v>
      </c>
      <c r="P17" s="532">
        <v>7</v>
      </c>
      <c r="T17" s="536" t="e">
        <f t="shared" si="5"/>
        <v>#REF!</v>
      </c>
    </row>
    <row r="18" spans="1:20">
      <c r="A18" s="531">
        <f t="shared" si="0"/>
        <v>8000</v>
      </c>
      <c r="B18" s="515"/>
      <c r="C18" s="532">
        <v>11</v>
      </c>
      <c r="D18" s="533"/>
      <c r="E18" s="533">
        <f t="shared" si="6"/>
        <v>220</v>
      </c>
      <c r="F18" s="533"/>
      <c r="G18" s="533">
        <f t="shared" si="1"/>
        <v>88000</v>
      </c>
      <c r="H18" s="533"/>
      <c r="I18" s="533">
        <f t="shared" si="7"/>
        <v>583000</v>
      </c>
      <c r="J18" s="533"/>
      <c r="K18" s="533">
        <f t="shared" si="2"/>
        <v>16</v>
      </c>
      <c r="L18" s="533"/>
      <c r="M18" s="533">
        <f t="shared" si="3"/>
        <v>711000</v>
      </c>
      <c r="N18" s="515"/>
      <c r="O18" s="534">
        <f t="shared" si="4"/>
        <v>0.70072115384615385</v>
      </c>
      <c r="P18" s="532">
        <v>8</v>
      </c>
      <c r="T18" s="536" t="e">
        <f t="shared" si="5"/>
        <v>#REF!</v>
      </c>
    </row>
    <row r="19" spans="1:20">
      <c r="A19" s="531">
        <f t="shared" si="0"/>
        <v>9000</v>
      </c>
      <c r="B19" s="515"/>
      <c r="C19" s="532">
        <v>4</v>
      </c>
      <c r="D19" s="533"/>
      <c r="E19" s="533">
        <f t="shared" si="6"/>
        <v>224</v>
      </c>
      <c r="F19" s="533"/>
      <c r="G19" s="533">
        <f t="shared" si="1"/>
        <v>36000</v>
      </c>
      <c r="H19" s="533"/>
      <c r="I19" s="533">
        <f t="shared" si="7"/>
        <v>619000</v>
      </c>
      <c r="J19" s="533"/>
      <c r="K19" s="533">
        <f t="shared" si="2"/>
        <v>12</v>
      </c>
      <c r="L19" s="533"/>
      <c r="M19" s="533">
        <f t="shared" si="3"/>
        <v>727000</v>
      </c>
      <c r="N19" s="515"/>
      <c r="O19" s="534">
        <f t="shared" si="4"/>
        <v>0.74399038461538458</v>
      </c>
      <c r="P19" s="532">
        <v>9</v>
      </c>
      <c r="T19" s="536" t="e">
        <f t="shared" si="5"/>
        <v>#REF!</v>
      </c>
    </row>
    <row r="20" spans="1:20">
      <c r="A20" s="531">
        <f t="shared" si="0"/>
        <v>10000</v>
      </c>
      <c r="B20" s="544"/>
      <c r="C20" s="532">
        <v>3</v>
      </c>
      <c r="D20" s="545"/>
      <c r="E20" s="533">
        <f t="shared" si="6"/>
        <v>227</v>
      </c>
      <c r="F20" s="533"/>
      <c r="G20" s="533">
        <f t="shared" si="1"/>
        <v>30000</v>
      </c>
      <c r="H20" s="533"/>
      <c r="I20" s="533">
        <f t="shared" si="7"/>
        <v>649000</v>
      </c>
      <c r="J20" s="545"/>
      <c r="K20" s="533">
        <f t="shared" si="2"/>
        <v>9</v>
      </c>
      <c r="L20" s="545"/>
      <c r="M20" s="533">
        <f t="shared" si="3"/>
        <v>739000</v>
      </c>
      <c r="O20" s="534">
        <f t="shared" si="4"/>
        <v>0.78004807692307687</v>
      </c>
      <c r="P20" s="532">
        <v>10</v>
      </c>
      <c r="T20" s="536" t="e">
        <f t="shared" si="5"/>
        <v>#REF!</v>
      </c>
    </row>
    <row r="21" spans="1:20">
      <c r="A21" s="531">
        <f t="shared" si="0"/>
        <v>11000</v>
      </c>
      <c r="C21" s="532">
        <v>2</v>
      </c>
      <c r="E21" s="533">
        <f t="shared" si="6"/>
        <v>229</v>
      </c>
      <c r="G21" s="513">
        <f t="shared" si="1"/>
        <v>22000</v>
      </c>
      <c r="I21" s="533">
        <f t="shared" si="7"/>
        <v>671000</v>
      </c>
      <c r="K21" s="533">
        <f t="shared" si="2"/>
        <v>7</v>
      </c>
      <c r="M21" s="533">
        <f t="shared" si="3"/>
        <v>748000</v>
      </c>
      <c r="O21" s="534">
        <f t="shared" si="4"/>
        <v>0.80649038461538458</v>
      </c>
      <c r="P21" s="532">
        <v>11</v>
      </c>
      <c r="T21" s="536" t="e">
        <f t="shared" si="5"/>
        <v>#REF!</v>
      </c>
    </row>
    <row r="22" spans="1:20">
      <c r="A22" s="531">
        <f t="shared" si="0"/>
        <v>12000</v>
      </c>
      <c r="C22" s="532">
        <v>1</v>
      </c>
      <c r="E22" s="533">
        <f t="shared" si="6"/>
        <v>230</v>
      </c>
      <c r="G22" s="513">
        <f t="shared" si="1"/>
        <v>12000</v>
      </c>
      <c r="I22" s="533">
        <f t="shared" si="7"/>
        <v>683000</v>
      </c>
      <c r="K22" s="533">
        <f t="shared" si="2"/>
        <v>6</v>
      </c>
      <c r="M22" s="533">
        <f t="shared" si="3"/>
        <v>755000</v>
      </c>
      <c r="O22" s="534">
        <f t="shared" si="4"/>
        <v>0.82091346153846156</v>
      </c>
      <c r="P22" s="532">
        <v>12</v>
      </c>
      <c r="T22" s="536" t="e">
        <f t="shared" si="5"/>
        <v>#REF!</v>
      </c>
    </row>
    <row r="23" spans="1:20">
      <c r="A23" s="531">
        <f t="shared" si="0"/>
        <v>15000</v>
      </c>
      <c r="C23" s="532">
        <v>2</v>
      </c>
      <c r="E23" s="533">
        <f t="shared" si="6"/>
        <v>232</v>
      </c>
      <c r="G23" s="513">
        <f t="shared" si="1"/>
        <v>30000</v>
      </c>
      <c r="I23" s="533">
        <f t="shared" si="7"/>
        <v>713000</v>
      </c>
      <c r="K23" s="533">
        <f t="shared" si="2"/>
        <v>4</v>
      </c>
      <c r="M23" s="533">
        <f t="shared" si="3"/>
        <v>773000</v>
      </c>
      <c r="O23" s="534">
        <f t="shared" si="4"/>
        <v>0.85697115384615385</v>
      </c>
      <c r="P23" s="532">
        <v>15</v>
      </c>
      <c r="T23" s="536" t="e">
        <f t="shared" si="5"/>
        <v>#REF!</v>
      </c>
    </row>
    <row r="24" spans="1:20">
      <c r="A24" s="531">
        <f t="shared" si="0"/>
        <v>24000</v>
      </c>
      <c r="C24" s="532">
        <v>1</v>
      </c>
      <c r="E24" s="533">
        <f t="shared" si="6"/>
        <v>233</v>
      </c>
      <c r="G24" s="513">
        <f t="shared" si="1"/>
        <v>24000</v>
      </c>
      <c r="I24" s="533">
        <f t="shared" si="7"/>
        <v>737000</v>
      </c>
      <c r="K24" s="533">
        <f t="shared" si="2"/>
        <v>3</v>
      </c>
      <c r="M24" s="533">
        <f t="shared" si="3"/>
        <v>809000</v>
      </c>
      <c r="O24" s="534">
        <f t="shared" si="4"/>
        <v>0.88581730769230771</v>
      </c>
      <c r="P24" s="532">
        <v>24</v>
      </c>
      <c r="T24" s="536" t="e">
        <f t="shared" si="5"/>
        <v>#REF!</v>
      </c>
    </row>
    <row r="25" spans="1:20">
      <c r="A25" s="531">
        <f t="shared" si="0"/>
        <v>27000</v>
      </c>
      <c r="C25" s="532">
        <v>1</v>
      </c>
      <c r="E25" s="533">
        <f t="shared" si="6"/>
        <v>234</v>
      </c>
      <c r="G25" s="513">
        <f t="shared" si="1"/>
        <v>27000</v>
      </c>
      <c r="I25" s="533">
        <f t="shared" si="7"/>
        <v>764000</v>
      </c>
      <c r="K25" s="533">
        <f t="shared" si="2"/>
        <v>2</v>
      </c>
      <c r="M25" s="533">
        <f t="shared" si="3"/>
        <v>818000</v>
      </c>
      <c r="O25" s="534">
        <f t="shared" si="4"/>
        <v>0.91826923076923073</v>
      </c>
      <c r="P25" s="532">
        <v>27</v>
      </c>
      <c r="T25" s="536" t="e">
        <f t="shared" si="5"/>
        <v>#REF!</v>
      </c>
    </row>
    <row r="26" spans="1:20">
      <c r="A26" s="531">
        <f t="shared" si="0"/>
        <v>32000</v>
      </c>
      <c r="C26" s="532">
        <v>1</v>
      </c>
      <c r="E26" s="533">
        <f t="shared" si="6"/>
        <v>235</v>
      </c>
      <c r="G26" s="513">
        <f t="shared" si="1"/>
        <v>32000</v>
      </c>
      <c r="I26" s="533">
        <f t="shared" si="7"/>
        <v>796000</v>
      </c>
      <c r="K26" s="533">
        <f t="shared" si="2"/>
        <v>1</v>
      </c>
      <c r="M26" s="533">
        <f t="shared" si="3"/>
        <v>828000</v>
      </c>
      <c r="O26" s="534">
        <f t="shared" si="4"/>
        <v>0.95673076923076927</v>
      </c>
      <c r="P26" s="532">
        <v>32</v>
      </c>
      <c r="T26" s="536" t="e">
        <f t="shared" si="5"/>
        <v>#REF!</v>
      </c>
    </row>
    <row r="27" spans="1:20">
      <c r="A27" s="531">
        <f t="shared" si="0"/>
        <v>36000</v>
      </c>
      <c r="C27" s="532">
        <v>1</v>
      </c>
      <c r="E27" s="533">
        <f t="shared" si="6"/>
        <v>236</v>
      </c>
      <c r="G27" s="513">
        <f t="shared" si="1"/>
        <v>36000</v>
      </c>
      <c r="I27" s="533">
        <f t="shared" si="7"/>
        <v>832000</v>
      </c>
      <c r="K27" s="533">
        <f t="shared" si="2"/>
        <v>0</v>
      </c>
      <c r="M27" s="533">
        <f t="shared" si="3"/>
        <v>832000</v>
      </c>
      <c r="O27" s="534">
        <f t="shared" si="4"/>
        <v>1</v>
      </c>
      <c r="P27" s="532">
        <v>36</v>
      </c>
      <c r="T27" s="536" t="e">
        <f t="shared" si="5"/>
        <v>#REF!</v>
      </c>
    </row>
    <row r="28" spans="1:20">
      <c r="A28" s="552"/>
      <c r="E28" s="533"/>
      <c r="I28" s="533"/>
      <c r="K28" s="533"/>
      <c r="M28" s="533"/>
      <c r="O28" s="534"/>
      <c r="T28" s="536"/>
    </row>
    <row r="30" spans="1:20">
      <c r="T30" s="539" t="e">
        <f>SUM(T10:T27)</f>
        <v>#REF!</v>
      </c>
    </row>
    <row r="31" spans="1:20" hidden="1">
      <c r="T31" s="513">
        <v>5387</v>
      </c>
    </row>
    <row r="32" spans="1:20" hidden="1">
      <c r="T32" s="540" t="e">
        <f>T30-T31</f>
        <v>#REF!</v>
      </c>
    </row>
    <row r="33" spans="20:20" hidden="1">
      <c r="T33" s="555" t="e">
        <f>T32/T30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"/>
  <sheetViews>
    <sheetView showGridLines="0" topLeftCell="M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93" t="str">
        <f>'16205'!R2</f>
        <v>First 1,000 gallons</v>
      </c>
      <c r="S2" s="518"/>
      <c r="T2" s="519" t="e">
        <f>'16204'!T2</f>
        <v>#REF!</v>
      </c>
    </row>
    <row r="3" spans="1:20">
      <c r="A3" s="513" t="s">
        <v>536</v>
      </c>
      <c r="M3" s="520" t="s">
        <v>522</v>
      </c>
      <c r="R3" s="593" t="str">
        <f>'16205'!R3</f>
        <v>Next 9,000 gallons</v>
      </c>
      <c r="S3" s="518"/>
      <c r="T3" s="519" t="e">
        <f>'16204'!T3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93" t="str">
        <f>'16205'!R4</f>
        <v>Next 15,000 gallons</v>
      </c>
      <c r="S4" s="518"/>
      <c r="T4" s="519" t="e">
        <f>'16204'!T4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93" t="str">
        <f>'16205'!R5</f>
        <v>Next 25,000 gallons</v>
      </c>
      <c r="S5" s="518"/>
      <c r="T5" s="519" t="e">
        <f>'16204'!T5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93" t="str">
        <f>'16205'!R6</f>
        <v>Next 50,000 gallons</v>
      </c>
      <c r="S6" s="518"/>
      <c r="T6" s="519" t="e">
        <f>'16204'!T6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93" t="str">
        <f>'16205'!R7</f>
        <v>Next 100,000 gallons</v>
      </c>
      <c r="S7" s="518"/>
      <c r="T7" s="519" t="e">
        <f>'16204'!T7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32">
        <v>11</v>
      </c>
      <c r="D10" s="533"/>
      <c r="E10" s="533">
        <f>C10</f>
        <v>11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$E$12-E10</f>
        <v>11</v>
      </c>
      <c r="L10" s="533"/>
      <c r="M10" s="533">
        <f>(A10*K10)+I10</f>
        <v>0</v>
      </c>
      <c r="O10" s="534">
        <f>I10/$I$12</f>
        <v>0</v>
      </c>
      <c r="P10" s="532">
        <v>0</v>
      </c>
      <c r="R10" s="535"/>
      <c r="S10" s="513"/>
      <c r="T10" s="536" t="e">
        <f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>P11*1000</f>
        <v>1000</v>
      </c>
      <c r="C11" s="532">
        <v>10</v>
      </c>
      <c r="D11" s="533"/>
      <c r="E11" s="533">
        <f>E10+C11</f>
        <v>21</v>
      </c>
      <c r="F11" s="533"/>
      <c r="G11" s="533">
        <f>A11*C11</f>
        <v>10000</v>
      </c>
      <c r="H11" s="533"/>
      <c r="I11" s="533">
        <f>I10+G11</f>
        <v>10000</v>
      </c>
      <c r="J11" s="533"/>
      <c r="K11" s="533">
        <f>$E$12-E11</f>
        <v>1</v>
      </c>
      <c r="L11" s="533"/>
      <c r="M11" s="533">
        <f>(A11*K11)+I11</f>
        <v>11000</v>
      </c>
      <c r="O11" s="534">
        <f>I11/$I$12</f>
        <v>0.83333333333333337</v>
      </c>
      <c r="P11" s="532">
        <v>1</v>
      </c>
      <c r="R11" s="535"/>
      <c r="S11" s="513"/>
      <c r="T11" s="536" t="e">
        <f>IF(A11&lt;1000,C11*$T$2,IF(A11=1000,C11*$T$2,IF(AND(A11&lt;11000,A11&gt;1000),(C11*$T$2)+((A11-1000)*C11/1000*$T$3),IF(AND(A11&gt;10000,A11&lt;26000),(C11*$T$2)+(9*$T$3*C11)+((A11-10000)/1000*$T$4*C11),IF(AND(A11&lt;51000,A11&gt;25000),(C11*$T$2)+(9*$T$3*C11)+(15*$T$4*C11)+((A11-25000)/1000*$T$5*C11),IF(AND(A11&lt;101000,A11&gt;50000),(C11*$T$2)+(9*$T$3*C11)+(15*$T$4*C11)+(25*$T$5*C11)+((A11-50000)/1000*$T$6*C11),IF(A11&gt;100000,(C11*$T$2)+(9*$T$3*C11)+(15*$T$4*C11)+(25*$T$5*C11)+(50*$T$6*C11)+((A11-100000)/1000*$T$7*C11))))))))</f>
        <v>#REF!</v>
      </c>
    </row>
    <row r="12" spans="1:20" s="515" customFormat="1">
      <c r="A12" s="552">
        <f>P12*1000</f>
        <v>2000</v>
      </c>
      <c r="C12" s="532">
        <v>1</v>
      </c>
      <c r="D12" s="533"/>
      <c r="E12" s="533">
        <f>E11+C12</f>
        <v>22</v>
      </c>
      <c r="F12" s="533"/>
      <c r="G12" s="533">
        <f>A12*C12</f>
        <v>2000</v>
      </c>
      <c r="H12" s="533"/>
      <c r="I12" s="533">
        <f>I11+G12</f>
        <v>12000</v>
      </c>
      <c r="J12" s="533"/>
      <c r="K12" s="533">
        <f>$E$12-E12</f>
        <v>0</v>
      </c>
      <c r="L12" s="533"/>
      <c r="M12" s="533">
        <f>(A12*K12)+I12</f>
        <v>12000</v>
      </c>
      <c r="O12" s="534">
        <f>I12/$I$12</f>
        <v>1</v>
      </c>
      <c r="P12" s="532">
        <v>2</v>
      </c>
      <c r="R12" s="513"/>
      <c r="S12" s="513"/>
      <c r="T12" s="536" t="e">
        <f>IF(A12&lt;1000,C12*$T$2,IF(A12=1000,C12*$T$2,IF(AND(A12&lt;11000,A12&gt;1000),(C12*$T$2)+((A12-1000)*C12/1000*$T$3),IF(AND(A12&gt;10000,A12&lt;26000),(C12*$T$2)+(9*$T$3*C12)+((A12-10000)/1000*$T$4*C12),IF(AND(A12&lt;51000,A12&gt;25000),(C12*$T$2)+(9*$T$3*C12)+(15*$T$4*C12)+((A12-25000)/1000*$T$5*C12),IF(AND(A12&lt;101000,A12&gt;50000),(C12*$T$2)+(9*$T$3*C12)+(15*$T$4*C12)+(25*$T$5*C12)+((A12-50000)/1000*$T$6*C12),IF(A12&gt;100000,(C12*$T$2)+(9*$T$3*C12)+(15*$T$4*C12)+(25*$T$5*C12)+(50*$T$6*C12)+((A12-100000)/1000*$T$7*C12))))))))</f>
        <v>#REF!</v>
      </c>
    </row>
    <row r="14" spans="1:20">
      <c r="T14" s="554" t="e">
        <f>SUM(T10:T12)</f>
        <v>#REF!</v>
      </c>
    </row>
    <row r="15" spans="1:20" hidden="1">
      <c r="T15" s="536">
        <v>210</v>
      </c>
    </row>
    <row r="16" spans="1:20" hidden="1">
      <c r="T16" s="536" t="e">
        <f>T14-T15</f>
        <v>#REF!</v>
      </c>
    </row>
    <row r="17" spans="20:20" hidden="1">
      <c r="T17" s="536" t="e">
        <f>T16/T14</f>
        <v>#REF!</v>
      </c>
    </row>
    <row r="18" spans="20:20">
      <c r="T18" s="536"/>
    </row>
    <row r="19" spans="20:20">
      <c r="T19" s="536"/>
    </row>
    <row r="20" spans="20:20">
      <c r="T20" s="536"/>
    </row>
    <row r="21" spans="20:20">
      <c r="T21" s="536"/>
    </row>
    <row r="22" spans="20:20">
      <c r="T22" s="536"/>
    </row>
    <row r="23" spans="20:20">
      <c r="T23" s="536"/>
    </row>
    <row r="24" spans="20:20">
      <c r="T24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2"/>
  <sheetViews>
    <sheetView showGridLines="0" topLeftCell="H7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972</v>
      </c>
      <c r="S2" s="518"/>
      <c r="T2" s="594" t="e">
        <f>'Sch.D&amp;E-REV'!K771</f>
        <v>#REF!</v>
      </c>
    </row>
    <row r="3" spans="1:20">
      <c r="A3" s="513" t="s">
        <v>536</v>
      </c>
      <c r="M3" s="520" t="s">
        <v>523</v>
      </c>
      <c r="R3" s="518" t="s">
        <v>537</v>
      </c>
      <c r="S3" s="518"/>
      <c r="T3" s="595" t="e">
        <f>'Sch.D&amp;E-REV'!D765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862</v>
      </c>
      <c r="S4" s="518"/>
      <c r="T4" s="595" t="e">
        <f>'Sch.D&amp;E-REV'!D766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863</v>
      </c>
      <c r="S5" s="518"/>
      <c r="T5" s="595" t="e">
        <f>'Sch.D&amp;E-REV'!D767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864</v>
      </c>
      <c r="S6" s="518"/>
      <c r="T6" s="595" t="e">
        <f>'Sch.D&amp;E-REV'!D768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876</v>
      </c>
      <c r="S7" s="518"/>
      <c r="T7" s="595" t="e">
        <f>'Sch.D&amp;E-REV'!D769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25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5" si="1">A10*C10</f>
        <v>0</v>
      </c>
      <c r="H10" s="533"/>
      <c r="I10" s="533">
        <f>G10</f>
        <v>0</v>
      </c>
      <c r="J10" s="533"/>
      <c r="K10" s="533">
        <f t="shared" ref="K10:K25" si="2">$E$25-E10</f>
        <v>33</v>
      </c>
      <c r="L10" s="533"/>
      <c r="M10" s="533">
        <f t="shared" ref="M10:M25" si="3">(A10*K10)+I10</f>
        <v>0</v>
      </c>
      <c r="O10" s="534">
        <f t="shared" ref="O10:O25" si="4">I10/$I$25</f>
        <v>0</v>
      </c>
      <c r="P10" s="532">
        <v>0</v>
      </c>
      <c r="T10" s="536" t="e">
        <f t="shared" ref="T10:T25" si="5">IF(A10&lt;5300,C10*$T$2,IF(A10=5300,C10*$T$2,IF(AND(A10&lt;11000,A10&gt;5300),(C10*$T$2)+((A10-5300)*C10/1000*$T$3),IF(AND(A10&gt;10000,A10&lt;26000),(C10*$T$2)+(4.7*$T$3*C10)+((A10-10000)/1000*$T$4*C10),IF(AND(A10&lt;51000,A10&gt;25000),(C10*$T$2)+(4.7*$T$3*C10)+(15*$T$4*C10)+((A10-25000)/1000*$T$5*C10),IF(AND(A10&lt;101000,A10&gt;50000),(C10*$T$2)+(4.7*$T$3*C10)+(15*$T$4*C10)+(25*$T$5*C10)+((A10-50000)/1000*$T$6*C10),IF(A10&gt;100000,(C10*$T$2)+(4.7*$T$3*C10)+(15*$T$4*C10)+(25*$T$5*C10)+(50*$T$6*C10)+((A10-100000)/1000*$T$7*C10))))))))</f>
        <v>#REF!</v>
      </c>
    </row>
    <row r="11" spans="1:20" s="515" customFormat="1">
      <c r="A11" s="552">
        <f t="shared" si="0"/>
        <v>2000</v>
      </c>
      <c r="C11" s="532">
        <v>5</v>
      </c>
      <c r="D11" s="533"/>
      <c r="E11" s="533">
        <f t="shared" ref="E11:E25" si="6">E10+C11</f>
        <v>5</v>
      </c>
      <c r="F11" s="533"/>
      <c r="G11" s="533">
        <f t="shared" si="1"/>
        <v>10000</v>
      </c>
      <c r="H11" s="533"/>
      <c r="I11" s="533">
        <f t="shared" ref="I11:I25" si="7">I10+G11</f>
        <v>10000</v>
      </c>
      <c r="J11" s="533"/>
      <c r="K11" s="533">
        <f t="shared" si="2"/>
        <v>28</v>
      </c>
      <c r="L11" s="533"/>
      <c r="M11" s="533">
        <f t="shared" si="3"/>
        <v>66000</v>
      </c>
      <c r="O11" s="534">
        <f t="shared" si="4"/>
        <v>2.865329512893983E-2</v>
      </c>
      <c r="P11" s="532">
        <v>2</v>
      </c>
      <c r="T11" s="536" t="e">
        <f t="shared" si="5"/>
        <v>#REF!</v>
      </c>
    </row>
    <row r="12" spans="1:20" s="515" customFormat="1">
      <c r="A12" s="552">
        <f t="shared" si="0"/>
        <v>3000</v>
      </c>
      <c r="C12" s="532">
        <v>4</v>
      </c>
      <c r="D12" s="533"/>
      <c r="E12" s="533">
        <f t="shared" si="6"/>
        <v>9</v>
      </c>
      <c r="F12" s="533"/>
      <c r="G12" s="533">
        <f t="shared" si="1"/>
        <v>12000</v>
      </c>
      <c r="H12" s="533"/>
      <c r="I12" s="533">
        <f t="shared" si="7"/>
        <v>22000</v>
      </c>
      <c r="J12" s="533"/>
      <c r="K12" s="533">
        <f t="shared" si="2"/>
        <v>24</v>
      </c>
      <c r="L12" s="533"/>
      <c r="M12" s="533">
        <f t="shared" si="3"/>
        <v>94000</v>
      </c>
      <c r="O12" s="534">
        <f t="shared" si="4"/>
        <v>6.3037249283667621E-2</v>
      </c>
      <c r="P12" s="532">
        <v>3</v>
      </c>
      <c r="T12" s="536" t="e">
        <f t="shared" si="5"/>
        <v>#REF!</v>
      </c>
    </row>
    <row r="13" spans="1:20">
      <c r="A13" s="552">
        <f t="shared" si="0"/>
        <v>4000</v>
      </c>
      <c r="C13" s="532">
        <v>4</v>
      </c>
      <c r="E13" s="533">
        <f t="shared" si="6"/>
        <v>13</v>
      </c>
      <c r="G13" s="533">
        <f t="shared" si="1"/>
        <v>16000</v>
      </c>
      <c r="I13" s="533">
        <f t="shared" si="7"/>
        <v>38000</v>
      </c>
      <c r="K13" s="533">
        <f t="shared" si="2"/>
        <v>20</v>
      </c>
      <c r="M13" s="533">
        <f t="shared" si="3"/>
        <v>118000</v>
      </c>
      <c r="O13" s="534">
        <f t="shared" si="4"/>
        <v>0.10888252148997135</v>
      </c>
      <c r="P13" s="532">
        <v>4</v>
      </c>
      <c r="T13" s="536" t="e">
        <f t="shared" si="5"/>
        <v>#REF!</v>
      </c>
    </row>
    <row r="14" spans="1:20">
      <c r="A14" s="552">
        <f t="shared" si="0"/>
        <v>6000</v>
      </c>
      <c r="C14" s="532">
        <v>2</v>
      </c>
      <c r="E14" s="533">
        <f t="shared" si="6"/>
        <v>15</v>
      </c>
      <c r="G14" s="533">
        <f t="shared" si="1"/>
        <v>12000</v>
      </c>
      <c r="I14" s="533">
        <f t="shared" si="7"/>
        <v>50000</v>
      </c>
      <c r="K14" s="533">
        <f t="shared" si="2"/>
        <v>18</v>
      </c>
      <c r="M14" s="533">
        <f t="shared" si="3"/>
        <v>158000</v>
      </c>
      <c r="O14" s="534">
        <f t="shared" si="4"/>
        <v>0.14326647564469913</v>
      </c>
      <c r="P14" s="532">
        <v>6</v>
      </c>
      <c r="T14" s="536" t="e">
        <f t="shared" si="5"/>
        <v>#REF!</v>
      </c>
    </row>
    <row r="15" spans="1:20">
      <c r="A15" s="552">
        <f t="shared" si="0"/>
        <v>7000</v>
      </c>
      <c r="C15" s="532">
        <v>1</v>
      </c>
      <c r="E15" s="533">
        <f t="shared" si="6"/>
        <v>16</v>
      </c>
      <c r="G15" s="533">
        <f t="shared" si="1"/>
        <v>7000</v>
      </c>
      <c r="I15" s="533">
        <f t="shared" si="7"/>
        <v>57000</v>
      </c>
      <c r="K15" s="533">
        <f t="shared" si="2"/>
        <v>17</v>
      </c>
      <c r="M15" s="533">
        <f t="shared" si="3"/>
        <v>176000</v>
      </c>
      <c r="O15" s="534">
        <f t="shared" si="4"/>
        <v>0.16332378223495703</v>
      </c>
      <c r="P15" s="532">
        <v>7</v>
      </c>
      <c r="T15" s="536" t="e">
        <f t="shared" si="5"/>
        <v>#REF!</v>
      </c>
    </row>
    <row r="16" spans="1:20">
      <c r="A16" s="552">
        <f t="shared" si="0"/>
        <v>9000</v>
      </c>
      <c r="C16" s="532">
        <v>1</v>
      </c>
      <c r="E16" s="533">
        <f t="shared" si="6"/>
        <v>17</v>
      </c>
      <c r="G16" s="533">
        <f t="shared" si="1"/>
        <v>9000</v>
      </c>
      <c r="I16" s="533">
        <f t="shared" si="7"/>
        <v>66000</v>
      </c>
      <c r="K16" s="533">
        <f t="shared" si="2"/>
        <v>16</v>
      </c>
      <c r="M16" s="533">
        <f t="shared" si="3"/>
        <v>210000</v>
      </c>
      <c r="O16" s="534">
        <f t="shared" si="4"/>
        <v>0.18911174785100288</v>
      </c>
      <c r="P16" s="532">
        <v>9</v>
      </c>
      <c r="T16" s="536" t="e">
        <f t="shared" si="5"/>
        <v>#REF!</v>
      </c>
    </row>
    <row r="17" spans="1:20">
      <c r="A17" s="552">
        <f t="shared" si="0"/>
        <v>12000</v>
      </c>
      <c r="C17" s="532">
        <v>1</v>
      </c>
      <c r="E17" s="533">
        <f t="shared" si="6"/>
        <v>18</v>
      </c>
      <c r="G17" s="533">
        <f t="shared" si="1"/>
        <v>12000</v>
      </c>
      <c r="I17" s="533">
        <f t="shared" si="7"/>
        <v>78000</v>
      </c>
      <c r="K17" s="533">
        <f t="shared" si="2"/>
        <v>15</v>
      </c>
      <c r="M17" s="533">
        <f t="shared" si="3"/>
        <v>258000</v>
      </c>
      <c r="O17" s="534">
        <f t="shared" si="4"/>
        <v>0.22349570200573066</v>
      </c>
      <c r="P17" s="532">
        <v>12</v>
      </c>
      <c r="T17" s="536" t="e">
        <f t="shared" si="5"/>
        <v>#REF!</v>
      </c>
    </row>
    <row r="18" spans="1:20">
      <c r="A18" s="552">
        <f t="shared" si="0"/>
        <v>15000</v>
      </c>
      <c r="C18" s="532">
        <v>1</v>
      </c>
      <c r="E18" s="533">
        <f t="shared" si="6"/>
        <v>19</v>
      </c>
      <c r="G18" s="533">
        <f t="shared" si="1"/>
        <v>15000</v>
      </c>
      <c r="I18" s="533">
        <f t="shared" si="7"/>
        <v>93000</v>
      </c>
      <c r="K18" s="533">
        <f t="shared" si="2"/>
        <v>14</v>
      </c>
      <c r="M18" s="533">
        <f t="shared" si="3"/>
        <v>303000</v>
      </c>
      <c r="O18" s="534">
        <f t="shared" si="4"/>
        <v>0.26647564469914042</v>
      </c>
      <c r="P18" s="532">
        <v>15</v>
      </c>
      <c r="T18" s="536" t="e">
        <f t="shared" si="5"/>
        <v>#REF!</v>
      </c>
    </row>
    <row r="19" spans="1:20">
      <c r="A19" s="552">
        <f t="shared" si="0"/>
        <v>16000</v>
      </c>
      <c r="C19" s="532">
        <v>4</v>
      </c>
      <c r="E19" s="533">
        <f t="shared" si="6"/>
        <v>23</v>
      </c>
      <c r="G19" s="533">
        <f t="shared" si="1"/>
        <v>64000</v>
      </c>
      <c r="I19" s="533">
        <f t="shared" si="7"/>
        <v>157000</v>
      </c>
      <c r="K19" s="533">
        <f t="shared" si="2"/>
        <v>10</v>
      </c>
      <c r="M19" s="533">
        <f t="shared" si="3"/>
        <v>317000</v>
      </c>
      <c r="O19" s="534">
        <f t="shared" si="4"/>
        <v>0.44985673352435529</v>
      </c>
      <c r="P19" s="532">
        <v>16</v>
      </c>
      <c r="T19" s="536" t="e">
        <f t="shared" si="5"/>
        <v>#REF!</v>
      </c>
    </row>
    <row r="20" spans="1:20">
      <c r="A20" s="552">
        <f t="shared" si="0"/>
        <v>17000</v>
      </c>
      <c r="C20" s="532">
        <v>3</v>
      </c>
      <c r="E20" s="533">
        <f t="shared" si="6"/>
        <v>26</v>
      </c>
      <c r="G20" s="533">
        <f t="shared" si="1"/>
        <v>51000</v>
      </c>
      <c r="I20" s="533">
        <f t="shared" si="7"/>
        <v>208000</v>
      </c>
      <c r="K20" s="533">
        <f t="shared" si="2"/>
        <v>7</v>
      </c>
      <c r="M20" s="533">
        <f t="shared" si="3"/>
        <v>327000</v>
      </c>
      <c r="O20" s="534">
        <f t="shared" si="4"/>
        <v>0.59598853868194845</v>
      </c>
      <c r="P20" s="532">
        <v>17</v>
      </c>
      <c r="T20" s="536" t="e">
        <f t="shared" si="5"/>
        <v>#REF!</v>
      </c>
    </row>
    <row r="21" spans="1:20">
      <c r="A21" s="552">
        <f t="shared" si="0"/>
        <v>18000</v>
      </c>
      <c r="C21" s="532">
        <v>1</v>
      </c>
      <c r="E21" s="533">
        <f t="shared" si="6"/>
        <v>27</v>
      </c>
      <c r="G21" s="533">
        <f t="shared" si="1"/>
        <v>18000</v>
      </c>
      <c r="I21" s="533">
        <f t="shared" si="7"/>
        <v>226000</v>
      </c>
      <c r="K21" s="533">
        <f t="shared" si="2"/>
        <v>6</v>
      </c>
      <c r="M21" s="533">
        <f t="shared" si="3"/>
        <v>334000</v>
      </c>
      <c r="O21" s="534">
        <f t="shared" si="4"/>
        <v>0.64756446991404015</v>
      </c>
      <c r="P21" s="532">
        <v>18</v>
      </c>
      <c r="T21" s="536" t="e">
        <f t="shared" si="5"/>
        <v>#REF!</v>
      </c>
    </row>
    <row r="22" spans="1:20">
      <c r="A22" s="552">
        <f t="shared" si="0"/>
        <v>19000</v>
      </c>
      <c r="C22" s="532">
        <v>3</v>
      </c>
      <c r="E22" s="533">
        <f t="shared" si="6"/>
        <v>30</v>
      </c>
      <c r="G22" s="533">
        <f t="shared" si="1"/>
        <v>57000</v>
      </c>
      <c r="I22" s="533">
        <f t="shared" si="7"/>
        <v>283000</v>
      </c>
      <c r="K22" s="533">
        <f t="shared" si="2"/>
        <v>3</v>
      </c>
      <c r="M22" s="533">
        <f t="shared" si="3"/>
        <v>340000</v>
      </c>
      <c r="O22" s="534">
        <f t="shared" si="4"/>
        <v>0.81088825214899718</v>
      </c>
      <c r="P22" s="532">
        <v>19</v>
      </c>
      <c r="T22" s="536" t="e">
        <f t="shared" si="5"/>
        <v>#REF!</v>
      </c>
    </row>
    <row r="23" spans="1:20">
      <c r="A23" s="552">
        <f t="shared" si="0"/>
        <v>20000</v>
      </c>
      <c r="C23" s="532">
        <v>1</v>
      </c>
      <c r="E23" s="533">
        <f t="shared" si="6"/>
        <v>31</v>
      </c>
      <c r="G23" s="533">
        <f t="shared" si="1"/>
        <v>20000</v>
      </c>
      <c r="I23" s="533">
        <f t="shared" si="7"/>
        <v>303000</v>
      </c>
      <c r="K23" s="533">
        <f t="shared" si="2"/>
        <v>2</v>
      </c>
      <c r="M23" s="533">
        <f t="shared" si="3"/>
        <v>343000</v>
      </c>
      <c r="O23" s="534">
        <f t="shared" si="4"/>
        <v>0.86819484240687683</v>
      </c>
      <c r="P23" s="532">
        <v>20</v>
      </c>
      <c r="T23" s="536" t="e">
        <f t="shared" si="5"/>
        <v>#REF!</v>
      </c>
    </row>
    <row r="24" spans="1:20">
      <c r="A24" s="552">
        <f t="shared" si="0"/>
        <v>21000</v>
      </c>
      <c r="C24" s="532">
        <v>1</v>
      </c>
      <c r="E24" s="533">
        <f t="shared" si="6"/>
        <v>32</v>
      </c>
      <c r="G24" s="533">
        <f t="shared" si="1"/>
        <v>21000</v>
      </c>
      <c r="I24" s="533">
        <f t="shared" si="7"/>
        <v>324000</v>
      </c>
      <c r="K24" s="533">
        <f t="shared" si="2"/>
        <v>1</v>
      </c>
      <c r="M24" s="533">
        <f t="shared" si="3"/>
        <v>345000</v>
      </c>
      <c r="O24" s="534">
        <f t="shared" si="4"/>
        <v>0.92836676217765046</v>
      </c>
      <c r="P24" s="532">
        <v>21</v>
      </c>
      <c r="T24" s="536" t="e">
        <f t="shared" si="5"/>
        <v>#REF!</v>
      </c>
    </row>
    <row r="25" spans="1:20">
      <c r="A25" s="552">
        <f t="shared" si="0"/>
        <v>25000</v>
      </c>
      <c r="C25" s="532">
        <v>1</v>
      </c>
      <c r="E25" s="533">
        <f t="shared" si="6"/>
        <v>33</v>
      </c>
      <c r="G25" s="533">
        <f t="shared" si="1"/>
        <v>25000</v>
      </c>
      <c r="I25" s="533">
        <f t="shared" si="7"/>
        <v>349000</v>
      </c>
      <c r="K25" s="533">
        <f t="shared" si="2"/>
        <v>0</v>
      </c>
      <c r="M25" s="533">
        <f t="shared" si="3"/>
        <v>349000</v>
      </c>
      <c r="O25" s="534">
        <f t="shared" si="4"/>
        <v>1</v>
      </c>
      <c r="P25" s="532">
        <v>25</v>
      </c>
      <c r="T25" s="536" t="e">
        <f t="shared" si="5"/>
        <v>#REF!</v>
      </c>
    </row>
    <row r="26" spans="1:20">
      <c r="A26" s="552"/>
      <c r="E26" s="533"/>
      <c r="G26" s="533"/>
      <c r="I26" s="533"/>
      <c r="K26" s="533"/>
      <c r="M26" s="533"/>
      <c r="O26" s="534"/>
      <c r="T26" s="536"/>
    </row>
    <row r="27" spans="1:20">
      <c r="A27" s="552"/>
      <c r="E27" s="533"/>
      <c r="G27" s="533"/>
      <c r="I27" s="533"/>
      <c r="K27" s="533"/>
      <c r="M27" s="533"/>
      <c r="O27" s="534"/>
      <c r="T27" s="536"/>
    </row>
    <row r="29" spans="1:20">
      <c r="T29" s="539" t="e">
        <f>SUM(T10:T25)</f>
        <v>#REF!</v>
      </c>
    </row>
    <row r="30" spans="1:20" hidden="1">
      <c r="T30" s="513">
        <v>2024</v>
      </c>
    </row>
    <row r="31" spans="1:20" hidden="1">
      <c r="T31" s="540" t="e">
        <f>T29-T30</f>
        <v>#REF!</v>
      </c>
    </row>
    <row r="32" spans="1:20" hidden="1">
      <c r="T32" s="555" t="e">
        <f>T31/T29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1"/>
  <sheetViews>
    <sheetView showGridLines="0" topLeftCell="H22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3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'16206'!R2</f>
        <v>First 1,000 gallons</v>
      </c>
      <c r="S2" s="518"/>
      <c r="T2" s="519" t="e">
        <f>'16206'!T2</f>
        <v>#REF!</v>
      </c>
    </row>
    <row r="3" spans="1:20">
      <c r="A3" s="513" t="s">
        <v>534</v>
      </c>
      <c r="M3" s="520" t="s">
        <v>538</v>
      </c>
      <c r="R3" s="519" t="str">
        <f>'16206'!R3</f>
        <v>Next 9,000 gallons</v>
      </c>
      <c r="S3" s="518"/>
      <c r="T3" s="519" t="e">
        <f>'16206'!T3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'16206'!R4</f>
        <v>Next 15,000 gallons</v>
      </c>
      <c r="S4" s="518"/>
      <c r="T4" s="519" t="e">
        <f>'16206'!T4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'16206'!R5</f>
        <v>Next 25,000 gallons</v>
      </c>
      <c r="S5" s="518"/>
      <c r="T5" s="519" t="e">
        <f>'16206'!T5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'16206'!R6</f>
        <v>Next 50,000 gallons</v>
      </c>
      <c r="S6" s="518"/>
      <c r="T6" s="519" t="e">
        <f>'16206'!T6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 t="str">
        <f>'16206'!R7</f>
        <v>Next 100,000 gallons</v>
      </c>
      <c r="S7" s="518"/>
      <c r="T7" s="519" t="e">
        <f>'16206'!T7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34" si="0">P10*1000</f>
        <v>0</v>
      </c>
      <c r="C10" s="532">
        <v>122</v>
      </c>
      <c r="D10" s="533"/>
      <c r="E10" s="533">
        <f>C10</f>
        <v>122</v>
      </c>
      <c r="F10" s="533"/>
      <c r="G10" s="533">
        <f t="shared" ref="G10:G34" si="1">A10*C10</f>
        <v>0</v>
      </c>
      <c r="H10" s="533"/>
      <c r="I10" s="533">
        <f>G10</f>
        <v>0</v>
      </c>
      <c r="J10" s="533"/>
      <c r="K10" s="533">
        <f t="shared" ref="K10:K34" si="2">$E$34-E10</f>
        <v>350</v>
      </c>
      <c r="L10" s="533"/>
      <c r="M10" s="533">
        <f t="shared" ref="M10:M34" si="3">(A10*K10)+I10</f>
        <v>0</v>
      </c>
      <c r="O10" s="534">
        <f t="shared" ref="O10:O34" si="4">I10/$I$34</f>
        <v>0</v>
      </c>
      <c r="P10" s="532">
        <v>0</v>
      </c>
      <c r="R10" s="535"/>
      <c r="S10" s="513"/>
      <c r="T10" s="536" t="e">
        <f t="shared" ref="T10:T34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150</v>
      </c>
      <c r="D11" s="533"/>
      <c r="E11" s="533">
        <f t="shared" ref="E11:E34" si="6">E10+C11</f>
        <v>272</v>
      </c>
      <c r="F11" s="533"/>
      <c r="G11" s="533">
        <f t="shared" si="1"/>
        <v>150000</v>
      </c>
      <c r="H11" s="533"/>
      <c r="I11" s="533">
        <f t="shared" ref="I11:I34" si="7">I10+G11</f>
        <v>150000</v>
      </c>
      <c r="J11" s="533"/>
      <c r="K11" s="533">
        <f t="shared" si="2"/>
        <v>200</v>
      </c>
      <c r="L11" s="533"/>
      <c r="M11" s="533">
        <f t="shared" si="3"/>
        <v>350000</v>
      </c>
      <c r="O11" s="534">
        <f t="shared" si="4"/>
        <v>0.10013351134846461</v>
      </c>
      <c r="P11" s="532">
        <v>1</v>
      </c>
      <c r="R11" s="535"/>
      <c r="S11" s="513"/>
      <c r="T11" s="536" t="e">
        <f t="shared" si="5"/>
        <v>#REF!</v>
      </c>
    </row>
    <row r="12" spans="1:20" s="515" customFormat="1">
      <c r="A12" s="552">
        <f t="shared" si="0"/>
        <v>2000</v>
      </c>
      <c r="C12" s="532">
        <v>45</v>
      </c>
      <c r="D12" s="533"/>
      <c r="E12" s="533">
        <f t="shared" si="6"/>
        <v>317</v>
      </c>
      <c r="F12" s="533"/>
      <c r="G12" s="533">
        <f t="shared" si="1"/>
        <v>90000</v>
      </c>
      <c r="H12" s="533"/>
      <c r="I12" s="533">
        <f t="shared" si="7"/>
        <v>240000</v>
      </c>
      <c r="J12" s="533"/>
      <c r="K12" s="533">
        <f t="shared" si="2"/>
        <v>155</v>
      </c>
      <c r="L12" s="533"/>
      <c r="M12" s="533">
        <f t="shared" si="3"/>
        <v>550000</v>
      </c>
      <c r="O12" s="534">
        <f t="shared" si="4"/>
        <v>0.1602136181575434</v>
      </c>
      <c r="P12" s="532">
        <v>2</v>
      </c>
      <c r="R12" s="513"/>
      <c r="S12" s="513"/>
      <c r="T12" s="536" t="e">
        <f t="shared" si="5"/>
        <v>#REF!</v>
      </c>
    </row>
    <row r="13" spans="1:20">
      <c r="A13" s="552">
        <f t="shared" si="0"/>
        <v>3000</v>
      </c>
      <c r="C13" s="532">
        <v>47</v>
      </c>
      <c r="E13" s="533">
        <f t="shared" si="6"/>
        <v>364</v>
      </c>
      <c r="G13" s="533">
        <f t="shared" si="1"/>
        <v>141000</v>
      </c>
      <c r="I13" s="533">
        <f t="shared" si="7"/>
        <v>381000</v>
      </c>
      <c r="K13" s="533">
        <f t="shared" si="2"/>
        <v>108</v>
      </c>
      <c r="M13" s="533">
        <f t="shared" si="3"/>
        <v>705000</v>
      </c>
      <c r="O13" s="534">
        <f t="shared" si="4"/>
        <v>0.25433911882510013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C14" s="532">
        <v>23</v>
      </c>
      <c r="E14" s="533">
        <f t="shared" si="6"/>
        <v>387</v>
      </c>
      <c r="G14" s="533">
        <f t="shared" si="1"/>
        <v>92000</v>
      </c>
      <c r="I14" s="533">
        <f t="shared" si="7"/>
        <v>473000</v>
      </c>
      <c r="K14" s="533">
        <f t="shared" si="2"/>
        <v>85</v>
      </c>
      <c r="M14" s="533">
        <f t="shared" si="3"/>
        <v>813000</v>
      </c>
      <c r="O14" s="534">
        <f t="shared" si="4"/>
        <v>0.31575433911882511</v>
      </c>
      <c r="P14" s="532">
        <v>4</v>
      </c>
      <c r="T14" s="536" t="e">
        <f t="shared" si="5"/>
        <v>#REF!</v>
      </c>
    </row>
    <row r="15" spans="1:20">
      <c r="A15" s="552">
        <f t="shared" si="0"/>
        <v>5000</v>
      </c>
      <c r="C15" s="532">
        <v>17</v>
      </c>
      <c r="E15" s="533">
        <f t="shared" si="6"/>
        <v>404</v>
      </c>
      <c r="G15" s="533">
        <f t="shared" si="1"/>
        <v>85000</v>
      </c>
      <c r="I15" s="533">
        <f t="shared" si="7"/>
        <v>558000</v>
      </c>
      <c r="K15" s="533">
        <f t="shared" si="2"/>
        <v>68</v>
      </c>
      <c r="M15" s="533">
        <f t="shared" si="3"/>
        <v>898000</v>
      </c>
      <c r="O15" s="534">
        <f t="shared" si="4"/>
        <v>0.37249666221628841</v>
      </c>
      <c r="P15" s="532">
        <v>5</v>
      </c>
      <c r="T15" s="536" t="e">
        <f t="shared" si="5"/>
        <v>#REF!</v>
      </c>
    </row>
    <row r="16" spans="1:20">
      <c r="A16" s="552">
        <f t="shared" si="0"/>
        <v>6000</v>
      </c>
      <c r="C16" s="532">
        <v>15</v>
      </c>
      <c r="E16" s="533">
        <f t="shared" si="6"/>
        <v>419</v>
      </c>
      <c r="G16" s="533">
        <f t="shared" si="1"/>
        <v>90000</v>
      </c>
      <c r="I16" s="533">
        <f t="shared" si="7"/>
        <v>648000</v>
      </c>
      <c r="K16" s="533">
        <f t="shared" si="2"/>
        <v>53</v>
      </c>
      <c r="M16" s="533">
        <f t="shared" si="3"/>
        <v>966000</v>
      </c>
      <c r="O16" s="534">
        <f t="shared" si="4"/>
        <v>0.43257676902536718</v>
      </c>
      <c r="P16" s="532">
        <v>6</v>
      </c>
      <c r="T16" s="536" t="e">
        <f t="shared" si="5"/>
        <v>#REF!</v>
      </c>
    </row>
    <row r="17" spans="1:20">
      <c r="A17" s="552">
        <f t="shared" si="0"/>
        <v>7000</v>
      </c>
      <c r="C17" s="532">
        <v>11</v>
      </c>
      <c r="E17" s="533">
        <f t="shared" si="6"/>
        <v>430</v>
      </c>
      <c r="G17" s="533">
        <f t="shared" si="1"/>
        <v>77000</v>
      </c>
      <c r="I17" s="533">
        <f t="shared" si="7"/>
        <v>725000</v>
      </c>
      <c r="K17" s="533">
        <f t="shared" si="2"/>
        <v>42</v>
      </c>
      <c r="M17" s="533">
        <f t="shared" si="3"/>
        <v>1019000</v>
      </c>
      <c r="O17" s="534">
        <f t="shared" si="4"/>
        <v>0.48397863818424564</v>
      </c>
      <c r="P17" s="532">
        <v>7</v>
      </c>
      <c r="T17" s="536" t="e">
        <f t="shared" si="5"/>
        <v>#REF!</v>
      </c>
    </row>
    <row r="18" spans="1:20">
      <c r="A18" s="552">
        <f t="shared" si="0"/>
        <v>8000</v>
      </c>
      <c r="C18" s="532">
        <v>10</v>
      </c>
      <c r="E18" s="533">
        <f t="shared" si="6"/>
        <v>440</v>
      </c>
      <c r="G18" s="533">
        <f t="shared" si="1"/>
        <v>80000</v>
      </c>
      <c r="I18" s="533">
        <f t="shared" si="7"/>
        <v>805000</v>
      </c>
      <c r="K18" s="533">
        <f t="shared" si="2"/>
        <v>32</v>
      </c>
      <c r="M18" s="533">
        <f t="shared" si="3"/>
        <v>1061000</v>
      </c>
      <c r="O18" s="534">
        <f t="shared" si="4"/>
        <v>0.53738317757009346</v>
      </c>
      <c r="P18" s="532">
        <v>8</v>
      </c>
      <c r="T18" s="536" t="e">
        <f t="shared" si="5"/>
        <v>#REF!</v>
      </c>
    </row>
    <row r="19" spans="1:20">
      <c r="A19" s="552">
        <f t="shared" si="0"/>
        <v>9000</v>
      </c>
      <c r="C19" s="532">
        <v>4</v>
      </c>
      <c r="E19" s="533">
        <f t="shared" si="6"/>
        <v>444</v>
      </c>
      <c r="G19" s="533">
        <f t="shared" si="1"/>
        <v>36000</v>
      </c>
      <c r="I19" s="533">
        <f t="shared" si="7"/>
        <v>841000</v>
      </c>
      <c r="K19" s="533">
        <f t="shared" si="2"/>
        <v>28</v>
      </c>
      <c r="M19" s="533">
        <f t="shared" si="3"/>
        <v>1093000</v>
      </c>
      <c r="O19" s="534">
        <f t="shared" si="4"/>
        <v>0.56141522029372493</v>
      </c>
      <c r="P19" s="532">
        <v>9</v>
      </c>
      <c r="T19" s="536" t="e">
        <f t="shared" si="5"/>
        <v>#REF!</v>
      </c>
    </row>
    <row r="20" spans="1:20">
      <c r="A20" s="552">
        <f t="shared" si="0"/>
        <v>10000</v>
      </c>
      <c r="C20" s="532">
        <v>3</v>
      </c>
      <c r="E20" s="533">
        <f t="shared" si="6"/>
        <v>447</v>
      </c>
      <c r="G20" s="533">
        <f t="shared" si="1"/>
        <v>30000</v>
      </c>
      <c r="I20" s="533">
        <f t="shared" si="7"/>
        <v>871000</v>
      </c>
      <c r="K20" s="533">
        <f t="shared" si="2"/>
        <v>25</v>
      </c>
      <c r="M20" s="533">
        <f t="shared" si="3"/>
        <v>1121000</v>
      </c>
      <c r="O20" s="534">
        <f t="shared" si="4"/>
        <v>0.58144192256341787</v>
      </c>
      <c r="P20" s="532">
        <v>10</v>
      </c>
      <c r="T20" s="536" t="e">
        <f t="shared" si="5"/>
        <v>#REF!</v>
      </c>
    </row>
    <row r="21" spans="1:20">
      <c r="A21" s="552">
        <f t="shared" si="0"/>
        <v>11000</v>
      </c>
      <c r="C21" s="532">
        <v>1</v>
      </c>
      <c r="E21" s="533">
        <f t="shared" si="6"/>
        <v>448</v>
      </c>
      <c r="G21" s="533">
        <f t="shared" si="1"/>
        <v>11000</v>
      </c>
      <c r="I21" s="533">
        <f t="shared" si="7"/>
        <v>882000</v>
      </c>
      <c r="K21" s="533">
        <f t="shared" si="2"/>
        <v>24</v>
      </c>
      <c r="M21" s="533">
        <f t="shared" si="3"/>
        <v>1146000</v>
      </c>
      <c r="O21" s="534">
        <f t="shared" si="4"/>
        <v>0.58878504672897192</v>
      </c>
      <c r="P21" s="532">
        <v>11</v>
      </c>
      <c r="T21" s="536" t="e">
        <f t="shared" si="5"/>
        <v>#REF!</v>
      </c>
    </row>
    <row r="22" spans="1:20">
      <c r="A22" s="552">
        <f t="shared" si="0"/>
        <v>12000</v>
      </c>
      <c r="C22" s="532">
        <v>2</v>
      </c>
      <c r="E22" s="533">
        <f t="shared" si="6"/>
        <v>450</v>
      </c>
      <c r="G22" s="513">
        <f t="shared" si="1"/>
        <v>24000</v>
      </c>
      <c r="I22" s="533">
        <f t="shared" si="7"/>
        <v>906000</v>
      </c>
      <c r="K22" s="533">
        <f t="shared" si="2"/>
        <v>22</v>
      </c>
      <c r="M22" s="533">
        <f t="shared" si="3"/>
        <v>1170000</v>
      </c>
      <c r="O22" s="534">
        <f t="shared" si="4"/>
        <v>0.60480640854472634</v>
      </c>
      <c r="P22" s="532">
        <v>12</v>
      </c>
      <c r="T22" s="536" t="e">
        <f t="shared" si="5"/>
        <v>#REF!</v>
      </c>
    </row>
    <row r="23" spans="1:20">
      <c r="A23" s="552">
        <f t="shared" si="0"/>
        <v>15000</v>
      </c>
      <c r="C23" s="532">
        <v>3</v>
      </c>
      <c r="E23" s="533">
        <f t="shared" si="6"/>
        <v>453</v>
      </c>
      <c r="G23" s="513">
        <f t="shared" si="1"/>
        <v>45000</v>
      </c>
      <c r="I23" s="533">
        <f t="shared" si="7"/>
        <v>951000</v>
      </c>
      <c r="K23" s="533">
        <f t="shared" si="2"/>
        <v>19</v>
      </c>
      <c r="M23" s="533">
        <f t="shared" si="3"/>
        <v>1236000</v>
      </c>
      <c r="O23" s="534">
        <f t="shared" si="4"/>
        <v>0.63484646194926564</v>
      </c>
      <c r="P23" s="532">
        <v>15</v>
      </c>
      <c r="T23" s="536" t="e">
        <f t="shared" si="5"/>
        <v>#REF!</v>
      </c>
    </row>
    <row r="24" spans="1:20">
      <c r="A24" s="552">
        <f t="shared" si="0"/>
        <v>16000</v>
      </c>
      <c r="C24" s="532">
        <v>1</v>
      </c>
      <c r="E24" s="533">
        <f t="shared" si="6"/>
        <v>454</v>
      </c>
      <c r="G24" s="513">
        <f t="shared" si="1"/>
        <v>16000</v>
      </c>
      <c r="I24" s="533">
        <f t="shared" si="7"/>
        <v>967000</v>
      </c>
      <c r="K24" s="533">
        <f t="shared" si="2"/>
        <v>18</v>
      </c>
      <c r="M24" s="533">
        <f t="shared" si="3"/>
        <v>1255000</v>
      </c>
      <c r="O24" s="534">
        <f t="shared" si="4"/>
        <v>0.64552736982643522</v>
      </c>
      <c r="P24" s="532">
        <v>16</v>
      </c>
      <c r="T24" s="536" t="e">
        <f t="shared" si="5"/>
        <v>#REF!</v>
      </c>
    </row>
    <row r="25" spans="1:20">
      <c r="A25" s="552">
        <f t="shared" si="0"/>
        <v>18000</v>
      </c>
      <c r="C25" s="532">
        <v>2</v>
      </c>
      <c r="E25" s="533">
        <f t="shared" si="6"/>
        <v>456</v>
      </c>
      <c r="G25" s="513">
        <f t="shared" si="1"/>
        <v>36000</v>
      </c>
      <c r="I25" s="533">
        <f t="shared" si="7"/>
        <v>1003000</v>
      </c>
      <c r="K25" s="533">
        <f t="shared" si="2"/>
        <v>16</v>
      </c>
      <c r="M25" s="533">
        <f t="shared" si="3"/>
        <v>1291000</v>
      </c>
      <c r="O25" s="534">
        <f t="shared" si="4"/>
        <v>0.66955941255006679</v>
      </c>
      <c r="P25" s="532">
        <v>18</v>
      </c>
      <c r="T25" s="536" t="e">
        <f t="shared" si="5"/>
        <v>#REF!</v>
      </c>
    </row>
    <row r="26" spans="1:20">
      <c r="A26" s="552">
        <f t="shared" si="0"/>
        <v>19000</v>
      </c>
      <c r="C26" s="532">
        <v>3</v>
      </c>
      <c r="E26" s="533">
        <f t="shared" si="6"/>
        <v>459</v>
      </c>
      <c r="G26" s="513">
        <f t="shared" si="1"/>
        <v>57000</v>
      </c>
      <c r="I26" s="533">
        <f t="shared" si="7"/>
        <v>1060000</v>
      </c>
      <c r="K26" s="533">
        <f t="shared" si="2"/>
        <v>13</v>
      </c>
      <c r="M26" s="533">
        <f t="shared" si="3"/>
        <v>1307000</v>
      </c>
      <c r="O26" s="534">
        <f t="shared" si="4"/>
        <v>0.70761014686248336</v>
      </c>
      <c r="P26" s="532">
        <v>19</v>
      </c>
      <c r="T26" s="536" t="e">
        <f t="shared" si="5"/>
        <v>#REF!</v>
      </c>
    </row>
    <row r="27" spans="1:20">
      <c r="A27" s="552">
        <f t="shared" si="0"/>
        <v>20000</v>
      </c>
      <c r="C27" s="532">
        <v>3</v>
      </c>
      <c r="E27" s="533">
        <f t="shared" si="6"/>
        <v>462</v>
      </c>
      <c r="G27" s="513">
        <f t="shared" si="1"/>
        <v>60000</v>
      </c>
      <c r="I27" s="533">
        <f t="shared" si="7"/>
        <v>1120000</v>
      </c>
      <c r="K27" s="533">
        <f t="shared" si="2"/>
        <v>10</v>
      </c>
      <c r="M27" s="533">
        <f t="shared" si="3"/>
        <v>1320000</v>
      </c>
      <c r="O27" s="534">
        <f t="shared" si="4"/>
        <v>0.74766355140186913</v>
      </c>
      <c r="P27" s="532">
        <v>20</v>
      </c>
      <c r="T27" s="536" t="e">
        <f t="shared" si="5"/>
        <v>#REF!</v>
      </c>
    </row>
    <row r="28" spans="1:20">
      <c r="A28" s="552">
        <f t="shared" si="0"/>
        <v>22000</v>
      </c>
      <c r="C28" s="532">
        <v>3</v>
      </c>
      <c r="E28" s="533">
        <f t="shared" si="6"/>
        <v>465</v>
      </c>
      <c r="G28" s="513">
        <f t="shared" si="1"/>
        <v>66000</v>
      </c>
      <c r="I28" s="533">
        <f t="shared" si="7"/>
        <v>1186000</v>
      </c>
      <c r="K28" s="533">
        <f t="shared" si="2"/>
        <v>7</v>
      </c>
      <c r="M28" s="533">
        <f t="shared" si="3"/>
        <v>1340000</v>
      </c>
      <c r="O28" s="534">
        <f t="shared" si="4"/>
        <v>0.79172229639519354</v>
      </c>
      <c r="P28" s="532">
        <v>22</v>
      </c>
      <c r="T28" s="536" t="e">
        <f t="shared" si="5"/>
        <v>#REF!</v>
      </c>
    </row>
    <row r="29" spans="1:20">
      <c r="A29" s="552">
        <f t="shared" si="0"/>
        <v>24000</v>
      </c>
      <c r="C29" s="532">
        <v>1</v>
      </c>
      <c r="E29" s="533">
        <f t="shared" si="6"/>
        <v>466</v>
      </c>
      <c r="G29" s="513">
        <f t="shared" si="1"/>
        <v>24000</v>
      </c>
      <c r="I29" s="533">
        <f t="shared" si="7"/>
        <v>1210000</v>
      </c>
      <c r="K29" s="533">
        <f t="shared" si="2"/>
        <v>6</v>
      </c>
      <c r="M29" s="533">
        <f t="shared" si="3"/>
        <v>1354000</v>
      </c>
      <c r="O29" s="534">
        <f t="shared" si="4"/>
        <v>0.80774365821094796</v>
      </c>
      <c r="P29" s="532">
        <v>24</v>
      </c>
      <c r="T29" s="536" t="e">
        <f t="shared" si="5"/>
        <v>#REF!</v>
      </c>
    </row>
    <row r="30" spans="1:20">
      <c r="A30" s="552">
        <f t="shared" si="0"/>
        <v>25000</v>
      </c>
      <c r="C30" s="532">
        <v>2</v>
      </c>
      <c r="E30" s="533">
        <f t="shared" si="6"/>
        <v>468</v>
      </c>
      <c r="G30" s="513">
        <f t="shared" si="1"/>
        <v>50000</v>
      </c>
      <c r="I30" s="533">
        <f t="shared" si="7"/>
        <v>1260000</v>
      </c>
      <c r="K30" s="533">
        <f t="shared" si="2"/>
        <v>4</v>
      </c>
      <c r="M30" s="533">
        <f t="shared" si="3"/>
        <v>1360000</v>
      </c>
      <c r="O30" s="534">
        <f t="shared" si="4"/>
        <v>0.84112149532710279</v>
      </c>
      <c r="P30" s="532">
        <v>25</v>
      </c>
      <c r="T30" s="536" t="e">
        <f t="shared" si="5"/>
        <v>#REF!</v>
      </c>
    </row>
    <row r="31" spans="1:20">
      <c r="A31" s="552">
        <f t="shared" si="0"/>
        <v>26000</v>
      </c>
      <c r="C31" s="532">
        <v>1</v>
      </c>
      <c r="E31" s="533">
        <f t="shared" si="6"/>
        <v>469</v>
      </c>
      <c r="G31" s="513">
        <f t="shared" si="1"/>
        <v>26000</v>
      </c>
      <c r="I31" s="533">
        <f t="shared" si="7"/>
        <v>1286000</v>
      </c>
      <c r="K31" s="533">
        <f t="shared" si="2"/>
        <v>3</v>
      </c>
      <c r="M31" s="533">
        <f t="shared" si="3"/>
        <v>1364000</v>
      </c>
      <c r="O31" s="534">
        <f t="shared" si="4"/>
        <v>0.85847797062750331</v>
      </c>
      <c r="P31" s="532">
        <v>26</v>
      </c>
      <c r="T31" s="536" t="e">
        <f t="shared" si="5"/>
        <v>#REF!</v>
      </c>
    </row>
    <row r="32" spans="1:20">
      <c r="A32" s="552">
        <f t="shared" si="0"/>
        <v>30000</v>
      </c>
      <c r="C32" s="532">
        <v>1</v>
      </c>
      <c r="E32" s="533">
        <f t="shared" si="6"/>
        <v>470</v>
      </c>
      <c r="G32" s="513">
        <f t="shared" si="1"/>
        <v>30000</v>
      </c>
      <c r="I32" s="533">
        <f t="shared" si="7"/>
        <v>1316000</v>
      </c>
      <c r="K32" s="533">
        <f t="shared" si="2"/>
        <v>2</v>
      </c>
      <c r="M32" s="533">
        <f t="shared" si="3"/>
        <v>1376000</v>
      </c>
      <c r="O32" s="534">
        <f t="shared" si="4"/>
        <v>0.87850467289719625</v>
      </c>
      <c r="P32" s="532">
        <v>30</v>
      </c>
      <c r="T32" s="536" t="e">
        <f t="shared" si="5"/>
        <v>#REF!</v>
      </c>
    </row>
    <row r="33" spans="1:20">
      <c r="A33" s="552">
        <f t="shared" si="0"/>
        <v>57000</v>
      </c>
      <c r="C33" s="532">
        <v>1</v>
      </c>
      <c r="E33" s="533">
        <f t="shared" si="6"/>
        <v>471</v>
      </c>
      <c r="G33" s="513">
        <f t="shared" si="1"/>
        <v>57000</v>
      </c>
      <c r="I33" s="533">
        <f t="shared" si="7"/>
        <v>1373000</v>
      </c>
      <c r="K33" s="533">
        <f t="shared" si="2"/>
        <v>1</v>
      </c>
      <c r="M33" s="533">
        <f t="shared" si="3"/>
        <v>1430000</v>
      </c>
      <c r="O33" s="534">
        <f t="shared" si="4"/>
        <v>0.91655540720961282</v>
      </c>
      <c r="P33" s="532">
        <v>57</v>
      </c>
      <c r="T33" s="536" t="e">
        <f t="shared" si="5"/>
        <v>#REF!</v>
      </c>
    </row>
    <row r="34" spans="1:20">
      <c r="A34" s="552">
        <f t="shared" si="0"/>
        <v>125000</v>
      </c>
      <c r="C34" s="532">
        <v>1</v>
      </c>
      <c r="E34" s="533">
        <f t="shared" si="6"/>
        <v>472</v>
      </c>
      <c r="G34" s="513">
        <f t="shared" si="1"/>
        <v>125000</v>
      </c>
      <c r="I34" s="533">
        <f t="shared" si="7"/>
        <v>1498000</v>
      </c>
      <c r="K34" s="533">
        <f t="shared" si="2"/>
        <v>0</v>
      </c>
      <c r="M34" s="533">
        <f t="shared" si="3"/>
        <v>1498000</v>
      </c>
      <c r="O34" s="534">
        <f t="shared" si="4"/>
        <v>1</v>
      </c>
      <c r="P34" s="532">
        <v>125</v>
      </c>
      <c r="T34" s="536" t="e">
        <f t="shared" si="5"/>
        <v>#REF!</v>
      </c>
    </row>
    <row r="35" spans="1:20">
      <c r="A35" s="552"/>
      <c r="E35" s="533"/>
      <c r="I35" s="533"/>
      <c r="K35" s="533"/>
      <c r="M35" s="533"/>
      <c r="O35" s="534"/>
      <c r="T35" s="536"/>
    </row>
    <row r="36" spans="1:20">
      <c r="A36" s="552"/>
      <c r="E36" s="533"/>
      <c r="I36" s="533"/>
      <c r="K36" s="533"/>
      <c r="M36" s="533"/>
      <c r="O36" s="534"/>
      <c r="T36" s="536"/>
    </row>
    <row r="37" spans="1:20">
      <c r="A37" s="552"/>
      <c r="E37" s="533"/>
      <c r="I37" s="533"/>
      <c r="K37" s="533"/>
      <c r="M37" s="533"/>
      <c r="O37" s="534"/>
      <c r="T37" s="536"/>
    </row>
    <row r="39" spans="1:20">
      <c r="T39" s="539" t="e">
        <f>SUM(T10:T34)</f>
        <v>#REF!</v>
      </c>
    </row>
    <row r="40" spans="1:20" hidden="1">
      <c r="T40" s="513">
        <v>10177</v>
      </c>
    </row>
    <row r="41" spans="1:20" hidden="1">
      <c r="T41" s="540" t="e">
        <f>T39-T40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"/>
  <sheetViews>
    <sheetView showGridLines="0" topLeftCell="L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'16208'!R2</f>
        <v>First 5,300</v>
      </c>
      <c r="S2" s="518"/>
      <c r="T2" s="519" t="e">
        <f>'16208'!T2</f>
        <v>#REF!</v>
      </c>
    </row>
    <row r="3" spans="1:20">
      <c r="A3" s="513" t="s">
        <v>539</v>
      </c>
      <c r="M3" s="520" t="s">
        <v>523</v>
      </c>
      <c r="R3" s="519" t="str">
        <f>'16208'!R3</f>
        <v>Next 4,700</v>
      </c>
      <c r="S3" s="518"/>
      <c r="T3" s="519" t="e">
        <f>'16208'!T3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'16208'!R4</f>
        <v>Next 15,000</v>
      </c>
      <c r="S4" s="518"/>
      <c r="T4" s="519" t="e">
        <f>'16208'!T4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'16208'!R5</f>
        <v>Next 25,000</v>
      </c>
      <c r="S5" s="518"/>
      <c r="T5" s="519" t="e">
        <f>'16208'!T5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'16208'!R6</f>
        <v>Next 50,000</v>
      </c>
      <c r="S6" s="518"/>
      <c r="T6" s="519" t="e">
        <f>'16208'!T6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 t="str">
        <f>'16208'!R7</f>
        <v>Over 100,000</v>
      </c>
      <c r="S7" s="518"/>
      <c r="T7" s="519" t="e">
        <f>'16208'!T7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16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6" si="1">A10*C10</f>
        <v>0</v>
      </c>
      <c r="H10" s="533"/>
      <c r="I10" s="533">
        <f>G10</f>
        <v>0</v>
      </c>
      <c r="J10" s="533"/>
      <c r="K10" s="533">
        <f t="shared" ref="K10:K16" si="2">$E$16-E10</f>
        <v>6</v>
      </c>
      <c r="L10" s="533"/>
      <c r="M10" s="533">
        <f t="shared" ref="M10:M16" si="3">(A10*K10)+I10</f>
        <v>0</v>
      </c>
      <c r="O10" s="534">
        <f t="shared" ref="O10:O16" si="4">I10/$I$16</f>
        <v>0</v>
      </c>
      <c r="P10" s="532">
        <v>0</v>
      </c>
      <c r="T10" s="536" t="e">
        <f t="shared" ref="T10:T16" si="5">IF(A10&lt;5300,C10*$T$2,IF(A10=5300,C10*$T$2,IF(AND(A10&lt;11000,A10&gt;5300),(C10*$T$2)+((A10-5300)*C10/1000*$T$3),IF(AND(A10&gt;10000,A10&lt;26000),(C10*$T$2)+(4.7*$T$3*C10)+((A10-10000)/1000*$T$4*C10),IF(AND(A10&lt;51000,A10&gt;25000),(C10*$T$2)+(4.7*$T$3*C10)+(15*$T$4*C10)+((A10-25000)/1000*$T$5*C10),IF(AND(A10&lt;101000,A10&gt;50000),(C10*$T$2)+(4.7*$T$3*C10)+(15*$T$4*C10)+(25*$T$5*C10)+((A10-50000)/1000*$T$6*C10),IF(A10&gt;100000,(C10*$T$2)+(4.7*$T$3*C10)+(15*$T$4*C10)+(25*$T$5*C10)+(50*$T$6*C10)+((A10-100000)/1000*$T$7*C10))))))))</f>
        <v>#REF!</v>
      </c>
    </row>
    <row r="11" spans="1:20" s="515" customFormat="1">
      <c r="A11" s="552">
        <f t="shared" si="0"/>
        <v>11000</v>
      </c>
      <c r="C11" s="532">
        <v>1</v>
      </c>
      <c r="D11" s="533"/>
      <c r="E11" s="533">
        <f t="shared" ref="E11:E16" si="6">E10+C11</f>
        <v>1</v>
      </c>
      <c r="F11" s="533"/>
      <c r="G11" s="533">
        <f t="shared" si="1"/>
        <v>11000</v>
      </c>
      <c r="H11" s="533"/>
      <c r="I11" s="533">
        <f t="shared" ref="I11:I16" si="7">I10+G11</f>
        <v>11000</v>
      </c>
      <c r="J11" s="533"/>
      <c r="K11" s="533">
        <f t="shared" si="2"/>
        <v>5</v>
      </c>
      <c r="L11" s="533"/>
      <c r="M11" s="533">
        <f t="shared" si="3"/>
        <v>66000</v>
      </c>
      <c r="O11" s="534">
        <f t="shared" si="4"/>
        <v>5.7894736842105263E-2</v>
      </c>
      <c r="P11" s="532">
        <v>11</v>
      </c>
      <c r="T11" s="536" t="e">
        <f t="shared" si="5"/>
        <v>#REF!</v>
      </c>
    </row>
    <row r="12" spans="1:20" s="515" customFormat="1">
      <c r="A12" s="552">
        <f t="shared" si="0"/>
        <v>17000</v>
      </c>
      <c r="C12" s="532">
        <v>1</v>
      </c>
      <c r="D12" s="533"/>
      <c r="E12" s="533">
        <f t="shared" si="6"/>
        <v>2</v>
      </c>
      <c r="F12" s="533"/>
      <c r="G12" s="533">
        <f t="shared" si="1"/>
        <v>17000</v>
      </c>
      <c r="H12" s="533"/>
      <c r="I12" s="533">
        <f t="shared" si="7"/>
        <v>28000</v>
      </c>
      <c r="J12" s="533"/>
      <c r="K12" s="533">
        <f t="shared" si="2"/>
        <v>4</v>
      </c>
      <c r="L12" s="533"/>
      <c r="M12" s="533">
        <f t="shared" si="3"/>
        <v>96000</v>
      </c>
      <c r="O12" s="534">
        <f t="shared" si="4"/>
        <v>0.14736842105263157</v>
      </c>
      <c r="P12" s="532">
        <v>17</v>
      </c>
      <c r="T12" s="536" t="e">
        <f t="shared" si="5"/>
        <v>#REF!</v>
      </c>
    </row>
    <row r="13" spans="1:20">
      <c r="A13" s="552">
        <f t="shared" si="0"/>
        <v>26000</v>
      </c>
      <c r="C13" s="532">
        <v>1</v>
      </c>
      <c r="E13" s="533">
        <f t="shared" si="6"/>
        <v>3</v>
      </c>
      <c r="G13" s="533">
        <f t="shared" si="1"/>
        <v>26000</v>
      </c>
      <c r="I13" s="533">
        <f t="shared" si="7"/>
        <v>54000</v>
      </c>
      <c r="K13" s="533">
        <f t="shared" si="2"/>
        <v>3</v>
      </c>
      <c r="M13" s="533">
        <f t="shared" si="3"/>
        <v>132000</v>
      </c>
      <c r="O13" s="534">
        <f t="shared" si="4"/>
        <v>0.28421052631578947</v>
      </c>
      <c r="P13" s="532">
        <v>26</v>
      </c>
      <c r="T13" s="536" t="e">
        <f t="shared" si="5"/>
        <v>#REF!</v>
      </c>
    </row>
    <row r="14" spans="1:20">
      <c r="A14" s="552">
        <f t="shared" si="0"/>
        <v>37000</v>
      </c>
      <c r="C14" s="532">
        <v>1</v>
      </c>
      <c r="E14" s="533">
        <f t="shared" si="6"/>
        <v>4</v>
      </c>
      <c r="G14" s="533">
        <f t="shared" si="1"/>
        <v>37000</v>
      </c>
      <c r="I14" s="533">
        <f t="shared" si="7"/>
        <v>91000</v>
      </c>
      <c r="K14" s="533">
        <f t="shared" si="2"/>
        <v>2</v>
      </c>
      <c r="M14" s="533">
        <f t="shared" si="3"/>
        <v>165000</v>
      </c>
      <c r="O14" s="534">
        <f t="shared" si="4"/>
        <v>0.47894736842105262</v>
      </c>
      <c r="P14" s="532">
        <v>37</v>
      </c>
      <c r="T14" s="536" t="e">
        <f t="shared" si="5"/>
        <v>#REF!</v>
      </c>
    </row>
    <row r="15" spans="1:20">
      <c r="A15" s="552">
        <f t="shared" si="0"/>
        <v>42000</v>
      </c>
      <c r="C15" s="532">
        <v>1</v>
      </c>
      <c r="E15" s="533">
        <f t="shared" si="6"/>
        <v>5</v>
      </c>
      <c r="G15" s="533">
        <f t="shared" si="1"/>
        <v>42000</v>
      </c>
      <c r="I15" s="533">
        <f t="shared" si="7"/>
        <v>133000</v>
      </c>
      <c r="K15" s="533">
        <f t="shared" si="2"/>
        <v>1</v>
      </c>
      <c r="M15" s="533">
        <f t="shared" si="3"/>
        <v>175000</v>
      </c>
      <c r="O15" s="534">
        <f t="shared" si="4"/>
        <v>0.7</v>
      </c>
      <c r="P15" s="532">
        <v>42</v>
      </c>
      <c r="T15" s="536" t="e">
        <f t="shared" si="5"/>
        <v>#REF!</v>
      </c>
    </row>
    <row r="16" spans="1:20">
      <c r="A16" s="552">
        <f t="shared" si="0"/>
        <v>57000</v>
      </c>
      <c r="C16" s="532">
        <v>1</v>
      </c>
      <c r="E16" s="533">
        <f t="shared" si="6"/>
        <v>6</v>
      </c>
      <c r="G16" s="533">
        <f t="shared" si="1"/>
        <v>57000</v>
      </c>
      <c r="I16" s="533">
        <f t="shared" si="7"/>
        <v>190000</v>
      </c>
      <c r="K16" s="533">
        <f t="shared" si="2"/>
        <v>0</v>
      </c>
      <c r="M16" s="533">
        <f t="shared" si="3"/>
        <v>190000</v>
      </c>
      <c r="O16" s="534">
        <f t="shared" si="4"/>
        <v>1</v>
      </c>
      <c r="P16" s="532">
        <v>57</v>
      </c>
      <c r="T16" s="536" t="e">
        <f t="shared" si="5"/>
        <v>#REF!</v>
      </c>
    </row>
    <row r="18" spans="20:20">
      <c r="T18" s="539" t="e">
        <f>SUM(T10:T16)</f>
        <v>#REF!</v>
      </c>
    </row>
    <row r="19" spans="20:20" hidden="1">
      <c r="T19" s="513">
        <v>912</v>
      </c>
    </row>
    <row r="20" spans="20:20" hidden="1">
      <c r="T20" s="540" t="e">
        <f>T18-T19</f>
        <v>#REF!</v>
      </c>
    </row>
    <row r="21" spans="20:20" hidden="1">
      <c r="T21" s="541" t="e">
        <f>T20/T18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"/>
  <sheetViews>
    <sheetView showGridLines="0" topLeftCell="J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1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v>13.7</v>
      </c>
    </row>
    <row r="3" spans="1:20">
      <c r="A3" s="513" t="s">
        <v>539</v>
      </c>
      <c r="M3" s="520" t="s">
        <v>538</v>
      </c>
      <c r="R3" s="518" t="s">
        <v>274</v>
      </c>
      <c r="S3" s="518"/>
      <c r="T3" s="519"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0" si="0">P10*1000</f>
        <v>0</v>
      </c>
      <c r="C10" s="532">
        <v>10</v>
      </c>
      <c r="D10" s="533"/>
      <c r="E10" s="533">
        <f>C10</f>
        <v>10</v>
      </c>
      <c r="F10" s="533"/>
      <c r="G10" s="533">
        <f t="shared" ref="G10:G20" si="1">A10*C10</f>
        <v>0</v>
      </c>
      <c r="H10" s="533"/>
      <c r="I10" s="533">
        <f>G10</f>
        <v>0</v>
      </c>
      <c r="J10" s="533"/>
      <c r="K10" s="533">
        <f t="shared" ref="K10:K20" si="2">$E$20-E10</f>
        <v>20</v>
      </c>
      <c r="L10" s="533"/>
      <c r="M10" s="533">
        <f t="shared" ref="M10:M20" si="3">(A10*K10)+I10</f>
        <v>0</v>
      </c>
      <c r="O10" s="534">
        <f t="shared" ref="O10:O20" si="4">I10/$I$20</f>
        <v>0</v>
      </c>
      <c r="P10" s="532">
        <v>0</v>
      </c>
      <c r="R10" s="535"/>
      <c r="S10" s="513"/>
      <c r="T10" s="536">
        <f t="shared" ref="T10:T20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137</v>
      </c>
    </row>
    <row r="11" spans="1:20" s="515" customFormat="1">
      <c r="A11" s="552">
        <f t="shared" si="0"/>
        <v>1000</v>
      </c>
      <c r="C11" s="532">
        <v>7</v>
      </c>
      <c r="D11" s="533"/>
      <c r="E11" s="533">
        <f t="shared" ref="E11:E20" si="6">E10+C11</f>
        <v>17</v>
      </c>
      <c r="F11" s="533"/>
      <c r="G11" s="533">
        <f t="shared" si="1"/>
        <v>7000</v>
      </c>
      <c r="H11" s="533"/>
      <c r="I11" s="533">
        <f t="shared" ref="I11:I20" si="7">I10+G11</f>
        <v>7000</v>
      </c>
      <c r="J11" s="533"/>
      <c r="K11" s="533">
        <f t="shared" si="2"/>
        <v>13</v>
      </c>
      <c r="L11" s="533"/>
      <c r="M11" s="533">
        <f t="shared" si="3"/>
        <v>20000</v>
      </c>
      <c r="O11" s="534">
        <f t="shared" si="4"/>
        <v>6.4814814814814811E-2</v>
      </c>
      <c r="P11" s="532">
        <v>1</v>
      </c>
      <c r="R11" s="535"/>
      <c r="S11" s="513"/>
      <c r="T11" s="536">
        <f t="shared" si="5"/>
        <v>95.899999999999991</v>
      </c>
    </row>
    <row r="12" spans="1:20" s="515" customFormat="1">
      <c r="A12" s="552">
        <f t="shared" si="0"/>
        <v>2000</v>
      </c>
      <c r="C12" s="532">
        <v>3</v>
      </c>
      <c r="D12" s="533"/>
      <c r="E12" s="533">
        <f t="shared" si="6"/>
        <v>20</v>
      </c>
      <c r="F12" s="533"/>
      <c r="G12" s="533">
        <f t="shared" si="1"/>
        <v>6000</v>
      </c>
      <c r="H12" s="533"/>
      <c r="I12" s="533">
        <f t="shared" si="7"/>
        <v>13000</v>
      </c>
      <c r="J12" s="533"/>
      <c r="K12" s="533">
        <f t="shared" si="2"/>
        <v>10</v>
      </c>
      <c r="L12" s="533"/>
      <c r="M12" s="533">
        <f t="shared" si="3"/>
        <v>33000</v>
      </c>
      <c r="O12" s="534">
        <f t="shared" si="4"/>
        <v>0.12037037037037036</v>
      </c>
      <c r="P12" s="532">
        <v>2</v>
      </c>
      <c r="R12" s="513"/>
      <c r="S12" s="513"/>
      <c r="T12" s="536">
        <f t="shared" si="5"/>
        <v>64.38</v>
      </c>
    </row>
    <row r="13" spans="1:20">
      <c r="A13" s="552">
        <f t="shared" si="0"/>
        <v>4000</v>
      </c>
      <c r="C13" s="532">
        <v>2</v>
      </c>
      <c r="E13" s="533">
        <f t="shared" si="6"/>
        <v>22</v>
      </c>
      <c r="G13" s="533">
        <f t="shared" si="1"/>
        <v>8000</v>
      </c>
      <c r="I13" s="533">
        <f t="shared" si="7"/>
        <v>21000</v>
      </c>
      <c r="K13" s="533">
        <f t="shared" si="2"/>
        <v>8</v>
      </c>
      <c r="M13" s="533">
        <f t="shared" si="3"/>
        <v>53000</v>
      </c>
      <c r="O13" s="534">
        <f t="shared" si="4"/>
        <v>0.19444444444444445</v>
      </c>
      <c r="P13" s="532">
        <v>4</v>
      </c>
      <c r="T13" s="536">
        <f t="shared" si="5"/>
        <v>73.960000000000008</v>
      </c>
    </row>
    <row r="14" spans="1:20">
      <c r="A14" s="552">
        <f t="shared" si="0"/>
        <v>5000</v>
      </c>
      <c r="C14" s="532">
        <v>2</v>
      </c>
      <c r="E14" s="533">
        <f t="shared" si="6"/>
        <v>24</v>
      </c>
      <c r="G14" s="533">
        <f t="shared" si="1"/>
        <v>10000</v>
      </c>
      <c r="I14" s="533">
        <f t="shared" si="7"/>
        <v>31000</v>
      </c>
      <c r="K14" s="533">
        <f t="shared" si="2"/>
        <v>6</v>
      </c>
      <c r="M14" s="533">
        <f t="shared" si="3"/>
        <v>61000</v>
      </c>
      <c r="O14" s="534">
        <f t="shared" si="4"/>
        <v>0.28703703703703703</v>
      </c>
      <c r="P14" s="532">
        <v>5</v>
      </c>
      <c r="T14" s="536">
        <f t="shared" si="5"/>
        <v>89.47999999999999</v>
      </c>
    </row>
    <row r="15" spans="1:20">
      <c r="A15" s="552">
        <f t="shared" si="0"/>
        <v>6000</v>
      </c>
      <c r="C15" s="532">
        <v>1</v>
      </c>
      <c r="E15" s="533">
        <f t="shared" si="6"/>
        <v>25</v>
      </c>
      <c r="G15" s="533">
        <f t="shared" si="1"/>
        <v>6000</v>
      </c>
      <c r="I15" s="533">
        <f t="shared" si="7"/>
        <v>37000</v>
      </c>
      <c r="K15" s="533">
        <f t="shared" si="2"/>
        <v>5</v>
      </c>
      <c r="M15" s="533">
        <f t="shared" si="3"/>
        <v>67000</v>
      </c>
      <c r="O15" s="534">
        <f t="shared" si="4"/>
        <v>0.34259259259259262</v>
      </c>
      <c r="P15" s="532">
        <v>6</v>
      </c>
      <c r="T15" s="536">
        <f t="shared" si="5"/>
        <v>52.5</v>
      </c>
    </row>
    <row r="16" spans="1:20">
      <c r="A16" s="552">
        <f t="shared" si="0"/>
        <v>8000</v>
      </c>
      <c r="C16" s="532">
        <v>1</v>
      </c>
      <c r="E16" s="533">
        <f t="shared" si="6"/>
        <v>26</v>
      </c>
      <c r="G16" s="533">
        <f t="shared" si="1"/>
        <v>8000</v>
      </c>
      <c r="I16" s="533">
        <f t="shared" si="7"/>
        <v>45000</v>
      </c>
      <c r="K16" s="533">
        <f t="shared" si="2"/>
        <v>4</v>
      </c>
      <c r="M16" s="533">
        <f t="shared" si="3"/>
        <v>77000</v>
      </c>
      <c r="O16" s="534">
        <f t="shared" si="4"/>
        <v>0.41666666666666669</v>
      </c>
      <c r="P16" s="532">
        <v>8</v>
      </c>
      <c r="T16" s="536">
        <f t="shared" si="5"/>
        <v>68.02</v>
      </c>
    </row>
    <row r="17" spans="1:20">
      <c r="A17" s="552">
        <f t="shared" si="0"/>
        <v>13000</v>
      </c>
      <c r="C17" s="532">
        <v>1</v>
      </c>
      <c r="E17" s="533">
        <f t="shared" si="6"/>
        <v>27</v>
      </c>
      <c r="G17" s="533">
        <f t="shared" si="1"/>
        <v>13000</v>
      </c>
      <c r="I17" s="533">
        <f t="shared" si="7"/>
        <v>58000</v>
      </c>
      <c r="K17" s="533">
        <f t="shared" si="2"/>
        <v>3</v>
      </c>
      <c r="M17" s="533">
        <f t="shared" si="3"/>
        <v>97000</v>
      </c>
      <c r="O17" s="534">
        <f t="shared" si="4"/>
        <v>0.53703703703703709</v>
      </c>
      <c r="P17" s="532">
        <v>13</v>
      </c>
      <c r="T17" s="536">
        <f t="shared" si="5"/>
        <v>104.9</v>
      </c>
    </row>
    <row r="18" spans="1:20">
      <c r="A18" s="552">
        <f t="shared" si="0"/>
        <v>15000</v>
      </c>
      <c r="C18" s="532">
        <v>1</v>
      </c>
      <c r="E18" s="533">
        <f t="shared" si="6"/>
        <v>28</v>
      </c>
      <c r="G18" s="533">
        <f t="shared" si="1"/>
        <v>15000</v>
      </c>
      <c r="I18" s="533">
        <f t="shared" si="7"/>
        <v>73000</v>
      </c>
      <c r="K18" s="533">
        <f t="shared" si="2"/>
        <v>2</v>
      </c>
      <c r="M18" s="533">
        <f t="shared" si="3"/>
        <v>103000</v>
      </c>
      <c r="O18" s="534">
        <f t="shared" si="4"/>
        <v>0.67592592592592593</v>
      </c>
      <c r="P18" s="532">
        <v>15</v>
      </c>
      <c r="T18" s="536">
        <f t="shared" si="5"/>
        <v>119.14000000000001</v>
      </c>
    </row>
    <row r="19" spans="1:20">
      <c r="A19" s="552">
        <f t="shared" si="0"/>
        <v>16000</v>
      </c>
      <c r="C19" s="532">
        <v>1</v>
      </c>
      <c r="E19" s="533">
        <f t="shared" si="6"/>
        <v>29</v>
      </c>
      <c r="G19" s="533">
        <f t="shared" si="1"/>
        <v>16000</v>
      </c>
      <c r="I19" s="533">
        <f t="shared" si="7"/>
        <v>89000</v>
      </c>
      <c r="K19" s="533">
        <f t="shared" si="2"/>
        <v>1</v>
      </c>
      <c r="M19" s="533">
        <f t="shared" si="3"/>
        <v>105000</v>
      </c>
      <c r="O19" s="534">
        <f t="shared" si="4"/>
        <v>0.82407407407407407</v>
      </c>
      <c r="P19" s="532">
        <v>16</v>
      </c>
      <c r="T19" s="536">
        <f t="shared" si="5"/>
        <v>126.26</v>
      </c>
    </row>
    <row r="20" spans="1:20">
      <c r="A20" s="552">
        <f t="shared" si="0"/>
        <v>19000</v>
      </c>
      <c r="C20" s="532">
        <v>1</v>
      </c>
      <c r="E20" s="533">
        <f t="shared" si="6"/>
        <v>30</v>
      </c>
      <c r="G20" s="533">
        <f t="shared" si="1"/>
        <v>19000</v>
      </c>
      <c r="I20" s="533">
        <f t="shared" si="7"/>
        <v>108000</v>
      </c>
      <c r="K20" s="533">
        <f t="shared" si="2"/>
        <v>0</v>
      </c>
      <c r="M20" s="533">
        <f t="shared" si="3"/>
        <v>108000</v>
      </c>
      <c r="O20" s="534">
        <f t="shared" si="4"/>
        <v>1</v>
      </c>
      <c r="P20" s="532">
        <v>19</v>
      </c>
      <c r="T20" s="536">
        <f t="shared" si="5"/>
        <v>147.62</v>
      </c>
    </row>
    <row r="22" spans="1:20">
      <c r="T22" s="539">
        <f>SUM(T10:T20)</f>
        <v>1079.1599999999999</v>
      </c>
    </row>
    <row r="23" spans="1:20" hidden="1">
      <c r="T23" s="513">
        <v>712</v>
      </c>
    </row>
    <row r="24" spans="1:20" hidden="1">
      <c r="T24" s="540">
        <f>T22-T23</f>
        <v>367.15999999999985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7"/>
  <sheetViews>
    <sheetView showGridLines="0" topLeftCell="H34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'16234'!T2</f>
        <v>13.7</v>
      </c>
    </row>
    <row r="3" spans="1:20">
      <c r="A3" s="513" t="s">
        <v>535</v>
      </c>
      <c r="M3" s="520" t="s">
        <v>538</v>
      </c>
      <c r="R3" s="518" t="s">
        <v>274</v>
      </c>
      <c r="S3" s="518"/>
      <c r="T3" s="519">
        <f>'16234'!T3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'16234'!T4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'16234'!T5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'16234'!T6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'16234'!T7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51" si="0">P10*1000</f>
        <v>0</v>
      </c>
      <c r="C10" s="532">
        <v>315</v>
      </c>
      <c r="D10" s="533"/>
      <c r="E10" s="533">
        <f>C10</f>
        <v>315</v>
      </c>
      <c r="F10" s="533"/>
      <c r="G10" s="533">
        <f t="shared" ref="G10:G51" si="1">A10*C10</f>
        <v>0</v>
      </c>
      <c r="H10" s="533"/>
      <c r="I10" s="533">
        <f>G10</f>
        <v>0</v>
      </c>
      <c r="J10" s="533"/>
      <c r="K10" s="533">
        <f t="shared" ref="K10:K51" si="2">$E$51-E10</f>
        <v>4574</v>
      </c>
      <c r="L10" s="533"/>
      <c r="M10" s="533">
        <f t="shared" ref="M10:M51" si="3">(A10*K10)+I10</f>
        <v>0</v>
      </c>
      <c r="O10" s="534">
        <f t="shared" ref="O10:O51" si="4">I10/$I$51</f>
        <v>0</v>
      </c>
      <c r="P10" s="532">
        <v>0</v>
      </c>
      <c r="R10" s="535"/>
      <c r="S10" s="513"/>
      <c r="T10" s="536">
        <f t="shared" ref="T10:T51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4315.5</v>
      </c>
    </row>
    <row r="11" spans="1:20" s="515" customFormat="1">
      <c r="A11" s="552">
        <f t="shared" si="0"/>
        <v>1000</v>
      </c>
      <c r="C11" s="532">
        <v>902</v>
      </c>
      <c r="D11" s="533"/>
      <c r="E11" s="533">
        <f t="shared" ref="E11:E51" si="6">E10+C11</f>
        <v>1217</v>
      </c>
      <c r="F11" s="533"/>
      <c r="G11" s="533">
        <f t="shared" si="1"/>
        <v>902000</v>
      </c>
      <c r="H11" s="533"/>
      <c r="I11" s="533">
        <f t="shared" ref="I11:I51" si="7">I10+G11</f>
        <v>902000</v>
      </c>
      <c r="J11" s="533"/>
      <c r="K11" s="533">
        <f t="shared" si="2"/>
        <v>3672</v>
      </c>
      <c r="L11" s="533"/>
      <c r="M11" s="533">
        <f t="shared" si="3"/>
        <v>4574000</v>
      </c>
      <c r="O11" s="534">
        <f t="shared" si="4"/>
        <v>4.960131976904042E-2</v>
      </c>
      <c r="P11" s="532">
        <v>1</v>
      </c>
      <c r="R11" s="535"/>
      <c r="S11" s="513"/>
      <c r="T11" s="536">
        <f t="shared" si="5"/>
        <v>12357.4</v>
      </c>
    </row>
    <row r="12" spans="1:20" s="515" customFormat="1">
      <c r="A12" s="552">
        <f t="shared" si="0"/>
        <v>2000</v>
      </c>
      <c r="C12" s="532">
        <v>901</v>
      </c>
      <c r="D12" s="533"/>
      <c r="E12" s="533">
        <f t="shared" si="6"/>
        <v>2118</v>
      </c>
      <c r="F12" s="533"/>
      <c r="G12" s="533">
        <f t="shared" si="1"/>
        <v>1802000</v>
      </c>
      <c r="H12" s="533"/>
      <c r="I12" s="533">
        <f t="shared" si="7"/>
        <v>2704000</v>
      </c>
      <c r="J12" s="533"/>
      <c r="K12" s="533">
        <f t="shared" si="2"/>
        <v>2771</v>
      </c>
      <c r="L12" s="533"/>
      <c r="M12" s="533">
        <f t="shared" si="3"/>
        <v>8246000</v>
      </c>
      <c r="O12" s="534">
        <f t="shared" si="4"/>
        <v>0.1486939785537531</v>
      </c>
      <c r="P12" s="532">
        <v>2</v>
      </c>
      <c r="R12" s="513"/>
      <c r="S12" s="513"/>
      <c r="T12" s="536">
        <f t="shared" si="5"/>
        <v>19335.46</v>
      </c>
    </row>
    <row r="13" spans="1:20">
      <c r="A13" s="552">
        <f t="shared" si="0"/>
        <v>3000</v>
      </c>
      <c r="C13" s="532">
        <v>777</v>
      </c>
      <c r="E13" s="533">
        <f t="shared" si="6"/>
        <v>2895</v>
      </c>
      <c r="G13" s="533">
        <f t="shared" si="1"/>
        <v>2331000</v>
      </c>
      <c r="I13" s="533">
        <f t="shared" si="7"/>
        <v>5035000</v>
      </c>
      <c r="K13" s="533">
        <f t="shared" si="2"/>
        <v>1994</v>
      </c>
      <c r="M13" s="533">
        <f t="shared" si="3"/>
        <v>11017000</v>
      </c>
      <c r="O13" s="534">
        <f t="shared" si="4"/>
        <v>0.27687654660434424</v>
      </c>
      <c r="P13" s="532">
        <v>3</v>
      </c>
      <c r="T13" s="536">
        <f t="shared" si="5"/>
        <v>22703.94</v>
      </c>
    </row>
    <row r="14" spans="1:20">
      <c r="A14" s="552">
        <f t="shared" si="0"/>
        <v>4000</v>
      </c>
      <c r="C14" s="532">
        <v>623</v>
      </c>
      <c r="E14" s="533">
        <f t="shared" si="6"/>
        <v>3518</v>
      </c>
      <c r="G14" s="533">
        <f t="shared" si="1"/>
        <v>2492000</v>
      </c>
      <c r="I14" s="533">
        <f t="shared" si="7"/>
        <v>7527000</v>
      </c>
      <c r="K14" s="533">
        <f t="shared" si="2"/>
        <v>1371</v>
      </c>
      <c r="M14" s="533">
        <f t="shared" si="3"/>
        <v>13011000</v>
      </c>
      <c r="O14" s="534">
        <f t="shared" si="4"/>
        <v>0.41391256530107229</v>
      </c>
      <c r="P14" s="532">
        <v>4</v>
      </c>
      <c r="T14" s="536">
        <f t="shared" si="5"/>
        <v>23038.54</v>
      </c>
    </row>
    <row r="15" spans="1:20">
      <c r="A15" s="552">
        <f t="shared" si="0"/>
        <v>5000</v>
      </c>
      <c r="C15" s="532">
        <v>448</v>
      </c>
      <c r="E15" s="533">
        <f t="shared" si="6"/>
        <v>3966</v>
      </c>
      <c r="G15" s="533">
        <f t="shared" si="1"/>
        <v>2240000</v>
      </c>
      <c r="I15" s="533">
        <f t="shared" si="7"/>
        <v>9767000</v>
      </c>
      <c r="K15" s="533">
        <f t="shared" si="2"/>
        <v>923</v>
      </c>
      <c r="M15" s="533">
        <f t="shared" si="3"/>
        <v>14382000</v>
      </c>
      <c r="O15" s="534">
        <f t="shared" si="4"/>
        <v>0.53709100907341212</v>
      </c>
      <c r="P15" s="532">
        <v>5</v>
      </c>
      <c r="T15" s="536">
        <f t="shared" si="5"/>
        <v>20043.52</v>
      </c>
    </row>
    <row r="16" spans="1:20">
      <c r="A16" s="552">
        <f t="shared" si="0"/>
        <v>6000</v>
      </c>
      <c r="C16" s="532">
        <v>319</v>
      </c>
      <c r="E16" s="533">
        <f t="shared" si="6"/>
        <v>4285</v>
      </c>
      <c r="G16" s="533">
        <f t="shared" si="1"/>
        <v>1914000</v>
      </c>
      <c r="I16" s="533">
        <f t="shared" si="7"/>
        <v>11681000</v>
      </c>
      <c r="K16" s="533">
        <f t="shared" si="2"/>
        <v>604</v>
      </c>
      <c r="M16" s="533">
        <f t="shared" si="3"/>
        <v>15305000</v>
      </c>
      <c r="O16" s="534">
        <f t="shared" si="4"/>
        <v>0.64234259004674177</v>
      </c>
      <c r="P16" s="532">
        <v>6</v>
      </c>
      <c r="T16" s="536">
        <f t="shared" si="5"/>
        <v>16747.5</v>
      </c>
    </row>
    <row r="17" spans="1:20">
      <c r="A17" s="552">
        <f t="shared" si="0"/>
        <v>7000</v>
      </c>
      <c r="C17" s="532">
        <v>220</v>
      </c>
      <c r="E17" s="533">
        <f t="shared" si="6"/>
        <v>4505</v>
      </c>
      <c r="G17" s="533">
        <f t="shared" si="1"/>
        <v>1540000</v>
      </c>
      <c r="I17" s="533">
        <f t="shared" si="7"/>
        <v>13221000</v>
      </c>
      <c r="K17" s="533">
        <f t="shared" si="2"/>
        <v>384</v>
      </c>
      <c r="M17" s="533">
        <f t="shared" si="3"/>
        <v>15909000</v>
      </c>
      <c r="O17" s="534">
        <f t="shared" si="4"/>
        <v>0.72702777014022546</v>
      </c>
      <c r="P17" s="532">
        <v>7</v>
      </c>
      <c r="T17" s="536">
        <f t="shared" si="5"/>
        <v>13257.199999999999</v>
      </c>
    </row>
    <row r="18" spans="1:20">
      <c r="A18" s="552">
        <f t="shared" si="0"/>
        <v>8000</v>
      </c>
      <c r="C18" s="532">
        <v>121</v>
      </c>
      <c r="E18" s="533">
        <f t="shared" si="6"/>
        <v>4626</v>
      </c>
      <c r="G18" s="533">
        <f t="shared" si="1"/>
        <v>968000</v>
      </c>
      <c r="I18" s="533">
        <f t="shared" si="7"/>
        <v>14189000</v>
      </c>
      <c r="K18" s="533">
        <f t="shared" si="2"/>
        <v>263</v>
      </c>
      <c r="M18" s="533">
        <f t="shared" si="3"/>
        <v>16293000</v>
      </c>
      <c r="O18" s="534">
        <f t="shared" si="4"/>
        <v>0.78025845477041522</v>
      </c>
      <c r="P18" s="532">
        <v>8</v>
      </c>
      <c r="T18" s="536">
        <f t="shared" si="5"/>
        <v>8230.42</v>
      </c>
    </row>
    <row r="19" spans="1:20">
      <c r="A19" s="552">
        <f t="shared" si="0"/>
        <v>9000</v>
      </c>
      <c r="C19" s="532">
        <v>59</v>
      </c>
      <c r="E19" s="533">
        <f t="shared" si="6"/>
        <v>4685</v>
      </c>
      <c r="G19" s="533">
        <f t="shared" si="1"/>
        <v>531000</v>
      </c>
      <c r="I19" s="533">
        <f t="shared" si="7"/>
        <v>14720000</v>
      </c>
      <c r="K19" s="533">
        <f t="shared" si="2"/>
        <v>204</v>
      </c>
      <c r="M19" s="533">
        <f t="shared" si="3"/>
        <v>16556000</v>
      </c>
      <c r="O19" s="534">
        <f t="shared" si="4"/>
        <v>0.80945834478966183</v>
      </c>
      <c r="P19" s="532">
        <v>9</v>
      </c>
      <c r="T19" s="536">
        <f t="shared" si="5"/>
        <v>4471.0199999999995</v>
      </c>
    </row>
    <row r="20" spans="1:20">
      <c r="A20" s="552">
        <f t="shared" si="0"/>
        <v>10000</v>
      </c>
      <c r="C20" s="532">
        <v>47</v>
      </c>
      <c r="E20" s="533">
        <f t="shared" si="6"/>
        <v>4732</v>
      </c>
      <c r="G20" s="533">
        <f t="shared" si="1"/>
        <v>470000</v>
      </c>
      <c r="I20" s="533">
        <f t="shared" si="7"/>
        <v>15190000</v>
      </c>
      <c r="K20" s="533">
        <f t="shared" si="2"/>
        <v>157</v>
      </c>
      <c r="M20" s="533">
        <f t="shared" si="3"/>
        <v>16760000</v>
      </c>
      <c r="O20" s="534">
        <f t="shared" si="4"/>
        <v>0.83530382183117957</v>
      </c>
      <c r="P20" s="532">
        <v>10</v>
      </c>
      <c r="T20" s="536">
        <f t="shared" si="5"/>
        <v>3926.38</v>
      </c>
    </row>
    <row r="21" spans="1:20">
      <c r="A21" s="552">
        <f t="shared" si="0"/>
        <v>11000</v>
      </c>
      <c r="C21" s="532">
        <v>30</v>
      </c>
      <c r="E21" s="533">
        <f t="shared" si="6"/>
        <v>4762</v>
      </c>
      <c r="G21" s="533">
        <f t="shared" si="1"/>
        <v>330000</v>
      </c>
      <c r="I21" s="533">
        <f t="shared" si="7"/>
        <v>15520000</v>
      </c>
      <c r="K21" s="533">
        <f t="shared" si="2"/>
        <v>127</v>
      </c>
      <c r="M21" s="533">
        <f t="shared" si="3"/>
        <v>16917000</v>
      </c>
      <c r="O21" s="534">
        <f t="shared" si="4"/>
        <v>0.85345064613692601</v>
      </c>
      <c r="P21" s="532">
        <v>11</v>
      </c>
      <c r="T21" s="536">
        <f t="shared" si="5"/>
        <v>2719.8</v>
      </c>
    </row>
    <row r="22" spans="1:20">
      <c r="A22" s="552">
        <f t="shared" si="0"/>
        <v>12000</v>
      </c>
      <c r="C22" s="532">
        <v>23</v>
      </c>
      <c r="E22" s="533">
        <f t="shared" si="6"/>
        <v>4785</v>
      </c>
      <c r="G22" s="533">
        <f t="shared" si="1"/>
        <v>276000</v>
      </c>
      <c r="I22" s="533">
        <f t="shared" si="7"/>
        <v>15796000</v>
      </c>
      <c r="K22" s="533">
        <f t="shared" si="2"/>
        <v>104</v>
      </c>
      <c r="M22" s="533">
        <f t="shared" si="3"/>
        <v>17044000</v>
      </c>
      <c r="O22" s="534">
        <f t="shared" si="4"/>
        <v>0.86862799010173219</v>
      </c>
      <c r="P22" s="532">
        <v>12</v>
      </c>
      <c r="T22" s="536">
        <f t="shared" si="5"/>
        <v>2248.94</v>
      </c>
    </row>
    <row r="23" spans="1:20">
      <c r="A23" s="552">
        <f t="shared" si="0"/>
        <v>13000</v>
      </c>
      <c r="C23" s="532">
        <v>12</v>
      </c>
      <c r="E23" s="533">
        <f t="shared" si="6"/>
        <v>4797</v>
      </c>
      <c r="G23" s="533">
        <f t="shared" si="1"/>
        <v>156000</v>
      </c>
      <c r="I23" s="533">
        <f t="shared" si="7"/>
        <v>15952000</v>
      </c>
      <c r="K23" s="533">
        <f t="shared" si="2"/>
        <v>92</v>
      </c>
      <c r="M23" s="533">
        <f t="shared" si="3"/>
        <v>17148000</v>
      </c>
      <c r="O23" s="534">
        <f t="shared" si="4"/>
        <v>0.87720648886444874</v>
      </c>
      <c r="P23" s="532">
        <v>13</v>
      </c>
      <c r="T23" s="536">
        <f t="shared" si="5"/>
        <v>1258.8</v>
      </c>
    </row>
    <row r="24" spans="1:20">
      <c r="A24" s="552">
        <f t="shared" si="0"/>
        <v>14000</v>
      </c>
      <c r="C24" s="532">
        <v>13</v>
      </c>
      <c r="E24" s="533">
        <f t="shared" si="6"/>
        <v>4810</v>
      </c>
      <c r="G24" s="533">
        <f t="shared" si="1"/>
        <v>182000</v>
      </c>
      <c r="I24" s="533">
        <f t="shared" si="7"/>
        <v>16134000</v>
      </c>
      <c r="K24" s="533">
        <f t="shared" si="2"/>
        <v>79</v>
      </c>
      <c r="M24" s="533">
        <f t="shared" si="3"/>
        <v>17240000</v>
      </c>
      <c r="O24" s="534">
        <f t="shared" si="4"/>
        <v>0.88721473742095136</v>
      </c>
      <c r="P24" s="532">
        <v>14</v>
      </c>
      <c r="T24" s="536">
        <f t="shared" si="5"/>
        <v>1456.26</v>
      </c>
    </row>
    <row r="25" spans="1:20">
      <c r="A25" s="552">
        <f t="shared" si="0"/>
        <v>15000</v>
      </c>
      <c r="C25" s="532">
        <v>12</v>
      </c>
      <c r="E25" s="533">
        <f t="shared" si="6"/>
        <v>4822</v>
      </c>
      <c r="G25" s="533">
        <f t="shared" si="1"/>
        <v>180000</v>
      </c>
      <c r="I25" s="533">
        <f t="shared" si="7"/>
        <v>16314000</v>
      </c>
      <c r="K25" s="533">
        <f t="shared" si="2"/>
        <v>67</v>
      </c>
      <c r="M25" s="533">
        <f t="shared" si="3"/>
        <v>17319000</v>
      </c>
      <c r="O25" s="534">
        <f t="shared" si="4"/>
        <v>0.89711300522408577</v>
      </c>
      <c r="P25" s="532">
        <v>15</v>
      </c>
      <c r="T25" s="536">
        <f t="shared" si="5"/>
        <v>1429.68</v>
      </c>
    </row>
    <row r="26" spans="1:20">
      <c r="A26" s="552">
        <f t="shared" si="0"/>
        <v>16000</v>
      </c>
      <c r="C26" s="532">
        <v>11</v>
      </c>
      <c r="E26" s="533">
        <f t="shared" si="6"/>
        <v>4833</v>
      </c>
      <c r="G26" s="533">
        <f t="shared" si="1"/>
        <v>176000</v>
      </c>
      <c r="I26" s="533">
        <f t="shared" si="7"/>
        <v>16490000</v>
      </c>
      <c r="K26" s="533">
        <f t="shared" si="2"/>
        <v>56</v>
      </c>
      <c r="M26" s="533">
        <f t="shared" si="3"/>
        <v>17386000</v>
      </c>
      <c r="O26" s="534">
        <f t="shared" si="4"/>
        <v>0.90679131152048387</v>
      </c>
      <c r="P26" s="532">
        <v>16</v>
      </c>
      <c r="T26" s="536">
        <f t="shared" si="5"/>
        <v>1388.8600000000001</v>
      </c>
    </row>
    <row r="27" spans="1:20">
      <c r="A27" s="552">
        <f t="shared" si="0"/>
        <v>17000</v>
      </c>
      <c r="C27" s="532">
        <v>8</v>
      </c>
      <c r="E27" s="533">
        <f t="shared" si="6"/>
        <v>4841</v>
      </c>
      <c r="G27" s="533">
        <f t="shared" si="1"/>
        <v>136000</v>
      </c>
      <c r="I27" s="533">
        <f t="shared" si="7"/>
        <v>16626000</v>
      </c>
      <c r="K27" s="533">
        <f t="shared" si="2"/>
        <v>48</v>
      </c>
      <c r="M27" s="533">
        <f t="shared" si="3"/>
        <v>17442000</v>
      </c>
      <c r="O27" s="534">
        <f t="shared" si="4"/>
        <v>0.91427000274951886</v>
      </c>
      <c r="P27" s="532">
        <v>17</v>
      </c>
      <c r="T27" s="536">
        <f t="shared" si="5"/>
        <v>1067.04</v>
      </c>
    </row>
    <row r="28" spans="1:20">
      <c r="A28" s="552">
        <f t="shared" si="0"/>
        <v>18000</v>
      </c>
      <c r="C28" s="532">
        <v>5</v>
      </c>
      <c r="E28" s="533">
        <f t="shared" si="6"/>
        <v>4846</v>
      </c>
      <c r="G28" s="533">
        <f t="shared" si="1"/>
        <v>90000</v>
      </c>
      <c r="I28" s="533">
        <f t="shared" si="7"/>
        <v>16716000</v>
      </c>
      <c r="K28" s="533">
        <f t="shared" si="2"/>
        <v>43</v>
      </c>
      <c r="M28" s="533">
        <f t="shared" si="3"/>
        <v>17490000</v>
      </c>
      <c r="O28" s="534">
        <f t="shared" si="4"/>
        <v>0.91921913665108601</v>
      </c>
      <c r="P28" s="532">
        <v>18</v>
      </c>
      <c r="T28" s="536">
        <f t="shared" si="5"/>
        <v>702.5</v>
      </c>
    </row>
    <row r="29" spans="1:20">
      <c r="A29" s="552">
        <f t="shared" si="0"/>
        <v>19000</v>
      </c>
      <c r="C29" s="532">
        <v>5</v>
      </c>
      <c r="E29" s="533">
        <f t="shared" si="6"/>
        <v>4851</v>
      </c>
      <c r="G29" s="533">
        <f t="shared" si="1"/>
        <v>95000</v>
      </c>
      <c r="I29" s="533">
        <f t="shared" si="7"/>
        <v>16811000</v>
      </c>
      <c r="K29" s="533">
        <f t="shared" si="2"/>
        <v>38</v>
      </c>
      <c r="M29" s="533">
        <f t="shared" si="3"/>
        <v>17533000</v>
      </c>
      <c r="O29" s="534">
        <f t="shared" si="4"/>
        <v>0.92444322243607369</v>
      </c>
      <c r="P29" s="532">
        <v>19</v>
      </c>
      <c r="T29" s="536">
        <f t="shared" si="5"/>
        <v>738.1</v>
      </c>
    </row>
    <row r="30" spans="1:20">
      <c r="A30" s="552">
        <f t="shared" si="0"/>
        <v>20000</v>
      </c>
      <c r="C30" s="532">
        <v>2</v>
      </c>
      <c r="E30" s="533">
        <f t="shared" si="6"/>
        <v>4853</v>
      </c>
      <c r="G30" s="533">
        <f t="shared" si="1"/>
        <v>40000</v>
      </c>
      <c r="I30" s="533">
        <f t="shared" si="7"/>
        <v>16851000</v>
      </c>
      <c r="K30" s="533">
        <f t="shared" si="2"/>
        <v>36</v>
      </c>
      <c r="M30" s="533">
        <f t="shared" si="3"/>
        <v>17571000</v>
      </c>
      <c r="O30" s="534">
        <f t="shared" si="4"/>
        <v>0.9266428375034369</v>
      </c>
      <c r="P30" s="532">
        <v>20</v>
      </c>
      <c r="T30" s="536">
        <f t="shared" si="5"/>
        <v>309.48</v>
      </c>
    </row>
    <row r="31" spans="1:20">
      <c r="A31" s="552">
        <f t="shared" si="0"/>
        <v>21000</v>
      </c>
      <c r="C31" s="532">
        <v>2</v>
      </c>
      <c r="E31" s="533">
        <f t="shared" si="6"/>
        <v>4855</v>
      </c>
      <c r="G31" s="533">
        <f t="shared" si="1"/>
        <v>42000</v>
      </c>
      <c r="I31" s="533">
        <f t="shared" si="7"/>
        <v>16893000</v>
      </c>
      <c r="K31" s="533">
        <f t="shared" si="2"/>
        <v>34</v>
      </c>
      <c r="M31" s="533">
        <f t="shared" si="3"/>
        <v>17607000</v>
      </c>
      <c r="O31" s="534">
        <f t="shared" si="4"/>
        <v>0.92895243332416833</v>
      </c>
      <c r="P31" s="532">
        <v>21</v>
      </c>
      <c r="T31" s="536">
        <f t="shared" si="5"/>
        <v>323.72000000000003</v>
      </c>
    </row>
    <row r="32" spans="1:20">
      <c r="A32" s="552">
        <f t="shared" si="0"/>
        <v>22000</v>
      </c>
      <c r="C32" s="532">
        <v>2</v>
      </c>
      <c r="E32" s="533">
        <f t="shared" si="6"/>
        <v>4857</v>
      </c>
      <c r="G32" s="533">
        <f t="shared" si="1"/>
        <v>44000</v>
      </c>
      <c r="I32" s="533">
        <f t="shared" si="7"/>
        <v>16937000</v>
      </c>
      <c r="K32" s="533">
        <f t="shared" si="2"/>
        <v>32</v>
      </c>
      <c r="M32" s="533">
        <f t="shared" si="3"/>
        <v>17641000</v>
      </c>
      <c r="O32" s="534">
        <f t="shared" si="4"/>
        <v>0.93137200989826785</v>
      </c>
      <c r="P32" s="532">
        <v>22</v>
      </c>
      <c r="T32" s="536">
        <f t="shared" si="5"/>
        <v>337.96000000000004</v>
      </c>
    </row>
    <row r="33" spans="1:20">
      <c r="A33" s="552">
        <f t="shared" si="0"/>
        <v>23000</v>
      </c>
      <c r="C33" s="532">
        <v>5</v>
      </c>
      <c r="E33" s="533">
        <f t="shared" si="6"/>
        <v>4862</v>
      </c>
      <c r="G33" s="533">
        <f t="shared" si="1"/>
        <v>115000</v>
      </c>
      <c r="I33" s="533">
        <f t="shared" si="7"/>
        <v>17052000</v>
      </c>
      <c r="K33" s="533">
        <f t="shared" si="2"/>
        <v>27</v>
      </c>
      <c r="M33" s="533">
        <f t="shared" si="3"/>
        <v>17673000</v>
      </c>
      <c r="O33" s="534">
        <f t="shared" si="4"/>
        <v>0.93769590321693708</v>
      </c>
      <c r="P33" s="532">
        <v>23</v>
      </c>
      <c r="T33" s="536">
        <f t="shared" si="5"/>
        <v>880.5</v>
      </c>
    </row>
    <row r="34" spans="1:20">
      <c r="A34" s="552">
        <f t="shared" si="0"/>
        <v>24000</v>
      </c>
      <c r="C34" s="532">
        <v>5</v>
      </c>
      <c r="E34" s="533">
        <f t="shared" si="6"/>
        <v>4867</v>
      </c>
      <c r="G34" s="533">
        <f t="shared" si="1"/>
        <v>120000</v>
      </c>
      <c r="I34" s="533">
        <f t="shared" si="7"/>
        <v>17172000</v>
      </c>
      <c r="K34" s="533">
        <f t="shared" si="2"/>
        <v>22</v>
      </c>
      <c r="M34" s="533">
        <f t="shared" si="3"/>
        <v>17700000</v>
      </c>
      <c r="O34" s="534">
        <f t="shared" si="4"/>
        <v>0.94429474841902672</v>
      </c>
      <c r="P34" s="532">
        <v>24</v>
      </c>
      <c r="T34" s="536">
        <f t="shared" si="5"/>
        <v>916.10000000000014</v>
      </c>
    </row>
    <row r="35" spans="1:20">
      <c r="A35" s="552">
        <f t="shared" si="0"/>
        <v>25000</v>
      </c>
      <c r="C35" s="532">
        <v>2</v>
      </c>
      <c r="E35" s="533">
        <f t="shared" si="6"/>
        <v>4869</v>
      </c>
      <c r="G35" s="533">
        <f t="shared" si="1"/>
        <v>50000</v>
      </c>
      <c r="I35" s="533">
        <f t="shared" si="7"/>
        <v>17222000</v>
      </c>
      <c r="K35" s="533">
        <f t="shared" si="2"/>
        <v>20</v>
      </c>
      <c r="M35" s="533">
        <f t="shared" si="3"/>
        <v>17722000</v>
      </c>
      <c r="O35" s="534">
        <f t="shared" si="4"/>
        <v>0.94704426725323065</v>
      </c>
      <c r="P35" s="532">
        <v>25</v>
      </c>
      <c r="T35" s="536">
        <f t="shared" si="5"/>
        <v>380.68</v>
      </c>
    </row>
    <row r="36" spans="1:20">
      <c r="A36" s="552">
        <f t="shared" si="0"/>
        <v>26000</v>
      </c>
      <c r="C36" s="532">
        <v>1</v>
      </c>
      <c r="E36" s="533">
        <f t="shared" si="6"/>
        <v>4870</v>
      </c>
      <c r="G36" s="533">
        <f t="shared" si="1"/>
        <v>26000</v>
      </c>
      <c r="I36" s="533">
        <f t="shared" si="7"/>
        <v>17248000</v>
      </c>
      <c r="K36" s="533">
        <f t="shared" si="2"/>
        <v>19</v>
      </c>
      <c r="M36" s="533">
        <f t="shared" si="3"/>
        <v>17742000</v>
      </c>
      <c r="O36" s="534">
        <f t="shared" si="4"/>
        <v>0.94847401704701673</v>
      </c>
      <c r="P36" s="532">
        <v>26</v>
      </c>
      <c r="T36" s="536">
        <f t="shared" si="5"/>
        <v>196.82</v>
      </c>
    </row>
    <row r="37" spans="1:20">
      <c r="A37" s="552">
        <f t="shared" si="0"/>
        <v>27000</v>
      </c>
      <c r="C37" s="532">
        <v>1</v>
      </c>
      <c r="E37" s="533">
        <f t="shared" si="6"/>
        <v>4871</v>
      </c>
      <c r="G37" s="533">
        <f t="shared" si="1"/>
        <v>27000</v>
      </c>
      <c r="I37" s="533">
        <f t="shared" si="7"/>
        <v>17275000</v>
      </c>
      <c r="K37" s="533">
        <f t="shared" si="2"/>
        <v>18</v>
      </c>
      <c r="M37" s="533">
        <f t="shared" si="3"/>
        <v>17761000</v>
      </c>
      <c r="O37" s="534">
        <f t="shared" si="4"/>
        <v>0.9499587572174869</v>
      </c>
      <c r="P37" s="532">
        <v>27</v>
      </c>
      <c r="T37" s="536">
        <f t="shared" si="5"/>
        <v>203.3</v>
      </c>
    </row>
    <row r="38" spans="1:20">
      <c r="A38" s="552">
        <f t="shared" si="0"/>
        <v>28000</v>
      </c>
      <c r="C38" s="532">
        <v>3</v>
      </c>
      <c r="E38" s="533">
        <f t="shared" si="6"/>
        <v>4874</v>
      </c>
      <c r="G38" s="533">
        <f t="shared" si="1"/>
        <v>84000</v>
      </c>
      <c r="I38" s="533">
        <f t="shared" si="7"/>
        <v>17359000</v>
      </c>
      <c r="K38" s="533">
        <f t="shared" si="2"/>
        <v>15</v>
      </c>
      <c r="M38" s="533">
        <f t="shared" si="3"/>
        <v>17779000</v>
      </c>
      <c r="O38" s="534">
        <f t="shared" si="4"/>
        <v>0.95457794885894964</v>
      </c>
      <c r="P38" s="532">
        <v>28</v>
      </c>
      <c r="T38" s="536">
        <f t="shared" si="5"/>
        <v>629.34</v>
      </c>
    </row>
    <row r="39" spans="1:20">
      <c r="A39" s="552">
        <f t="shared" si="0"/>
        <v>30000</v>
      </c>
      <c r="C39" s="532">
        <v>2</v>
      </c>
      <c r="E39" s="533">
        <f t="shared" si="6"/>
        <v>4876</v>
      </c>
      <c r="G39" s="533">
        <f t="shared" si="1"/>
        <v>60000</v>
      </c>
      <c r="I39" s="533">
        <f t="shared" si="7"/>
        <v>17419000</v>
      </c>
      <c r="K39" s="533">
        <f t="shared" si="2"/>
        <v>13</v>
      </c>
      <c r="M39" s="533">
        <f t="shared" si="3"/>
        <v>17809000</v>
      </c>
      <c r="O39" s="534">
        <f t="shared" si="4"/>
        <v>0.95787737145999452</v>
      </c>
      <c r="P39" s="532">
        <v>30</v>
      </c>
      <c r="T39" s="536">
        <f t="shared" si="5"/>
        <v>445.48</v>
      </c>
    </row>
    <row r="40" spans="1:20">
      <c r="A40" s="552">
        <f t="shared" si="0"/>
        <v>31000</v>
      </c>
      <c r="C40" s="532">
        <v>2</v>
      </c>
      <c r="E40" s="533">
        <f t="shared" si="6"/>
        <v>4878</v>
      </c>
      <c r="G40" s="533">
        <f t="shared" si="1"/>
        <v>62000</v>
      </c>
      <c r="I40" s="533">
        <f t="shared" si="7"/>
        <v>17481000</v>
      </c>
      <c r="K40" s="533">
        <f t="shared" si="2"/>
        <v>11</v>
      </c>
      <c r="M40" s="533">
        <f t="shared" si="3"/>
        <v>17822000</v>
      </c>
      <c r="O40" s="534">
        <f t="shared" si="4"/>
        <v>0.9612867748144075</v>
      </c>
      <c r="P40" s="532">
        <v>31</v>
      </c>
      <c r="T40" s="536">
        <f t="shared" si="5"/>
        <v>458.44</v>
      </c>
    </row>
    <row r="41" spans="1:20">
      <c r="A41" s="552">
        <f t="shared" si="0"/>
        <v>34000</v>
      </c>
      <c r="C41" s="532">
        <v>1</v>
      </c>
      <c r="E41" s="533">
        <f t="shared" si="6"/>
        <v>4879</v>
      </c>
      <c r="G41" s="533">
        <f t="shared" si="1"/>
        <v>34000</v>
      </c>
      <c r="I41" s="533">
        <f t="shared" si="7"/>
        <v>17515000</v>
      </c>
      <c r="K41" s="533">
        <f t="shared" si="2"/>
        <v>10</v>
      </c>
      <c r="M41" s="533">
        <f t="shared" si="3"/>
        <v>17855000</v>
      </c>
      <c r="O41" s="534">
        <f t="shared" si="4"/>
        <v>0.96315644762166619</v>
      </c>
      <c r="P41" s="532">
        <v>34</v>
      </c>
      <c r="T41" s="536">
        <f t="shared" si="5"/>
        <v>248.66000000000003</v>
      </c>
    </row>
    <row r="42" spans="1:20">
      <c r="A42" s="552">
        <f t="shared" si="0"/>
        <v>35000</v>
      </c>
      <c r="C42" s="532">
        <v>1</v>
      </c>
      <c r="E42" s="533">
        <f t="shared" si="6"/>
        <v>4880</v>
      </c>
      <c r="G42" s="533">
        <f t="shared" si="1"/>
        <v>35000</v>
      </c>
      <c r="I42" s="533">
        <f t="shared" si="7"/>
        <v>17550000</v>
      </c>
      <c r="K42" s="533">
        <f t="shared" si="2"/>
        <v>9</v>
      </c>
      <c r="M42" s="533">
        <f t="shared" si="3"/>
        <v>17865000</v>
      </c>
      <c r="O42" s="534">
        <f t="shared" si="4"/>
        <v>0.96508111080560899</v>
      </c>
      <c r="P42" s="532">
        <v>35</v>
      </c>
      <c r="T42" s="536">
        <f t="shared" si="5"/>
        <v>255.14000000000001</v>
      </c>
    </row>
    <row r="43" spans="1:20">
      <c r="A43" s="552">
        <f t="shared" si="0"/>
        <v>37000</v>
      </c>
      <c r="C43" s="532">
        <v>1</v>
      </c>
      <c r="E43" s="533">
        <f t="shared" si="6"/>
        <v>4881</v>
      </c>
      <c r="G43" s="533">
        <f t="shared" si="1"/>
        <v>37000</v>
      </c>
      <c r="I43" s="533">
        <f t="shared" si="7"/>
        <v>17587000</v>
      </c>
      <c r="K43" s="533">
        <f t="shared" si="2"/>
        <v>8</v>
      </c>
      <c r="M43" s="533">
        <f t="shared" si="3"/>
        <v>17883000</v>
      </c>
      <c r="O43" s="534">
        <f t="shared" si="4"/>
        <v>0.96711575474292</v>
      </c>
      <c r="P43" s="532">
        <v>37</v>
      </c>
      <c r="T43" s="536">
        <f t="shared" si="5"/>
        <v>268.10000000000002</v>
      </c>
    </row>
    <row r="44" spans="1:20">
      <c r="A44" s="552">
        <f t="shared" si="0"/>
        <v>38000</v>
      </c>
      <c r="C44" s="532">
        <v>1</v>
      </c>
      <c r="E44" s="533">
        <f t="shared" si="6"/>
        <v>4882</v>
      </c>
      <c r="G44" s="533">
        <f t="shared" si="1"/>
        <v>38000</v>
      </c>
      <c r="I44" s="533">
        <f t="shared" si="7"/>
        <v>17625000</v>
      </c>
      <c r="K44" s="533">
        <f t="shared" si="2"/>
        <v>7</v>
      </c>
      <c r="M44" s="533">
        <f t="shared" si="3"/>
        <v>17891000</v>
      </c>
      <c r="O44" s="534">
        <f t="shared" si="4"/>
        <v>0.969205389056915</v>
      </c>
      <c r="P44" s="532">
        <v>38</v>
      </c>
      <c r="T44" s="536">
        <f t="shared" si="5"/>
        <v>274.58000000000004</v>
      </c>
    </row>
    <row r="45" spans="1:20">
      <c r="A45" s="552">
        <f t="shared" si="0"/>
        <v>40000</v>
      </c>
      <c r="C45" s="532">
        <v>1</v>
      </c>
      <c r="E45" s="533">
        <f t="shared" si="6"/>
        <v>4883</v>
      </c>
      <c r="G45" s="533">
        <f t="shared" si="1"/>
        <v>40000</v>
      </c>
      <c r="I45" s="533">
        <f t="shared" si="7"/>
        <v>17665000</v>
      </c>
      <c r="K45" s="533">
        <f t="shared" si="2"/>
        <v>6</v>
      </c>
      <c r="M45" s="533">
        <f t="shared" si="3"/>
        <v>17905000</v>
      </c>
      <c r="O45" s="534">
        <f t="shared" si="4"/>
        <v>0.97140500412427822</v>
      </c>
      <c r="P45" s="532">
        <v>40</v>
      </c>
      <c r="T45" s="536">
        <f t="shared" si="5"/>
        <v>287.54000000000002</v>
      </c>
    </row>
    <row r="46" spans="1:20">
      <c r="A46" s="552">
        <f t="shared" si="0"/>
        <v>43000</v>
      </c>
      <c r="C46" s="532">
        <v>1</v>
      </c>
      <c r="E46" s="533">
        <f t="shared" si="6"/>
        <v>4884</v>
      </c>
      <c r="G46" s="533">
        <f t="shared" si="1"/>
        <v>43000</v>
      </c>
      <c r="I46" s="533">
        <f t="shared" si="7"/>
        <v>17708000</v>
      </c>
      <c r="K46" s="533">
        <f t="shared" si="2"/>
        <v>5</v>
      </c>
      <c r="M46" s="533">
        <f t="shared" si="3"/>
        <v>17923000</v>
      </c>
      <c r="O46" s="534">
        <f t="shared" si="4"/>
        <v>0.97376959032169375</v>
      </c>
      <c r="P46" s="532">
        <v>43</v>
      </c>
      <c r="T46" s="536">
        <f t="shared" si="5"/>
        <v>306.98</v>
      </c>
    </row>
    <row r="47" spans="1:20">
      <c r="A47" s="552">
        <f t="shared" si="0"/>
        <v>49000</v>
      </c>
      <c r="C47" s="532">
        <v>1</v>
      </c>
      <c r="E47" s="533">
        <f t="shared" si="6"/>
        <v>4885</v>
      </c>
      <c r="G47" s="533">
        <f t="shared" si="1"/>
        <v>49000</v>
      </c>
      <c r="I47" s="533">
        <f t="shared" si="7"/>
        <v>17757000</v>
      </c>
      <c r="K47" s="533">
        <f t="shared" si="2"/>
        <v>4</v>
      </c>
      <c r="M47" s="533">
        <f t="shared" si="3"/>
        <v>17953000</v>
      </c>
      <c r="O47" s="534">
        <f t="shared" si="4"/>
        <v>0.97646411877921369</v>
      </c>
      <c r="P47" s="532">
        <v>49</v>
      </c>
      <c r="T47" s="536">
        <f t="shared" si="5"/>
        <v>345.86</v>
      </c>
    </row>
    <row r="48" spans="1:20">
      <c r="A48" s="552">
        <f t="shared" si="0"/>
        <v>84000</v>
      </c>
      <c r="C48" s="532">
        <v>1</v>
      </c>
      <c r="E48" s="533">
        <f t="shared" si="6"/>
        <v>4886</v>
      </c>
      <c r="G48" s="533">
        <f t="shared" si="1"/>
        <v>84000</v>
      </c>
      <c r="I48" s="533">
        <f t="shared" si="7"/>
        <v>17841000</v>
      </c>
      <c r="K48" s="533">
        <f t="shared" si="2"/>
        <v>3</v>
      </c>
      <c r="M48" s="533">
        <f t="shared" si="3"/>
        <v>18093000</v>
      </c>
      <c r="O48" s="534">
        <f t="shared" si="4"/>
        <v>0.98108331042067642</v>
      </c>
      <c r="P48" s="532">
        <v>84</v>
      </c>
      <c r="T48" s="536">
        <f t="shared" si="5"/>
        <v>548.18000000000006</v>
      </c>
    </row>
    <row r="49" spans="1:20">
      <c r="A49" s="552">
        <f t="shared" si="0"/>
        <v>92000</v>
      </c>
      <c r="C49" s="532">
        <v>1</v>
      </c>
      <c r="E49" s="533">
        <f t="shared" si="6"/>
        <v>4887</v>
      </c>
      <c r="G49" s="533">
        <f t="shared" si="1"/>
        <v>92000</v>
      </c>
      <c r="I49" s="533">
        <f t="shared" si="7"/>
        <v>17933000</v>
      </c>
      <c r="K49" s="533">
        <f t="shared" si="2"/>
        <v>2</v>
      </c>
      <c r="M49" s="533">
        <f t="shared" si="3"/>
        <v>18117000</v>
      </c>
      <c r="O49" s="534">
        <f t="shared" si="4"/>
        <v>0.98614242507561178</v>
      </c>
      <c r="P49" s="532">
        <v>92</v>
      </c>
      <c r="T49" s="536">
        <f t="shared" si="5"/>
        <v>594.26</v>
      </c>
    </row>
    <row r="50" spans="1:20">
      <c r="A50" s="552">
        <f t="shared" si="0"/>
        <v>97000</v>
      </c>
      <c r="C50" s="532">
        <v>1</v>
      </c>
      <c r="E50" s="533">
        <f t="shared" si="6"/>
        <v>4888</v>
      </c>
      <c r="G50" s="533">
        <f t="shared" si="1"/>
        <v>97000</v>
      </c>
      <c r="I50" s="533">
        <f t="shared" si="7"/>
        <v>18030000</v>
      </c>
      <c r="K50" s="533">
        <f t="shared" si="2"/>
        <v>1</v>
      </c>
      <c r="M50" s="533">
        <f t="shared" si="3"/>
        <v>18127000</v>
      </c>
      <c r="O50" s="534">
        <f t="shared" si="4"/>
        <v>0.99147649161396756</v>
      </c>
      <c r="P50" s="532">
        <v>97</v>
      </c>
      <c r="T50" s="536">
        <f t="shared" si="5"/>
        <v>623.05999999999995</v>
      </c>
    </row>
    <row r="51" spans="1:20">
      <c r="A51" s="552">
        <f t="shared" si="0"/>
        <v>155000</v>
      </c>
      <c r="C51" s="532">
        <v>1</v>
      </c>
      <c r="E51" s="533">
        <f t="shared" si="6"/>
        <v>4889</v>
      </c>
      <c r="G51" s="533">
        <f t="shared" si="1"/>
        <v>155000</v>
      </c>
      <c r="I51" s="533">
        <f t="shared" si="7"/>
        <v>18185000</v>
      </c>
      <c r="K51" s="533">
        <f t="shared" si="2"/>
        <v>0</v>
      </c>
      <c r="M51" s="533">
        <f t="shared" si="3"/>
        <v>18185000</v>
      </c>
      <c r="O51" s="534">
        <f t="shared" si="4"/>
        <v>1</v>
      </c>
      <c r="P51" s="532">
        <v>155</v>
      </c>
      <c r="T51" s="536">
        <f t="shared" si="5"/>
        <v>916.99</v>
      </c>
    </row>
    <row r="52" spans="1:20">
      <c r="A52" s="552"/>
      <c r="E52" s="533"/>
      <c r="G52" s="533"/>
      <c r="I52" s="533"/>
      <c r="K52" s="533"/>
      <c r="M52" s="533"/>
      <c r="O52" s="534"/>
      <c r="T52" s="536"/>
    </row>
    <row r="54" spans="1:20">
      <c r="T54" s="539">
        <f>SUM(T10:T44)</f>
        <v>167565.16</v>
      </c>
    </row>
    <row r="55" spans="1:20" hidden="1">
      <c r="T55" s="513">
        <v>114529</v>
      </c>
    </row>
    <row r="56" spans="1:20" hidden="1">
      <c r="T56" s="540">
        <f>T54-T55</f>
        <v>53036.160000000003</v>
      </c>
    </row>
    <row r="57" spans="1:20" hidden="1">
      <c r="T57" s="555">
        <f>T56/T54</f>
        <v>0.31651066367256775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"/>
  <sheetViews>
    <sheetView showGridLines="0" topLeftCell="N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7.1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'16235'!T2</f>
        <v>13.7</v>
      </c>
    </row>
    <row r="3" spans="1:20">
      <c r="A3" s="513" t="s">
        <v>540</v>
      </c>
      <c r="M3" s="520" t="s">
        <v>538</v>
      </c>
      <c r="R3" s="518" t="s">
        <v>274</v>
      </c>
      <c r="S3" s="518"/>
      <c r="T3" s="519">
        <f>'16235'!T3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'16235'!T4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'16235'!T5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'16235'!T6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'16235'!T7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47">
        <v>6</v>
      </c>
      <c r="D10" s="533"/>
      <c r="E10" s="533">
        <f>C10</f>
        <v>6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$E$10-E10</f>
        <v>0</v>
      </c>
      <c r="L10" s="533"/>
      <c r="M10" s="533">
        <f>(A10*K10)+I10</f>
        <v>0</v>
      </c>
      <c r="O10" s="534" t="e">
        <f>I10/$I$10</f>
        <v>#DIV/0!</v>
      </c>
      <c r="P10" s="547">
        <v>0</v>
      </c>
      <c r="R10" s="535"/>
      <c r="S10" s="513"/>
      <c r="T10" s="536">
        <f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82.199999999999989</v>
      </c>
    </row>
    <row r="11" spans="1:20">
      <c r="T11" s="536"/>
    </row>
    <row r="12" spans="1:20">
      <c r="T12" s="554">
        <f>SUM(T10:T10)</f>
        <v>82.199999999999989</v>
      </c>
    </row>
    <row r="13" spans="1:20" hidden="1">
      <c r="T13" s="536">
        <v>54</v>
      </c>
    </row>
    <row r="14" spans="1:20">
      <c r="T14" s="536"/>
    </row>
    <row r="15" spans="1:20">
      <c r="T15" s="536"/>
    </row>
    <row r="16" spans="1:20">
      <c r="T16" s="536"/>
    </row>
    <row r="17" spans="20:20">
      <c r="T17" s="536"/>
    </row>
    <row r="18" spans="20:20">
      <c r="T18" s="536"/>
    </row>
    <row r="19" spans="20:20">
      <c r="T19" s="536"/>
    </row>
    <row r="20" spans="20:20">
      <c r="T20" s="536"/>
    </row>
    <row r="21" spans="20:20">
      <c r="T21" s="536"/>
    </row>
    <row r="22" spans="20:20">
      <c r="T22" s="536"/>
    </row>
    <row r="23" spans="20:20">
      <c r="T23" s="536"/>
    </row>
    <row r="24" spans="20:20">
      <c r="T24" s="536"/>
    </row>
    <row r="25" spans="20:20">
      <c r="T25" s="536"/>
    </row>
    <row r="26" spans="20:20">
      <c r="T26" s="536"/>
    </row>
    <row r="27" spans="20:20">
      <c r="T27" s="536"/>
    </row>
    <row r="28" spans="20:20">
      <c r="T28" s="536"/>
    </row>
    <row r="29" spans="20:20">
      <c r="T29" s="536"/>
    </row>
    <row r="30" spans="20:20">
      <c r="T30" s="536"/>
    </row>
    <row r="31" spans="20:20">
      <c r="T31" s="536"/>
    </row>
    <row r="32" spans="20:20">
      <c r="T32" s="536"/>
    </row>
    <row r="33" spans="20:20">
      <c r="T33" s="536"/>
    </row>
    <row r="34" spans="20:20">
      <c r="T34" s="536"/>
    </row>
    <row r="35" spans="20:20">
      <c r="T35" s="536"/>
    </row>
    <row r="36" spans="20:20">
      <c r="T36" s="536"/>
    </row>
    <row r="37" spans="20:20">
      <c r="T37" s="536"/>
    </row>
    <row r="38" spans="20:20">
      <c r="T38" s="536"/>
    </row>
    <row r="39" spans="20:20">
      <c r="T39" s="536"/>
    </row>
    <row r="40" spans="20:20">
      <c r="T40" s="536"/>
    </row>
    <row r="41" spans="20:20">
      <c r="T41" s="536"/>
    </row>
    <row r="42" spans="20:20">
      <c r="T42" s="536"/>
    </row>
    <row r="43" spans="20:20">
      <c r="T43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8"/>
  <sheetViews>
    <sheetView showGridLines="0" topLeftCell="H7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975</v>
      </c>
      <c r="S2" s="518"/>
      <c r="T2" s="594" t="e">
        <f>'Sch.D&amp;E-REV'!K786</f>
        <v>#REF!</v>
      </c>
    </row>
    <row r="3" spans="1:20">
      <c r="A3" s="513" t="s">
        <v>536</v>
      </c>
      <c r="M3" s="520" t="s">
        <v>524</v>
      </c>
      <c r="R3" s="518" t="s">
        <v>976</v>
      </c>
      <c r="S3" s="518"/>
      <c r="T3" s="595" t="e">
        <f>'Sch.D&amp;E-REV'!D781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277</v>
      </c>
      <c r="S4" s="518"/>
      <c r="T4" s="595" t="e">
        <f>'Sch.D&amp;E-REV'!D782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280</v>
      </c>
      <c r="S5" s="518"/>
      <c r="T5" s="595" t="e">
        <f>'Sch.D&amp;E-REV'!D783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541</v>
      </c>
      <c r="S6" s="518"/>
      <c r="T6" s="595" t="e">
        <f>'Sch.D&amp;E-REV'!D784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24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4" si="1">A10*C10</f>
        <v>0</v>
      </c>
      <c r="H10" s="533"/>
      <c r="I10" s="533">
        <f>G10</f>
        <v>0</v>
      </c>
      <c r="J10" s="533"/>
      <c r="K10" s="533">
        <f t="shared" ref="K10:K24" si="2">$E$24-E10</f>
        <v>22</v>
      </c>
      <c r="L10" s="533"/>
      <c r="M10" s="533">
        <f t="shared" ref="M10:M24" si="3">(A10*K10)+I10</f>
        <v>0</v>
      </c>
      <c r="O10" s="534">
        <f t="shared" ref="O10:O24" si="4">I10/$I$24</f>
        <v>0</v>
      </c>
      <c r="P10" s="532">
        <v>0</v>
      </c>
      <c r="T10" s="536" t="e">
        <f t="shared" ref="T10:T24" si="5">IF(A10&lt;11200,C10*$T$2,IF(A10=11200,C10*$T$2,IF(AND(A10&lt;26000,A10&gt;11200),(C10*$T$2)+((A10-11200)*C10/1000*$T$3),IF(AND(A10&gt;26000,A10&lt;51000),(C10*$T$2)+(13.8*$T$3*C10)+((A10-25000)/1000*$T$4*C10),IF(AND(A10&lt;101000,A10&gt;50000),(C10*$T$2)+(13.8*$T$3*C10)+(25*$T$4*C10)+((A10-50000)/1000*$T$5*C10),IF(A10&gt;100000,(C10*$T$2)+(13.8*$T$3*C10)+(25*$T$4*C10)+(50*$T$5*C10)+((A10-100000)/1000*$T$6*C10)))))))</f>
        <v>#REF!</v>
      </c>
    </row>
    <row r="11" spans="1:20" s="515" customFormat="1">
      <c r="A11" s="552">
        <f t="shared" si="0"/>
        <v>2000</v>
      </c>
      <c r="C11" s="532">
        <v>7</v>
      </c>
      <c r="D11" s="533"/>
      <c r="E11" s="533">
        <f t="shared" ref="E11:E24" si="6">E10+C11</f>
        <v>7</v>
      </c>
      <c r="F11" s="533"/>
      <c r="G11" s="533">
        <f t="shared" si="1"/>
        <v>14000</v>
      </c>
      <c r="H11" s="533"/>
      <c r="I11" s="533">
        <f t="shared" ref="I11:I24" si="7">I10+G11</f>
        <v>14000</v>
      </c>
      <c r="J11" s="533"/>
      <c r="K11" s="533">
        <f t="shared" si="2"/>
        <v>15</v>
      </c>
      <c r="L11" s="533"/>
      <c r="M11" s="533">
        <f t="shared" si="3"/>
        <v>44000</v>
      </c>
      <c r="O11" s="534">
        <f t="shared" si="4"/>
        <v>1.1656952539550375E-2</v>
      </c>
      <c r="P11" s="532">
        <v>2</v>
      </c>
      <c r="T11" s="536" t="e">
        <f t="shared" si="5"/>
        <v>#REF!</v>
      </c>
    </row>
    <row r="12" spans="1:20">
      <c r="A12" s="552">
        <f t="shared" si="0"/>
        <v>3000</v>
      </c>
      <c r="C12" s="532">
        <v>2</v>
      </c>
      <c r="E12" s="533">
        <f t="shared" si="6"/>
        <v>9</v>
      </c>
      <c r="G12" s="533">
        <f t="shared" si="1"/>
        <v>6000</v>
      </c>
      <c r="H12" s="533"/>
      <c r="I12" s="533">
        <f t="shared" si="7"/>
        <v>20000</v>
      </c>
      <c r="K12" s="533">
        <f t="shared" si="2"/>
        <v>13</v>
      </c>
      <c r="M12" s="533">
        <f t="shared" si="3"/>
        <v>59000</v>
      </c>
      <c r="O12" s="534">
        <f t="shared" si="4"/>
        <v>1.665278934221482E-2</v>
      </c>
      <c r="P12" s="532">
        <v>3</v>
      </c>
      <c r="T12" s="536" t="e">
        <f t="shared" si="5"/>
        <v>#REF!</v>
      </c>
    </row>
    <row r="13" spans="1:20">
      <c r="A13" s="552">
        <f t="shared" si="0"/>
        <v>4000</v>
      </c>
      <c r="C13" s="532">
        <v>2</v>
      </c>
      <c r="E13" s="533">
        <f t="shared" si="6"/>
        <v>11</v>
      </c>
      <c r="G13" s="533">
        <f t="shared" si="1"/>
        <v>8000</v>
      </c>
      <c r="H13" s="533"/>
      <c r="I13" s="533">
        <f t="shared" si="7"/>
        <v>28000</v>
      </c>
      <c r="K13" s="533">
        <f t="shared" si="2"/>
        <v>11</v>
      </c>
      <c r="M13" s="533">
        <f t="shared" si="3"/>
        <v>72000</v>
      </c>
      <c r="O13" s="534">
        <f t="shared" si="4"/>
        <v>2.331390507910075E-2</v>
      </c>
      <c r="P13" s="532">
        <v>4</v>
      </c>
      <c r="T13" s="536" t="e">
        <f t="shared" si="5"/>
        <v>#REF!</v>
      </c>
    </row>
    <row r="14" spans="1:20">
      <c r="A14" s="552">
        <f t="shared" si="0"/>
        <v>83000</v>
      </c>
      <c r="C14" s="532">
        <v>1</v>
      </c>
      <c r="E14" s="533">
        <f t="shared" si="6"/>
        <v>12</v>
      </c>
      <c r="G14" s="533">
        <f t="shared" si="1"/>
        <v>83000</v>
      </c>
      <c r="H14" s="533"/>
      <c r="I14" s="533">
        <f t="shared" si="7"/>
        <v>111000</v>
      </c>
      <c r="K14" s="533">
        <f t="shared" si="2"/>
        <v>10</v>
      </c>
      <c r="M14" s="533">
        <f t="shared" si="3"/>
        <v>941000</v>
      </c>
      <c r="O14" s="534">
        <f t="shared" si="4"/>
        <v>9.2422980849292263E-2</v>
      </c>
      <c r="P14" s="532">
        <v>83</v>
      </c>
      <c r="T14" s="536" t="e">
        <f t="shared" si="5"/>
        <v>#REF!</v>
      </c>
    </row>
    <row r="15" spans="1:20">
      <c r="A15" s="552">
        <f t="shared" si="0"/>
        <v>84000</v>
      </c>
      <c r="C15" s="532">
        <v>1</v>
      </c>
      <c r="E15" s="533">
        <f t="shared" si="6"/>
        <v>13</v>
      </c>
      <c r="G15" s="533">
        <f t="shared" si="1"/>
        <v>84000</v>
      </c>
      <c r="H15" s="533"/>
      <c r="I15" s="533">
        <f t="shared" si="7"/>
        <v>195000</v>
      </c>
      <c r="K15" s="533">
        <f t="shared" si="2"/>
        <v>9</v>
      </c>
      <c r="M15" s="533">
        <f t="shared" si="3"/>
        <v>951000</v>
      </c>
      <c r="O15" s="534">
        <f t="shared" si="4"/>
        <v>0.16236469608659451</v>
      </c>
      <c r="P15" s="532">
        <v>84</v>
      </c>
      <c r="T15" s="536" t="e">
        <f t="shared" si="5"/>
        <v>#REF!</v>
      </c>
    </row>
    <row r="16" spans="1:20">
      <c r="A16" s="552">
        <f t="shared" si="0"/>
        <v>87000</v>
      </c>
      <c r="C16" s="532">
        <v>1</v>
      </c>
      <c r="E16" s="533">
        <f t="shared" si="6"/>
        <v>14</v>
      </c>
      <c r="G16" s="533">
        <f t="shared" si="1"/>
        <v>87000</v>
      </c>
      <c r="H16" s="533"/>
      <c r="I16" s="533">
        <f t="shared" si="7"/>
        <v>282000</v>
      </c>
      <c r="K16" s="533">
        <f t="shared" si="2"/>
        <v>8</v>
      </c>
      <c r="M16" s="533">
        <f t="shared" si="3"/>
        <v>978000</v>
      </c>
      <c r="O16" s="534">
        <f t="shared" si="4"/>
        <v>0.23480432972522897</v>
      </c>
      <c r="P16" s="532">
        <v>87</v>
      </c>
      <c r="T16" s="536" t="e">
        <f t="shared" si="5"/>
        <v>#REF!</v>
      </c>
    </row>
    <row r="17" spans="1:20">
      <c r="A17" s="552">
        <f t="shared" si="0"/>
        <v>95000</v>
      </c>
      <c r="C17" s="532">
        <v>1</v>
      </c>
      <c r="E17" s="533">
        <f t="shared" si="6"/>
        <v>15</v>
      </c>
      <c r="G17" s="533">
        <f t="shared" si="1"/>
        <v>95000</v>
      </c>
      <c r="H17" s="533"/>
      <c r="I17" s="533">
        <f t="shared" si="7"/>
        <v>377000</v>
      </c>
      <c r="K17" s="533">
        <f t="shared" si="2"/>
        <v>7</v>
      </c>
      <c r="M17" s="533">
        <f t="shared" si="3"/>
        <v>1042000</v>
      </c>
      <c r="O17" s="534">
        <f t="shared" si="4"/>
        <v>0.31390507910074938</v>
      </c>
      <c r="P17" s="532">
        <v>95</v>
      </c>
      <c r="T17" s="536" t="e">
        <f t="shared" si="5"/>
        <v>#REF!</v>
      </c>
    </row>
    <row r="18" spans="1:20">
      <c r="A18" s="552">
        <f t="shared" si="0"/>
        <v>97000</v>
      </c>
      <c r="C18" s="532">
        <v>1</v>
      </c>
      <c r="E18" s="533">
        <f t="shared" si="6"/>
        <v>16</v>
      </c>
      <c r="G18" s="533">
        <f t="shared" si="1"/>
        <v>97000</v>
      </c>
      <c r="H18" s="533"/>
      <c r="I18" s="533">
        <f t="shared" si="7"/>
        <v>474000</v>
      </c>
      <c r="K18" s="533">
        <f t="shared" si="2"/>
        <v>6</v>
      </c>
      <c r="M18" s="533">
        <f t="shared" si="3"/>
        <v>1056000</v>
      </c>
      <c r="O18" s="534">
        <f t="shared" si="4"/>
        <v>0.39467110741049127</v>
      </c>
      <c r="P18" s="532">
        <v>97</v>
      </c>
      <c r="T18" s="536" t="e">
        <f t="shared" si="5"/>
        <v>#REF!</v>
      </c>
    </row>
    <row r="19" spans="1:20">
      <c r="A19" s="552">
        <f t="shared" si="0"/>
        <v>104000</v>
      </c>
      <c r="C19" s="532">
        <v>1</v>
      </c>
      <c r="E19" s="533">
        <f t="shared" si="6"/>
        <v>17</v>
      </c>
      <c r="G19" s="533">
        <f t="shared" si="1"/>
        <v>104000</v>
      </c>
      <c r="H19" s="533"/>
      <c r="I19" s="533">
        <f t="shared" si="7"/>
        <v>578000</v>
      </c>
      <c r="K19" s="533">
        <f t="shared" si="2"/>
        <v>5</v>
      </c>
      <c r="M19" s="533">
        <f t="shared" si="3"/>
        <v>1098000</v>
      </c>
      <c r="O19" s="534">
        <f t="shared" si="4"/>
        <v>0.48126561199000834</v>
      </c>
      <c r="P19" s="532">
        <v>104</v>
      </c>
      <c r="T19" s="536" t="e">
        <f t="shared" si="5"/>
        <v>#REF!</v>
      </c>
    </row>
    <row r="20" spans="1:20">
      <c r="A20" s="552">
        <f t="shared" si="0"/>
        <v>106000</v>
      </c>
      <c r="C20" s="532">
        <v>1</v>
      </c>
      <c r="E20" s="533">
        <f t="shared" si="6"/>
        <v>18</v>
      </c>
      <c r="G20" s="533">
        <f t="shared" si="1"/>
        <v>106000</v>
      </c>
      <c r="H20" s="533"/>
      <c r="I20" s="533">
        <f t="shared" si="7"/>
        <v>684000</v>
      </c>
      <c r="K20" s="533">
        <f t="shared" si="2"/>
        <v>4</v>
      </c>
      <c r="M20" s="533">
        <f t="shared" si="3"/>
        <v>1108000</v>
      </c>
      <c r="O20" s="534">
        <f t="shared" si="4"/>
        <v>0.56952539550374692</v>
      </c>
      <c r="P20" s="532">
        <v>106</v>
      </c>
      <c r="T20" s="536" t="e">
        <f t="shared" si="5"/>
        <v>#REF!</v>
      </c>
    </row>
    <row r="21" spans="1:20">
      <c r="A21" s="552">
        <f t="shared" si="0"/>
        <v>115000</v>
      </c>
      <c r="C21" s="532">
        <v>1</v>
      </c>
      <c r="E21" s="533">
        <f t="shared" si="6"/>
        <v>19</v>
      </c>
      <c r="G21" s="533">
        <f t="shared" si="1"/>
        <v>115000</v>
      </c>
      <c r="H21" s="533"/>
      <c r="I21" s="533">
        <f t="shared" si="7"/>
        <v>799000</v>
      </c>
      <c r="K21" s="533">
        <f t="shared" si="2"/>
        <v>3</v>
      </c>
      <c r="M21" s="533">
        <f t="shared" si="3"/>
        <v>1144000</v>
      </c>
      <c r="O21" s="534">
        <f t="shared" si="4"/>
        <v>0.6652789342214821</v>
      </c>
      <c r="P21" s="532">
        <v>115</v>
      </c>
      <c r="T21" s="536" t="e">
        <f t="shared" si="5"/>
        <v>#REF!</v>
      </c>
    </row>
    <row r="22" spans="1:20">
      <c r="A22" s="552">
        <f t="shared" si="0"/>
        <v>122000</v>
      </c>
      <c r="C22" s="532">
        <v>1</v>
      </c>
      <c r="E22" s="533">
        <f t="shared" si="6"/>
        <v>20</v>
      </c>
      <c r="G22" s="533">
        <f t="shared" si="1"/>
        <v>122000</v>
      </c>
      <c r="H22" s="533"/>
      <c r="I22" s="533">
        <f t="shared" si="7"/>
        <v>921000</v>
      </c>
      <c r="K22" s="533">
        <f t="shared" si="2"/>
        <v>2</v>
      </c>
      <c r="M22" s="533">
        <f t="shared" si="3"/>
        <v>1165000</v>
      </c>
      <c r="O22" s="534">
        <f t="shared" si="4"/>
        <v>0.7668609492089925</v>
      </c>
      <c r="P22" s="532">
        <v>122</v>
      </c>
      <c r="T22" s="536" t="e">
        <f t="shared" si="5"/>
        <v>#REF!</v>
      </c>
    </row>
    <row r="23" spans="1:20">
      <c r="A23" s="552">
        <f t="shared" si="0"/>
        <v>137000</v>
      </c>
      <c r="C23" s="532">
        <v>1</v>
      </c>
      <c r="E23" s="533">
        <f t="shared" si="6"/>
        <v>21</v>
      </c>
      <c r="G23" s="533">
        <f t="shared" si="1"/>
        <v>137000</v>
      </c>
      <c r="H23" s="533"/>
      <c r="I23" s="533">
        <f t="shared" si="7"/>
        <v>1058000</v>
      </c>
      <c r="K23" s="533">
        <f t="shared" si="2"/>
        <v>1</v>
      </c>
      <c r="M23" s="533">
        <f t="shared" si="3"/>
        <v>1195000</v>
      </c>
      <c r="O23" s="534">
        <f t="shared" si="4"/>
        <v>0.88093255620316402</v>
      </c>
      <c r="P23" s="532">
        <v>137</v>
      </c>
      <c r="T23" s="536" t="e">
        <f t="shared" si="5"/>
        <v>#REF!</v>
      </c>
    </row>
    <row r="24" spans="1:20">
      <c r="A24" s="552">
        <f t="shared" si="0"/>
        <v>143000</v>
      </c>
      <c r="C24" s="532">
        <v>1</v>
      </c>
      <c r="E24" s="533">
        <f t="shared" si="6"/>
        <v>22</v>
      </c>
      <c r="G24" s="533">
        <f t="shared" si="1"/>
        <v>143000</v>
      </c>
      <c r="H24" s="533"/>
      <c r="I24" s="533">
        <f t="shared" si="7"/>
        <v>1201000</v>
      </c>
      <c r="K24" s="533">
        <f t="shared" si="2"/>
        <v>0</v>
      </c>
      <c r="M24" s="533">
        <f t="shared" si="3"/>
        <v>1201000</v>
      </c>
      <c r="O24" s="534">
        <f t="shared" si="4"/>
        <v>1</v>
      </c>
      <c r="P24" s="532">
        <v>143</v>
      </c>
      <c r="T24" s="536" t="e">
        <f t="shared" si="5"/>
        <v>#REF!</v>
      </c>
    </row>
    <row r="25" spans="1:20">
      <c r="A25" s="552"/>
    </row>
    <row r="26" spans="1:20">
      <c r="A26" s="552"/>
      <c r="T26" s="539" t="e">
        <f>SUM(T10:T24)</f>
        <v>#REF!</v>
      </c>
    </row>
    <row r="27" spans="1:20" hidden="1">
      <c r="A27" s="552"/>
      <c r="T27" s="513">
        <v>5521</v>
      </c>
    </row>
    <row r="28" spans="1:20" hidden="1">
      <c r="A28" s="552"/>
      <c r="T28" s="540" t="e">
        <f>T26-T27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0"/>
  <sheetViews>
    <sheetView showGridLines="0" topLeftCell="H4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'16236'!T2</f>
        <v>13.7</v>
      </c>
    </row>
    <row r="3" spans="1:20">
      <c r="A3" s="513" t="s">
        <v>542</v>
      </c>
      <c r="M3" s="520" t="s">
        <v>538</v>
      </c>
      <c r="R3" s="518" t="s">
        <v>274</v>
      </c>
      <c r="S3" s="518"/>
      <c r="T3" s="519">
        <f>'16236'!T3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'16236'!T4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'16236'!T5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'16236'!T6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'16236'!T7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5" si="0">P10*1000</f>
        <v>0</v>
      </c>
      <c r="C10" s="532">
        <v>69</v>
      </c>
      <c r="D10" s="533"/>
      <c r="E10" s="533">
        <f>C10</f>
        <v>69</v>
      </c>
      <c r="F10" s="533"/>
      <c r="G10" s="533">
        <f t="shared" ref="G10:G25" si="1">A10*C10</f>
        <v>0</v>
      </c>
      <c r="H10" s="533"/>
      <c r="I10" s="533">
        <f>G10</f>
        <v>0</v>
      </c>
      <c r="J10" s="533"/>
      <c r="K10" s="533">
        <f t="shared" ref="K10:K25" si="2">$E$25-E10</f>
        <v>61</v>
      </c>
      <c r="L10" s="533"/>
      <c r="M10" s="533">
        <f t="shared" ref="M10:M25" si="3">(A10*K10)+I10</f>
        <v>0</v>
      </c>
      <c r="O10" s="534">
        <f t="shared" ref="O10:O25" si="4">I10/$I$25</f>
        <v>0</v>
      </c>
      <c r="P10" s="532">
        <v>0</v>
      </c>
      <c r="R10" s="535"/>
      <c r="S10" s="513"/>
      <c r="T10" s="536">
        <f t="shared" ref="T10:T25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945.3</v>
      </c>
    </row>
    <row r="11" spans="1:20" s="515" customFormat="1">
      <c r="A11" s="552">
        <f t="shared" si="0"/>
        <v>1000</v>
      </c>
      <c r="C11" s="532">
        <v>27</v>
      </c>
      <c r="D11" s="533"/>
      <c r="E11" s="533">
        <f t="shared" ref="E11:E25" si="6">E10+C11</f>
        <v>96</v>
      </c>
      <c r="F11" s="533"/>
      <c r="G11" s="533">
        <f t="shared" si="1"/>
        <v>27000</v>
      </c>
      <c r="H11" s="533"/>
      <c r="I11" s="533">
        <f t="shared" ref="I11:I25" si="7">I10+G11</f>
        <v>27000</v>
      </c>
      <c r="J11" s="533"/>
      <c r="K11" s="533">
        <f t="shared" si="2"/>
        <v>34</v>
      </c>
      <c r="L11" s="533"/>
      <c r="M11" s="533">
        <f t="shared" si="3"/>
        <v>61000</v>
      </c>
      <c r="O11" s="534">
        <f t="shared" si="4"/>
        <v>8.8524590163934422E-2</v>
      </c>
      <c r="P11" s="532">
        <v>1</v>
      </c>
      <c r="R11" s="535"/>
      <c r="S11" s="513"/>
      <c r="T11" s="536">
        <f t="shared" si="5"/>
        <v>369.9</v>
      </c>
    </row>
    <row r="12" spans="1:20" s="515" customFormat="1">
      <c r="A12" s="552">
        <f t="shared" si="0"/>
        <v>2000</v>
      </c>
      <c r="C12" s="532">
        <v>5</v>
      </c>
      <c r="D12" s="533"/>
      <c r="E12" s="533">
        <f t="shared" si="6"/>
        <v>101</v>
      </c>
      <c r="F12" s="533"/>
      <c r="G12" s="533">
        <f t="shared" si="1"/>
        <v>10000</v>
      </c>
      <c r="H12" s="533"/>
      <c r="I12" s="533">
        <f t="shared" si="7"/>
        <v>37000</v>
      </c>
      <c r="J12" s="533"/>
      <c r="K12" s="533">
        <f t="shared" si="2"/>
        <v>29</v>
      </c>
      <c r="L12" s="533"/>
      <c r="M12" s="533">
        <f t="shared" si="3"/>
        <v>95000</v>
      </c>
      <c r="O12" s="534">
        <f t="shared" si="4"/>
        <v>0.12131147540983607</v>
      </c>
      <c r="P12" s="532">
        <v>2</v>
      </c>
      <c r="T12" s="536">
        <f t="shared" si="5"/>
        <v>107.3</v>
      </c>
    </row>
    <row r="13" spans="1:20">
      <c r="A13" s="552">
        <f t="shared" si="0"/>
        <v>3000</v>
      </c>
      <c r="C13" s="532">
        <v>5</v>
      </c>
      <c r="E13" s="533">
        <f t="shared" si="6"/>
        <v>106</v>
      </c>
      <c r="G13" s="533">
        <f t="shared" si="1"/>
        <v>15000</v>
      </c>
      <c r="I13" s="533">
        <f t="shared" si="7"/>
        <v>52000</v>
      </c>
      <c r="K13" s="533">
        <f t="shared" si="2"/>
        <v>24</v>
      </c>
      <c r="M13" s="533">
        <f t="shared" si="3"/>
        <v>124000</v>
      </c>
      <c r="O13" s="534">
        <f t="shared" si="4"/>
        <v>0.17049180327868851</v>
      </c>
      <c r="P13" s="532">
        <v>3</v>
      </c>
      <c r="T13" s="536">
        <f t="shared" si="5"/>
        <v>146.1</v>
      </c>
    </row>
    <row r="14" spans="1:20">
      <c r="A14" s="552">
        <f t="shared" si="0"/>
        <v>4000</v>
      </c>
      <c r="C14" s="532">
        <v>1</v>
      </c>
      <c r="E14" s="533">
        <f t="shared" si="6"/>
        <v>107</v>
      </c>
      <c r="G14" s="533">
        <f t="shared" si="1"/>
        <v>4000</v>
      </c>
      <c r="I14" s="533">
        <f t="shared" si="7"/>
        <v>56000</v>
      </c>
      <c r="K14" s="533">
        <f t="shared" si="2"/>
        <v>23</v>
      </c>
      <c r="M14" s="533">
        <f t="shared" si="3"/>
        <v>148000</v>
      </c>
      <c r="O14" s="534">
        <f t="shared" si="4"/>
        <v>0.18360655737704917</v>
      </c>
      <c r="P14" s="532">
        <v>4</v>
      </c>
      <c r="T14" s="536">
        <f t="shared" si="5"/>
        <v>36.980000000000004</v>
      </c>
    </row>
    <row r="15" spans="1:20">
      <c r="A15" s="552">
        <f t="shared" si="0"/>
        <v>6000</v>
      </c>
      <c r="C15" s="532">
        <v>3</v>
      </c>
      <c r="E15" s="533">
        <f t="shared" si="6"/>
        <v>110</v>
      </c>
      <c r="G15" s="533">
        <f t="shared" si="1"/>
        <v>18000</v>
      </c>
      <c r="I15" s="533">
        <f t="shared" si="7"/>
        <v>74000</v>
      </c>
      <c r="K15" s="533">
        <f t="shared" si="2"/>
        <v>20</v>
      </c>
      <c r="M15" s="533">
        <f t="shared" si="3"/>
        <v>194000</v>
      </c>
      <c r="O15" s="534">
        <f t="shared" si="4"/>
        <v>0.24262295081967214</v>
      </c>
      <c r="P15" s="532">
        <v>6</v>
      </c>
      <c r="T15" s="536">
        <f t="shared" si="5"/>
        <v>157.5</v>
      </c>
    </row>
    <row r="16" spans="1:20">
      <c r="A16" s="552">
        <f t="shared" si="0"/>
        <v>7000</v>
      </c>
      <c r="C16" s="532">
        <v>5</v>
      </c>
      <c r="E16" s="533">
        <f t="shared" si="6"/>
        <v>115</v>
      </c>
      <c r="G16" s="533">
        <f t="shared" si="1"/>
        <v>35000</v>
      </c>
      <c r="I16" s="533">
        <f t="shared" si="7"/>
        <v>109000</v>
      </c>
      <c r="K16" s="533">
        <f t="shared" si="2"/>
        <v>15</v>
      </c>
      <c r="M16" s="533">
        <f t="shared" si="3"/>
        <v>214000</v>
      </c>
      <c r="O16" s="534">
        <f t="shared" si="4"/>
        <v>0.35737704918032787</v>
      </c>
      <c r="P16" s="532">
        <v>7</v>
      </c>
      <c r="T16" s="536">
        <f t="shared" si="5"/>
        <v>301.29999999999995</v>
      </c>
    </row>
    <row r="17" spans="1:20">
      <c r="A17" s="552">
        <f t="shared" si="0"/>
        <v>8000</v>
      </c>
      <c r="C17" s="532">
        <v>2</v>
      </c>
      <c r="E17" s="533">
        <f t="shared" si="6"/>
        <v>117</v>
      </c>
      <c r="G17" s="533">
        <f t="shared" si="1"/>
        <v>16000</v>
      </c>
      <c r="I17" s="533">
        <f t="shared" si="7"/>
        <v>125000</v>
      </c>
      <c r="K17" s="533">
        <f t="shared" si="2"/>
        <v>13</v>
      </c>
      <c r="M17" s="533">
        <f t="shared" si="3"/>
        <v>229000</v>
      </c>
      <c r="O17" s="534">
        <f t="shared" si="4"/>
        <v>0.4098360655737705</v>
      </c>
      <c r="P17" s="532">
        <v>8</v>
      </c>
      <c r="T17" s="536">
        <f t="shared" si="5"/>
        <v>136.04</v>
      </c>
    </row>
    <row r="18" spans="1:20">
      <c r="A18" s="552">
        <f t="shared" si="0"/>
        <v>10000</v>
      </c>
      <c r="C18" s="532">
        <v>3</v>
      </c>
      <c r="E18" s="533">
        <f t="shared" si="6"/>
        <v>120</v>
      </c>
      <c r="G18" s="533">
        <f t="shared" si="1"/>
        <v>30000</v>
      </c>
      <c r="I18" s="533">
        <f t="shared" si="7"/>
        <v>155000</v>
      </c>
      <c r="K18" s="533">
        <f t="shared" si="2"/>
        <v>10</v>
      </c>
      <c r="M18" s="533">
        <f t="shared" si="3"/>
        <v>255000</v>
      </c>
      <c r="O18" s="534">
        <f t="shared" si="4"/>
        <v>0.50819672131147542</v>
      </c>
      <c r="P18" s="532">
        <v>10</v>
      </c>
      <c r="T18" s="536">
        <f t="shared" si="5"/>
        <v>250.61999999999998</v>
      </c>
    </row>
    <row r="19" spans="1:20">
      <c r="A19" s="552">
        <f t="shared" si="0"/>
        <v>11000</v>
      </c>
      <c r="C19" s="532">
        <v>2</v>
      </c>
      <c r="E19" s="533">
        <f t="shared" si="6"/>
        <v>122</v>
      </c>
      <c r="G19" s="533">
        <f t="shared" si="1"/>
        <v>22000</v>
      </c>
      <c r="I19" s="533">
        <f t="shared" si="7"/>
        <v>177000</v>
      </c>
      <c r="K19" s="533">
        <f t="shared" si="2"/>
        <v>8</v>
      </c>
      <c r="M19" s="533">
        <f t="shared" si="3"/>
        <v>265000</v>
      </c>
      <c r="O19" s="534">
        <f t="shared" si="4"/>
        <v>0.58032786885245902</v>
      </c>
      <c r="P19" s="532">
        <v>11</v>
      </c>
      <c r="T19" s="536">
        <f t="shared" si="5"/>
        <v>181.32000000000002</v>
      </c>
    </row>
    <row r="20" spans="1:20">
      <c r="A20" s="552">
        <f t="shared" si="0"/>
        <v>12000</v>
      </c>
      <c r="C20" s="532">
        <v>2</v>
      </c>
      <c r="E20" s="533">
        <f t="shared" si="6"/>
        <v>124</v>
      </c>
      <c r="G20" s="533">
        <f t="shared" si="1"/>
        <v>24000</v>
      </c>
      <c r="I20" s="533">
        <f t="shared" si="7"/>
        <v>201000</v>
      </c>
      <c r="K20" s="533">
        <f t="shared" si="2"/>
        <v>6</v>
      </c>
      <c r="M20" s="533">
        <f t="shared" si="3"/>
        <v>273000</v>
      </c>
      <c r="O20" s="534">
        <f t="shared" si="4"/>
        <v>0.65901639344262297</v>
      </c>
      <c r="P20" s="532">
        <v>12</v>
      </c>
      <c r="T20" s="536">
        <f t="shared" si="5"/>
        <v>195.56</v>
      </c>
    </row>
    <row r="21" spans="1:20">
      <c r="A21" s="552">
        <f t="shared" si="0"/>
        <v>14000</v>
      </c>
      <c r="C21" s="532">
        <v>2</v>
      </c>
      <c r="E21" s="533">
        <f t="shared" si="6"/>
        <v>126</v>
      </c>
      <c r="G21" s="533">
        <f t="shared" si="1"/>
        <v>28000</v>
      </c>
      <c r="I21" s="533">
        <f t="shared" si="7"/>
        <v>229000</v>
      </c>
      <c r="K21" s="533">
        <f t="shared" si="2"/>
        <v>4</v>
      </c>
      <c r="M21" s="533">
        <f t="shared" si="3"/>
        <v>285000</v>
      </c>
      <c r="O21" s="534">
        <f t="shared" si="4"/>
        <v>0.75081967213114753</v>
      </c>
      <c r="P21" s="532">
        <v>14</v>
      </c>
      <c r="T21" s="536">
        <f t="shared" si="5"/>
        <v>224.04000000000002</v>
      </c>
    </row>
    <row r="22" spans="1:20">
      <c r="A22" s="552">
        <f t="shared" si="0"/>
        <v>15000</v>
      </c>
      <c r="C22" s="532">
        <v>1</v>
      </c>
      <c r="E22" s="533">
        <f t="shared" si="6"/>
        <v>127</v>
      </c>
      <c r="G22" s="513">
        <f t="shared" si="1"/>
        <v>15000</v>
      </c>
      <c r="I22" s="533">
        <f t="shared" si="7"/>
        <v>244000</v>
      </c>
      <c r="K22" s="533">
        <f t="shared" si="2"/>
        <v>3</v>
      </c>
      <c r="M22" s="533">
        <f t="shared" si="3"/>
        <v>289000</v>
      </c>
      <c r="O22" s="534">
        <f t="shared" si="4"/>
        <v>0.8</v>
      </c>
      <c r="P22" s="532">
        <v>15</v>
      </c>
      <c r="T22" s="536">
        <f t="shared" si="5"/>
        <v>119.14000000000001</v>
      </c>
    </row>
    <row r="23" spans="1:20">
      <c r="A23" s="552">
        <f t="shared" si="0"/>
        <v>16000</v>
      </c>
      <c r="C23" s="532">
        <v>1</v>
      </c>
      <c r="E23" s="533">
        <f t="shared" si="6"/>
        <v>128</v>
      </c>
      <c r="G23" s="513">
        <f t="shared" si="1"/>
        <v>16000</v>
      </c>
      <c r="I23" s="533">
        <f t="shared" si="7"/>
        <v>260000</v>
      </c>
      <c r="K23" s="533">
        <f t="shared" si="2"/>
        <v>2</v>
      </c>
      <c r="M23" s="533">
        <f t="shared" si="3"/>
        <v>292000</v>
      </c>
      <c r="O23" s="534">
        <f t="shared" si="4"/>
        <v>0.85245901639344257</v>
      </c>
      <c r="P23" s="532">
        <v>16</v>
      </c>
      <c r="T23" s="536">
        <f t="shared" si="5"/>
        <v>126.26</v>
      </c>
    </row>
    <row r="24" spans="1:20">
      <c r="A24" s="552">
        <f t="shared" si="0"/>
        <v>17000</v>
      </c>
      <c r="C24" s="532">
        <v>1</v>
      </c>
      <c r="E24" s="533">
        <f t="shared" si="6"/>
        <v>129</v>
      </c>
      <c r="G24" s="513">
        <f t="shared" si="1"/>
        <v>17000</v>
      </c>
      <c r="I24" s="533">
        <f t="shared" si="7"/>
        <v>277000</v>
      </c>
      <c r="K24" s="533">
        <f t="shared" si="2"/>
        <v>1</v>
      </c>
      <c r="M24" s="533">
        <f t="shared" si="3"/>
        <v>294000</v>
      </c>
      <c r="O24" s="534">
        <f t="shared" si="4"/>
        <v>0.90819672131147544</v>
      </c>
      <c r="P24" s="532">
        <v>17</v>
      </c>
      <c r="T24" s="536">
        <f t="shared" si="5"/>
        <v>133.38</v>
      </c>
    </row>
    <row r="25" spans="1:20">
      <c r="A25" s="552">
        <f t="shared" si="0"/>
        <v>28000</v>
      </c>
      <c r="C25" s="532">
        <v>1</v>
      </c>
      <c r="E25" s="533">
        <f t="shared" si="6"/>
        <v>130</v>
      </c>
      <c r="G25" s="513">
        <f t="shared" si="1"/>
        <v>28000</v>
      </c>
      <c r="I25" s="533">
        <f t="shared" si="7"/>
        <v>305000</v>
      </c>
      <c r="K25" s="533">
        <f t="shared" si="2"/>
        <v>0</v>
      </c>
      <c r="M25" s="533">
        <f t="shared" si="3"/>
        <v>305000</v>
      </c>
      <c r="O25" s="534">
        <f t="shared" si="4"/>
        <v>1</v>
      </c>
      <c r="P25" s="532">
        <v>28</v>
      </c>
      <c r="T25" s="536">
        <f t="shared" si="5"/>
        <v>209.78</v>
      </c>
    </row>
    <row r="27" spans="1:20">
      <c r="T27" s="539">
        <f>SUM(T10:T25)</f>
        <v>3640.52</v>
      </c>
    </row>
    <row r="28" spans="1:20" hidden="1">
      <c r="T28" s="513">
        <v>2400</v>
      </c>
    </row>
    <row r="29" spans="1:20" hidden="1">
      <c r="T29" s="540">
        <f>T27-T28</f>
        <v>1240.52</v>
      </c>
    </row>
    <row r="30" spans="1:20" hidden="1">
      <c r="T30" s="555">
        <f>T29/T27</f>
        <v>0.34075351872809378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view="pageBreakPreview" zoomScale="85" zoomScaleNormal="100" zoomScaleSheetLayoutView="85" workbookViewId="0">
      <selection activeCell="H29" sqref="H29"/>
    </sheetView>
  </sheetViews>
  <sheetFormatPr defaultRowHeight="13.5"/>
  <cols>
    <col min="1" max="1" width="3.75" style="1718" customWidth="1"/>
    <col min="2" max="2" width="2.75" style="1718" bestFit="1" customWidth="1"/>
    <col min="3" max="3" width="3.25" style="1718" customWidth="1"/>
    <col min="4" max="4" width="2.625" style="1718" customWidth="1"/>
    <col min="5" max="5" width="13" style="1718" bestFit="1" customWidth="1"/>
    <col min="6" max="6" width="4.5" style="1718" bestFit="1" customWidth="1"/>
    <col min="7" max="7" width="9.875" style="1718" bestFit="1" customWidth="1"/>
    <col min="8" max="8" width="10.75" style="1718" bestFit="1" customWidth="1"/>
    <col min="9" max="9" width="10.125" style="1718" bestFit="1" customWidth="1"/>
    <col min="10" max="10" width="9.125" style="1718" bestFit="1" customWidth="1"/>
    <col min="11" max="11" width="3" style="1718" customWidth="1"/>
    <col min="12" max="12" width="12" style="1718" bestFit="1" customWidth="1"/>
    <col min="13" max="13" width="10.25" style="1718" bestFit="1" customWidth="1"/>
    <col min="14" max="16384" width="9" style="1718"/>
  </cols>
  <sheetData>
    <row r="1" spans="1:13" ht="15">
      <c r="A1" s="1711" t="str">
        <f>+'Sch.B-I.S'!A1</f>
        <v>WATER SERVICE CORPORATION OF KENTUCKY</v>
      </c>
      <c r="B1" s="1712"/>
      <c r="C1" s="1713"/>
      <c r="D1" s="1712"/>
      <c r="E1" s="1712"/>
      <c r="F1" s="1712"/>
      <c r="G1" s="1712"/>
      <c r="H1" s="1712"/>
      <c r="I1" s="1712"/>
      <c r="M1" s="1714" t="s">
        <v>2134</v>
      </c>
    </row>
    <row r="2" spans="1:13" ht="15">
      <c r="A2" s="1715" t="s">
        <v>1963</v>
      </c>
      <c r="B2" s="1712"/>
      <c r="C2" s="1715"/>
      <c r="D2" s="1715"/>
      <c r="E2" s="1715"/>
      <c r="F2" s="1715"/>
      <c r="G2" s="1715"/>
      <c r="H2" s="1712"/>
      <c r="I2" s="1712"/>
      <c r="J2" s="1712"/>
    </row>
    <row r="4" spans="1:13" ht="16.5">
      <c r="A4" s="1719">
        <v>1</v>
      </c>
      <c r="B4" s="1712" t="s">
        <v>909</v>
      </c>
      <c r="C4" s="1787" t="s">
        <v>2135</v>
      </c>
      <c r="D4" s="1787"/>
      <c r="E4" s="1787"/>
      <c r="F4" s="1787"/>
      <c r="G4" s="1787"/>
      <c r="H4" s="1787"/>
      <c r="I4" s="1787"/>
      <c r="J4" s="1787"/>
      <c r="K4" s="1787"/>
      <c r="L4" s="1787"/>
      <c r="M4" s="1787"/>
    </row>
    <row r="5" spans="1:13" ht="15">
      <c r="A5" s="1719">
        <f>+A4+1</f>
        <v>2</v>
      </c>
      <c r="B5" s="1712"/>
      <c r="C5" s="1713"/>
      <c r="D5" s="1712"/>
      <c r="E5" s="1712"/>
      <c r="F5" s="1712"/>
      <c r="G5" s="1712"/>
      <c r="H5" s="1712"/>
      <c r="I5" s="1712"/>
      <c r="J5" s="1712"/>
      <c r="K5" s="1712"/>
    </row>
    <row r="6" spans="1:13" ht="15">
      <c r="A6" s="1719">
        <f t="shared" ref="A6:A35" si="0">+A5+1</f>
        <v>3</v>
      </c>
      <c r="B6" s="1712"/>
      <c r="C6" s="1713"/>
      <c r="D6" s="1712"/>
      <c r="E6" s="1712"/>
      <c r="F6" s="1712"/>
      <c r="G6" s="1712"/>
      <c r="H6" s="1712"/>
      <c r="I6" s="1712"/>
      <c r="J6" s="1712"/>
      <c r="K6" s="1712"/>
    </row>
    <row r="7" spans="1:13" ht="16.5">
      <c r="A7" s="1719">
        <f t="shared" si="0"/>
        <v>4</v>
      </c>
      <c r="B7" s="1712"/>
      <c r="C7" s="1788" t="s">
        <v>2136</v>
      </c>
      <c r="D7" s="1788"/>
      <c r="E7" s="1788"/>
      <c r="F7" s="1716" t="s">
        <v>2137</v>
      </c>
      <c r="G7" s="1716"/>
      <c r="H7" s="1717" t="s">
        <v>2138</v>
      </c>
      <c r="I7" s="1717" t="s">
        <v>822</v>
      </c>
      <c r="J7" s="1717" t="s">
        <v>104</v>
      </c>
      <c r="K7" s="1712"/>
      <c r="L7" s="1717" t="s">
        <v>2145</v>
      </c>
      <c r="M7" s="1717" t="s">
        <v>670</v>
      </c>
    </row>
    <row r="8" spans="1:13" ht="15">
      <c r="A8" s="1719">
        <f t="shared" si="0"/>
        <v>5</v>
      </c>
    </row>
    <row r="9" spans="1:13" ht="15">
      <c r="A9" s="1719">
        <f t="shared" si="0"/>
        <v>6</v>
      </c>
      <c r="C9" s="1718" t="s">
        <v>368</v>
      </c>
    </row>
    <row r="10" spans="1:13" ht="15">
      <c r="A10" s="1719">
        <f t="shared" si="0"/>
        <v>7</v>
      </c>
      <c r="E10" s="1718" t="s">
        <v>2143</v>
      </c>
      <c r="F10" s="1718" t="s">
        <v>2139</v>
      </c>
      <c r="G10" s="1720">
        <f>+'wp-p3-alloc of State computers'!C70</f>
        <v>45816.600000000006</v>
      </c>
      <c r="I10" s="1720"/>
      <c r="J10" s="1720"/>
    </row>
    <row r="11" spans="1:13" ht="15">
      <c r="A11" s="1719">
        <f t="shared" si="0"/>
        <v>8</v>
      </c>
      <c r="E11" s="1718" t="s">
        <v>2144</v>
      </c>
      <c r="F11" s="1718" t="s">
        <v>2140</v>
      </c>
      <c r="G11" s="1720">
        <f>+'wp-p4-alloc of WSC computers'!C103</f>
        <v>728345.90058684372</v>
      </c>
      <c r="I11" s="1720"/>
      <c r="J11" s="1720"/>
    </row>
    <row r="12" spans="1:13" ht="15">
      <c r="A12" s="1719">
        <f t="shared" si="0"/>
        <v>9</v>
      </c>
      <c r="D12" s="1718" t="s">
        <v>101</v>
      </c>
      <c r="H12" s="1720">
        <f>SUM(G10:G11)</f>
        <v>774162.5005868437</v>
      </c>
      <c r="I12" s="1720">
        <f>+H12*1</f>
        <v>774162.5005868437</v>
      </c>
      <c r="J12" s="1720">
        <f>+H12*0</f>
        <v>0</v>
      </c>
      <c r="L12" s="1721">
        <f>+'Linked TB'!E80</f>
        <v>774162.51</v>
      </c>
      <c r="M12" s="1721">
        <f>+H12-L12</f>
        <v>-9.4131563091650605E-3</v>
      </c>
    </row>
    <row r="13" spans="1:13" ht="15">
      <c r="A13" s="1719">
        <f t="shared" si="0"/>
        <v>10</v>
      </c>
      <c r="D13" s="1718" t="s">
        <v>508</v>
      </c>
      <c r="F13" s="1718" t="s">
        <v>2141</v>
      </c>
      <c r="H13" s="1720">
        <f>+'wp-p2 Allocation of Vehicles'!I50</f>
        <v>262426.14957358979</v>
      </c>
      <c r="I13" s="1720">
        <f>+H13*1</f>
        <v>262426.14957358979</v>
      </c>
      <c r="J13" s="1720">
        <f>+H13*0</f>
        <v>0</v>
      </c>
      <c r="L13" s="1721">
        <f>+'Linked TB'!E73</f>
        <v>573846.25</v>
      </c>
      <c r="M13" s="1721">
        <f>+H13-L13</f>
        <v>-311420.10042641021</v>
      </c>
    </row>
    <row r="14" spans="1:13" ht="15">
      <c r="A14" s="1719"/>
      <c r="D14" s="1718" t="s">
        <v>2170</v>
      </c>
      <c r="F14" s="1718" t="s">
        <v>2182</v>
      </c>
      <c r="H14" s="1720">
        <f>+'wp-p5 Recon Summary'!E39</f>
        <v>36282.689999998169</v>
      </c>
      <c r="I14" s="1720">
        <f>+H14*1</f>
        <v>36282.689999998169</v>
      </c>
      <c r="J14" s="1720">
        <f>+H14*0</f>
        <v>0</v>
      </c>
      <c r="L14" s="1721"/>
      <c r="M14" s="1721">
        <f>+H14</f>
        <v>36282.689999998169</v>
      </c>
    </row>
    <row r="15" spans="1:13" ht="15">
      <c r="A15" s="1719">
        <f>+A13+1</f>
        <v>11</v>
      </c>
      <c r="H15" s="1722"/>
      <c r="I15" s="1722"/>
      <c r="J15" s="1722"/>
      <c r="L15" s="1723"/>
      <c r="M15" s="1723"/>
    </row>
    <row r="16" spans="1:13" ht="15">
      <c r="A16" s="1719">
        <f t="shared" si="0"/>
        <v>12</v>
      </c>
      <c r="C16" s="1718" t="s">
        <v>589</v>
      </c>
      <c r="H16" s="1720">
        <f>SUM(H9:H15)</f>
        <v>1072871.3401604316</v>
      </c>
      <c r="I16" s="1720">
        <f>SUM(I9:I15)</f>
        <v>1072871.3401604316</v>
      </c>
      <c r="J16" s="1720">
        <f>SUM(J9:J15)</f>
        <v>0</v>
      </c>
      <c r="L16" s="1720">
        <f>SUM(L9:L15)</f>
        <v>1348008.76</v>
      </c>
      <c r="M16" s="1720">
        <f>SUM(M9:M15)</f>
        <v>-275137.41983956832</v>
      </c>
    </row>
    <row r="17" spans="1:13" ht="15">
      <c r="A17" s="1719">
        <f t="shared" si="0"/>
        <v>13</v>
      </c>
      <c r="H17" s="1720"/>
      <c r="I17" s="1720"/>
      <c r="J17" s="1720"/>
      <c r="M17" s="1721"/>
    </row>
    <row r="18" spans="1:13" ht="15">
      <c r="A18" s="1719">
        <f t="shared" si="0"/>
        <v>14</v>
      </c>
      <c r="H18" s="1720"/>
      <c r="I18" s="1720"/>
      <c r="J18" s="1720"/>
      <c r="M18" s="1721"/>
    </row>
    <row r="19" spans="1:13" ht="15">
      <c r="A19" s="1719">
        <f t="shared" si="0"/>
        <v>15</v>
      </c>
      <c r="C19" s="1718" t="s">
        <v>2068</v>
      </c>
      <c r="H19" s="1720"/>
      <c r="I19" s="1720"/>
      <c r="J19" s="1720"/>
      <c r="M19" s="1721"/>
    </row>
    <row r="20" spans="1:13" ht="15">
      <c r="A20" s="1719">
        <f t="shared" si="0"/>
        <v>16</v>
      </c>
      <c r="E20" s="1718" t="s">
        <v>2143</v>
      </c>
      <c r="F20" s="1718" t="s">
        <v>2139</v>
      </c>
      <c r="G20" s="1720">
        <f>+'wp-p3-alloc of State computers'!I70</f>
        <v>-45816.600000000006</v>
      </c>
      <c r="I20" s="1720"/>
      <c r="J20" s="1720"/>
      <c r="M20" s="1721"/>
    </row>
    <row r="21" spans="1:13" ht="15">
      <c r="A21" s="1719">
        <f t="shared" si="0"/>
        <v>17</v>
      </c>
      <c r="E21" s="1718" t="s">
        <v>2144</v>
      </c>
      <c r="F21" s="1718" t="s">
        <v>2140</v>
      </c>
      <c r="G21" s="1720">
        <f>+'wp-p4-alloc of WSC computers'!J103</f>
        <v>-484094.47544199735</v>
      </c>
      <c r="I21" s="1720"/>
      <c r="J21" s="1720"/>
      <c r="M21" s="1721"/>
    </row>
    <row r="22" spans="1:13" ht="15">
      <c r="A22" s="1719">
        <f t="shared" si="0"/>
        <v>18</v>
      </c>
      <c r="D22" s="1718" t="s">
        <v>101</v>
      </c>
      <c r="H22" s="1720">
        <f>SUM(G20:G21)</f>
        <v>-529911.07544199738</v>
      </c>
      <c r="I22" s="1720">
        <f t="shared" ref="I22" si="1">+H22*1</f>
        <v>-529911.07544199738</v>
      </c>
      <c r="J22" s="1720">
        <f>+H22*0</f>
        <v>0</v>
      </c>
      <c r="L22" s="1721">
        <f>+'Linked TB'!E156+'Linked TB'!E157</f>
        <v>-107658.76</v>
      </c>
      <c r="M22" s="1721">
        <f>+H22-L22</f>
        <v>-422252.31544199737</v>
      </c>
    </row>
    <row r="23" spans="1:13" ht="15">
      <c r="A23" s="1719">
        <f t="shared" si="0"/>
        <v>19</v>
      </c>
      <c r="D23" s="1718" t="s">
        <v>508</v>
      </c>
      <c r="F23" s="1718" t="s">
        <v>2141</v>
      </c>
      <c r="H23" s="1720">
        <f>+'wp-p2 Allocation of Vehicles'!M50</f>
        <v>-230666.2245735898</v>
      </c>
      <c r="I23" s="1720">
        <f>+H23*1</f>
        <v>-230666.2245735898</v>
      </c>
      <c r="J23" s="1720">
        <f>+H23*0</f>
        <v>0</v>
      </c>
      <c r="L23" s="1721">
        <f>+'Linked TB'!E155</f>
        <v>-492673.95</v>
      </c>
      <c r="M23" s="1721">
        <f>+H23-L23</f>
        <v>262007.72542641021</v>
      </c>
    </row>
    <row r="24" spans="1:13" ht="15">
      <c r="A24" s="1719"/>
      <c r="D24" s="1718" t="s">
        <v>2170</v>
      </c>
      <c r="F24" s="1718" t="s">
        <v>2182</v>
      </c>
      <c r="H24" s="1720">
        <f>+'wp-p5 Recon Summary'!M39</f>
        <v>522733.6230999995</v>
      </c>
      <c r="I24" s="1720"/>
      <c r="J24" s="1720"/>
      <c r="L24" s="1721"/>
      <c r="M24" s="1721">
        <f>+H24</f>
        <v>522733.6230999995</v>
      </c>
    </row>
    <row r="25" spans="1:13" ht="15">
      <c r="A25" s="1719">
        <f>+A23+1</f>
        <v>20</v>
      </c>
      <c r="H25" s="1722"/>
      <c r="I25" s="1722"/>
      <c r="J25" s="1722"/>
      <c r="L25" s="1724"/>
      <c r="M25" s="1723"/>
    </row>
    <row r="26" spans="1:13" ht="15">
      <c r="A26" s="1719">
        <f t="shared" si="0"/>
        <v>21</v>
      </c>
      <c r="C26" s="1718" t="s">
        <v>2142</v>
      </c>
      <c r="H26" s="1721">
        <f>SUM(H20:H25)</f>
        <v>-237843.67691558762</v>
      </c>
      <c r="I26" s="1721">
        <f>SUM(I20:I25)</f>
        <v>-760577.30001558713</v>
      </c>
      <c r="J26" s="1721">
        <f>SUM(J20:J25)</f>
        <v>0</v>
      </c>
      <c r="L26" s="1721">
        <f>SUM(L20:L25)</f>
        <v>-600332.71</v>
      </c>
      <c r="M26" s="1721">
        <f>SUM(M20:M25)</f>
        <v>362489.03308441234</v>
      </c>
    </row>
    <row r="27" spans="1:13" ht="15">
      <c r="A27" s="1719">
        <f t="shared" si="0"/>
        <v>22</v>
      </c>
      <c r="H27" s="1720"/>
      <c r="I27" s="1720"/>
      <c r="J27" s="1720"/>
      <c r="M27" s="1721"/>
    </row>
    <row r="28" spans="1:13" ht="15">
      <c r="A28" s="1719">
        <f t="shared" si="0"/>
        <v>23</v>
      </c>
      <c r="H28" s="1720"/>
      <c r="I28" s="1720"/>
      <c r="J28" s="1720"/>
    </row>
    <row r="29" spans="1:13" ht="15">
      <c r="A29" s="1719">
        <f t="shared" si="0"/>
        <v>24</v>
      </c>
      <c r="C29" s="1718" t="s">
        <v>891</v>
      </c>
      <c r="H29" s="1720"/>
      <c r="I29" s="1720"/>
      <c r="J29" s="1720"/>
    </row>
    <row r="30" spans="1:13" ht="15">
      <c r="A30" s="1719">
        <f t="shared" si="0"/>
        <v>25</v>
      </c>
      <c r="D30" s="1718" t="s">
        <v>2146</v>
      </c>
      <c r="F30" s="1718" t="s">
        <v>2182</v>
      </c>
      <c r="H30" s="1721">
        <f>+'wp-p5 Recon Summary'!E71+'wp-p5 Recon Summary'!M71</f>
        <v>-7104.8270999999877</v>
      </c>
      <c r="I30" s="1720">
        <f>+H30*1</f>
        <v>-7104.8270999999877</v>
      </c>
      <c r="J30" s="1720">
        <f>+H30*0</f>
        <v>0</v>
      </c>
      <c r="L30" s="1725"/>
      <c r="M30" s="1721">
        <f>+H30-L30</f>
        <v>-7104.8270999999877</v>
      </c>
    </row>
    <row r="31" spans="1:13" ht="15">
      <c r="A31" s="1719">
        <f t="shared" si="0"/>
        <v>26</v>
      </c>
    </row>
    <row r="32" spans="1:13" ht="15">
      <c r="A32" s="1719">
        <f t="shared" si="0"/>
        <v>27</v>
      </c>
    </row>
    <row r="33" spans="1:13" ht="15">
      <c r="A33" s="1719">
        <f t="shared" si="0"/>
        <v>28</v>
      </c>
      <c r="C33" s="1718" t="s">
        <v>1134</v>
      </c>
    </row>
    <row r="34" spans="1:13" ht="15">
      <c r="A34" s="1719">
        <f t="shared" si="0"/>
        <v>29</v>
      </c>
      <c r="D34" s="1718" t="s">
        <v>2146</v>
      </c>
      <c r="F34" s="1718" t="s">
        <v>2182</v>
      </c>
      <c r="H34" s="1721">
        <f>+'wp-p5 Recon Summary'!E75+'wp-p5 Recon Summary'!M75</f>
        <v>32354.543550000002</v>
      </c>
      <c r="I34" s="1720">
        <f>+H34*1</f>
        <v>32354.543550000002</v>
      </c>
      <c r="J34" s="1720">
        <f>+H34*0</f>
        <v>0</v>
      </c>
      <c r="L34" s="1725"/>
      <c r="M34" s="1721">
        <f>+H34-L34</f>
        <v>32354.543550000002</v>
      </c>
    </row>
    <row r="35" spans="1:13" ht="15">
      <c r="A35" s="1719">
        <f t="shared" si="0"/>
        <v>30</v>
      </c>
    </row>
  </sheetData>
  <mergeCells count="2">
    <mergeCell ref="C4:M4"/>
    <mergeCell ref="C7:E7"/>
  </mergeCells>
  <pageMargins left="0.7" right="0.7" top="0.75" bottom="0.75" header="0.3" footer="0.3"/>
  <pageSetup scale="8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0"/>
  <sheetViews>
    <sheetView showGridLines="0" topLeftCell="H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">
        <v>972</v>
      </c>
      <c r="S2" s="518"/>
      <c r="T2" s="519">
        <v>47.06</v>
      </c>
    </row>
    <row r="3" spans="1:20">
      <c r="A3" s="513" t="s">
        <v>534</v>
      </c>
      <c r="M3" s="520" t="s">
        <v>523</v>
      </c>
      <c r="R3" s="519" t="s">
        <v>973</v>
      </c>
      <c r="S3" s="518"/>
      <c r="T3" s="519"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">
        <v>862</v>
      </c>
      <c r="S4" s="518"/>
      <c r="T4" s="519"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">
        <v>863</v>
      </c>
      <c r="S5" s="518"/>
      <c r="T5" s="519"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">
        <v>864</v>
      </c>
      <c r="S6" s="518"/>
      <c r="T6" s="519"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 t="s">
        <v>876</v>
      </c>
      <c r="S7" s="518"/>
      <c r="T7" s="519"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15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5" si="1">A10*C10</f>
        <v>0</v>
      </c>
      <c r="H10" s="533"/>
      <c r="I10" s="533">
        <f>G10</f>
        <v>0</v>
      </c>
      <c r="J10" s="533"/>
      <c r="K10" s="533">
        <f t="shared" ref="K10:K15" si="2">$E$15-E10</f>
        <v>22</v>
      </c>
      <c r="L10" s="533"/>
      <c r="M10" s="533">
        <f t="shared" ref="M10:M15" si="3">(A10*K10)+I10</f>
        <v>0</v>
      </c>
      <c r="O10" s="534">
        <f t="shared" ref="O10:O15" si="4">I10/$I$15</f>
        <v>0</v>
      </c>
      <c r="P10" s="532">
        <v>0</v>
      </c>
      <c r="T10" s="536">
        <f t="shared" ref="T10:T15" si="5">IF(A10&lt;5300,C10*$T$2,IF(A10=5300,C10*$T$2,IF(AND(A10&lt;11000,A10&gt;5300),(C10*$T$2)+((A10-5300)*C10/1000*$T$3),IF(AND(A10&gt;10000,A10&lt;26000),(C10*$T$2)+(4.7*$T$3*C10)+((A10-10000)/1000*$T$4*C10),IF(AND(A10&lt;51000,A10&gt;25000),(C10*$T$2)+(4.7*$T$3*C10)+(15*$T$4*C10)+((A10-25000)/1000*$T$5*C10),IF(AND(A10&lt;101000,A10&gt;50000),(C10*$T$2)+(4.7*$T$3*C10)+(15*$T$4*C10)+(25*$T$5*C10)+((A10-50000)/1000*$T$6*C10),IF(A10&gt;100000,(C10*$T$2)+(4.7*$T$3*C10)+(15*$T$4*C10)+(25*$T$5*C10)+(50*$T$6*C10)+((A10-100000)/1000*$T$7*C10))))))))</f>
        <v>0</v>
      </c>
    </row>
    <row r="11" spans="1:20" s="515" customFormat="1">
      <c r="A11" s="552">
        <f t="shared" si="0"/>
        <v>1000</v>
      </c>
      <c r="C11" s="532">
        <v>4</v>
      </c>
      <c r="D11" s="533"/>
      <c r="E11" s="533">
        <f>E10+C11</f>
        <v>4</v>
      </c>
      <c r="F11" s="533"/>
      <c r="G11" s="533">
        <f t="shared" si="1"/>
        <v>4000</v>
      </c>
      <c r="H11" s="533"/>
      <c r="I11" s="533">
        <f>I10+G11</f>
        <v>4000</v>
      </c>
      <c r="J11" s="533"/>
      <c r="K11" s="533">
        <f t="shared" si="2"/>
        <v>18</v>
      </c>
      <c r="L11" s="533"/>
      <c r="M11" s="533">
        <f t="shared" si="3"/>
        <v>22000</v>
      </c>
      <c r="O11" s="534">
        <f t="shared" si="4"/>
        <v>6.3492063492063489E-2</v>
      </c>
      <c r="P11" s="532">
        <v>1</v>
      </c>
      <c r="T11" s="536">
        <f t="shared" si="5"/>
        <v>188.24</v>
      </c>
    </row>
    <row r="12" spans="1:20" s="515" customFormat="1">
      <c r="A12" s="552">
        <f t="shared" si="0"/>
        <v>2000</v>
      </c>
      <c r="C12" s="532">
        <v>7</v>
      </c>
      <c r="D12" s="533"/>
      <c r="E12" s="533">
        <f>E11+C12</f>
        <v>11</v>
      </c>
      <c r="F12" s="533"/>
      <c r="G12" s="533">
        <f t="shared" si="1"/>
        <v>14000</v>
      </c>
      <c r="H12" s="533"/>
      <c r="I12" s="533">
        <f>I11+G12</f>
        <v>18000</v>
      </c>
      <c r="J12" s="533"/>
      <c r="K12" s="533">
        <f t="shared" si="2"/>
        <v>11</v>
      </c>
      <c r="L12" s="533"/>
      <c r="M12" s="533">
        <f t="shared" si="3"/>
        <v>40000</v>
      </c>
      <c r="O12" s="534">
        <f t="shared" si="4"/>
        <v>0.2857142857142857</v>
      </c>
      <c r="P12" s="532">
        <v>2</v>
      </c>
      <c r="T12" s="536">
        <f t="shared" si="5"/>
        <v>329.42</v>
      </c>
    </row>
    <row r="13" spans="1:20">
      <c r="A13" s="552">
        <f t="shared" si="0"/>
        <v>3000</v>
      </c>
      <c r="C13" s="532">
        <v>6</v>
      </c>
      <c r="E13" s="533">
        <f>E12+C13</f>
        <v>17</v>
      </c>
      <c r="G13" s="533">
        <f t="shared" si="1"/>
        <v>18000</v>
      </c>
      <c r="I13" s="533">
        <f>I12+G13</f>
        <v>36000</v>
      </c>
      <c r="K13" s="533">
        <f t="shared" si="2"/>
        <v>5</v>
      </c>
      <c r="M13" s="533">
        <f t="shared" si="3"/>
        <v>51000</v>
      </c>
      <c r="O13" s="534">
        <f t="shared" si="4"/>
        <v>0.5714285714285714</v>
      </c>
      <c r="P13" s="532">
        <v>3</v>
      </c>
      <c r="T13" s="536">
        <f t="shared" si="5"/>
        <v>282.36</v>
      </c>
    </row>
    <row r="14" spans="1:20">
      <c r="A14" s="552">
        <f t="shared" si="0"/>
        <v>4000</v>
      </c>
      <c r="C14" s="532">
        <v>4</v>
      </c>
      <c r="E14" s="533">
        <f>E13+C14</f>
        <v>21</v>
      </c>
      <c r="G14" s="533">
        <f t="shared" si="1"/>
        <v>16000</v>
      </c>
      <c r="I14" s="533">
        <f>I13+G14</f>
        <v>52000</v>
      </c>
      <c r="K14" s="533">
        <f t="shared" si="2"/>
        <v>1</v>
      </c>
      <c r="M14" s="533">
        <f t="shared" si="3"/>
        <v>56000</v>
      </c>
      <c r="O14" s="534">
        <f t="shared" si="4"/>
        <v>0.82539682539682535</v>
      </c>
      <c r="P14" s="532">
        <v>4</v>
      </c>
      <c r="T14" s="536">
        <f t="shared" si="5"/>
        <v>188.24</v>
      </c>
    </row>
    <row r="15" spans="1:20">
      <c r="A15" s="552">
        <f t="shared" si="0"/>
        <v>11000</v>
      </c>
      <c r="C15" s="532">
        <v>1</v>
      </c>
      <c r="E15" s="533">
        <f>E14+C15</f>
        <v>22</v>
      </c>
      <c r="G15" s="533">
        <f t="shared" si="1"/>
        <v>11000</v>
      </c>
      <c r="I15" s="533">
        <f>I14+G15</f>
        <v>63000</v>
      </c>
      <c r="K15" s="533">
        <f t="shared" si="2"/>
        <v>0</v>
      </c>
      <c r="M15" s="533">
        <f t="shared" si="3"/>
        <v>63000</v>
      </c>
      <c r="O15" s="534">
        <f t="shared" si="4"/>
        <v>1</v>
      </c>
      <c r="P15" s="532">
        <v>11</v>
      </c>
      <c r="T15" s="536">
        <f t="shared" si="5"/>
        <v>90.652000000000015</v>
      </c>
    </row>
    <row r="16" spans="1:20">
      <c r="T16" s="536"/>
    </row>
    <row r="17" spans="20:20">
      <c r="T17" s="554">
        <f>SUM(T10:T15)</f>
        <v>1078.912</v>
      </c>
    </row>
    <row r="18" spans="20:20" hidden="1">
      <c r="T18" s="536">
        <v>713</v>
      </c>
    </row>
    <row r="19" spans="20:20" hidden="1">
      <c r="T19" s="536">
        <f>T17-T18</f>
        <v>365.91200000000003</v>
      </c>
    </row>
    <row r="20" spans="20:20" hidden="1">
      <c r="T20" s="555">
        <f>T19/T17</f>
        <v>0.33914906869142247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5"/>
  <sheetViews>
    <sheetView showGridLines="0" topLeftCell="H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1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'16242'!T2</f>
        <v>13.7</v>
      </c>
    </row>
    <row r="3" spans="1:20">
      <c r="A3" s="513" t="s">
        <v>536</v>
      </c>
      <c r="M3" s="520" t="s">
        <v>538</v>
      </c>
      <c r="R3" s="518" t="s">
        <v>274</v>
      </c>
      <c r="S3" s="518"/>
      <c r="T3" s="519">
        <f>'16242'!T3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'16242'!T4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'16242'!T5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'16242'!T6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'16242'!T7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0" si="0">P10*1000</f>
        <v>0</v>
      </c>
      <c r="C10" s="532">
        <v>12</v>
      </c>
      <c r="D10" s="533"/>
      <c r="E10" s="533">
        <f>C10</f>
        <v>12</v>
      </c>
      <c r="F10" s="533"/>
      <c r="G10" s="533">
        <f t="shared" ref="G10:G20" si="1">A10*C10</f>
        <v>0</v>
      </c>
      <c r="H10" s="533"/>
      <c r="I10" s="533">
        <f>G10</f>
        <v>0</v>
      </c>
      <c r="J10" s="533"/>
      <c r="K10" s="533">
        <f t="shared" ref="K10:K20" si="2">$E$20-E10</f>
        <v>43</v>
      </c>
      <c r="L10" s="533"/>
      <c r="M10" s="533">
        <f t="shared" ref="M10:M20" si="3">(A10*K10)+I10</f>
        <v>0</v>
      </c>
      <c r="O10" s="534">
        <f t="shared" ref="O10:O20" si="4">I10/$I$20</f>
        <v>0</v>
      </c>
      <c r="P10" s="532">
        <v>0</v>
      </c>
      <c r="R10" s="535"/>
      <c r="S10" s="513"/>
      <c r="T10" s="536">
        <f t="shared" ref="T10:T20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164.39999999999998</v>
      </c>
    </row>
    <row r="11" spans="1:20" s="515" customFormat="1">
      <c r="A11" s="552">
        <f t="shared" si="0"/>
        <v>1000</v>
      </c>
      <c r="C11" s="532">
        <v>5</v>
      </c>
      <c r="D11" s="533"/>
      <c r="E11" s="533">
        <f t="shared" ref="E11:E20" si="6">E10+C11</f>
        <v>17</v>
      </c>
      <c r="F11" s="533"/>
      <c r="G11" s="533">
        <f t="shared" si="1"/>
        <v>5000</v>
      </c>
      <c r="H11" s="533"/>
      <c r="I11" s="533">
        <f t="shared" ref="I11:I20" si="7">I10+G11</f>
        <v>5000</v>
      </c>
      <c r="J11" s="533"/>
      <c r="K11" s="533">
        <f t="shared" si="2"/>
        <v>38</v>
      </c>
      <c r="L11" s="533"/>
      <c r="M11" s="533">
        <f t="shared" si="3"/>
        <v>43000</v>
      </c>
      <c r="O11" s="534">
        <f t="shared" si="4"/>
        <v>2.9411764705882353E-2</v>
      </c>
      <c r="P11" s="532">
        <v>1</v>
      </c>
      <c r="R11" s="535"/>
      <c r="S11" s="513"/>
      <c r="T11" s="536">
        <f t="shared" si="5"/>
        <v>68.5</v>
      </c>
    </row>
    <row r="12" spans="1:20">
      <c r="A12" s="552">
        <f t="shared" si="0"/>
        <v>2000</v>
      </c>
      <c r="C12" s="532">
        <v>13</v>
      </c>
      <c r="E12" s="533">
        <f t="shared" si="6"/>
        <v>30</v>
      </c>
      <c r="G12" s="533">
        <f t="shared" si="1"/>
        <v>26000</v>
      </c>
      <c r="H12" s="533"/>
      <c r="I12" s="533">
        <f t="shared" si="7"/>
        <v>31000</v>
      </c>
      <c r="K12" s="533">
        <f t="shared" si="2"/>
        <v>25</v>
      </c>
      <c r="M12" s="533">
        <f t="shared" si="3"/>
        <v>81000</v>
      </c>
      <c r="O12" s="534">
        <f t="shared" si="4"/>
        <v>0.18235294117647058</v>
      </c>
      <c r="P12" s="532">
        <v>2</v>
      </c>
      <c r="R12" s="515"/>
      <c r="S12" s="515"/>
      <c r="T12" s="536">
        <f t="shared" si="5"/>
        <v>278.98</v>
      </c>
    </row>
    <row r="13" spans="1:20">
      <c r="A13" s="552">
        <f t="shared" si="0"/>
        <v>3000</v>
      </c>
      <c r="C13" s="532">
        <v>8</v>
      </c>
      <c r="E13" s="533">
        <f t="shared" si="6"/>
        <v>38</v>
      </c>
      <c r="G13" s="533">
        <f t="shared" si="1"/>
        <v>24000</v>
      </c>
      <c r="H13" s="533"/>
      <c r="I13" s="533">
        <f t="shared" si="7"/>
        <v>55000</v>
      </c>
      <c r="K13" s="533">
        <f t="shared" si="2"/>
        <v>17</v>
      </c>
      <c r="M13" s="533">
        <f t="shared" si="3"/>
        <v>106000</v>
      </c>
      <c r="O13" s="534">
        <f t="shared" si="4"/>
        <v>0.3235294117647059</v>
      </c>
      <c r="P13" s="532">
        <v>3</v>
      </c>
      <c r="T13" s="536">
        <f t="shared" si="5"/>
        <v>233.76</v>
      </c>
    </row>
    <row r="14" spans="1:20">
      <c r="A14" s="552">
        <f t="shared" si="0"/>
        <v>4000</v>
      </c>
      <c r="C14" s="532">
        <v>7</v>
      </c>
      <c r="E14" s="533">
        <f t="shared" si="6"/>
        <v>45</v>
      </c>
      <c r="G14" s="533">
        <f t="shared" si="1"/>
        <v>28000</v>
      </c>
      <c r="H14" s="533"/>
      <c r="I14" s="533">
        <f t="shared" si="7"/>
        <v>83000</v>
      </c>
      <c r="K14" s="533">
        <f t="shared" si="2"/>
        <v>10</v>
      </c>
      <c r="M14" s="533">
        <f t="shared" si="3"/>
        <v>123000</v>
      </c>
      <c r="O14" s="534">
        <f t="shared" si="4"/>
        <v>0.48823529411764705</v>
      </c>
      <c r="P14" s="532">
        <v>4</v>
      </c>
      <c r="T14" s="536">
        <f t="shared" si="5"/>
        <v>258.86</v>
      </c>
    </row>
    <row r="15" spans="1:20">
      <c r="A15" s="552">
        <f t="shared" si="0"/>
        <v>5000</v>
      </c>
      <c r="C15" s="532">
        <v>1</v>
      </c>
      <c r="E15" s="533">
        <f t="shared" si="6"/>
        <v>46</v>
      </c>
      <c r="G15" s="533">
        <f t="shared" si="1"/>
        <v>5000</v>
      </c>
      <c r="H15" s="533"/>
      <c r="I15" s="533">
        <f t="shared" si="7"/>
        <v>88000</v>
      </c>
      <c r="K15" s="533">
        <f t="shared" si="2"/>
        <v>9</v>
      </c>
      <c r="M15" s="533">
        <f t="shared" si="3"/>
        <v>133000</v>
      </c>
      <c r="O15" s="534">
        <f t="shared" si="4"/>
        <v>0.51764705882352946</v>
      </c>
      <c r="P15" s="532">
        <v>5</v>
      </c>
      <c r="T15" s="536">
        <f t="shared" si="5"/>
        <v>44.739999999999995</v>
      </c>
    </row>
    <row r="16" spans="1:20">
      <c r="A16" s="552">
        <f t="shared" si="0"/>
        <v>6000</v>
      </c>
      <c r="C16" s="532">
        <v>4</v>
      </c>
      <c r="E16" s="533">
        <f t="shared" si="6"/>
        <v>50</v>
      </c>
      <c r="G16" s="533">
        <f t="shared" si="1"/>
        <v>24000</v>
      </c>
      <c r="H16" s="533"/>
      <c r="I16" s="533">
        <f t="shared" si="7"/>
        <v>112000</v>
      </c>
      <c r="K16" s="533">
        <f t="shared" si="2"/>
        <v>5</v>
      </c>
      <c r="M16" s="533">
        <f t="shared" si="3"/>
        <v>142000</v>
      </c>
      <c r="O16" s="534">
        <f t="shared" si="4"/>
        <v>0.6588235294117647</v>
      </c>
      <c r="P16" s="532">
        <v>6</v>
      </c>
      <c r="T16" s="536">
        <f t="shared" si="5"/>
        <v>210</v>
      </c>
    </row>
    <row r="17" spans="1:20">
      <c r="A17" s="552">
        <f t="shared" si="0"/>
        <v>7000</v>
      </c>
      <c r="C17" s="532">
        <v>2</v>
      </c>
      <c r="E17" s="533">
        <f t="shared" si="6"/>
        <v>52</v>
      </c>
      <c r="G17" s="533">
        <f t="shared" si="1"/>
        <v>14000</v>
      </c>
      <c r="H17" s="533"/>
      <c r="I17" s="533">
        <f t="shared" si="7"/>
        <v>126000</v>
      </c>
      <c r="K17" s="533">
        <f t="shared" si="2"/>
        <v>3</v>
      </c>
      <c r="M17" s="533">
        <f t="shared" si="3"/>
        <v>147000</v>
      </c>
      <c r="O17" s="534">
        <f t="shared" si="4"/>
        <v>0.74117647058823533</v>
      </c>
      <c r="P17" s="532">
        <v>7</v>
      </c>
      <c r="T17" s="536">
        <f t="shared" si="5"/>
        <v>120.52000000000001</v>
      </c>
    </row>
    <row r="18" spans="1:20">
      <c r="A18" s="552">
        <f t="shared" si="0"/>
        <v>8000</v>
      </c>
      <c r="C18" s="532">
        <v>1</v>
      </c>
      <c r="E18" s="533">
        <f t="shared" si="6"/>
        <v>53</v>
      </c>
      <c r="G18" s="533">
        <f t="shared" si="1"/>
        <v>8000</v>
      </c>
      <c r="H18" s="533"/>
      <c r="I18" s="533">
        <f t="shared" si="7"/>
        <v>134000</v>
      </c>
      <c r="K18" s="533">
        <f t="shared" si="2"/>
        <v>2</v>
      </c>
      <c r="M18" s="533">
        <f t="shared" si="3"/>
        <v>150000</v>
      </c>
      <c r="O18" s="534">
        <f t="shared" si="4"/>
        <v>0.78823529411764703</v>
      </c>
      <c r="P18" s="532">
        <v>8</v>
      </c>
      <c r="T18" s="536">
        <f t="shared" si="5"/>
        <v>68.02</v>
      </c>
    </row>
    <row r="19" spans="1:20">
      <c r="A19" s="552">
        <f t="shared" si="0"/>
        <v>11000</v>
      </c>
      <c r="C19" s="532">
        <v>1</v>
      </c>
      <c r="E19" s="533">
        <f t="shared" si="6"/>
        <v>54</v>
      </c>
      <c r="G19" s="533">
        <f t="shared" si="1"/>
        <v>11000</v>
      </c>
      <c r="H19" s="533"/>
      <c r="I19" s="533">
        <f t="shared" si="7"/>
        <v>145000</v>
      </c>
      <c r="K19" s="533">
        <f t="shared" si="2"/>
        <v>1</v>
      </c>
      <c r="M19" s="533">
        <f t="shared" si="3"/>
        <v>156000</v>
      </c>
      <c r="O19" s="534">
        <f t="shared" si="4"/>
        <v>0.8529411764705882</v>
      </c>
      <c r="P19" s="532">
        <v>11</v>
      </c>
      <c r="T19" s="536">
        <f t="shared" si="5"/>
        <v>90.660000000000011</v>
      </c>
    </row>
    <row r="20" spans="1:20">
      <c r="A20" s="552">
        <f t="shared" si="0"/>
        <v>25000</v>
      </c>
      <c r="C20" s="532">
        <v>1</v>
      </c>
      <c r="E20" s="533">
        <f t="shared" si="6"/>
        <v>55</v>
      </c>
      <c r="G20" s="533">
        <f t="shared" si="1"/>
        <v>25000</v>
      </c>
      <c r="H20" s="533"/>
      <c r="I20" s="533">
        <f t="shared" si="7"/>
        <v>170000</v>
      </c>
      <c r="K20" s="533">
        <f t="shared" si="2"/>
        <v>0</v>
      </c>
      <c r="M20" s="533">
        <f t="shared" si="3"/>
        <v>170000</v>
      </c>
      <c r="O20" s="534">
        <f t="shared" si="4"/>
        <v>1</v>
      </c>
      <c r="P20" s="532">
        <v>25</v>
      </c>
      <c r="T20" s="536">
        <f t="shared" si="5"/>
        <v>190.34</v>
      </c>
    </row>
    <row r="21" spans="1:20">
      <c r="A21" s="552"/>
      <c r="T21" s="536"/>
    </row>
    <row r="22" spans="1:20">
      <c r="A22" s="552"/>
      <c r="T22" s="554">
        <f>SUM(T10:T20)</f>
        <v>1728.78</v>
      </c>
    </row>
    <row r="23" spans="1:20" hidden="1">
      <c r="A23" s="552"/>
      <c r="T23" s="536">
        <v>1167</v>
      </c>
    </row>
    <row r="24" spans="1:20" hidden="1">
      <c r="A24" s="552"/>
      <c r="T24" s="540">
        <f>T22-T23</f>
        <v>561.78</v>
      </c>
    </row>
    <row r="25" spans="1:20" hidden="1">
      <c r="T25" s="513">
        <f>T24/T22</f>
        <v>0.32495748446881617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"/>
  <sheetViews>
    <sheetView showGridLines="0" view="pageBreakPreview" topLeftCell="H1" zoomScale="60" zoomScaleNormal="100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75" style="513" customWidth="1"/>
    <col min="20" max="20" width="16.12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'16244'!R2</f>
        <v>First 5,300</v>
      </c>
      <c r="S2" s="518"/>
      <c r="T2" s="519">
        <f>'16244'!T2</f>
        <v>47.06</v>
      </c>
    </row>
    <row r="3" spans="1:20">
      <c r="A3" s="513" t="s">
        <v>543</v>
      </c>
      <c r="M3" s="520" t="s">
        <v>523</v>
      </c>
      <c r="R3" s="519" t="str">
        <f>'16244'!R3</f>
        <v>Next 3,700</v>
      </c>
      <c r="S3" s="518"/>
      <c r="T3" s="519">
        <f>'16244'!T3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'16244'!R4</f>
        <v>Next 15,000</v>
      </c>
      <c r="S4" s="518"/>
      <c r="T4" s="519">
        <f>'16244'!T4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'16244'!R5</f>
        <v>Next 25,000</v>
      </c>
      <c r="S5" s="518"/>
      <c r="T5" s="519">
        <f>'16244'!T5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'16244'!R6</f>
        <v>Next 50,000</v>
      </c>
      <c r="S6" s="518"/>
      <c r="T6" s="519">
        <f>'16244'!T6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 t="str">
        <f>'16244'!R7</f>
        <v>Over 100,000</v>
      </c>
      <c r="S7" s="518"/>
      <c r="T7" s="519">
        <f>'16244'!T7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33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33" si="1">A10*C10</f>
        <v>0</v>
      </c>
      <c r="H10" s="533"/>
      <c r="I10" s="533">
        <f>G10</f>
        <v>0</v>
      </c>
      <c r="J10" s="533"/>
      <c r="K10" s="533">
        <f t="shared" ref="K10:K33" si="2">$E$33-E10</f>
        <v>42</v>
      </c>
      <c r="L10" s="533"/>
      <c r="M10" s="533">
        <f t="shared" ref="M10:M33" si="3">(A10*K10)+I10</f>
        <v>0</v>
      </c>
      <c r="O10" s="534">
        <f t="shared" ref="O10:O33" si="4">I10/$I$33</f>
        <v>0</v>
      </c>
      <c r="P10" s="532">
        <v>0</v>
      </c>
      <c r="T10" s="536">
        <f t="shared" ref="T10:T33" si="5">IF(A10&lt;5300,C10*$T$2,IF(A10=5300,C10*$T$2,IF(AND(A10&lt;11000,A10&gt;5300),(C10*$T$2)+((A10-5300)*C10/1000*$T$3),IF(AND(A10&gt;10000,A10&lt;26000),(C10*$T$2)+(4.7*$T$3*C10)+((A10-10000)/1000*$T$4*C10),IF(AND(A10&lt;51000,A10&gt;25000),(C10*$T$2)+(4.7*$T$3*C10)+(15*$T$4*C10)+((A10-25000)/1000*$T$5*C10),IF(AND(A10&lt;101000,A10&gt;50000),(C10*$T$2)+(4.7*$T$3*C10)+(15*$T$4*C10)+(25*$T$5*C10)+((A10-50000)/1000*$T$6*C10),IF(A10&gt;100000,(C10*$T$2)+(4.7*$T$3*C10)+(15*$T$4*C10)+(25*$T$5*C10)+(50*$T$6*C10)+((A10-100000)/1000*$T$7*C10))))))))</f>
        <v>0</v>
      </c>
    </row>
    <row r="11" spans="1:20" s="515" customFormat="1">
      <c r="A11" s="552">
        <f t="shared" si="0"/>
        <v>6000</v>
      </c>
      <c r="C11" s="532">
        <v>2</v>
      </c>
      <c r="D11" s="533"/>
      <c r="E11" s="533">
        <f t="shared" ref="E11:E33" si="6">E10+C11</f>
        <v>2</v>
      </c>
      <c r="F11" s="533"/>
      <c r="G11" s="533">
        <f t="shared" si="1"/>
        <v>12000</v>
      </c>
      <c r="H11" s="533"/>
      <c r="I11" s="533">
        <f t="shared" ref="I11:I33" si="7">I10+G11</f>
        <v>12000</v>
      </c>
      <c r="J11" s="533"/>
      <c r="K11" s="533">
        <f t="shared" si="2"/>
        <v>40</v>
      </c>
      <c r="L11" s="533"/>
      <c r="M11" s="533">
        <f t="shared" si="3"/>
        <v>252000</v>
      </c>
      <c r="O11" s="534">
        <f t="shared" si="4"/>
        <v>1.8072289156626505E-2</v>
      </c>
      <c r="P11" s="532">
        <v>6</v>
      </c>
      <c r="T11" s="536">
        <f t="shared" si="5"/>
        <v>104.98400000000001</v>
      </c>
    </row>
    <row r="12" spans="1:20">
      <c r="A12" s="552">
        <f t="shared" si="0"/>
        <v>7000</v>
      </c>
      <c r="C12" s="532">
        <v>2</v>
      </c>
      <c r="E12" s="533">
        <f t="shared" si="6"/>
        <v>4</v>
      </c>
      <c r="G12" s="533">
        <f t="shared" si="1"/>
        <v>14000</v>
      </c>
      <c r="H12" s="533"/>
      <c r="I12" s="533">
        <f t="shared" si="7"/>
        <v>26000</v>
      </c>
      <c r="K12" s="533">
        <f t="shared" si="2"/>
        <v>38</v>
      </c>
      <c r="M12" s="533">
        <f t="shared" si="3"/>
        <v>292000</v>
      </c>
      <c r="O12" s="534">
        <f t="shared" si="4"/>
        <v>3.9156626506024098E-2</v>
      </c>
      <c r="P12" s="532">
        <v>7</v>
      </c>
      <c r="R12" s="515"/>
      <c r="S12" s="515"/>
      <c r="T12" s="536">
        <f t="shared" si="5"/>
        <v>120.504</v>
      </c>
    </row>
    <row r="13" spans="1:20">
      <c r="A13" s="552">
        <f t="shared" si="0"/>
        <v>8000</v>
      </c>
      <c r="C13" s="532">
        <v>2</v>
      </c>
      <c r="E13" s="533">
        <f t="shared" si="6"/>
        <v>6</v>
      </c>
      <c r="G13" s="533">
        <f t="shared" si="1"/>
        <v>16000</v>
      </c>
      <c r="H13" s="533"/>
      <c r="I13" s="533">
        <f t="shared" si="7"/>
        <v>42000</v>
      </c>
      <c r="K13" s="533">
        <f t="shared" si="2"/>
        <v>36</v>
      </c>
      <c r="M13" s="533">
        <f t="shared" si="3"/>
        <v>330000</v>
      </c>
      <c r="O13" s="534">
        <f t="shared" si="4"/>
        <v>6.3253012048192767E-2</v>
      </c>
      <c r="P13" s="532">
        <v>8</v>
      </c>
      <c r="T13" s="536">
        <f t="shared" si="5"/>
        <v>136.024</v>
      </c>
    </row>
    <row r="14" spans="1:20">
      <c r="A14" s="552">
        <f t="shared" si="0"/>
        <v>9000</v>
      </c>
      <c r="C14" s="532">
        <v>2</v>
      </c>
      <c r="E14" s="533">
        <f t="shared" si="6"/>
        <v>8</v>
      </c>
      <c r="G14" s="533">
        <f t="shared" si="1"/>
        <v>18000</v>
      </c>
      <c r="H14" s="533"/>
      <c r="I14" s="533">
        <f t="shared" si="7"/>
        <v>60000</v>
      </c>
      <c r="K14" s="533">
        <f t="shared" si="2"/>
        <v>34</v>
      </c>
      <c r="M14" s="533">
        <f t="shared" si="3"/>
        <v>366000</v>
      </c>
      <c r="O14" s="534">
        <f t="shared" si="4"/>
        <v>9.036144578313253E-2</v>
      </c>
      <c r="P14" s="532">
        <v>9</v>
      </c>
      <c r="T14" s="536">
        <f t="shared" si="5"/>
        <v>151.54400000000001</v>
      </c>
    </row>
    <row r="15" spans="1:20">
      <c r="A15" s="552">
        <f t="shared" si="0"/>
        <v>10000</v>
      </c>
      <c r="C15" s="532">
        <v>2</v>
      </c>
      <c r="E15" s="533">
        <f t="shared" si="6"/>
        <v>10</v>
      </c>
      <c r="G15" s="533">
        <f t="shared" si="1"/>
        <v>20000</v>
      </c>
      <c r="H15" s="533"/>
      <c r="I15" s="533">
        <f t="shared" si="7"/>
        <v>80000</v>
      </c>
      <c r="K15" s="533">
        <f t="shared" si="2"/>
        <v>32</v>
      </c>
      <c r="M15" s="533">
        <f t="shared" si="3"/>
        <v>400000</v>
      </c>
      <c r="O15" s="534">
        <f t="shared" si="4"/>
        <v>0.12048192771084337</v>
      </c>
      <c r="P15" s="532">
        <v>10</v>
      </c>
      <c r="T15" s="536">
        <f t="shared" si="5"/>
        <v>167.06400000000002</v>
      </c>
    </row>
    <row r="16" spans="1:20">
      <c r="A16" s="552">
        <f t="shared" si="0"/>
        <v>11000</v>
      </c>
      <c r="C16" s="532">
        <v>2</v>
      </c>
      <c r="E16" s="533">
        <f t="shared" si="6"/>
        <v>12</v>
      </c>
      <c r="G16" s="533">
        <f t="shared" si="1"/>
        <v>22000</v>
      </c>
      <c r="H16" s="533"/>
      <c r="I16" s="533">
        <f t="shared" si="7"/>
        <v>102000</v>
      </c>
      <c r="K16" s="533">
        <f t="shared" si="2"/>
        <v>30</v>
      </c>
      <c r="M16" s="533">
        <f t="shared" si="3"/>
        <v>432000</v>
      </c>
      <c r="O16" s="534">
        <f t="shared" si="4"/>
        <v>0.1536144578313253</v>
      </c>
      <c r="P16" s="532">
        <v>11</v>
      </c>
      <c r="T16" s="536">
        <f t="shared" si="5"/>
        <v>181.30400000000003</v>
      </c>
    </row>
    <row r="17" spans="1:20">
      <c r="A17" s="552">
        <f t="shared" si="0"/>
        <v>12000</v>
      </c>
      <c r="C17" s="532">
        <v>3</v>
      </c>
      <c r="E17" s="533">
        <f t="shared" si="6"/>
        <v>15</v>
      </c>
      <c r="G17" s="533">
        <f t="shared" si="1"/>
        <v>36000</v>
      </c>
      <c r="H17" s="533"/>
      <c r="I17" s="533">
        <f t="shared" si="7"/>
        <v>138000</v>
      </c>
      <c r="K17" s="533">
        <f t="shared" si="2"/>
        <v>27</v>
      </c>
      <c r="M17" s="533">
        <f t="shared" si="3"/>
        <v>462000</v>
      </c>
      <c r="O17" s="534">
        <f t="shared" si="4"/>
        <v>0.20783132530120482</v>
      </c>
      <c r="P17" s="532">
        <v>12</v>
      </c>
      <c r="T17" s="536">
        <f t="shared" si="5"/>
        <v>293.31600000000003</v>
      </c>
    </row>
    <row r="18" spans="1:20">
      <c r="A18" s="552">
        <f t="shared" si="0"/>
        <v>13000</v>
      </c>
      <c r="C18" s="532">
        <v>2</v>
      </c>
      <c r="E18" s="533">
        <f t="shared" si="6"/>
        <v>17</v>
      </c>
      <c r="G18" s="533">
        <f t="shared" si="1"/>
        <v>26000</v>
      </c>
      <c r="H18" s="533"/>
      <c r="I18" s="533">
        <f t="shared" si="7"/>
        <v>164000</v>
      </c>
      <c r="K18" s="533">
        <f t="shared" si="2"/>
        <v>25</v>
      </c>
      <c r="M18" s="533">
        <f t="shared" si="3"/>
        <v>489000</v>
      </c>
      <c r="O18" s="534">
        <f t="shared" si="4"/>
        <v>0.24698795180722891</v>
      </c>
      <c r="P18" s="532">
        <v>13</v>
      </c>
      <c r="T18" s="536">
        <f t="shared" si="5"/>
        <v>209.78400000000002</v>
      </c>
    </row>
    <row r="19" spans="1:20">
      <c r="A19" s="552">
        <f t="shared" si="0"/>
        <v>14000</v>
      </c>
      <c r="C19" s="532">
        <v>5</v>
      </c>
      <c r="E19" s="533">
        <f t="shared" si="6"/>
        <v>22</v>
      </c>
      <c r="G19" s="533">
        <f t="shared" si="1"/>
        <v>70000</v>
      </c>
      <c r="H19" s="533"/>
      <c r="I19" s="533">
        <f t="shared" si="7"/>
        <v>234000</v>
      </c>
      <c r="K19" s="533">
        <f t="shared" si="2"/>
        <v>20</v>
      </c>
      <c r="M19" s="533">
        <f t="shared" si="3"/>
        <v>514000</v>
      </c>
      <c r="O19" s="534">
        <f t="shared" si="4"/>
        <v>0.35240963855421686</v>
      </c>
      <c r="P19" s="532">
        <v>14</v>
      </c>
      <c r="T19" s="536">
        <f t="shared" si="5"/>
        <v>560.06000000000006</v>
      </c>
    </row>
    <row r="20" spans="1:20">
      <c r="A20" s="552">
        <f t="shared" si="0"/>
        <v>15000</v>
      </c>
      <c r="C20" s="532">
        <v>3</v>
      </c>
      <c r="E20" s="533">
        <f t="shared" si="6"/>
        <v>25</v>
      </c>
      <c r="G20" s="533">
        <f t="shared" si="1"/>
        <v>45000</v>
      </c>
      <c r="H20" s="533"/>
      <c r="I20" s="533">
        <f t="shared" si="7"/>
        <v>279000</v>
      </c>
      <c r="K20" s="533">
        <f t="shared" si="2"/>
        <v>17</v>
      </c>
      <c r="M20" s="533">
        <f t="shared" si="3"/>
        <v>534000</v>
      </c>
      <c r="O20" s="534">
        <f t="shared" si="4"/>
        <v>0.42018072289156627</v>
      </c>
      <c r="P20" s="532">
        <v>15</v>
      </c>
      <c r="T20" s="536">
        <f t="shared" si="5"/>
        <v>357.39600000000002</v>
      </c>
    </row>
    <row r="21" spans="1:20">
      <c r="A21" s="552">
        <f t="shared" si="0"/>
        <v>16000</v>
      </c>
      <c r="C21" s="532">
        <v>1</v>
      </c>
      <c r="E21" s="533">
        <f t="shared" si="6"/>
        <v>26</v>
      </c>
      <c r="G21" s="533">
        <f t="shared" si="1"/>
        <v>16000</v>
      </c>
      <c r="H21" s="533"/>
      <c r="I21" s="533">
        <f t="shared" si="7"/>
        <v>295000</v>
      </c>
      <c r="K21" s="533">
        <f t="shared" si="2"/>
        <v>16</v>
      </c>
      <c r="M21" s="533">
        <f t="shared" si="3"/>
        <v>551000</v>
      </c>
      <c r="O21" s="534">
        <f t="shared" si="4"/>
        <v>0.44427710843373491</v>
      </c>
      <c r="P21" s="532">
        <v>16</v>
      </c>
      <c r="T21" s="536">
        <f t="shared" si="5"/>
        <v>126.25200000000001</v>
      </c>
    </row>
    <row r="22" spans="1:20">
      <c r="A22" s="552">
        <f t="shared" si="0"/>
        <v>17000</v>
      </c>
      <c r="C22" s="532">
        <v>2</v>
      </c>
      <c r="E22" s="533">
        <f t="shared" si="6"/>
        <v>28</v>
      </c>
      <c r="G22" s="533">
        <f t="shared" si="1"/>
        <v>34000</v>
      </c>
      <c r="H22" s="533"/>
      <c r="I22" s="533">
        <f t="shared" si="7"/>
        <v>329000</v>
      </c>
      <c r="K22" s="533">
        <f t="shared" si="2"/>
        <v>14</v>
      </c>
      <c r="M22" s="533">
        <f t="shared" si="3"/>
        <v>567000</v>
      </c>
      <c r="O22" s="534">
        <f t="shared" si="4"/>
        <v>0.49548192771084337</v>
      </c>
      <c r="P22" s="532">
        <v>17</v>
      </c>
      <c r="T22" s="536">
        <f t="shared" si="5"/>
        <v>266.74400000000003</v>
      </c>
    </row>
    <row r="23" spans="1:20">
      <c r="A23" s="552">
        <f t="shared" si="0"/>
        <v>18000</v>
      </c>
      <c r="C23" s="532">
        <v>2</v>
      </c>
      <c r="E23" s="533">
        <f t="shared" si="6"/>
        <v>30</v>
      </c>
      <c r="G23" s="533">
        <f t="shared" si="1"/>
        <v>36000</v>
      </c>
      <c r="H23" s="533"/>
      <c r="I23" s="533">
        <f t="shared" si="7"/>
        <v>365000</v>
      </c>
      <c r="K23" s="533">
        <f t="shared" si="2"/>
        <v>12</v>
      </c>
      <c r="M23" s="533">
        <f t="shared" si="3"/>
        <v>581000</v>
      </c>
      <c r="O23" s="534">
        <f t="shared" si="4"/>
        <v>0.54969879518072284</v>
      </c>
      <c r="P23" s="532">
        <v>18</v>
      </c>
      <c r="T23" s="536">
        <f t="shared" si="5"/>
        <v>280.98400000000004</v>
      </c>
    </row>
    <row r="24" spans="1:20">
      <c r="A24" s="552">
        <f t="shared" si="0"/>
        <v>19000</v>
      </c>
      <c r="C24" s="532">
        <v>1</v>
      </c>
      <c r="E24" s="533">
        <f t="shared" si="6"/>
        <v>31</v>
      </c>
      <c r="G24" s="533">
        <f t="shared" si="1"/>
        <v>19000</v>
      </c>
      <c r="H24" s="533"/>
      <c r="I24" s="533">
        <f t="shared" si="7"/>
        <v>384000</v>
      </c>
      <c r="K24" s="533">
        <f t="shared" si="2"/>
        <v>11</v>
      </c>
      <c r="M24" s="533">
        <f t="shared" si="3"/>
        <v>593000</v>
      </c>
      <c r="O24" s="534">
        <f t="shared" si="4"/>
        <v>0.57831325301204817</v>
      </c>
      <c r="P24" s="532">
        <v>19</v>
      </c>
      <c r="T24" s="536">
        <f t="shared" si="5"/>
        <v>147.61200000000002</v>
      </c>
    </row>
    <row r="25" spans="1:20">
      <c r="A25" s="552">
        <f t="shared" si="0"/>
        <v>20000</v>
      </c>
      <c r="C25" s="532">
        <v>2</v>
      </c>
      <c r="E25" s="533">
        <f t="shared" si="6"/>
        <v>33</v>
      </c>
      <c r="G25" s="533">
        <f t="shared" si="1"/>
        <v>40000</v>
      </c>
      <c r="H25" s="533"/>
      <c r="I25" s="533">
        <f t="shared" si="7"/>
        <v>424000</v>
      </c>
      <c r="K25" s="533">
        <f t="shared" si="2"/>
        <v>9</v>
      </c>
      <c r="M25" s="533">
        <f t="shared" si="3"/>
        <v>604000</v>
      </c>
      <c r="O25" s="534">
        <f t="shared" si="4"/>
        <v>0.63855421686746983</v>
      </c>
      <c r="P25" s="532">
        <v>20</v>
      </c>
      <c r="T25" s="536">
        <f t="shared" si="5"/>
        <v>309.46400000000006</v>
      </c>
    </row>
    <row r="26" spans="1:20">
      <c r="A26" s="552">
        <f t="shared" si="0"/>
        <v>21000</v>
      </c>
      <c r="C26" s="532">
        <v>2</v>
      </c>
      <c r="E26" s="533">
        <f t="shared" si="6"/>
        <v>35</v>
      </c>
      <c r="G26" s="533">
        <f t="shared" si="1"/>
        <v>42000</v>
      </c>
      <c r="H26" s="533"/>
      <c r="I26" s="533">
        <f t="shared" si="7"/>
        <v>466000</v>
      </c>
      <c r="K26" s="533">
        <f t="shared" si="2"/>
        <v>7</v>
      </c>
      <c r="M26" s="533">
        <f t="shared" si="3"/>
        <v>613000</v>
      </c>
      <c r="O26" s="534">
        <f t="shared" si="4"/>
        <v>0.70180722891566261</v>
      </c>
      <c r="P26" s="532">
        <v>21</v>
      </c>
      <c r="T26" s="536">
        <f t="shared" si="5"/>
        <v>323.70400000000006</v>
      </c>
    </row>
    <row r="27" spans="1:20">
      <c r="A27" s="552">
        <f t="shared" si="0"/>
        <v>22000</v>
      </c>
      <c r="C27" s="532">
        <v>1</v>
      </c>
      <c r="E27" s="533">
        <f t="shared" si="6"/>
        <v>36</v>
      </c>
      <c r="G27" s="533">
        <f t="shared" si="1"/>
        <v>22000</v>
      </c>
      <c r="H27" s="533"/>
      <c r="I27" s="533">
        <f t="shared" si="7"/>
        <v>488000</v>
      </c>
      <c r="K27" s="533">
        <f t="shared" si="2"/>
        <v>6</v>
      </c>
      <c r="M27" s="533">
        <f t="shared" si="3"/>
        <v>620000</v>
      </c>
      <c r="O27" s="534">
        <f t="shared" si="4"/>
        <v>0.73493975903614461</v>
      </c>
      <c r="P27" s="532">
        <v>22</v>
      </c>
      <c r="T27" s="536">
        <f t="shared" si="5"/>
        <v>168.97200000000001</v>
      </c>
    </row>
    <row r="28" spans="1:20">
      <c r="A28" s="552">
        <f t="shared" si="0"/>
        <v>23000</v>
      </c>
      <c r="C28" s="532">
        <v>1</v>
      </c>
      <c r="E28" s="533">
        <f t="shared" si="6"/>
        <v>37</v>
      </c>
      <c r="G28" s="533">
        <f t="shared" si="1"/>
        <v>23000</v>
      </c>
      <c r="H28" s="533"/>
      <c r="I28" s="533">
        <f t="shared" si="7"/>
        <v>511000</v>
      </c>
      <c r="K28" s="533">
        <f t="shared" si="2"/>
        <v>5</v>
      </c>
      <c r="M28" s="533">
        <f t="shared" si="3"/>
        <v>626000</v>
      </c>
      <c r="O28" s="534">
        <f t="shared" si="4"/>
        <v>0.76957831325301207</v>
      </c>
      <c r="P28" s="532">
        <v>23</v>
      </c>
      <c r="T28" s="536">
        <f t="shared" si="5"/>
        <v>176.09200000000001</v>
      </c>
    </row>
    <row r="29" spans="1:20">
      <c r="A29" s="552">
        <f t="shared" si="0"/>
        <v>24000</v>
      </c>
      <c r="C29" s="532">
        <v>1</v>
      </c>
      <c r="E29" s="533">
        <f t="shared" si="6"/>
        <v>38</v>
      </c>
      <c r="G29" s="533">
        <f t="shared" si="1"/>
        <v>24000</v>
      </c>
      <c r="H29" s="533"/>
      <c r="I29" s="533">
        <f t="shared" si="7"/>
        <v>535000</v>
      </c>
      <c r="K29" s="533">
        <f t="shared" si="2"/>
        <v>4</v>
      </c>
      <c r="M29" s="533">
        <f t="shared" si="3"/>
        <v>631000</v>
      </c>
      <c r="O29" s="534">
        <f t="shared" si="4"/>
        <v>0.80572289156626509</v>
      </c>
      <c r="P29" s="532">
        <v>24</v>
      </c>
      <c r="T29" s="536">
        <f t="shared" si="5"/>
        <v>183.21200000000002</v>
      </c>
    </row>
    <row r="30" spans="1:20">
      <c r="A30" s="552">
        <f t="shared" si="0"/>
        <v>25000</v>
      </c>
      <c r="C30" s="532">
        <v>1</v>
      </c>
      <c r="E30" s="533">
        <f t="shared" si="6"/>
        <v>39</v>
      </c>
      <c r="G30" s="533">
        <f t="shared" si="1"/>
        <v>25000</v>
      </c>
      <c r="H30" s="533"/>
      <c r="I30" s="533">
        <f t="shared" si="7"/>
        <v>560000</v>
      </c>
      <c r="K30" s="533">
        <f t="shared" si="2"/>
        <v>3</v>
      </c>
      <c r="M30" s="533">
        <f t="shared" si="3"/>
        <v>635000</v>
      </c>
      <c r="O30" s="534">
        <f t="shared" si="4"/>
        <v>0.84337349397590367</v>
      </c>
      <c r="P30" s="532">
        <v>25</v>
      </c>
      <c r="T30" s="536">
        <f t="shared" si="5"/>
        <v>190.33199999999999</v>
      </c>
    </row>
    <row r="31" spans="1:20">
      <c r="A31" s="552">
        <f t="shared" si="0"/>
        <v>27000</v>
      </c>
      <c r="C31" s="532">
        <v>1</v>
      </c>
      <c r="E31" s="533">
        <f t="shared" si="6"/>
        <v>40</v>
      </c>
      <c r="G31" s="533">
        <f t="shared" si="1"/>
        <v>27000</v>
      </c>
      <c r="H31" s="533"/>
      <c r="I31" s="533">
        <f t="shared" si="7"/>
        <v>587000</v>
      </c>
      <c r="K31" s="533">
        <f t="shared" si="2"/>
        <v>2</v>
      </c>
      <c r="M31" s="533">
        <f t="shared" si="3"/>
        <v>641000</v>
      </c>
      <c r="O31" s="534">
        <f t="shared" si="4"/>
        <v>0.88403614457831325</v>
      </c>
      <c r="P31" s="532">
        <v>27</v>
      </c>
      <c r="T31" s="536">
        <f t="shared" si="5"/>
        <v>203.292</v>
      </c>
    </row>
    <row r="32" spans="1:20">
      <c r="A32" s="552">
        <f t="shared" si="0"/>
        <v>33000</v>
      </c>
      <c r="C32" s="532">
        <v>1</v>
      </c>
      <c r="E32" s="533">
        <f t="shared" si="6"/>
        <v>41</v>
      </c>
      <c r="G32" s="533">
        <f t="shared" si="1"/>
        <v>33000</v>
      </c>
      <c r="H32" s="533"/>
      <c r="I32" s="533">
        <f t="shared" si="7"/>
        <v>620000</v>
      </c>
      <c r="K32" s="533">
        <f t="shared" si="2"/>
        <v>1</v>
      </c>
      <c r="M32" s="533">
        <f t="shared" si="3"/>
        <v>653000</v>
      </c>
      <c r="O32" s="534">
        <f t="shared" si="4"/>
        <v>0.9337349397590361</v>
      </c>
      <c r="P32" s="532">
        <v>33</v>
      </c>
      <c r="T32" s="536">
        <f t="shared" si="5"/>
        <v>242.172</v>
      </c>
    </row>
    <row r="33" spans="1:20">
      <c r="A33" s="552">
        <f t="shared" si="0"/>
        <v>44000</v>
      </c>
      <c r="C33" s="532">
        <v>1</v>
      </c>
      <c r="E33" s="533">
        <f t="shared" si="6"/>
        <v>42</v>
      </c>
      <c r="G33" s="533">
        <f t="shared" si="1"/>
        <v>44000</v>
      </c>
      <c r="H33" s="533"/>
      <c r="I33" s="533">
        <f t="shared" si="7"/>
        <v>664000</v>
      </c>
      <c r="K33" s="533">
        <f t="shared" si="2"/>
        <v>0</v>
      </c>
      <c r="M33" s="533">
        <f t="shared" si="3"/>
        <v>664000</v>
      </c>
      <c r="O33" s="534">
        <f t="shared" si="4"/>
        <v>1</v>
      </c>
      <c r="P33" s="532">
        <v>44</v>
      </c>
      <c r="T33" s="536">
        <f t="shared" si="5"/>
        <v>313.452</v>
      </c>
    </row>
    <row r="35" spans="1:20">
      <c r="T35" s="539">
        <f>SUM(T10:T33)</f>
        <v>5214.2640000000019</v>
      </c>
    </row>
    <row r="36" spans="1:20" hidden="1">
      <c r="T36" s="513">
        <v>3440</v>
      </c>
    </row>
    <row r="37" spans="1:20" hidden="1">
      <c r="T37" s="540">
        <f>T35-T36</f>
        <v>1774.2640000000019</v>
      </c>
    </row>
    <row r="38" spans="1:20" hidden="1">
      <c r="T38" s="555">
        <f>T37/T35</f>
        <v>0.34027122523907521</v>
      </c>
    </row>
  </sheetData>
  <phoneticPr fontId="51" type="noConversion"/>
  <printOptions horizontalCentered="1"/>
  <pageMargins left="0" right="0" top="0.89999999999999991" bottom="0.5" header="0.25" footer="0.25"/>
  <pageSetup scale="5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showGridLines="0" view="pageBreakPreview" topLeftCell="H34" zoomScale="60" zoomScaleNormal="100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75" style="513" customWidth="1"/>
    <col min="20" max="20" width="16.12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978</v>
      </c>
      <c r="S2" s="518"/>
      <c r="T2" s="594" t="e">
        <f>'Sch.D&amp;E-REV'!K798</f>
        <v>#REF!</v>
      </c>
    </row>
    <row r="3" spans="1:20">
      <c r="A3" s="513" t="s">
        <v>536</v>
      </c>
      <c r="M3" s="520" t="s">
        <v>525</v>
      </c>
      <c r="R3" s="518" t="s">
        <v>979</v>
      </c>
      <c r="S3" s="518"/>
      <c r="T3" s="595" t="e">
        <f>'Sch.D&amp;E-REV'!D793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277</v>
      </c>
      <c r="S4" s="518"/>
      <c r="T4" s="595" t="e">
        <f>'Sch.D&amp;E-REV'!D794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280</v>
      </c>
      <c r="S5" s="518"/>
      <c r="T5" s="595" t="e">
        <f>'Sch.D&amp;E-REV'!D795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876</v>
      </c>
      <c r="S6" s="518"/>
      <c r="T6" s="595" t="e">
        <f>'Sch.D&amp;E-REV'!D796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44" si="0">P10*1000</f>
        <v>0</v>
      </c>
      <c r="C10" s="532">
        <v>2</v>
      </c>
      <c r="D10" s="533"/>
      <c r="E10" s="533">
        <f>C10</f>
        <v>2</v>
      </c>
      <c r="F10" s="533"/>
      <c r="G10" s="533">
        <f t="shared" ref="G10:G44" si="1">A10*C10</f>
        <v>0</v>
      </c>
      <c r="H10" s="533"/>
      <c r="I10" s="533">
        <f>G10</f>
        <v>0</v>
      </c>
      <c r="J10" s="533"/>
      <c r="K10" s="533">
        <f t="shared" ref="K10:K44" si="2">$E$44-E10</f>
        <v>52</v>
      </c>
      <c r="L10" s="533"/>
      <c r="M10" s="533">
        <f t="shared" ref="M10:M44" si="3">(A10*K10)+I10</f>
        <v>0</v>
      </c>
      <c r="O10" s="534">
        <f t="shared" ref="O10:O44" si="4">I10/$I$44</f>
        <v>0</v>
      </c>
      <c r="P10" s="532">
        <v>0</v>
      </c>
      <c r="T10" s="536" t="e">
        <f t="shared" ref="T10:T44" si="5">IF(A10&lt;17600,C10*$T$2,IF(A10=17600,C10*$T$2,IF(AND(A10&lt;26000,A10&gt;17600),(C10*$T$2)+((A10-17600)*C10/1000*$T$3),IF(AND(A10&gt;25000,A10&lt;51000),(C10*$T$2)+(7.4*$T$3*C10)+((A10-25000)/1000*$T$4*C10),IF(AND(A10&lt;101000,A10&gt;50000),(C10*$T$2)+(7.4*$T$3*C10)+(25*$T$4*C10)+((A10-50000)/1000*$T$5*C10),IF(A10&gt;100000,(C10*$T$2)+(7.4*$T$3*C10)+(25*$T$4*C10)+(50*$T$5*C10)+((A10-100000)/1000*$T$6*C10)))))))</f>
        <v>#REF!</v>
      </c>
    </row>
    <row r="11" spans="1:20" s="515" customFormat="1">
      <c r="A11" s="552">
        <f t="shared" si="0"/>
        <v>1000</v>
      </c>
      <c r="C11" s="532">
        <v>7</v>
      </c>
      <c r="D11" s="533"/>
      <c r="E11" s="533">
        <f t="shared" ref="E11:E44" si="6">E10+C11</f>
        <v>9</v>
      </c>
      <c r="F11" s="533"/>
      <c r="G11" s="533">
        <f t="shared" si="1"/>
        <v>7000</v>
      </c>
      <c r="H11" s="533"/>
      <c r="I11" s="533">
        <f t="shared" ref="I11:I44" si="7">I10+G11</f>
        <v>7000</v>
      </c>
      <c r="J11" s="533"/>
      <c r="K11" s="533">
        <f t="shared" si="2"/>
        <v>45</v>
      </c>
      <c r="L11" s="533"/>
      <c r="M11" s="533">
        <f t="shared" si="3"/>
        <v>52000</v>
      </c>
      <c r="O11" s="534">
        <f t="shared" si="4"/>
        <v>2.0225368390638545E-3</v>
      </c>
      <c r="P11" s="532">
        <v>1</v>
      </c>
      <c r="T11" s="536" t="e">
        <f t="shared" si="5"/>
        <v>#REF!</v>
      </c>
    </row>
    <row r="12" spans="1:20">
      <c r="A12" s="552">
        <f t="shared" si="0"/>
        <v>2000</v>
      </c>
      <c r="C12" s="532">
        <v>6</v>
      </c>
      <c r="E12" s="533">
        <f t="shared" si="6"/>
        <v>15</v>
      </c>
      <c r="G12" s="533">
        <f t="shared" si="1"/>
        <v>12000</v>
      </c>
      <c r="H12" s="533"/>
      <c r="I12" s="533">
        <f t="shared" si="7"/>
        <v>19000</v>
      </c>
      <c r="K12" s="533">
        <f t="shared" si="2"/>
        <v>39</v>
      </c>
      <c r="M12" s="533">
        <f t="shared" si="3"/>
        <v>97000</v>
      </c>
      <c r="O12" s="534">
        <f t="shared" si="4"/>
        <v>5.4897428488876049E-3</v>
      </c>
      <c r="P12" s="532">
        <v>2</v>
      </c>
      <c r="T12" s="536" t="e">
        <f t="shared" si="5"/>
        <v>#REF!</v>
      </c>
    </row>
    <row r="13" spans="1:20">
      <c r="A13" s="552">
        <f t="shared" si="0"/>
        <v>3000</v>
      </c>
      <c r="C13" s="532">
        <v>3</v>
      </c>
      <c r="E13" s="533">
        <f t="shared" si="6"/>
        <v>18</v>
      </c>
      <c r="G13" s="533">
        <f t="shared" si="1"/>
        <v>9000</v>
      </c>
      <c r="H13" s="533"/>
      <c r="I13" s="533">
        <f t="shared" si="7"/>
        <v>28000</v>
      </c>
      <c r="K13" s="533">
        <f t="shared" si="2"/>
        <v>36</v>
      </c>
      <c r="M13" s="533">
        <f t="shared" si="3"/>
        <v>136000</v>
      </c>
      <c r="O13" s="534">
        <f t="shared" si="4"/>
        <v>8.0901473562554182E-3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C14" s="532">
        <v>1</v>
      </c>
      <c r="E14" s="533">
        <f t="shared" si="6"/>
        <v>19</v>
      </c>
      <c r="G14" s="533">
        <f t="shared" si="1"/>
        <v>4000</v>
      </c>
      <c r="H14" s="533"/>
      <c r="I14" s="533">
        <f t="shared" si="7"/>
        <v>32000</v>
      </c>
      <c r="K14" s="533">
        <f t="shared" si="2"/>
        <v>35</v>
      </c>
      <c r="M14" s="533">
        <f t="shared" si="3"/>
        <v>172000</v>
      </c>
      <c r="O14" s="534">
        <f t="shared" si="4"/>
        <v>9.2458826928633348E-3</v>
      </c>
      <c r="P14" s="532">
        <v>4</v>
      </c>
      <c r="T14" s="536" t="e">
        <f t="shared" si="5"/>
        <v>#REF!</v>
      </c>
    </row>
    <row r="15" spans="1:20">
      <c r="A15" s="552">
        <f t="shared" si="0"/>
        <v>5000</v>
      </c>
      <c r="C15" s="532">
        <v>1</v>
      </c>
      <c r="E15" s="533">
        <f t="shared" si="6"/>
        <v>20</v>
      </c>
      <c r="G15" s="533">
        <f t="shared" si="1"/>
        <v>5000</v>
      </c>
      <c r="H15" s="533"/>
      <c r="I15" s="533">
        <f t="shared" si="7"/>
        <v>37000</v>
      </c>
      <c r="K15" s="533">
        <f t="shared" si="2"/>
        <v>34</v>
      </c>
      <c r="M15" s="533">
        <f t="shared" si="3"/>
        <v>207000</v>
      </c>
      <c r="O15" s="534">
        <f t="shared" si="4"/>
        <v>1.069055186362323E-2</v>
      </c>
      <c r="P15" s="532">
        <v>5</v>
      </c>
      <c r="T15" s="536" t="e">
        <f t="shared" si="5"/>
        <v>#REF!</v>
      </c>
    </row>
    <row r="16" spans="1:20">
      <c r="A16" s="552">
        <f t="shared" si="0"/>
        <v>6000</v>
      </c>
      <c r="C16" s="532">
        <v>1</v>
      </c>
      <c r="E16" s="533">
        <f t="shared" si="6"/>
        <v>21</v>
      </c>
      <c r="G16" s="533">
        <f t="shared" si="1"/>
        <v>6000</v>
      </c>
      <c r="H16" s="533"/>
      <c r="I16" s="533">
        <f t="shared" si="7"/>
        <v>43000</v>
      </c>
      <c r="K16" s="533">
        <f t="shared" si="2"/>
        <v>33</v>
      </c>
      <c r="M16" s="533">
        <f t="shared" si="3"/>
        <v>241000</v>
      </c>
      <c r="O16" s="534">
        <f t="shared" si="4"/>
        <v>1.2424154868535105E-2</v>
      </c>
      <c r="P16" s="532">
        <v>6</v>
      </c>
      <c r="T16" s="536" t="e">
        <f t="shared" si="5"/>
        <v>#REF!</v>
      </c>
    </row>
    <row r="17" spans="1:20">
      <c r="A17" s="552">
        <f t="shared" si="0"/>
        <v>44000</v>
      </c>
      <c r="C17" s="532">
        <v>1</v>
      </c>
      <c r="E17" s="533">
        <f t="shared" si="6"/>
        <v>22</v>
      </c>
      <c r="G17" s="533">
        <f t="shared" si="1"/>
        <v>44000</v>
      </c>
      <c r="H17" s="533"/>
      <c r="I17" s="533">
        <f t="shared" si="7"/>
        <v>87000</v>
      </c>
      <c r="K17" s="533">
        <f t="shared" si="2"/>
        <v>32</v>
      </c>
      <c r="M17" s="533">
        <f t="shared" si="3"/>
        <v>1495000</v>
      </c>
      <c r="O17" s="534">
        <f t="shared" si="4"/>
        <v>2.5137243571222191E-2</v>
      </c>
      <c r="P17" s="532">
        <v>44</v>
      </c>
      <c r="T17" s="536" t="e">
        <f t="shared" si="5"/>
        <v>#REF!</v>
      </c>
    </row>
    <row r="18" spans="1:20">
      <c r="A18" s="552">
        <f t="shared" si="0"/>
        <v>52000</v>
      </c>
      <c r="C18" s="532">
        <v>1</v>
      </c>
      <c r="E18" s="533">
        <f t="shared" si="6"/>
        <v>23</v>
      </c>
      <c r="G18" s="533">
        <f t="shared" si="1"/>
        <v>52000</v>
      </c>
      <c r="H18" s="533"/>
      <c r="I18" s="533">
        <f t="shared" si="7"/>
        <v>139000</v>
      </c>
      <c r="K18" s="533">
        <f t="shared" si="2"/>
        <v>31</v>
      </c>
      <c r="M18" s="533">
        <f t="shared" si="3"/>
        <v>1751000</v>
      </c>
      <c r="O18" s="534">
        <f t="shared" si="4"/>
        <v>4.0161802947125111E-2</v>
      </c>
      <c r="P18" s="532">
        <v>52</v>
      </c>
      <c r="T18" s="536" t="e">
        <f t="shared" si="5"/>
        <v>#REF!</v>
      </c>
    </row>
    <row r="19" spans="1:20">
      <c r="A19" s="552">
        <f t="shared" si="0"/>
        <v>54000</v>
      </c>
      <c r="C19" s="532">
        <v>1</v>
      </c>
      <c r="E19" s="533">
        <f t="shared" si="6"/>
        <v>24</v>
      </c>
      <c r="G19" s="533">
        <f t="shared" si="1"/>
        <v>54000</v>
      </c>
      <c r="H19" s="533"/>
      <c r="I19" s="533">
        <f t="shared" si="7"/>
        <v>193000</v>
      </c>
      <c r="K19" s="533">
        <f t="shared" si="2"/>
        <v>30</v>
      </c>
      <c r="M19" s="533">
        <f t="shared" si="3"/>
        <v>1813000</v>
      </c>
      <c r="O19" s="534">
        <f t="shared" si="4"/>
        <v>5.5764229991331987E-2</v>
      </c>
      <c r="P19" s="532">
        <v>54</v>
      </c>
      <c r="T19" s="536" t="e">
        <f t="shared" si="5"/>
        <v>#REF!</v>
      </c>
    </row>
    <row r="20" spans="1:20">
      <c r="A20" s="552">
        <f t="shared" si="0"/>
        <v>55000</v>
      </c>
      <c r="C20" s="532">
        <v>1</v>
      </c>
      <c r="E20" s="533">
        <f t="shared" si="6"/>
        <v>25</v>
      </c>
      <c r="G20" s="533">
        <f t="shared" si="1"/>
        <v>55000</v>
      </c>
      <c r="H20" s="533"/>
      <c r="I20" s="533">
        <f t="shared" si="7"/>
        <v>248000</v>
      </c>
      <c r="K20" s="533">
        <f t="shared" si="2"/>
        <v>29</v>
      </c>
      <c r="M20" s="533">
        <f t="shared" si="3"/>
        <v>1843000</v>
      </c>
      <c r="O20" s="534">
        <f t="shared" si="4"/>
        <v>7.1655590869690838E-2</v>
      </c>
      <c r="P20" s="532">
        <v>55</v>
      </c>
      <c r="T20" s="536" t="e">
        <f t="shared" si="5"/>
        <v>#REF!</v>
      </c>
    </row>
    <row r="21" spans="1:20">
      <c r="A21" s="552">
        <f t="shared" si="0"/>
        <v>57000</v>
      </c>
      <c r="C21" s="532">
        <v>1</v>
      </c>
      <c r="E21" s="533">
        <f t="shared" si="6"/>
        <v>26</v>
      </c>
      <c r="G21" s="533">
        <f t="shared" si="1"/>
        <v>57000</v>
      </c>
      <c r="H21" s="533"/>
      <c r="I21" s="533">
        <f t="shared" si="7"/>
        <v>305000</v>
      </c>
      <c r="K21" s="533">
        <f t="shared" si="2"/>
        <v>28</v>
      </c>
      <c r="M21" s="533">
        <f t="shared" si="3"/>
        <v>1901000</v>
      </c>
      <c r="O21" s="534">
        <f t="shared" si="4"/>
        <v>8.8124819416353653E-2</v>
      </c>
      <c r="P21" s="532">
        <v>57</v>
      </c>
      <c r="T21" s="536" t="e">
        <f t="shared" si="5"/>
        <v>#REF!</v>
      </c>
    </row>
    <row r="22" spans="1:20">
      <c r="A22" s="552">
        <f t="shared" si="0"/>
        <v>60000</v>
      </c>
      <c r="C22" s="532">
        <v>1</v>
      </c>
      <c r="E22" s="533">
        <f t="shared" si="6"/>
        <v>27</v>
      </c>
      <c r="G22" s="533">
        <f t="shared" si="1"/>
        <v>60000</v>
      </c>
      <c r="H22" s="533"/>
      <c r="I22" s="533">
        <f t="shared" si="7"/>
        <v>365000</v>
      </c>
      <c r="K22" s="533">
        <f t="shared" si="2"/>
        <v>27</v>
      </c>
      <c r="M22" s="533">
        <f t="shared" si="3"/>
        <v>1985000</v>
      </c>
      <c r="O22" s="534">
        <f t="shared" si="4"/>
        <v>0.10546084946547241</v>
      </c>
      <c r="P22" s="532">
        <v>60</v>
      </c>
      <c r="T22" s="536" t="e">
        <f t="shared" si="5"/>
        <v>#REF!</v>
      </c>
    </row>
    <row r="23" spans="1:20">
      <c r="A23" s="552">
        <f t="shared" si="0"/>
        <v>70000</v>
      </c>
      <c r="C23" s="532">
        <v>1</v>
      </c>
      <c r="E23" s="533">
        <f t="shared" si="6"/>
        <v>28</v>
      </c>
      <c r="G23" s="533">
        <f t="shared" si="1"/>
        <v>70000</v>
      </c>
      <c r="H23" s="533"/>
      <c r="I23" s="533">
        <f t="shared" si="7"/>
        <v>435000</v>
      </c>
      <c r="K23" s="533">
        <f t="shared" si="2"/>
        <v>26</v>
      </c>
      <c r="M23" s="533">
        <f t="shared" si="3"/>
        <v>2255000</v>
      </c>
      <c r="O23" s="534">
        <f t="shared" si="4"/>
        <v>0.12568621785611095</v>
      </c>
      <c r="P23" s="532">
        <v>70</v>
      </c>
      <c r="T23" s="536" t="e">
        <f t="shared" si="5"/>
        <v>#REF!</v>
      </c>
    </row>
    <row r="24" spans="1:20">
      <c r="A24" s="552">
        <f t="shared" si="0"/>
        <v>74000</v>
      </c>
      <c r="C24" s="532">
        <v>1</v>
      </c>
      <c r="E24" s="533">
        <f t="shared" si="6"/>
        <v>29</v>
      </c>
      <c r="G24" s="533">
        <f t="shared" si="1"/>
        <v>74000</v>
      </c>
      <c r="H24" s="533"/>
      <c r="I24" s="533">
        <f t="shared" si="7"/>
        <v>509000</v>
      </c>
      <c r="K24" s="533">
        <f t="shared" si="2"/>
        <v>25</v>
      </c>
      <c r="M24" s="533">
        <f t="shared" si="3"/>
        <v>2359000</v>
      </c>
      <c r="O24" s="534">
        <f t="shared" si="4"/>
        <v>0.14706732158335742</v>
      </c>
      <c r="P24" s="532">
        <v>74</v>
      </c>
      <c r="T24" s="536" t="e">
        <f t="shared" si="5"/>
        <v>#REF!</v>
      </c>
    </row>
    <row r="25" spans="1:20">
      <c r="A25" s="552">
        <f t="shared" si="0"/>
        <v>78000</v>
      </c>
      <c r="C25" s="532">
        <v>3</v>
      </c>
      <c r="E25" s="533">
        <f t="shared" si="6"/>
        <v>32</v>
      </c>
      <c r="G25" s="533">
        <f t="shared" si="1"/>
        <v>234000</v>
      </c>
      <c r="H25" s="533"/>
      <c r="I25" s="533">
        <f t="shared" si="7"/>
        <v>743000</v>
      </c>
      <c r="K25" s="533">
        <f t="shared" si="2"/>
        <v>22</v>
      </c>
      <c r="M25" s="533">
        <f t="shared" si="3"/>
        <v>2459000</v>
      </c>
      <c r="O25" s="534">
        <f t="shared" si="4"/>
        <v>0.21467783877492055</v>
      </c>
      <c r="P25" s="532">
        <v>78</v>
      </c>
      <c r="T25" s="536" t="e">
        <f t="shared" si="5"/>
        <v>#REF!</v>
      </c>
    </row>
    <row r="26" spans="1:20">
      <c r="A26" s="552">
        <f t="shared" si="0"/>
        <v>87000</v>
      </c>
      <c r="C26" s="532">
        <v>2</v>
      </c>
      <c r="E26" s="533">
        <f t="shared" si="6"/>
        <v>34</v>
      </c>
      <c r="G26" s="533">
        <f t="shared" si="1"/>
        <v>174000</v>
      </c>
      <c r="H26" s="533"/>
      <c r="I26" s="533">
        <f t="shared" si="7"/>
        <v>917000</v>
      </c>
      <c r="K26" s="533">
        <f t="shared" si="2"/>
        <v>20</v>
      </c>
      <c r="M26" s="533">
        <f t="shared" si="3"/>
        <v>2657000</v>
      </c>
      <c r="O26" s="534">
        <f t="shared" si="4"/>
        <v>0.26495232591736495</v>
      </c>
      <c r="P26" s="532">
        <v>87</v>
      </c>
      <c r="T26" s="536" t="e">
        <f t="shared" si="5"/>
        <v>#REF!</v>
      </c>
    </row>
    <row r="27" spans="1:20">
      <c r="A27" s="552">
        <f t="shared" si="0"/>
        <v>93000</v>
      </c>
      <c r="C27" s="532">
        <v>1</v>
      </c>
      <c r="E27" s="533">
        <f t="shared" si="6"/>
        <v>35</v>
      </c>
      <c r="G27" s="533">
        <f t="shared" si="1"/>
        <v>93000</v>
      </c>
      <c r="H27" s="533"/>
      <c r="I27" s="533">
        <f t="shared" si="7"/>
        <v>1010000</v>
      </c>
      <c r="K27" s="533">
        <f t="shared" si="2"/>
        <v>19</v>
      </c>
      <c r="M27" s="533">
        <f t="shared" si="3"/>
        <v>2777000</v>
      </c>
      <c r="O27" s="534">
        <f t="shared" si="4"/>
        <v>0.29182317249349898</v>
      </c>
      <c r="P27" s="532">
        <v>93</v>
      </c>
      <c r="T27" s="536" t="e">
        <f t="shared" si="5"/>
        <v>#REF!</v>
      </c>
    </row>
    <row r="28" spans="1:20">
      <c r="A28" s="552">
        <f t="shared" si="0"/>
        <v>94000</v>
      </c>
      <c r="C28" s="532">
        <v>1</v>
      </c>
      <c r="E28" s="533">
        <f t="shared" si="6"/>
        <v>36</v>
      </c>
      <c r="G28" s="533">
        <f t="shared" si="1"/>
        <v>94000</v>
      </c>
      <c r="H28" s="533"/>
      <c r="I28" s="533">
        <f t="shared" si="7"/>
        <v>1104000</v>
      </c>
      <c r="K28" s="533">
        <f t="shared" si="2"/>
        <v>18</v>
      </c>
      <c r="M28" s="533">
        <f t="shared" si="3"/>
        <v>2796000</v>
      </c>
      <c r="O28" s="534">
        <f t="shared" si="4"/>
        <v>0.31898295290378503</v>
      </c>
      <c r="P28" s="532">
        <v>94</v>
      </c>
      <c r="T28" s="536" t="e">
        <f t="shared" si="5"/>
        <v>#REF!</v>
      </c>
    </row>
    <row r="29" spans="1:20">
      <c r="A29" s="552">
        <f t="shared" si="0"/>
        <v>97000</v>
      </c>
      <c r="C29" s="532">
        <v>2</v>
      </c>
      <c r="E29" s="533">
        <f t="shared" si="6"/>
        <v>38</v>
      </c>
      <c r="G29" s="533">
        <f t="shared" si="1"/>
        <v>194000</v>
      </c>
      <c r="H29" s="533"/>
      <c r="I29" s="533">
        <f t="shared" si="7"/>
        <v>1298000</v>
      </c>
      <c r="K29" s="533">
        <f t="shared" si="2"/>
        <v>16</v>
      </c>
      <c r="M29" s="533">
        <f t="shared" si="3"/>
        <v>2850000</v>
      </c>
      <c r="O29" s="534">
        <f t="shared" si="4"/>
        <v>0.37503611672926901</v>
      </c>
      <c r="P29" s="532">
        <v>97</v>
      </c>
      <c r="T29" s="536" t="e">
        <f t="shared" si="5"/>
        <v>#REF!</v>
      </c>
    </row>
    <row r="30" spans="1:20">
      <c r="A30" s="552">
        <f t="shared" si="0"/>
        <v>98000</v>
      </c>
      <c r="C30" s="532">
        <v>1</v>
      </c>
      <c r="E30" s="533">
        <f t="shared" si="6"/>
        <v>39</v>
      </c>
      <c r="G30" s="533">
        <f t="shared" si="1"/>
        <v>98000</v>
      </c>
      <c r="H30" s="533"/>
      <c r="I30" s="533">
        <f t="shared" si="7"/>
        <v>1396000</v>
      </c>
      <c r="K30" s="533">
        <f t="shared" si="2"/>
        <v>15</v>
      </c>
      <c r="M30" s="533">
        <f t="shared" si="3"/>
        <v>2866000</v>
      </c>
      <c r="O30" s="534">
        <f t="shared" si="4"/>
        <v>0.40335163247616296</v>
      </c>
      <c r="P30" s="532">
        <v>98</v>
      </c>
      <c r="T30" s="536" t="e">
        <f t="shared" si="5"/>
        <v>#REF!</v>
      </c>
    </row>
    <row r="31" spans="1:20">
      <c r="A31" s="552">
        <f t="shared" si="0"/>
        <v>110000</v>
      </c>
      <c r="C31" s="532">
        <v>1</v>
      </c>
      <c r="E31" s="533">
        <f t="shared" si="6"/>
        <v>40</v>
      </c>
      <c r="G31" s="533">
        <f t="shared" si="1"/>
        <v>110000</v>
      </c>
      <c r="H31" s="533"/>
      <c r="I31" s="533">
        <f t="shared" si="7"/>
        <v>1506000</v>
      </c>
      <c r="K31" s="533">
        <f t="shared" si="2"/>
        <v>14</v>
      </c>
      <c r="M31" s="533">
        <f t="shared" si="3"/>
        <v>3046000</v>
      </c>
      <c r="O31" s="534">
        <f t="shared" si="4"/>
        <v>0.43513435423288066</v>
      </c>
      <c r="P31" s="532">
        <v>110</v>
      </c>
      <c r="T31" s="536" t="e">
        <f t="shared" si="5"/>
        <v>#REF!</v>
      </c>
    </row>
    <row r="32" spans="1:20">
      <c r="A32" s="552">
        <f t="shared" si="0"/>
        <v>116000</v>
      </c>
      <c r="C32" s="532">
        <v>1</v>
      </c>
      <c r="E32" s="533">
        <f t="shared" si="6"/>
        <v>41</v>
      </c>
      <c r="G32" s="533">
        <f t="shared" si="1"/>
        <v>116000</v>
      </c>
      <c r="H32" s="533"/>
      <c r="I32" s="533">
        <f t="shared" si="7"/>
        <v>1622000</v>
      </c>
      <c r="K32" s="533">
        <f t="shared" si="2"/>
        <v>13</v>
      </c>
      <c r="M32" s="533">
        <f t="shared" si="3"/>
        <v>3130000</v>
      </c>
      <c r="O32" s="534">
        <f t="shared" si="4"/>
        <v>0.46865067899451024</v>
      </c>
      <c r="P32" s="532">
        <v>116</v>
      </c>
      <c r="T32" s="536" t="e">
        <f t="shared" si="5"/>
        <v>#REF!</v>
      </c>
    </row>
    <row r="33" spans="1:20">
      <c r="A33" s="552">
        <f t="shared" si="0"/>
        <v>124000</v>
      </c>
      <c r="C33" s="532">
        <v>1</v>
      </c>
      <c r="E33" s="533">
        <f t="shared" si="6"/>
        <v>42</v>
      </c>
      <c r="G33" s="533">
        <f t="shared" si="1"/>
        <v>124000</v>
      </c>
      <c r="H33" s="533"/>
      <c r="I33" s="533">
        <f t="shared" si="7"/>
        <v>1746000</v>
      </c>
      <c r="K33" s="533">
        <f t="shared" si="2"/>
        <v>12</v>
      </c>
      <c r="M33" s="533">
        <f t="shared" si="3"/>
        <v>3234000</v>
      </c>
      <c r="O33" s="534">
        <f t="shared" si="4"/>
        <v>0.50447847442935567</v>
      </c>
      <c r="P33" s="532">
        <v>124</v>
      </c>
      <c r="T33" s="536" t="e">
        <f t="shared" si="5"/>
        <v>#REF!</v>
      </c>
    </row>
    <row r="34" spans="1:20">
      <c r="A34" s="552">
        <f t="shared" si="0"/>
        <v>125000</v>
      </c>
      <c r="C34" s="532">
        <v>2</v>
      </c>
      <c r="E34" s="533">
        <f t="shared" si="6"/>
        <v>44</v>
      </c>
      <c r="G34" s="533">
        <f t="shared" si="1"/>
        <v>250000</v>
      </c>
      <c r="H34" s="533"/>
      <c r="I34" s="533">
        <f t="shared" si="7"/>
        <v>1996000</v>
      </c>
      <c r="K34" s="533">
        <f t="shared" si="2"/>
        <v>10</v>
      </c>
      <c r="M34" s="533">
        <f t="shared" si="3"/>
        <v>3246000</v>
      </c>
      <c r="O34" s="534">
        <f t="shared" si="4"/>
        <v>0.57671193296735046</v>
      </c>
      <c r="P34" s="532">
        <v>125</v>
      </c>
      <c r="T34" s="536" t="e">
        <f t="shared" si="5"/>
        <v>#REF!</v>
      </c>
    </row>
    <row r="35" spans="1:20">
      <c r="A35" s="552">
        <f t="shared" si="0"/>
        <v>126000</v>
      </c>
      <c r="C35" s="532">
        <v>1</v>
      </c>
      <c r="E35" s="533">
        <f t="shared" si="6"/>
        <v>45</v>
      </c>
      <c r="G35" s="533">
        <f t="shared" si="1"/>
        <v>126000</v>
      </c>
      <c r="H35" s="533"/>
      <c r="I35" s="533">
        <f t="shared" si="7"/>
        <v>2122000</v>
      </c>
      <c r="K35" s="533">
        <f t="shared" si="2"/>
        <v>9</v>
      </c>
      <c r="M35" s="533">
        <f t="shared" si="3"/>
        <v>3256000</v>
      </c>
      <c r="O35" s="534">
        <f t="shared" si="4"/>
        <v>0.61311759607049987</v>
      </c>
      <c r="P35" s="532">
        <v>126</v>
      </c>
      <c r="T35" s="536" t="e">
        <f t="shared" si="5"/>
        <v>#REF!</v>
      </c>
    </row>
    <row r="36" spans="1:20">
      <c r="A36" s="552">
        <f t="shared" si="0"/>
        <v>130000</v>
      </c>
      <c r="C36" s="532">
        <v>1</v>
      </c>
      <c r="E36" s="533">
        <f t="shared" si="6"/>
        <v>46</v>
      </c>
      <c r="G36" s="533">
        <f t="shared" si="1"/>
        <v>130000</v>
      </c>
      <c r="H36" s="533"/>
      <c r="I36" s="533">
        <f t="shared" si="7"/>
        <v>2252000</v>
      </c>
      <c r="K36" s="533">
        <f t="shared" si="2"/>
        <v>8</v>
      </c>
      <c r="M36" s="533">
        <f t="shared" si="3"/>
        <v>3292000</v>
      </c>
      <c r="O36" s="534">
        <f t="shared" si="4"/>
        <v>0.65067899451025712</v>
      </c>
      <c r="P36" s="532">
        <v>130</v>
      </c>
      <c r="T36" s="536" t="e">
        <f t="shared" si="5"/>
        <v>#REF!</v>
      </c>
    </row>
    <row r="37" spans="1:20">
      <c r="A37" s="552">
        <f t="shared" si="0"/>
        <v>133000</v>
      </c>
      <c r="C37" s="532">
        <v>1</v>
      </c>
      <c r="E37" s="533">
        <f t="shared" si="6"/>
        <v>47</v>
      </c>
      <c r="G37" s="533">
        <f t="shared" si="1"/>
        <v>133000</v>
      </c>
      <c r="H37" s="533"/>
      <c r="I37" s="533">
        <f t="shared" si="7"/>
        <v>2385000</v>
      </c>
      <c r="K37" s="533">
        <f t="shared" si="2"/>
        <v>7</v>
      </c>
      <c r="M37" s="533">
        <f t="shared" si="3"/>
        <v>3316000</v>
      </c>
      <c r="O37" s="534">
        <f t="shared" si="4"/>
        <v>0.68910719445247037</v>
      </c>
      <c r="P37" s="532">
        <v>133</v>
      </c>
      <c r="T37" s="536" t="e">
        <f t="shared" si="5"/>
        <v>#REF!</v>
      </c>
    </row>
    <row r="38" spans="1:20">
      <c r="A38" s="552">
        <f t="shared" si="0"/>
        <v>136000</v>
      </c>
      <c r="C38" s="532">
        <v>1</v>
      </c>
      <c r="E38" s="533">
        <f t="shared" si="6"/>
        <v>48</v>
      </c>
      <c r="G38" s="533">
        <f t="shared" si="1"/>
        <v>136000</v>
      </c>
      <c r="H38" s="533"/>
      <c r="I38" s="533">
        <f t="shared" si="7"/>
        <v>2521000</v>
      </c>
      <c r="K38" s="533">
        <f t="shared" si="2"/>
        <v>6</v>
      </c>
      <c r="M38" s="533">
        <f t="shared" si="3"/>
        <v>3337000</v>
      </c>
      <c r="O38" s="534">
        <f t="shared" si="4"/>
        <v>0.7284021958971395</v>
      </c>
      <c r="P38" s="532">
        <v>136</v>
      </c>
      <c r="T38" s="536" t="e">
        <f t="shared" si="5"/>
        <v>#REF!</v>
      </c>
    </row>
    <row r="39" spans="1:20">
      <c r="A39" s="552">
        <f t="shared" si="0"/>
        <v>138000</v>
      </c>
      <c r="C39" s="532">
        <v>1</v>
      </c>
      <c r="E39" s="533">
        <f t="shared" si="6"/>
        <v>49</v>
      </c>
      <c r="G39" s="533">
        <f t="shared" si="1"/>
        <v>138000</v>
      </c>
      <c r="H39" s="533"/>
      <c r="I39" s="533">
        <f t="shared" si="7"/>
        <v>2659000</v>
      </c>
      <c r="K39" s="533">
        <f t="shared" si="2"/>
        <v>5</v>
      </c>
      <c r="M39" s="533">
        <f t="shared" si="3"/>
        <v>3349000</v>
      </c>
      <c r="O39" s="534">
        <f t="shared" si="4"/>
        <v>0.76827506501011267</v>
      </c>
      <c r="P39" s="532">
        <v>138</v>
      </c>
      <c r="T39" s="536" t="e">
        <f t="shared" si="5"/>
        <v>#REF!</v>
      </c>
    </row>
    <row r="40" spans="1:20">
      <c r="A40" s="552">
        <f t="shared" si="0"/>
        <v>144000</v>
      </c>
      <c r="C40" s="532">
        <v>1</v>
      </c>
      <c r="E40" s="533">
        <f t="shared" si="6"/>
        <v>50</v>
      </c>
      <c r="G40" s="533">
        <f t="shared" si="1"/>
        <v>144000</v>
      </c>
      <c r="H40" s="533"/>
      <c r="I40" s="533">
        <f t="shared" si="7"/>
        <v>2803000</v>
      </c>
      <c r="K40" s="533">
        <f t="shared" si="2"/>
        <v>4</v>
      </c>
      <c r="M40" s="533">
        <f t="shared" si="3"/>
        <v>3379000</v>
      </c>
      <c r="O40" s="534">
        <f t="shared" si="4"/>
        <v>0.80988153712799771</v>
      </c>
      <c r="P40" s="532">
        <v>144</v>
      </c>
      <c r="T40" s="536" t="e">
        <f t="shared" si="5"/>
        <v>#REF!</v>
      </c>
    </row>
    <row r="41" spans="1:20">
      <c r="A41" s="552">
        <f t="shared" si="0"/>
        <v>145000</v>
      </c>
      <c r="C41" s="532">
        <v>1</v>
      </c>
      <c r="E41" s="533">
        <f t="shared" si="6"/>
        <v>51</v>
      </c>
      <c r="G41" s="533">
        <f t="shared" si="1"/>
        <v>145000</v>
      </c>
      <c r="H41" s="533"/>
      <c r="I41" s="533">
        <f t="shared" si="7"/>
        <v>2948000</v>
      </c>
      <c r="K41" s="533">
        <f t="shared" si="2"/>
        <v>3</v>
      </c>
      <c r="M41" s="533">
        <f t="shared" si="3"/>
        <v>3383000</v>
      </c>
      <c r="O41" s="534">
        <f t="shared" si="4"/>
        <v>0.85177694308003471</v>
      </c>
      <c r="P41" s="532">
        <v>145</v>
      </c>
      <c r="T41" s="536" t="e">
        <f t="shared" si="5"/>
        <v>#REF!</v>
      </c>
    </row>
    <row r="42" spans="1:20">
      <c r="A42" s="552">
        <f t="shared" si="0"/>
        <v>149000</v>
      </c>
      <c r="C42" s="532">
        <v>1</v>
      </c>
      <c r="E42" s="533">
        <f t="shared" si="6"/>
        <v>52</v>
      </c>
      <c r="G42" s="533">
        <f t="shared" si="1"/>
        <v>149000</v>
      </c>
      <c r="H42" s="533"/>
      <c r="I42" s="533">
        <f t="shared" si="7"/>
        <v>3097000</v>
      </c>
      <c r="K42" s="533">
        <f t="shared" si="2"/>
        <v>2</v>
      </c>
      <c r="M42" s="533">
        <f t="shared" si="3"/>
        <v>3395000</v>
      </c>
      <c r="O42" s="534">
        <f t="shared" si="4"/>
        <v>0.89482808436867955</v>
      </c>
      <c r="P42" s="532">
        <v>149</v>
      </c>
      <c r="T42" s="536" t="e">
        <f t="shared" si="5"/>
        <v>#REF!</v>
      </c>
    </row>
    <row r="43" spans="1:20">
      <c r="A43" s="552">
        <f t="shared" si="0"/>
        <v>179000</v>
      </c>
      <c r="C43" s="532">
        <v>1</v>
      </c>
      <c r="E43" s="533">
        <f t="shared" si="6"/>
        <v>53</v>
      </c>
      <c r="G43" s="533">
        <f t="shared" si="1"/>
        <v>179000</v>
      </c>
      <c r="H43" s="533"/>
      <c r="I43" s="533">
        <f t="shared" si="7"/>
        <v>3276000</v>
      </c>
      <c r="K43" s="533">
        <f t="shared" si="2"/>
        <v>1</v>
      </c>
      <c r="M43" s="533">
        <f t="shared" si="3"/>
        <v>3455000</v>
      </c>
      <c r="O43" s="534">
        <f t="shared" si="4"/>
        <v>0.94654724068188389</v>
      </c>
      <c r="P43" s="532">
        <v>179</v>
      </c>
      <c r="T43" s="536" t="e">
        <f t="shared" si="5"/>
        <v>#REF!</v>
      </c>
    </row>
    <row r="44" spans="1:20">
      <c r="A44" s="552">
        <f t="shared" si="0"/>
        <v>185000</v>
      </c>
      <c r="C44" s="532">
        <v>1</v>
      </c>
      <c r="E44" s="533">
        <f t="shared" si="6"/>
        <v>54</v>
      </c>
      <c r="G44" s="533">
        <f t="shared" si="1"/>
        <v>185000</v>
      </c>
      <c r="H44" s="533"/>
      <c r="I44" s="533">
        <f t="shared" si="7"/>
        <v>3461000</v>
      </c>
      <c r="K44" s="533">
        <f t="shared" si="2"/>
        <v>0</v>
      </c>
      <c r="M44" s="533">
        <f t="shared" si="3"/>
        <v>3461000</v>
      </c>
      <c r="O44" s="534">
        <f t="shared" si="4"/>
        <v>1</v>
      </c>
      <c r="P44" s="532">
        <v>185</v>
      </c>
      <c r="T44" s="536" t="e">
        <f t="shared" si="5"/>
        <v>#REF!</v>
      </c>
    </row>
    <row r="46" spans="1:20">
      <c r="T46" s="539" t="e">
        <f>SUM(T10:T44)</f>
        <v>#REF!</v>
      </c>
    </row>
    <row r="47" spans="1:20" hidden="1">
      <c r="T47" s="513">
        <v>15995</v>
      </c>
    </row>
    <row r="48" spans="1:20" hidden="1">
      <c r="T48" s="540" t="e">
        <f>T46-T47</f>
        <v>#REF!</v>
      </c>
    </row>
    <row r="49" spans="20:20" hidden="1">
      <c r="T49" s="555" t="e">
        <f>T48/T46</f>
        <v>#REF!</v>
      </c>
    </row>
  </sheetData>
  <phoneticPr fontId="51" type="noConversion"/>
  <printOptions horizontalCentered="1"/>
  <pageMargins left="0" right="0" top="0.89999999999999991" bottom="0.5" header="0.25" footer="0.25"/>
  <pageSetup scale="57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T28"/>
  <sheetViews>
    <sheetView topLeftCell="M1" workbookViewId="0">
      <selection activeCell="M59" sqref="M5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975</v>
      </c>
      <c r="S2" s="518"/>
      <c r="T2" s="519">
        <v>60.64</v>
      </c>
    </row>
    <row r="3" spans="1:20">
      <c r="A3" s="513" t="s">
        <v>536</v>
      </c>
      <c r="M3" s="520" t="s">
        <v>524</v>
      </c>
      <c r="R3" s="518" t="s">
        <v>976</v>
      </c>
      <c r="S3" s="518"/>
      <c r="T3" s="519">
        <v>4.6900000000000004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277</v>
      </c>
      <c r="S4" s="518"/>
      <c r="T4" s="519">
        <v>4.2699999999999996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280</v>
      </c>
      <c r="S5" s="518"/>
      <c r="T5" s="519">
        <v>3.79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541</v>
      </c>
      <c r="S6" s="518"/>
      <c r="T6" s="519">
        <v>3.31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24" si="0">P10*1000</f>
        <v>0</v>
      </c>
      <c r="C10" s="547">
        <v>0</v>
      </c>
      <c r="D10" s="533"/>
      <c r="E10" s="533">
        <f>C10</f>
        <v>0</v>
      </c>
      <c r="F10" s="533"/>
      <c r="G10" s="533">
        <f t="shared" ref="G10:G24" si="1">A10*C10</f>
        <v>0</v>
      </c>
      <c r="H10" s="533"/>
      <c r="I10" s="533">
        <f>G10</f>
        <v>0</v>
      </c>
      <c r="J10" s="533"/>
      <c r="K10" s="533">
        <f t="shared" ref="K10:K24" si="2">$E$24-E10</f>
        <v>22</v>
      </c>
      <c r="L10" s="533"/>
      <c r="M10" s="533">
        <f t="shared" ref="M10:M24" si="3">(A10*K10)+I10</f>
        <v>0</v>
      </c>
      <c r="O10" s="534">
        <f t="shared" ref="O10:O24" si="4">I10/$I$24</f>
        <v>0</v>
      </c>
      <c r="P10" s="532">
        <v>0</v>
      </c>
      <c r="T10" s="536">
        <f t="shared" ref="T10:T24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0</v>
      </c>
    </row>
    <row r="11" spans="1:20" s="515" customFormat="1">
      <c r="A11" s="552">
        <f t="shared" si="0"/>
        <v>2000</v>
      </c>
      <c r="C11" s="547">
        <v>7</v>
      </c>
      <c r="D11" s="533"/>
      <c r="E11" s="533">
        <f t="shared" ref="E11:E24" si="6">E10+C11</f>
        <v>7</v>
      </c>
      <c r="F11" s="533"/>
      <c r="G11" s="533">
        <f t="shared" si="1"/>
        <v>14000</v>
      </c>
      <c r="H11" s="533"/>
      <c r="I11" s="533">
        <f t="shared" ref="I11:I24" si="7">I10+G11</f>
        <v>14000</v>
      </c>
      <c r="J11" s="533"/>
      <c r="K11" s="533">
        <f t="shared" si="2"/>
        <v>15</v>
      </c>
      <c r="L11" s="533"/>
      <c r="M11" s="533">
        <f t="shared" si="3"/>
        <v>44000</v>
      </c>
      <c r="O11" s="534">
        <f t="shared" si="4"/>
        <v>1.1656952539550375E-2</v>
      </c>
      <c r="P11" s="532">
        <v>2</v>
      </c>
      <c r="T11" s="536">
        <f t="shared" si="5"/>
        <v>457.31</v>
      </c>
    </row>
    <row r="12" spans="1:20">
      <c r="A12" s="552">
        <f t="shared" si="0"/>
        <v>3000</v>
      </c>
      <c r="C12" s="513">
        <v>2</v>
      </c>
      <c r="E12" s="533">
        <f t="shared" si="6"/>
        <v>9</v>
      </c>
      <c r="G12" s="533">
        <f t="shared" si="1"/>
        <v>6000</v>
      </c>
      <c r="H12" s="533"/>
      <c r="I12" s="533">
        <f t="shared" si="7"/>
        <v>20000</v>
      </c>
      <c r="K12" s="533">
        <f t="shared" si="2"/>
        <v>13</v>
      </c>
      <c r="M12" s="533">
        <f t="shared" si="3"/>
        <v>59000</v>
      </c>
      <c r="O12" s="534">
        <f t="shared" si="4"/>
        <v>1.665278934221482E-2</v>
      </c>
      <c r="P12" s="532">
        <v>3</v>
      </c>
      <c r="T12" s="536">
        <f t="shared" si="5"/>
        <v>140.04</v>
      </c>
    </row>
    <row r="13" spans="1:20">
      <c r="A13" s="552">
        <f t="shared" si="0"/>
        <v>4000</v>
      </c>
      <c r="C13" s="513">
        <v>2</v>
      </c>
      <c r="E13" s="533">
        <f t="shared" si="6"/>
        <v>11</v>
      </c>
      <c r="G13" s="533">
        <f t="shared" si="1"/>
        <v>8000</v>
      </c>
      <c r="H13" s="533"/>
      <c r="I13" s="533">
        <f t="shared" si="7"/>
        <v>28000</v>
      </c>
      <c r="K13" s="533">
        <f t="shared" si="2"/>
        <v>11</v>
      </c>
      <c r="M13" s="533">
        <f t="shared" si="3"/>
        <v>72000</v>
      </c>
      <c r="O13" s="534">
        <f t="shared" si="4"/>
        <v>2.331390507910075E-2</v>
      </c>
      <c r="P13" s="532">
        <v>4</v>
      </c>
      <c r="T13" s="536">
        <f t="shared" si="5"/>
        <v>149.42000000000002</v>
      </c>
    </row>
    <row r="14" spans="1:20">
      <c r="A14" s="552">
        <f t="shared" si="0"/>
        <v>83000</v>
      </c>
      <c r="C14" s="513">
        <v>1</v>
      </c>
      <c r="E14" s="533">
        <f t="shared" si="6"/>
        <v>12</v>
      </c>
      <c r="G14" s="533">
        <f t="shared" si="1"/>
        <v>83000</v>
      </c>
      <c r="H14" s="533"/>
      <c r="I14" s="533">
        <f t="shared" si="7"/>
        <v>111000</v>
      </c>
      <c r="K14" s="533">
        <f t="shared" si="2"/>
        <v>10</v>
      </c>
      <c r="M14" s="533">
        <f t="shared" si="3"/>
        <v>941000</v>
      </c>
      <c r="O14" s="534">
        <f t="shared" si="4"/>
        <v>9.2422980849292263E-2</v>
      </c>
      <c r="P14" s="532">
        <v>83</v>
      </c>
      <c r="T14" s="536">
        <f t="shared" si="5"/>
        <v>370.88</v>
      </c>
    </row>
    <row r="15" spans="1:20">
      <c r="A15" s="552">
        <f t="shared" si="0"/>
        <v>84000</v>
      </c>
      <c r="C15" s="513">
        <v>1</v>
      </c>
      <c r="E15" s="533">
        <f t="shared" si="6"/>
        <v>13</v>
      </c>
      <c r="G15" s="533">
        <f t="shared" si="1"/>
        <v>84000</v>
      </c>
      <c r="H15" s="533"/>
      <c r="I15" s="533">
        <f t="shared" si="7"/>
        <v>195000</v>
      </c>
      <c r="K15" s="533">
        <f t="shared" si="2"/>
        <v>9</v>
      </c>
      <c r="M15" s="533">
        <f t="shared" si="3"/>
        <v>951000</v>
      </c>
      <c r="O15" s="534">
        <f t="shared" si="4"/>
        <v>0.16236469608659451</v>
      </c>
      <c r="P15" s="532">
        <v>84</v>
      </c>
      <c r="T15" s="536">
        <f t="shared" si="5"/>
        <v>374.19</v>
      </c>
    </row>
    <row r="16" spans="1:20">
      <c r="A16" s="552">
        <f t="shared" si="0"/>
        <v>87000</v>
      </c>
      <c r="C16" s="513">
        <v>1</v>
      </c>
      <c r="E16" s="533">
        <f t="shared" si="6"/>
        <v>14</v>
      </c>
      <c r="G16" s="533">
        <f t="shared" si="1"/>
        <v>87000</v>
      </c>
      <c r="H16" s="533"/>
      <c r="I16" s="533">
        <f t="shared" si="7"/>
        <v>282000</v>
      </c>
      <c r="K16" s="533">
        <f t="shared" si="2"/>
        <v>8</v>
      </c>
      <c r="M16" s="533">
        <f t="shared" si="3"/>
        <v>978000</v>
      </c>
      <c r="O16" s="534">
        <f t="shared" si="4"/>
        <v>0.23480432972522897</v>
      </c>
      <c r="P16" s="532">
        <v>87</v>
      </c>
      <c r="T16" s="536">
        <f t="shared" si="5"/>
        <v>384.12</v>
      </c>
    </row>
    <row r="17" spans="1:20">
      <c r="A17" s="552">
        <f t="shared" si="0"/>
        <v>95000</v>
      </c>
      <c r="C17" s="513">
        <v>1</v>
      </c>
      <c r="E17" s="533">
        <f t="shared" si="6"/>
        <v>15</v>
      </c>
      <c r="G17" s="533">
        <f t="shared" si="1"/>
        <v>95000</v>
      </c>
      <c r="H17" s="533"/>
      <c r="I17" s="533">
        <f t="shared" si="7"/>
        <v>377000</v>
      </c>
      <c r="K17" s="533">
        <f t="shared" si="2"/>
        <v>7</v>
      </c>
      <c r="M17" s="533">
        <f t="shared" si="3"/>
        <v>1042000</v>
      </c>
      <c r="O17" s="534">
        <f t="shared" si="4"/>
        <v>0.31390507910074938</v>
      </c>
      <c r="P17" s="532">
        <v>95</v>
      </c>
      <c r="T17" s="536">
        <f t="shared" si="5"/>
        <v>410.59999999999997</v>
      </c>
    </row>
    <row r="18" spans="1:20">
      <c r="A18" s="552">
        <f t="shared" si="0"/>
        <v>97000</v>
      </c>
      <c r="C18" s="513">
        <v>1</v>
      </c>
      <c r="E18" s="533">
        <f t="shared" si="6"/>
        <v>16</v>
      </c>
      <c r="G18" s="533">
        <f t="shared" si="1"/>
        <v>97000</v>
      </c>
      <c r="H18" s="533"/>
      <c r="I18" s="533">
        <f t="shared" si="7"/>
        <v>474000</v>
      </c>
      <c r="K18" s="533">
        <f t="shared" si="2"/>
        <v>6</v>
      </c>
      <c r="M18" s="533">
        <f t="shared" si="3"/>
        <v>1056000</v>
      </c>
      <c r="O18" s="534">
        <f t="shared" si="4"/>
        <v>0.39467110741049127</v>
      </c>
      <c r="P18" s="532">
        <v>97</v>
      </c>
      <c r="T18" s="536">
        <f t="shared" si="5"/>
        <v>417.21999999999997</v>
      </c>
    </row>
    <row r="19" spans="1:20">
      <c r="A19" s="552">
        <f t="shared" si="0"/>
        <v>104000</v>
      </c>
      <c r="C19" s="513">
        <v>1</v>
      </c>
      <c r="E19" s="533">
        <f t="shared" si="6"/>
        <v>17</v>
      </c>
      <c r="G19" s="533">
        <f t="shared" si="1"/>
        <v>104000</v>
      </c>
      <c r="H19" s="533"/>
      <c r="I19" s="533">
        <f t="shared" si="7"/>
        <v>578000</v>
      </c>
      <c r="K19" s="533">
        <f t="shared" si="2"/>
        <v>5</v>
      </c>
      <c r="M19" s="533">
        <f t="shared" si="3"/>
        <v>1098000</v>
      </c>
      <c r="O19" s="534">
        <f t="shared" si="4"/>
        <v>0.48126561199000834</v>
      </c>
      <c r="P19" s="532">
        <v>104</v>
      </c>
      <c r="T19" s="536">
        <f t="shared" si="5"/>
        <v>427.15</v>
      </c>
    </row>
    <row r="20" spans="1:20">
      <c r="A20" s="552">
        <f t="shared" si="0"/>
        <v>106000</v>
      </c>
      <c r="C20" s="513">
        <v>1</v>
      </c>
      <c r="E20" s="533">
        <f t="shared" si="6"/>
        <v>18</v>
      </c>
      <c r="G20" s="533">
        <f t="shared" si="1"/>
        <v>106000</v>
      </c>
      <c r="H20" s="533"/>
      <c r="I20" s="533">
        <f t="shared" si="7"/>
        <v>684000</v>
      </c>
      <c r="K20" s="533">
        <f t="shared" si="2"/>
        <v>4</v>
      </c>
      <c r="M20" s="533">
        <f t="shared" si="3"/>
        <v>1108000</v>
      </c>
      <c r="O20" s="534">
        <f t="shared" si="4"/>
        <v>0.56952539550374692</v>
      </c>
      <c r="P20" s="532">
        <v>106</v>
      </c>
      <c r="T20" s="536">
        <f t="shared" si="5"/>
        <v>427.15</v>
      </c>
    </row>
    <row r="21" spans="1:20">
      <c r="A21" s="552">
        <f t="shared" si="0"/>
        <v>115000</v>
      </c>
      <c r="C21" s="513">
        <v>1</v>
      </c>
      <c r="E21" s="533">
        <f t="shared" si="6"/>
        <v>19</v>
      </c>
      <c r="G21" s="533">
        <f t="shared" si="1"/>
        <v>115000</v>
      </c>
      <c r="H21" s="533"/>
      <c r="I21" s="533">
        <f t="shared" si="7"/>
        <v>799000</v>
      </c>
      <c r="K21" s="533">
        <f t="shared" si="2"/>
        <v>3</v>
      </c>
      <c r="M21" s="533">
        <f t="shared" si="3"/>
        <v>1144000</v>
      </c>
      <c r="O21" s="534">
        <f t="shared" si="4"/>
        <v>0.6652789342214821</v>
      </c>
      <c r="P21" s="532">
        <v>115</v>
      </c>
      <c r="T21" s="536">
        <f t="shared" si="5"/>
        <v>427.15</v>
      </c>
    </row>
    <row r="22" spans="1:20">
      <c r="A22" s="552">
        <f t="shared" si="0"/>
        <v>122000</v>
      </c>
      <c r="C22" s="513">
        <v>1</v>
      </c>
      <c r="E22" s="533">
        <f t="shared" si="6"/>
        <v>20</v>
      </c>
      <c r="G22" s="533">
        <f t="shared" si="1"/>
        <v>122000</v>
      </c>
      <c r="H22" s="533"/>
      <c r="I22" s="533">
        <f t="shared" si="7"/>
        <v>921000</v>
      </c>
      <c r="K22" s="533">
        <f t="shared" si="2"/>
        <v>2</v>
      </c>
      <c r="M22" s="533">
        <f t="shared" si="3"/>
        <v>1165000</v>
      </c>
      <c r="O22" s="534">
        <f t="shared" si="4"/>
        <v>0.7668609492089925</v>
      </c>
      <c r="P22" s="532">
        <v>122</v>
      </c>
      <c r="T22" s="536">
        <f t="shared" si="5"/>
        <v>427.15</v>
      </c>
    </row>
    <row r="23" spans="1:20">
      <c r="A23" s="552">
        <f t="shared" si="0"/>
        <v>137000</v>
      </c>
      <c r="C23" s="513">
        <v>1</v>
      </c>
      <c r="E23" s="533">
        <f t="shared" si="6"/>
        <v>21</v>
      </c>
      <c r="G23" s="533">
        <f t="shared" si="1"/>
        <v>137000</v>
      </c>
      <c r="H23" s="533"/>
      <c r="I23" s="533">
        <f t="shared" si="7"/>
        <v>1058000</v>
      </c>
      <c r="K23" s="533">
        <f t="shared" si="2"/>
        <v>1</v>
      </c>
      <c r="M23" s="533">
        <f t="shared" si="3"/>
        <v>1195000</v>
      </c>
      <c r="O23" s="534">
        <f t="shared" si="4"/>
        <v>0.88093255620316402</v>
      </c>
      <c r="P23" s="532">
        <v>137</v>
      </c>
      <c r="T23" s="536">
        <f t="shared" si="5"/>
        <v>427.15</v>
      </c>
    </row>
    <row r="24" spans="1:20">
      <c r="A24" s="552">
        <f t="shared" si="0"/>
        <v>143000</v>
      </c>
      <c r="C24" s="513">
        <v>1</v>
      </c>
      <c r="E24" s="533">
        <f t="shared" si="6"/>
        <v>22</v>
      </c>
      <c r="G24" s="533">
        <f t="shared" si="1"/>
        <v>143000</v>
      </c>
      <c r="H24" s="533"/>
      <c r="I24" s="533">
        <f t="shared" si="7"/>
        <v>1201000</v>
      </c>
      <c r="K24" s="533">
        <f t="shared" si="2"/>
        <v>0</v>
      </c>
      <c r="M24" s="533">
        <f t="shared" si="3"/>
        <v>1201000</v>
      </c>
      <c r="O24" s="534">
        <f t="shared" si="4"/>
        <v>1</v>
      </c>
      <c r="P24" s="515">
        <v>143</v>
      </c>
      <c r="T24" s="536">
        <f t="shared" si="5"/>
        <v>427.15</v>
      </c>
    </row>
    <row r="25" spans="1:20">
      <c r="A25" s="552"/>
    </row>
    <row r="26" spans="1:20">
      <c r="A26" s="552"/>
      <c r="T26" s="539">
        <f>SUM(T10:T24)</f>
        <v>5266.6799999999994</v>
      </c>
    </row>
    <row r="27" spans="1:20">
      <c r="A27" s="552"/>
    </row>
    <row r="28" spans="1:20">
      <c r="A28" s="552"/>
    </row>
  </sheetData>
  <phoneticPr fontId="54" type="noConversion"/>
  <pageMargins left="0.75" right="0.75" top="1" bottom="1" header="0.5" footer="0.5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5"/>
  <sheetViews>
    <sheetView showGridLines="0" view="pageBreakPreview" topLeftCell="J1" zoomScale="60" zoomScaleNormal="100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5" style="513" customWidth="1"/>
    <col min="20" max="20" width="16.12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'16252'!R2</f>
        <v>First 11,200</v>
      </c>
      <c r="S2" s="518"/>
      <c r="T2" s="519">
        <f>'16252'!T2</f>
        <v>60.64</v>
      </c>
    </row>
    <row r="3" spans="1:20">
      <c r="A3" s="513" t="s">
        <v>534</v>
      </c>
      <c r="M3" s="520" t="s">
        <v>524</v>
      </c>
      <c r="R3" s="519" t="str">
        <f>'16252'!R3</f>
        <v>Next 13,800</v>
      </c>
      <c r="S3" s="518"/>
      <c r="T3" s="519">
        <f>'16252'!T3</f>
        <v>4.6900000000000004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'16252'!R4</f>
        <v>Next 25,000 gallons</v>
      </c>
      <c r="S4" s="518"/>
      <c r="T4" s="519">
        <f>'16252'!T4</f>
        <v>4.2699999999999996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'16252'!R5</f>
        <v>Next 50,000 gallons</v>
      </c>
      <c r="S5" s="518"/>
      <c r="T5" s="519">
        <f>'16252'!T5</f>
        <v>3.79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'16252'!R6</f>
        <v>Over 100,000 gallons</v>
      </c>
      <c r="S6" s="518"/>
      <c r="T6" s="519">
        <f>'16252'!T6</f>
        <v>3.31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28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8" si="1">A10*C10</f>
        <v>0</v>
      </c>
      <c r="H10" s="533"/>
      <c r="I10" s="533">
        <f>G10</f>
        <v>0</v>
      </c>
      <c r="J10" s="533"/>
      <c r="K10" s="533">
        <f t="shared" ref="K10:K28" si="2">$E$28-E10</f>
        <v>22</v>
      </c>
      <c r="L10" s="533"/>
      <c r="M10" s="533">
        <f t="shared" ref="M10:M28" si="3">(A10*K10)+I10</f>
        <v>0</v>
      </c>
      <c r="O10" s="534">
        <f t="shared" ref="O10:O28" si="4">I10/$I$28</f>
        <v>0</v>
      </c>
      <c r="P10" s="532">
        <v>0</v>
      </c>
      <c r="T10" s="536">
        <f t="shared" ref="T10:T28" si="5">IF(A10&lt;11200,C10*$T$2,IF(A10=11200,C10*$T$2,IF(AND(A10&lt;26000,A10&gt;11200),(C10*$T$2)+((A10-11200)*C10/1000*$T$3),IF(AND(A10&gt;26000,A10&lt;51000),(C10*$T$2)+(13.8*$T$3*C10)+((A10-25000)/1000*$T$4*C10),IF(AND(A10&lt;101000,A10&gt;50000),(C10*$T$2)+(13.8*$T$3*C10)+(25*$T$4*C10)+((A10-50000)/1000*$T$5*C10),IF(A10&gt;100000,(C10*$T$2)+(13.8*$T$3*C10)+(25*$T$4*C10)+(50*$T$5*C10)+((A10-100000)/1000*$T$6*C10)))))))</f>
        <v>0</v>
      </c>
    </row>
    <row r="11" spans="1:20" s="515" customFormat="1">
      <c r="A11" s="552">
        <f t="shared" si="0"/>
        <v>11000</v>
      </c>
      <c r="C11" s="532">
        <v>1</v>
      </c>
      <c r="D11" s="533"/>
      <c r="E11" s="533">
        <f t="shared" ref="E11:E28" si="6">E10+C11</f>
        <v>1</v>
      </c>
      <c r="F11" s="533"/>
      <c r="G11" s="533">
        <f t="shared" si="1"/>
        <v>11000</v>
      </c>
      <c r="H11" s="533"/>
      <c r="I11" s="533">
        <f t="shared" ref="I11:I28" si="7">I10+G11</f>
        <v>11000</v>
      </c>
      <c r="J11" s="533"/>
      <c r="K11" s="533">
        <f t="shared" si="2"/>
        <v>21</v>
      </c>
      <c r="L11" s="533"/>
      <c r="M11" s="533">
        <f t="shared" si="3"/>
        <v>242000</v>
      </c>
      <c r="O11" s="534">
        <f t="shared" si="4"/>
        <v>8.8924818108326604E-3</v>
      </c>
      <c r="P11" s="532">
        <v>11</v>
      </c>
      <c r="T11" s="536">
        <f t="shared" si="5"/>
        <v>60.64</v>
      </c>
    </row>
    <row r="12" spans="1:20">
      <c r="A12" s="552">
        <f t="shared" si="0"/>
        <v>14000</v>
      </c>
      <c r="C12" s="532">
        <v>2</v>
      </c>
      <c r="E12" s="533">
        <f t="shared" si="6"/>
        <v>3</v>
      </c>
      <c r="G12" s="533">
        <f t="shared" si="1"/>
        <v>28000</v>
      </c>
      <c r="H12" s="533"/>
      <c r="I12" s="533">
        <f t="shared" si="7"/>
        <v>39000</v>
      </c>
      <c r="K12" s="533">
        <f t="shared" si="2"/>
        <v>19</v>
      </c>
      <c r="M12" s="533">
        <f t="shared" si="3"/>
        <v>305000</v>
      </c>
      <c r="O12" s="534">
        <f t="shared" si="4"/>
        <v>3.1527890056588521E-2</v>
      </c>
      <c r="P12" s="532">
        <v>14</v>
      </c>
      <c r="T12" s="536">
        <f t="shared" si="5"/>
        <v>147.54400000000001</v>
      </c>
    </row>
    <row r="13" spans="1:20">
      <c r="A13" s="552">
        <f t="shared" si="0"/>
        <v>15000</v>
      </c>
      <c r="C13" s="532">
        <v>1</v>
      </c>
      <c r="E13" s="533">
        <f t="shared" si="6"/>
        <v>4</v>
      </c>
      <c r="G13" s="533">
        <f t="shared" si="1"/>
        <v>15000</v>
      </c>
      <c r="H13" s="533"/>
      <c r="I13" s="533">
        <f t="shared" si="7"/>
        <v>54000</v>
      </c>
      <c r="K13" s="533">
        <f t="shared" si="2"/>
        <v>18</v>
      </c>
      <c r="M13" s="533">
        <f t="shared" si="3"/>
        <v>324000</v>
      </c>
      <c r="O13" s="534">
        <f t="shared" si="4"/>
        <v>4.3654001616814875E-2</v>
      </c>
      <c r="P13" s="532">
        <v>15</v>
      </c>
      <c r="T13" s="536">
        <f t="shared" si="5"/>
        <v>78.462000000000003</v>
      </c>
    </row>
    <row r="14" spans="1:20">
      <c r="A14" s="552">
        <f t="shared" si="0"/>
        <v>17000</v>
      </c>
      <c r="C14" s="532">
        <v>1</v>
      </c>
      <c r="E14" s="533">
        <f t="shared" si="6"/>
        <v>5</v>
      </c>
      <c r="G14" s="533">
        <f t="shared" si="1"/>
        <v>17000</v>
      </c>
      <c r="H14" s="533"/>
      <c r="I14" s="533">
        <f t="shared" si="7"/>
        <v>71000</v>
      </c>
      <c r="K14" s="533">
        <f t="shared" si="2"/>
        <v>17</v>
      </c>
      <c r="M14" s="533">
        <f t="shared" si="3"/>
        <v>360000</v>
      </c>
      <c r="O14" s="534">
        <f t="shared" si="4"/>
        <v>5.7396928051738079E-2</v>
      </c>
      <c r="P14" s="532">
        <v>17</v>
      </c>
      <c r="T14" s="536">
        <f t="shared" si="5"/>
        <v>87.841999999999999</v>
      </c>
    </row>
    <row r="15" spans="1:20">
      <c r="A15" s="552">
        <f t="shared" si="0"/>
        <v>18000</v>
      </c>
      <c r="C15" s="532">
        <v>2</v>
      </c>
      <c r="E15" s="533">
        <f t="shared" si="6"/>
        <v>7</v>
      </c>
      <c r="G15" s="533">
        <f t="shared" si="1"/>
        <v>36000</v>
      </c>
      <c r="H15" s="533"/>
      <c r="I15" s="533">
        <f t="shared" si="7"/>
        <v>107000</v>
      </c>
      <c r="K15" s="533">
        <f t="shared" si="2"/>
        <v>15</v>
      </c>
      <c r="M15" s="533">
        <f t="shared" si="3"/>
        <v>377000</v>
      </c>
      <c r="O15" s="534">
        <f t="shared" si="4"/>
        <v>8.6499595796281331E-2</v>
      </c>
      <c r="P15" s="532">
        <v>18</v>
      </c>
      <c r="T15" s="536">
        <f t="shared" si="5"/>
        <v>185.06400000000002</v>
      </c>
    </row>
    <row r="16" spans="1:20">
      <c r="A16" s="552">
        <f t="shared" si="0"/>
        <v>19000</v>
      </c>
      <c r="C16" s="532">
        <v>2</v>
      </c>
      <c r="E16" s="533">
        <f t="shared" si="6"/>
        <v>9</v>
      </c>
      <c r="G16" s="533">
        <f t="shared" si="1"/>
        <v>38000</v>
      </c>
      <c r="H16" s="533"/>
      <c r="I16" s="533">
        <f t="shared" si="7"/>
        <v>145000</v>
      </c>
      <c r="K16" s="533">
        <f t="shared" si="2"/>
        <v>13</v>
      </c>
      <c r="M16" s="533">
        <f t="shared" si="3"/>
        <v>392000</v>
      </c>
      <c r="O16" s="534">
        <f t="shared" si="4"/>
        <v>0.11721907841552143</v>
      </c>
      <c r="P16" s="532">
        <v>19</v>
      </c>
      <c r="T16" s="536">
        <f t="shared" si="5"/>
        <v>194.44400000000002</v>
      </c>
    </row>
    <row r="17" spans="1:20">
      <c r="A17" s="552">
        <f t="shared" si="0"/>
        <v>27000</v>
      </c>
      <c r="C17" s="532">
        <v>1</v>
      </c>
      <c r="E17" s="533">
        <f t="shared" si="6"/>
        <v>10</v>
      </c>
      <c r="G17" s="533">
        <f t="shared" si="1"/>
        <v>27000</v>
      </c>
      <c r="H17" s="533"/>
      <c r="I17" s="533">
        <f t="shared" si="7"/>
        <v>172000</v>
      </c>
      <c r="K17" s="533">
        <f t="shared" si="2"/>
        <v>12</v>
      </c>
      <c r="M17" s="533">
        <f t="shared" si="3"/>
        <v>496000</v>
      </c>
      <c r="O17" s="534">
        <f t="shared" si="4"/>
        <v>0.13904607922392886</v>
      </c>
      <c r="P17" s="532">
        <v>27</v>
      </c>
      <c r="T17" s="536">
        <f t="shared" si="5"/>
        <v>133.90200000000002</v>
      </c>
    </row>
    <row r="18" spans="1:20">
      <c r="A18" s="552">
        <f t="shared" si="0"/>
        <v>36000</v>
      </c>
      <c r="C18" s="532">
        <v>1</v>
      </c>
      <c r="E18" s="533">
        <f t="shared" si="6"/>
        <v>11</v>
      </c>
      <c r="G18" s="533">
        <f t="shared" si="1"/>
        <v>36000</v>
      </c>
      <c r="H18" s="533"/>
      <c r="I18" s="533">
        <f t="shared" si="7"/>
        <v>208000</v>
      </c>
      <c r="K18" s="533">
        <f t="shared" si="2"/>
        <v>11</v>
      </c>
      <c r="M18" s="533">
        <f t="shared" si="3"/>
        <v>604000</v>
      </c>
      <c r="O18" s="534">
        <f t="shared" si="4"/>
        <v>0.16814874696847212</v>
      </c>
      <c r="P18" s="532">
        <v>36</v>
      </c>
      <c r="T18" s="536">
        <f t="shared" si="5"/>
        <v>172.33199999999999</v>
      </c>
    </row>
    <row r="19" spans="1:20">
      <c r="A19" s="552">
        <f t="shared" si="0"/>
        <v>60000</v>
      </c>
      <c r="C19" s="532">
        <v>2</v>
      </c>
      <c r="E19" s="533">
        <f t="shared" si="6"/>
        <v>13</v>
      </c>
      <c r="G19" s="533">
        <f t="shared" si="1"/>
        <v>120000</v>
      </c>
      <c r="H19" s="533"/>
      <c r="I19" s="533">
        <f t="shared" si="7"/>
        <v>328000</v>
      </c>
      <c r="K19" s="533">
        <f t="shared" si="2"/>
        <v>9</v>
      </c>
      <c r="M19" s="533">
        <f t="shared" si="3"/>
        <v>868000</v>
      </c>
      <c r="O19" s="534">
        <f t="shared" si="4"/>
        <v>0.26515763945028292</v>
      </c>
      <c r="P19" s="532">
        <v>60</v>
      </c>
      <c r="T19" s="536">
        <f t="shared" si="5"/>
        <v>540.024</v>
      </c>
    </row>
    <row r="20" spans="1:20">
      <c r="A20" s="552">
        <f t="shared" si="0"/>
        <v>64000</v>
      </c>
      <c r="C20" s="532">
        <v>1</v>
      </c>
      <c r="E20" s="533">
        <f t="shared" si="6"/>
        <v>14</v>
      </c>
      <c r="G20" s="533">
        <f t="shared" si="1"/>
        <v>64000</v>
      </c>
      <c r="H20" s="533"/>
      <c r="I20" s="533">
        <f t="shared" si="7"/>
        <v>392000</v>
      </c>
      <c r="K20" s="533">
        <f t="shared" si="2"/>
        <v>8</v>
      </c>
      <c r="M20" s="533">
        <f t="shared" si="3"/>
        <v>904000</v>
      </c>
      <c r="O20" s="534">
        <f t="shared" si="4"/>
        <v>0.31689571544058204</v>
      </c>
      <c r="P20" s="532">
        <v>64</v>
      </c>
      <c r="T20" s="536">
        <f t="shared" si="5"/>
        <v>285.17200000000003</v>
      </c>
    </row>
    <row r="21" spans="1:20">
      <c r="A21" s="552">
        <f t="shared" si="0"/>
        <v>72000</v>
      </c>
      <c r="C21" s="532">
        <v>1</v>
      </c>
      <c r="E21" s="533">
        <f t="shared" si="6"/>
        <v>15</v>
      </c>
      <c r="G21" s="533">
        <f t="shared" si="1"/>
        <v>72000</v>
      </c>
      <c r="H21" s="533"/>
      <c r="I21" s="533">
        <f t="shared" si="7"/>
        <v>464000</v>
      </c>
      <c r="K21" s="533">
        <f t="shared" si="2"/>
        <v>7</v>
      </c>
      <c r="M21" s="533">
        <f t="shared" si="3"/>
        <v>968000</v>
      </c>
      <c r="O21" s="534">
        <f t="shared" si="4"/>
        <v>0.37510105092966856</v>
      </c>
      <c r="P21" s="532">
        <v>72</v>
      </c>
      <c r="T21" s="536">
        <f t="shared" si="5"/>
        <v>315.49199999999996</v>
      </c>
    </row>
    <row r="22" spans="1:20">
      <c r="A22" s="552">
        <f t="shared" si="0"/>
        <v>78000</v>
      </c>
      <c r="C22" s="532">
        <v>1</v>
      </c>
      <c r="E22" s="533">
        <f t="shared" si="6"/>
        <v>16</v>
      </c>
      <c r="G22" s="533">
        <f t="shared" si="1"/>
        <v>78000</v>
      </c>
      <c r="H22" s="533"/>
      <c r="I22" s="533">
        <f t="shared" si="7"/>
        <v>542000</v>
      </c>
      <c r="K22" s="533">
        <f t="shared" si="2"/>
        <v>6</v>
      </c>
      <c r="M22" s="533">
        <f t="shared" si="3"/>
        <v>1010000</v>
      </c>
      <c r="O22" s="534">
        <f t="shared" si="4"/>
        <v>0.43815683104284558</v>
      </c>
      <c r="P22" s="532">
        <v>78</v>
      </c>
      <c r="T22" s="536">
        <f t="shared" si="5"/>
        <v>338.23199999999997</v>
      </c>
    </row>
    <row r="23" spans="1:20">
      <c r="A23" s="552">
        <f t="shared" si="0"/>
        <v>84000</v>
      </c>
      <c r="C23" s="532">
        <v>1</v>
      </c>
      <c r="E23" s="533">
        <f t="shared" si="6"/>
        <v>17</v>
      </c>
      <c r="G23" s="533">
        <f t="shared" si="1"/>
        <v>84000</v>
      </c>
      <c r="H23" s="533"/>
      <c r="I23" s="533">
        <f t="shared" si="7"/>
        <v>626000</v>
      </c>
      <c r="K23" s="533">
        <f t="shared" si="2"/>
        <v>5</v>
      </c>
      <c r="M23" s="533">
        <f t="shared" si="3"/>
        <v>1046000</v>
      </c>
      <c r="O23" s="534">
        <f t="shared" si="4"/>
        <v>0.50606305578011312</v>
      </c>
      <c r="P23" s="532">
        <v>84</v>
      </c>
      <c r="T23" s="536">
        <f t="shared" si="5"/>
        <v>360.97199999999998</v>
      </c>
    </row>
    <row r="24" spans="1:20">
      <c r="A24" s="552">
        <f t="shared" si="0"/>
        <v>91000</v>
      </c>
      <c r="C24" s="532">
        <v>1</v>
      </c>
      <c r="E24" s="533">
        <f t="shared" si="6"/>
        <v>18</v>
      </c>
      <c r="G24" s="533">
        <f t="shared" si="1"/>
        <v>91000</v>
      </c>
      <c r="H24" s="533"/>
      <c r="I24" s="533">
        <f t="shared" si="7"/>
        <v>717000</v>
      </c>
      <c r="K24" s="533">
        <f t="shared" si="2"/>
        <v>4</v>
      </c>
      <c r="M24" s="533">
        <f t="shared" si="3"/>
        <v>1081000</v>
      </c>
      <c r="O24" s="534">
        <f t="shared" si="4"/>
        <v>0.57962813257881973</v>
      </c>
      <c r="P24" s="532">
        <v>91</v>
      </c>
      <c r="T24" s="536">
        <f t="shared" si="5"/>
        <v>387.50200000000001</v>
      </c>
    </row>
    <row r="25" spans="1:20">
      <c r="A25" s="552">
        <f t="shared" si="0"/>
        <v>108000</v>
      </c>
      <c r="C25" s="532">
        <v>1</v>
      </c>
      <c r="E25" s="533">
        <f t="shared" si="6"/>
        <v>19</v>
      </c>
      <c r="G25" s="533">
        <f t="shared" si="1"/>
        <v>108000</v>
      </c>
      <c r="H25" s="533"/>
      <c r="I25" s="533">
        <f t="shared" si="7"/>
        <v>825000</v>
      </c>
      <c r="K25" s="533">
        <f t="shared" si="2"/>
        <v>3</v>
      </c>
      <c r="M25" s="533">
        <f t="shared" si="3"/>
        <v>1149000</v>
      </c>
      <c r="O25" s="534">
        <f t="shared" si="4"/>
        <v>0.66693613581244948</v>
      </c>
      <c r="P25" s="532">
        <v>108</v>
      </c>
      <c r="T25" s="536">
        <f t="shared" si="5"/>
        <v>448.09199999999998</v>
      </c>
    </row>
    <row r="26" spans="1:20">
      <c r="A26" s="552">
        <f t="shared" si="0"/>
        <v>117000</v>
      </c>
      <c r="C26" s="532">
        <v>1</v>
      </c>
      <c r="E26" s="533">
        <f t="shared" si="6"/>
        <v>20</v>
      </c>
      <c r="G26" s="533">
        <f t="shared" si="1"/>
        <v>117000</v>
      </c>
      <c r="H26" s="533"/>
      <c r="I26" s="533">
        <f t="shared" si="7"/>
        <v>942000</v>
      </c>
      <c r="K26" s="533">
        <f t="shared" si="2"/>
        <v>2</v>
      </c>
      <c r="M26" s="533">
        <f t="shared" si="3"/>
        <v>1176000</v>
      </c>
      <c r="O26" s="534">
        <f t="shared" si="4"/>
        <v>0.76151980598221503</v>
      </c>
      <c r="P26" s="532">
        <v>117</v>
      </c>
      <c r="T26" s="536">
        <f t="shared" si="5"/>
        <v>477.88199999999995</v>
      </c>
    </row>
    <row r="27" spans="1:20">
      <c r="A27" s="552">
        <f t="shared" si="0"/>
        <v>146000</v>
      </c>
      <c r="C27" s="532">
        <v>1</v>
      </c>
      <c r="E27" s="533">
        <f t="shared" si="6"/>
        <v>21</v>
      </c>
      <c r="G27" s="533">
        <f t="shared" si="1"/>
        <v>146000</v>
      </c>
      <c r="H27" s="533"/>
      <c r="I27" s="533">
        <f t="shared" si="7"/>
        <v>1088000</v>
      </c>
      <c r="K27" s="533">
        <f t="shared" si="2"/>
        <v>1</v>
      </c>
      <c r="M27" s="533">
        <f t="shared" si="3"/>
        <v>1234000</v>
      </c>
      <c r="O27" s="534">
        <f t="shared" si="4"/>
        <v>0.87954729183508484</v>
      </c>
      <c r="P27" s="532">
        <v>146</v>
      </c>
      <c r="T27" s="536">
        <f t="shared" si="5"/>
        <v>573.87199999999996</v>
      </c>
    </row>
    <row r="28" spans="1:20">
      <c r="A28" s="552">
        <f t="shared" si="0"/>
        <v>149000</v>
      </c>
      <c r="C28" s="532">
        <v>1</v>
      </c>
      <c r="E28" s="533">
        <f t="shared" si="6"/>
        <v>22</v>
      </c>
      <c r="G28" s="533">
        <f t="shared" si="1"/>
        <v>149000</v>
      </c>
      <c r="H28" s="533"/>
      <c r="I28" s="533">
        <f t="shared" si="7"/>
        <v>1237000</v>
      </c>
      <c r="K28" s="533">
        <f t="shared" si="2"/>
        <v>0</v>
      </c>
      <c r="M28" s="533">
        <f t="shared" si="3"/>
        <v>1237000</v>
      </c>
      <c r="O28" s="534">
        <f t="shared" si="4"/>
        <v>1</v>
      </c>
      <c r="P28" s="532">
        <v>149</v>
      </c>
      <c r="T28" s="536">
        <f t="shared" si="5"/>
        <v>583.80199999999991</v>
      </c>
    </row>
    <row r="29" spans="1:20">
      <c r="A29" s="552"/>
      <c r="E29" s="533"/>
      <c r="G29" s="533"/>
      <c r="H29" s="533"/>
      <c r="I29" s="533"/>
      <c r="K29" s="533"/>
      <c r="M29" s="533"/>
      <c r="O29" s="534"/>
      <c r="T29" s="536"/>
    </row>
    <row r="30" spans="1:20">
      <c r="T30" s="536"/>
    </row>
    <row r="31" spans="1:20">
      <c r="T31" s="554">
        <f>SUM(T10:T28)</f>
        <v>5371.271999999999</v>
      </c>
    </row>
    <row r="32" spans="1:20" hidden="1">
      <c r="T32" s="536">
        <v>5378</v>
      </c>
    </row>
    <row r="33" spans="20:20" hidden="1">
      <c r="T33" s="536">
        <f>T31-T32</f>
        <v>-6.728000000000975</v>
      </c>
    </row>
    <row r="34" spans="20:20" hidden="1">
      <c r="T34" s="536">
        <f>T33/T31</f>
        <v>-1.252589703146848E-3</v>
      </c>
    </row>
    <row r="35" spans="20:20">
      <c r="T35" s="536"/>
    </row>
  </sheetData>
  <phoneticPr fontId="51" type="noConversion"/>
  <printOptions horizontalCentered="1"/>
  <pageMargins left="0" right="0" top="0.89999999999999991" bottom="0.5" header="0.25" footer="0.25"/>
  <pageSetup scale="57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"/>
  <sheetViews>
    <sheetView showGridLines="0" view="pageBreakPreview" topLeftCell="J1" zoomScale="60" zoomScaleNormal="100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5" style="513" customWidth="1"/>
    <col min="20" max="20" width="16.12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'16248'!R2</f>
        <v>First 17,600</v>
      </c>
      <c r="S2" s="518"/>
      <c r="T2" s="519" t="e">
        <f>'16248'!T2</f>
        <v>#REF!</v>
      </c>
    </row>
    <row r="3" spans="1:20">
      <c r="A3" s="513" t="s">
        <v>543</v>
      </c>
      <c r="M3" s="520" t="s">
        <v>525</v>
      </c>
      <c r="R3" s="519" t="str">
        <f>'16248'!R3</f>
        <v>Next 7,400</v>
      </c>
      <c r="S3" s="518"/>
      <c r="T3" s="519" t="e">
        <f>'16248'!T3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'16248'!R4</f>
        <v>Next 25,000 gallons</v>
      </c>
      <c r="S4" s="518"/>
      <c r="T4" s="519" t="e">
        <f>'16248'!T4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'16248'!R5</f>
        <v>Next 50,000 gallons</v>
      </c>
      <c r="S5" s="518"/>
      <c r="T5" s="519" t="e">
        <f>'16248'!T5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'16248'!R6</f>
        <v>Over 100,000</v>
      </c>
      <c r="S6" s="518"/>
      <c r="T6" s="519" t="e">
        <f>'16248'!T6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15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5" si="1">A10*C10</f>
        <v>0</v>
      </c>
      <c r="H10" s="533"/>
      <c r="I10" s="533">
        <f>G10</f>
        <v>0</v>
      </c>
      <c r="J10" s="533"/>
      <c r="K10" s="533">
        <f t="shared" ref="K10:K15" si="2">$E$15-E10</f>
        <v>6</v>
      </c>
      <c r="L10" s="533"/>
      <c r="M10" s="533">
        <f t="shared" ref="M10:M15" si="3">(A10*K10)+I10</f>
        <v>0</v>
      </c>
      <c r="O10" s="534">
        <f t="shared" ref="O10:O15" si="4">I10/$I$15</f>
        <v>0</v>
      </c>
      <c r="P10" s="532">
        <v>0</v>
      </c>
      <c r="T10" s="536" t="e">
        <f t="shared" ref="T10:T15" si="5">IF(A10&lt;17600,C10*$T$2,IF(A10=17600,C10*$T$2,IF(AND(A10&lt;26000,A10&gt;17600),(C10*$T$2)+((A10-17600)*C10/1000*$T$3),IF(AND(A10&gt;25000,A10&lt;51000),(C10*$T$2)+(7.4*$T$3*C10)+((A10-25000)/1000*$T$4*C10),IF(AND(A10&lt;101000,A10&gt;50000),(C10*$T$2)+(7.4*$T$3*C10)+(25*$T$4*C10)+((A10-50000)/1000*$T$5*C10),IF(A10&gt;100000,(C10*$T$2)+(7.4*$T$3*C10)+(25*$T$4*C10)+(50*$T$5*C10)+((A10-100000)/1000*$T$6*C10)))))))</f>
        <v>#REF!</v>
      </c>
    </row>
    <row r="11" spans="1:20" s="515" customFormat="1">
      <c r="A11" s="552">
        <f t="shared" si="0"/>
        <v>34000</v>
      </c>
      <c r="C11" s="532">
        <v>1</v>
      </c>
      <c r="D11" s="533"/>
      <c r="E11" s="533">
        <f>E10+C11</f>
        <v>1</v>
      </c>
      <c r="F11" s="533"/>
      <c r="G11" s="533">
        <f t="shared" si="1"/>
        <v>34000</v>
      </c>
      <c r="H11" s="533"/>
      <c r="I11" s="533">
        <f>I10+G11</f>
        <v>34000</v>
      </c>
      <c r="J11" s="533"/>
      <c r="K11" s="533">
        <f t="shared" si="2"/>
        <v>5</v>
      </c>
      <c r="L11" s="533"/>
      <c r="M11" s="533">
        <f t="shared" si="3"/>
        <v>204000</v>
      </c>
      <c r="O11" s="534">
        <f t="shared" si="4"/>
        <v>0.12830188679245283</v>
      </c>
      <c r="P11" s="532">
        <v>34</v>
      </c>
      <c r="T11" s="536" t="e">
        <f t="shared" si="5"/>
        <v>#REF!</v>
      </c>
    </row>
    <row r="12" spans="1:20">
      <c r="A12" s="552">
        <f t="shared" si="0"/>
        <v>44000</v>
      </c>
      <c r="C12" s="532">
        <v>1</v>
      </c>
      <c r="E12" s="533">
        <f>E11+C12</f>
        <v>2</v>
      </c>
      <c r="G12" s="533">
        <f t="shared" si="1"/>
        <v>44000</v>
      </c>
      <c r="H12" s="533"/>
      <c r="I12" s="533">
        <f>I11+G12</f>
        <v>78000</v>
      </c>
      <c r="K12" s="533">
        <f t="shared" si="2"/>
        <v>4</v>
      </c>
      <c r="M12" s="533">
        <f t="shared" si="3"/>
        <v>254000</v>
      </c>
      <c r="O12" s="534">
        <f t="shared" si="4"/>
        <v>0.29433962264150942</v>
      </c>
      <c r="P12" s="532">
        <v>44</v>
      </c>
      <c r="T12" s="536" t="e">
        <f t="shared" si="5"/>
        <v>#REF!</v>
      </c>
    </row>
    <row r="13" spans="1:20">
      <c r="A13" s="552">
        <f t="shared" si="0"/>
        <v>45000</v>
      </c>
      <c r="C13" s="532">
        <v>1</v>
      </c>
      <c r="E13" s="533">
        <f>E12+C13</f>
        <v>3</v>
      </c>
      <c r="G13" s="533">
        <f t="shared" si="1"/>
        <v>45000</v>
      </c>
      <c r="H13" s="533"/>
      <c r="I13" s="533">
        <f>I12+G13</f>
        <v>123000</v>
      </c>
      <c r="K13" s="533">
        <f t="shared" si="2"/>
        <v>3</v>
      </c>
      <c r="M13" s="533">
        <f t="shared" si="3"/>
        <v>258000</v>
      </c>
      <c r="O13" s="534">
        <f t="shared" si="4"/>
        <v>0.46415094339622642</v>
      </c>
      <c r="P13" s="532">
        <v>45</v>
      </c>
      <c r="T13" s="536" t="e">
        <f t="shared" si="5"/>
        <v>#REF!</v>
      </c>
    </row>
    <row r="14" spans="1:20">
      <c r="A14" s="552">
        <f t="shared" si="0"/>
        <v>46000</v>
      </c>
      <c r="C14" s="532">
        <v>2</v>
      </c>
      <c r="E14" s="533">
        <f>E13+C14</f>
        <v>5</v>
      </c>
      <c r="G14" s="533">
        <f t="shared" si="1"/>
        <v>92000</v>
      </c>
      <c r="H14" s="533"/>
      <c r="I14" s="533">
        <f>I13+G14</f>
        <v>215000</v>
      </c>
      <c r="K14" s="533">
        <f t="shared" si="2"/>
        <v>1</v>
      </c>
      <c r="M14" s="533">
        <f t="shared" si="3"/>
        <v>261000</v>
      </c>
      <c r="O14" s="534">
        <f t="shared" si="4"/>
        <v>0.81132075471698117</v>
      </c>
      <c r="P14" s="532">
        <v>46</v>
      </c>
      <c r="T14" s="536" t="e">
        <f t="shared" si="5"/>
        <v>#REF!</v>
      </c>
    </row>
    <row r="15" spans="1:20">
      <c r="A15" s="552">
        <f t="shared" si="0"/>
        <v>50000</v>
      </c>
      <c r="C15" s="532">
        <v>1</v>
      </c>
      <c r="E15" s="533">
        <f>E14+C15</f>
        <v>6</v>
      </c>
      <c r="G15" s="533">
        <f t="shared" si="1"/>
        <v>50000</v>
      </c>
      <c r="H15" s="533"/>
      <c r="I15" s="533">
        <f>I14+G15</f>
        <v>265000</v>
      </c>
      <c r="K15" s="533">
        <f t="shared" si="2"/>
        <v>0</v>
      </c>
      <c r="M15" s="533">
        <f t="shared" si="3"/>
        <v>265000</v>
      </c>
      <c r="O15" s="534">
        <f t="shared" si="4"/>
        <v>1</v>
      </c>
      <c r="P15" s="532">
        <v>50</v>
      </c>
      <c r="T15" s="536" t="e">
        <f t="shared" si="5"/>
        <v>#REF!</v>
      </c>
    </row>
    <row r="16" spans="1:20">
      <c r="T16" s="536"/>
    </row>
    <row r="17" spans="20:20">
      <c r="T17" s="554" t="e">
        <f>SUM(T10:T15)</f>
        <v>#REF!</v>
      </c>
    </row>
    <row r="18" spans="20:20" hidden="1">
      <c r="T18" s="536">
        <v>1243</v>
      </c>
    </row>
    <row r="19" spans="20:20">
      <c r="T19" s="536"/>
    </row>
    <row r="20" spans="20:20">
      <c r="T20" s="536"/>
    </row>
    <row r="21" spans="20:20">
      <c r="T21" s="536"/>
    </row>
    <row r="22" spans="20:20">
      <c r="T22" s="536"/>
    </row>
    <row r="23" spans="20:20">
      <c r="T23" s="536"/>
    </row>
    <row r="24" spans="20:20">
      <c r="T24" s="536"/>
    </row>
    <row r="25" spans="20:20">
      <c r="T25" s="536"/>
    </row>
    <row r="26" spans="20:20">
      <c r="T26" s="536"/>
    </row>
    <row r="27" spans="20:20">
      <c r="T27" s="536"/>
    </row>
    <row r="28" spans="20:20">
      <c r="T28" s="536"/>
    </row>
    <row r="29" spans="20:20">
      <c r="T29" s="536"/>
    </row>
    <row r="30" spans="20:20">
      <c r="T30" s="536"/>
    </row>
    <row r="31" spans="20:20">
      <c r="T31" s="536"/>
    </row>
    <row r="32" spans="20:20">
      <c r="T32" s="536"/>
    </row>
    <row r="33" spans="20:20">
      <c r="T33" s="536"/>
    </row>
    <row r="34" spans="20:20">
      <c r="T34" s="536"/>
    </row>
    <row r="35" spans="20:20">
      <c r="T35" s="536"/>
    </row>
    <row r="36" spans="20:20">
      <c r="T36" s="536"/>
    </row>
    <row r="37" spans="20:20">
      <c r="T37" s="536"/>
    </row>
    <row r="38" spans="20:20">
      <c r="T38" s="536"/>
    </row>
    <row r="39" spans="20:20">
      <c r="T39" s="536"/>
    </row>
    <row r="40" spans="20:20">
      <c r="T40" s="536"/>
    </row>
    <row r="41" spans="20:20">
      <c r="T41" s="536"/>
    </row>
    <row r="42" spans="20:20">
      <c r="T42" s="536"/>
    </row>
    <row r="43" spans="20:20">
      <c r="T43" s="536"/>
    </row>
  </sheetData>
  <phoneticPr fontId="51" type="noConversion"/>
  <printOptions horizontalCentered="1"/>
  <pageMargins left="0" right="0" top="0.89999999999999991" bottom="0.5" header="0.25" footer="0.25"/>
  <pageSetup scale="57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T47"/>
  <sheetViews>
    <sheetView topLeftCell="H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'16257'!R2</f>
        <v>First 17,600</v>
      </c>
      <c r="S2" s="518"/>
      <c r="T2" s="519" t="e">
        <f>'16257'!T2</f>
        <v>#REF!</v>
      </c>
    </row>
    <row r="3" spans="1:20">
      <c r="A3" s="513" t="s">
        <v>543</v>
      </c>
      <c r="M3" s="520" t="s">
        <v>525</v>
      </c>
      <c r="R3" s="519" t="str">
        <f>'16257'!R3</f>
        <v>Next 7,400</v>
      </c>
      <c r="S3" s="518"/>
      <c r="T3" s="519" t="e">
        <f>'16257'!T3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'16257'!R4</f>
        <v>Next 25,000 gallons</v>
      </c>
      <c r="S4" s="518"/>
      <c r="T4" s="519" t="e">
        <f>'16257'!T4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'16257'!R5</f>
        <v>Next 50,000 gallons</v>
      </c>
      <c r="S5" s="518"/>
      <c r="T5" s="519" t="e">
        <f>'16257'!T5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'16257'!R6</f>
        <v>Over 100,000</v>
      </c>
      <c r="S6" s="518"/>
      <c r="T6" s="519" t="e">
        <f>'16257'!T6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19" si="0">P10*1000</f>
        <v>0</v>
      </c>
      <c r="C10" s="547">
        <v>0</v>
      </c>
      <c r="D10" s="533"/>
      <c r="E10" s="533">
        <f>C10</f>
        <v>0</v>
      </c>
      <c r="F10" s="533"/>
      <c r="G10" s="533">
        <f t="shared" ref="G10:G19" si="1">A10*C10</f>
        <v>0</v>
      </c>
      <c r="H10" s="533"/>
      <c r="I10" s="533">
        <f>G10</f>
        <v>0</v>
      </c>
      <c r="J10" s="533"/>
      <c r="K10" s="533">
        <f t="shared" ref="K10:K19" si="2">$E$19-E10</f>
        <v>12</v>
      </c>
      <c r="L10" s="533"/>
      <c r="M10" s="533">
        <f t="shared" ref="M10:M19" si="3">(A10*K10)+I10</f>
        <v>0</v>
      </c>
      <c r="O10" s="534">
        <f t="shared" ref="O10:O19" si="4">I10/$I$19</f>
        <v>0</v>
      </c>
      <c r="P10" s="547">
        <v>0</v>
      </c>
      <c r="T10" s="536" t="e">
        <f t="shared" ref="T10:T19" si="5">IF(A10&lt;17600,C10*$T$2,IF(A10=17600,C10*$T$2,IF(AND(A10&lt;26000,A10&gt;17600),(C10*$T$2)+((A10-17600)*C10/1000*$T$3),IF(AND(A10&gt;25000,A10&lt;51000),(C10*$T$2)+(7.4*$T$3*C10)+((A10-25000)/1000*$T$4*C10),IF(AND(A10&lt;101000,A10&gt;50000),(C10*$T$2)+(7.4*$T$3*C10)+(25*$T$4*C10)+((A10-50000)/1000*$T$5*C10),IF(A10&gt;100000,(C10*$T$2)+(7.4*$T$3*C10)+(25*$T$4*C10)+(50*$T$5*C10)+((A10-100000)/1000*$T$6*C10)))))))</f>
        <v>#REF!</v>
      </c>
    </row>
    <row r="11" spans="1:20" s="515" customFormat="1">
      <c r="A11" s="552">
        <f t="shared" si="0"/>
        <v>19000</v>
      </c>
      <c r="C11" s="547">
        <v>1</v>
      </c>
      <c r="D11" s="533"/>
      <c r="E11" s="533">
        <f t="shared" ref="E11:E19" si="6">E10+C11</f>
        <v>1</v>
      </c>
      <c r="F11" s="533"/>
      <c r="G11" s="533">
        <f t="shared" si="1"/>
        <v>19000</v>
      </c>
      <c r="H11" s="533"/>
      <c r="I11" s="533">
        <f t="shared" ref="I11:I19" si="7">I10+G11</f>
        <v>19000</v>
      </c>
      <c r="J11" s="533"/>
      <c r="K11" s="533">
        <f t="shared" si="2"/>
        <v>11</v>
      </c>
      <c r="L11" s="533"/>
      <c r="M11" s="533">
        <f t="shared" si="3"/>
        <v>228000</v>
      </c>
      <c r="O11" s="534">
        <f t="shared" si="4"/>
        <v>5.637982195845697E-2</v>
      </c>
      <c r="P11" s="547">
        <v>19</v>
      </c>
      <c r="T11" s="536" t="e">
        <f t="shared" si="5"/>
        <v>#REF!</v>
      </c>
    </row>
    <row r="12" spans="1:20">
      <c r="A12" s="552">
        <f t="shared" si="0"/>
        <v>20000</v>
      </c>
      <c r="C12" s="513">
        <v>2</v>
      </c>
      <c r="E12" s="533">
        <f t="shared" si="6"/>
        <v>3</v>
      </c>
      <c r="G12" s="533">
        <f t="shared" si="1"/>
        <v>40000</v>
      </c>
      <c r="H12" s="533"/>
      <c r="I12" s="533">
        <f t="shared" si="7"/>
        <v>59000</v>
      </c>
      <c r="K12" s="533">
        <f t="shared" si="2"/>
        <v>9</v>
      </c>
      <c r="M12" s="533">
        <f t="shared" si="3"/>
        <v>239000</v>
      </c>
      <c r="O12" s="534">
        <f t="shared" si="4"/>
        <v>0.17507418397626112</v>
      </c>
      <c r="P12" s="515">
        <v>20</v>
      </c>
      <c r="T12" s="536" t="e">
        <f t="shared" si="5"/>
        <v>#REF!</v>
      </c>
    </row>
    <row r="13" spans="1:20">
      <c r="A13" s="552">
        <f t="shared" si="0"/>
        <v>21000</v>
      </c>
      <c r="C13" s="513">
        <v>2</v>
      </c>
      <c r="E13" s="533">
        <f t="shared" si="6"/>
        <v>5</v>
      </c>
      <c r="G13" s="533">
        <f t="shared" si="1"/>
        <v>42000</v>
      </c>
      <c r="H13" s="533"/>
      <c r="I13" s="533">
        <f t="shared" si="7"/>
        <v>101000</v>
      </c>
      <c r="K13" s="533">
        <f t="shared" si="2"/>
        <v>7</v>
      </c>
      <c r="M13" s="533">
        <f t="shared" si="3"/>
        <v>248000</v>
      </c>
      <c r="O13" s="534">
        <f t="shared" si="4"/>
        <v>0.29970326409495551</v>
      </c>
      <c r="P13" s="515">
        <v>21</v>
      </c>
      <c r="T13" s="536" t="e">
        <f t="shared" si="5"/>
        <v>#REF!</v>
      </c>
    </row>
    <row r="14" spans="1:20">
      <c r="A14" s="552">
        <f t="shared" si="0"/>
        <v>22000</v>
      </c>
      <c r="C14" s="513">
        <v>2</v>
      </c>
      <c r="E14" s="533">
        <f t="shared" si="6"/>
        <v>7</v>
      </c>
      <c r="G14" s="533">
        <f t="shared" si="1"/>
        <v>44000</v>
      </c>
      <c r="H14" s="533"/>
      <c r="I14" s="533">
        <f t="shared" si="7"/>
        <v>145000</v>
      </c>
      <c r="K14" s="533">
        <f t="shared" si="2"/>
        <v>5</v>
      </c>
      <c r="M14" s="533">
        <f t="shared" si="3"/>
        <v>255000</v>
      </c>
      <c r="O14" s="534">
        <f t="shared" si="4"/>
        <v>0.43026706231454004</v>
      </c>
      <c r="P14" s="515">
        <v>22</v>
      </c>
      <c r="T14" s="536" t="e">
        <f t="shared" si="5"/>
        <v>#REF!</v>
      </c>
    </row>
    <row r="15" spans="1:20">
      <c r="A15" s="552">
        <f t="shared" si="0"/>
        <v>24000</v>
      </c>
      <c r="C15" s="513">
        <v>1</v>
      </c>
      <c r="E15" s="533">
        <f t="shared" si="6"/>
        <v>8</v>
      </c>
      <c r="G15" s="533">
        <f t="shared" si="1"/>
        <v>24000</v>
      </c>
      <c r="H15" s="533"/>
      <c r="I15" s="533">
        <f t="shared" si="7"/>
        <v>169000</v>
      </c>
      <c r="K15" s="533">
        <f t="shared" si="2"/>
        <v>4</v>
      </c>
      <c r="M15" s="533">
        <f t="shared" si="3"/>
        <v>265000</v>
      </c>
      <c r="O15" s="534">
        <f t="shared" si="4"/>
        <v>0.50148367952522255</v>
      </c>
      <c r="P15" s="515">
        <v>24</v>
      </c>
      <c r="T15" s="536" t="e">
        <f t="shared" si="5"/>
        <v>#REF!</v>
      </c>
    </row>
    <row r="16" spans="1:20">
      <c r="A16" s="552">
        <f t="shared" si="0"/>
        <v>33000</v>
      </c>
      <c r="C16" s="513">
        <v>1</v>
      </c>
      <c r="E16" s="533">
        <f t="shared" si="6"/>
        <v>9</v>
      </c>
      <c r="G16" s="533">
        <f t="shared" si="1"/>
        <v>33000</v>
      </c>
      <c r="H16" s="533"/>
      <c r="I16" s="533">
        <f t="shared" si="7"/>
        <v>202000</v>
      </c>
      <c r="K16" s="533">
        <f t="shared" si="2"/>
        <v>3</v>
      </c>
      <c r="M16" s="533">
        <f t="shared" si="3"/>
        <v>301000</v>
      </c>
      <c r="O16" s="534">
        <f t="shared" si="4"/>
        <v>0.59940652818991103</v>
      </c>
      <c r="P16" s="515">
        <v>33</v>
      </c>
      <c r="T16" s="536" t="e">
        <f t="shared" si="5"/>
        <v>#REF!</v>
      </c>
    </row>
    <row r="17" spans="1:20">
      <c r="A17" s="552">
        <f t="shared" si="0"/>
        <v>40000</v>
      </c>
      <c r="C17" s="513">
        <v>1</v>
      </c>
      <c r="E17" s="533">
        <f t="shared" si="6"/>
        <v>10</v>
      </c>
      <c r="G17" s="533">
        <f t="shared" si="1"/>
        <v>40000</v>
      </c>
      <c r="H17" s="533"/>
      <c r="I17" s="533">
        <f t="shared" si="7"/>
        <v>242000</v>
      </c>
      <c r="K17" s="533">
        <f t="shared" si="2"/>
        <v>2</v>
      </c>
      <c r="M17" s="533">
        <f t="shared" si="3"/>
        <v>322000</v>
      </c>
      <c r="O17" s="534">
        <f t="shared" si="4"/>
        <v>0.71810089020771517</v>
      </c>
      <c r="P17" s="515">
        <v>40</v>
      </c>
      <c r="T17" s="536" t="e">
        <f t="shared" si="5"/>
        <v>#REF!</v>
      </c>
    </row>
    <row r="18" spans="1:20">
      <c r="A18" s="552">
        <f t="shared" si="0"/>
        <v>43000</v>
      </c>
      <c r="C18" s="513">
        <v>1</v>
      </c>
      <c r="E18" s="533">
        <f t="shared" si="6"/>
        <v>11</v>
      </c>
      <c r="G18" s="533">
        <f t="shared" si="1"/>
        <v>43000</v>
      </c>
      <c r="H18" s="533"/>
      <c r="I18" s="533">
        <f t="shared" si="7"/>
        <v>285000</v>
      </c>
      <c r="K18" s="533">
        <f t="shared" si="2"/>
        <v>1</v>
      </c>
      <c r="M18" s="533">
        <f t="shared" si="3"/>
        <v>328000</v>
      </c>
      <c r="O18" s="534">
        <f t="shared" si="4"/>
        <v>0.8456973293768546</v>
      </c>
      <c r="P18" s="515">
        <v>43</v>
      </c>
      <c r="T18" s="536" t="e">
        <f t="shared" si="5"/>
        <v>#REF!</v>
      </c>
    </row>
    <row r="19" spans="1:20">
      <c r="A19" s="552">
        <f t="shared" si="0"/>
        <v>52000</v>
      </c>
      <c r="C19" s="513">
        <v>1</v>
      </c>
      <c r="E19" s="533">
        <f t="shared" si="6"/>
        <v>12</v>
      </c>
      <c r="G19" s="533">
        <f t="shared" si="1"/>
        <v>52000</v>
      </c>
      <c r="H19" s="533"/>
      <c r="I19" s="533">
        <f t="shared" si="7"/>
        <v>337000</v>
      </c>
      <c r="K19" s="533">
        <f t="shared" si="2"/>
        <v>0</v>
      </c>
      <c r="M19" s="533">
        <f t="shared" si="3"/>
        <v>337000</v>
      </c>
      <c r="O19" s="534">
        <f t="shared" si="4"/>
        <v>1</v>
      </c>
      <c r="P19" s="515">
        <v>52</v>
      </c>
      <c r="T19" s="536" t="e">
        <f t="shared" si="5"/>
        <v>#REF!</v>
      </c>
    </row>
    <row r="20" spans="1:20">
      <c r="T20" s="536"/>
    </row>
    <row r="21" spans="1:20">
      <c r="T21" s="554" t="e">
        <f>SUM(T10:T19)</f>
        <v>#REF!</v>
      </c>
    </row>
    <row r="22" spans="1:20">
      <c r="T22" s="536"/>
    </row>
    <row r="23" spans="1:20">
      <c r="T23" s="536"/>
    </row>
    <row r="24" spans="1:20">
      <c r="T24" s="536"/>
    </row>
    <row r="25" spans="1:20">
      <c r="T25" s="536"/>
    </row>
    <row r="26" spans="1:20">
      <c r="T26" s="536"/>
    </row>
    <row r="27" spans="1:20">
      <c r="T27" s="536"/>
    </row>
    <row r="28" spans="1:20">
      <c r="T28" s="536"/>
    </row>
    <row r="29" spans="1:20">
      <c r="T29" s="536"/>
    </row>
    <row r="30" spans="1:20">
      <c r="T30" s="536"/>
    </row>
    <row r="31" spans="1:20">
      <c r="T31" s="536"/>
    </row>
    <row r="32" spans="1:20">
      <c r="T32" s="536"/>
    </row>
    <row r="33" spans="20:20">
      <c r="T33" s="536"/>
    </row>
    <row r="34" spans="20:20">
      <c r="T34" s="536"/>
    </row>
    <row r="35" spans="20:20">
      <c r="T35" s="536"/>
    </row>
    <row r="36" spans="20:20">
      <c r="T36" s="536"/>
    </row>
    <row r="37" spans="20:20">
      <c r="T37" s="536"/>
    </row>
    <row r="38" spans="20:20">
      <c r="T38" s="536"/>
    </row>
    <row r="39" spans="20:20">
      <c r="T39" s="536"/>
    </row>
    <row r="40" spans="20:20">
      <c r="T40" s="536"/>
    </row>
    <row r="41" spans="20:20">
      <c r="T41" s="536"/>
    </row>
    <row r="42" spans="20:20">
      <c r="T42" s="536"/>
    </row>
    <row r="43" spans="20:20">
      <c r="T43" s="536"/>
    </row>
    <row r="44" spans="20:20">
      <c r="T44" s="536"/>
    </row>
    <row r="45" spans="20:20">
      <c r="T45" s="536"/>
    </row>
    <row r="46" spans="20:20">
      <c r="T46" s="536"/>
    </row>
    <row r="47" spans="20:20">
      <c r="T47" s="536"/>
    </row>
  </sheetData>
  <phoneticPr fontId="54" type="noConversion"/>
  <pageMargins left="0.75" right="0.75" top="1" bottom="1" header="0.5" footer="0.5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6"/>
  <sheetViews>
    <sheetView showGridLines="0" topLeftCell="J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1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'16246'!T2</f>
        <v>13.7</v>
      </c>
    </row>
    <row r="3" spans="1:20">
      <c r="A3" s="513" t="s">
        <v>534</v>
      </c>
      <c r="M3" s="520" t="s">
        <v>525</v>
      </c>
      <c r="R3" s="518" t="s">
        <v>274</v>
      </c>
      <c r="S3" s="518"/>
      <c r="T3" s="519">
        <f>'16246'!T3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'16246'!T4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'16246'!T5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'16246'!T6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'16246'!T7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>P10*1000</f>
        <v>0</v>
      </c>
      <c r="C10" s="532">
        <v>2</v>
      </c>
      <c r="D10" s="533"/>
      <c r="E10" s="533">
        <f>C10</f>
        <v>2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$E$13-E10</f>
        <v>6</v>
      </c>
      <c r="L10" s="533"/>
      <c r="M10" s="533">
        <f>(A10*K10)+I10</f>
        <v>0</v>
      </c>
      <c r="O10" s="534">
        <f>I10/$I$13</f>
        <v>0</v>
      </c>
      <c r="P10" s="532">
        <v>0</v>
      </c>
      <c r="T10" s="536">
        <f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27.4</v>
      </c>
    </row>
    <row r="11" spans="1:20" s="515" customFormat="1">
      <c r="A11" s="552">
        <f>P11*1000</f>
        <v>1000</v>
      </c>
      <c r="C11" s="532">
        <v>4</v>
      </c>
      <c r="D11" s="533"/>
      <c r="E11" s="533">
        <f>E10+C11</f>
        <v>6</v>
      </c>
      <c r="F11" s="533"/>
      <c r="G11" s="533">
        <f>A11*C11</f>
        <v>4000</v>
      </c>
      <c r="H11" s="533"/>
      <c r="I11" s="533">
        <f>I10+G11</f>
        <v>4000</v>
      </c>
      <c r="J11" s="533"/>
      <c r="K11" s="533">
        <f>$E$13-E11</f>
        <v>2</v>
      </c>
      <c r="L11" s="533"/>
      <c r="M11" s="533">
        <f>(A11*K11)+I11</f>
        <v>6000</v>
      </c>
      <c r="O11" s="534">
        <f>I11/$I$13</f>
        <v>0.4</v>
      </c>
      <c r="P11" s="532">
        <v>1</v>
      </c>
      <c r="T11" s="536">
        <f>IF(A11&lt;1000,C11*$T$2,IF(A11=1000,C11*$T$2,IF(AND(A11&lt;11000,A11&gt;1000),(C11*$T$2)+((A11-1000)*C11/1000*$T$3),IF(AND(A11&gt;10000,A11&lt;26000),(C11*$T$2)+(9*$T$3*C11)+((A11-10000)/1000*$T$4*C11),IF(AND(A11&lt;51000,A11&gt;25000),(C11*$T$2)+(9*$T$3*C11)+(15*$T$4*C11)+((A11-25000)/1000*$T$5*C11),IF(AND(A11&lt;101000,A11&gt;50000),(C11*$T$2)+(9*$T$3*C11)+(15*$T$4*C11)+(25*$T$5*C11)+((A11-50000)/1000*$T$6*C11),IF(A11&gt;100000,(C11*$T$2)+(9*$T$3*C11)+(15*$T$4*C11)+(25*$T$5*C11)+(50*$T$6*C11)+((A11-100000)/1000*$T$7*C11))))))))</f>
        <v>54.8</v>
      </c>
    </row>
    <row r="12" spans="1:20">
      <c r="A12" s="552">
        <f>P12*1000</f>
        <v>2000</v>
      </c>
      <c r="C12" s="532">
        <v>1</v>
      </c>
      <c r="E12" s="533">
        <f>E11+C12</f>
        <v>7</v>
      </c>
      <c r="G12" s="533">
        <f>A12*C12</f>
        <v>2000</v>
      </c>
      <c r="H12" s="533"/>
      <c r="I12" s="533">
        <f>I11+G12</f>
        <v>6000</v>
      </c>
      <c r="K12" s="533">
        <f>$E$13-E12</f>
        <v>1</v>
      </c>
      <c r="M12" s="533">
        <f>(A12*K12)+I12</f>
        <v>8000</v>
      </c>
      <c r="O12" s="534">
        <f>I12/$I$13</f>
        <v>0.6</v>
      </c>
      <c r="P12" s="532">
        <v>2</v>
      </c>
      <c r="T12" s="536">
        <f>IF(A12&lt;1000,C12*$T$2,IF(A12=1000,C12*$T$2,IF(AND(A12&lt;11000,A12&gt;1000),(C12*$T$2)+((A12-1000)*C12/1000*$T$3),IF(AND(A12&gt;10000,A12&lt;26000),(C12*$T$2)+(9*$T$3*C12)+((A12-10000)/1000*$T$4*C12),IF(AND(A12&lt;51000,A12&gt;25000),(C12*$T$2)+(9*$T$3*C12)+(15*$T$4*C12)+((A12-25000)/1000*$T$5*C12),IF(AND(A12&lt;101000,A12&gt;50000),(C12*$T$2)+(9*$T$3*C12)+(15*$T$4*C12)+(25*$T$5*C12)+((A12-50000)/1000*$T$6*C12),IF(A12&gt;100000,(C12*$T$2)+(9*$T$3*C12)+(15*$T$4*C12)+(25*$T$5*C12)+(50*$T$6*C12)+((A12-100000)/1000*$T$7*C12))))))))</f>
        <v>21.46</v>
      </c>
    </row>
    <row r="13" spans="1:20">
      <c r="A13" s="552">
        <f>P13*1000</f>
        <v>4000</v>
      </c>
      <c r="C13" s="532">
        <v>1</v>
      </c>
      <c r="E13" s="533">
        <f>E12+C13</f>
        <v>8</v>
      </c>
      <c r="G13" s="533">
        <f>A13*C13</f>
        <v>4000</v>
      </c>
      <c r="H13" s="533"/>
      <c r="I13" s="533">
        <f>I12+G13</f>
        <v>10000</v>
      </c>
      <c r="K13" s="533">
        <f>$E$13-E13</f>
        <v>0</v>
      </c>
      <c r="M13" s="533">
        <f>(A13*K13)+I13</f>
        <v>10000</v>
      </c>
      <c r="O13" s="534">
        <f>I13/$I$13</f>
        <v>1</v>
      </c>
      <c r="P13" s="532">
        <v>4</v>
      </c>
      <c r="T13" s="536">
        <f>IF(A13&lt;1000,C13*$T$2,IF(A13=1000,C13*$T$2,IF(AND(A13&lt;11000,A13&gt;1000),(C13*$T$2)+((A13-1000)*C13/1000*$T$3),IF(AND(A13&gt;10000,A13&lt;26000),(C13*$T$2)+(9*$T$3*C13)+((A13-10000)/1000*$T$4*C13),IF(AND(A13&lt;51000,A13&gt;25000),(C13*$T$2)+(9*$T$3*C13)+(15*$T$4*C13)+((A13-25000)/1000*$T$5*C13),IF(AND(A13&lt;101000,A13&gt;50000),(C13*$T$2)+(9*$T$3*C13)+(15*$T$4*C13)+(25*$T$5*C13)+((A13-50000)/1000*$T$6*C13),IF(A13&gt;100000,(C13*$T$2)+(9*$T$3*C13)+(15*$T$4*C13)+(25*$T$5*C13)+(50*$T$6*C13)+((A13-100000)/1000*$T$7*C13))))))))</f>
        <v>36.980000000000004</v>
      </c>
    </row>
    <row r="15" spans="1:20">
      <c r="T15" s="539">
        <f>SUM(T10:T13)</f>
        <v>140.63999999999999</v>
      </c>
    </row>
    <row r="16" spans="1:20" hidden="1">
      <c r="T16" s="513">
        <v>95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7"/>
  <sheetViews>
    <sheetView showGridLines="0" topLeftCell="H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'16262'!R2</f>
        <v>First 17,600</v>
      </c>
      <c r="S2" s="518"/>
      <c r="T2" s="519" t="e">
        <f>'16262'!T2</f>
        <v>#REF!</v>
      </c>
    </row>
    <row r="3" spans="1:20">
      <c r="A3" s="513" t="s">
        <v>544</v>
      </c>
      <c r="M3" s="520" t="s">
        <v>538</v>
      </c>
      <c r="R3" s="519" t="str">
        <f>'16262'!R3</f>
        <v>Next 7,400</v>
      </c>
      <c r="S3" s="518"/>
      <c r="T3" s="519" t="e">
        <f>'16262'!T3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'16262'!R4</f>
        <v>Next 25,000 gallons</v>
      </c>
      <c r="S4" s="518"/>
      <c r="T4" s="519" t="e">
        <f>'16262'!T4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'16262'!R5</f>
        <v>Next 50,000 gallons</v>
      </c>
      <c r="S5" s="518"/>
      <c r="T5" s="519" t="e">
        <f>'16262'!T5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'16262'!R6</f>
        <v>Over 100,000</v>
      </c>
      <c r="S6" s="518"/>
      <c r="T6" s="519" t="e">
        <f>'16262'!T6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3" si="0">P10*1000</f>
        <v>0</v>
      </c>
      <c r="C10" s="532">
        <v>2</v>
      </c>
      <c r="D10" s="533"/>
      <c r="E10" s="533">
        <f>C10</f>
        <v>2</v>
      </c>
      <c r="F10" s="533"/>
      <c r="G10" s="533">
        <f t="shared" ref="G10:G23" si="1">A10*C10</f>
        <v>0</v>
      </c>
      <c r="H10" s="533"/>
      <c r="I10" s="533">
        <f>G10</f>
        <v>0</v>
      </c>
      <c r="J10" s="533"/>
      <c r="K10" s="533">
        <f t="shared" ref="K10:K23" si="2">$E$23-E10</f>
        <v>16</v>
      </c>
      <c r="L10" s="533"/>
      <c r="M10" s="533">
        <f t="shared" ref="M10:M23" si="3">(A10*K10)+I10</f>
        <v>0</v>
      </c>
      <c r="O10" s="534">
        <f t="shared" ref="O10:O23" si="4">I10/$I$23</f>
        <v>0</v>
      </c>
      <c r="P10" s="532">
        <v>0</v>
      </c>
      <c r="R10" s="535"/>
      <c r="S10" s="513"/>
      <c r="T10" s="536" t="e">
        <f t="shared" ref="T10:T23" si="5">IF(A10&lt;17600,C10*$T$2,IF(A10=17600,C10*$T$2,IF(AND(A10&lt;26000,A10&gt;17600),(C10*$T$2)+((A10-17600)*C10/1000*$T$3),IF(AND(A10&gt;25000,A10&lt;51000),(C10*$T$2)+(7.4*$T$3*C10)+((A10-25000)/1000*$T$4*C10),IF(AND(A10&lt;101000,A10&gt;50000),(C10*$T$2)+(7.4*$T$3*C10)+(25*$T$4*C10)+((A10-50000)/1000*$T$5*C10),IF(A10&gt;100000,(C10*$T$2)+(7.4*$T$3*C10)+(25*$T$4*C10)+(50*$T$5*C10)+((A10-100000)/1000*$T$6*C10)))))))</f>
        <v>#REF!</v>
      </c>
    </row>
    <row r="11" spans="1:20" s="515" customFormat="1">
      <c r="A11" s="552">
        <f t="shared" si="0"/>
        <v>1000</v>
      </c>
      <c r="C11" s="532">
        <v>1</v>
      </c>
      <c r="D11" s="533"/>
      <c r="E11" s="533">
        <f t="shared" ref="E11:E23" si="6">E10+C11</f>
        <v>3</v>
      </c>
      <c r="F11" s="533"/>
      <c r="G11" s="533">
        <f t="shared" si="1"/>
        <v>1000</v>
      </c>
      <c r="H11" s="533"/>
      <c r="I11" s="533">
        <f t="shared" ref="I11:I23" si="7">I10+G11</f>
        <v>1000</v>
      </c>
      <c r="J11" s="533"/>
      <c r="K11" s="533">
        <f t="shared" si="2"/>
        <v>15</v>
      </c>
      <c r="L11" s="533"/>
      <c r="M11" s="533">
        <f t="shared" si="3"/>
        <v>16000</v>
      </c>
      <c r="O11" s="534">
        <f t="shared" si="4"/>
        <v>4.3252595155709344E-4</v>
      </c>
      <c r="P11" s="532">
        <v>1</v>
      </c>
      <c r="R11" s="535"/>
      <c r="S11" s="513"/>
      <c r="T11" s="536" t="e">
        <f t="shared" si="5"/>
        <v>#REF!</v>
      </c>
    </row>
    <row r="12" spans="1:20">
      <c r="A12" s="552">
        <f t="shared" si="0"/>
        <v>2000</v>
      </c>
      <c r="C12" s="532">
        <v>4</v>
      </c>
      <c r="E12" s="533">
        <f t="shared" si="6"/>
        <v>7</v>
      </c>
      <c r="G12" s="533">
        <f t="shared" si="1"/>
        <v>8000</v>
      </c>
      <c r="H12" s="533"/>
      <c r="I12" s="533">
        <f t="shared" si="7"/>
        <v>9000</v>
      </c>
      <c r="K12" s="533">
        <f t="shared" si="2"/>
        <v>11</v>
      </c>
      <c r="M12" s="533">
        <f t="shared" si="3"/>
        <v>31000</v>
      </c>
      <c r="O12" s="534">
        <f t="shared" si="4"/>
        <v>3.8927335640138406E-3</v>
      </c>
      <c r="P12" s="532">
        <v>2</v>
      </c>
      <c r="R12" s="515"/>
      <c r="S12" s="515"/>
      <c r="T12" s="536" t="e">
        <f t="shared" si="5"/>
        <v>#REF!</v>
      </c>
    </row>
    <row r="13" spans="1:20">
      <c r="A13" s="552">
        <f t="shared" si="0"/>
        <v>149000</v>
      </c>
      <c r="C13" s="532">
        <v>1</v>
      </c>
      <c r="E13" s="533">
        <f t="shared" si="6"/>
        <v>8</v>
      </c>
      <c r="G13" s="533">
        <f t="shared" si="1"/>
        <v>149000</v>
      </c>
      <c r="H13" s="533"/>
      <c r="I13" s="533">
        <f t="shared" si="7"/>
        <v>158000</v>
      </c>
      <c r="K13" s="533">
        <f t="shared" si="2"/>
        <v>10</v>
      </c>
      <c r="M13" s="533">
        <f t="shared" si="3"/>
        <v>1648000</v>
      </c>
      <c r="O13" s="534">
        <f t="shared" si="4"/>
        <v>6.8339100346020767E-2</v>
      </c>
      <c r="P13" s="532">
        <v>149</v>
      </c>
      <c r="T13" s="536" t="e">
        <f t="shared" si="5"/>
        <v>#REF!</v>
      </c>
    </row>
    <row r="14" spans="1:20">
      <c r="A14" s="552">
        <f t="shared" si="0"/>
        <v>150000</v>
      </c>
      <c r="C14" s="532">
        <v>1</v>
      </c>
      <c r="E14" s="533">
        <f t="shared" si="6"/>
        <v>9</v>
      </c>
      <c r="G14" s="533">
        <f t="shared" si="1"/>
        <v>150000</v>
      </c>
      <c r="H14" s="533"/>
      <c r="I14" s="533">
        <f t="shared" si="7"/>
        <v>308000</v>
      </c>
      <c r="K14" s="533">
        <f t="shared" si="2"/>
        <v>9</v>
      </c>
      <c r="M14" s="533">
        <f t="shared" si="3"/>
        <v>1658000</v>
      </c>
      <c r="O14" s="534">
        <f t="shared" si="4"/>
        <v>0.13321799307958476</v>
      </c>
      <c r="P14" s="532">
        <v>150</v>
      </c>
      <c r="T14" s="536" t="e">
        <f t="shared" si="5"/>
        <v>#REF!</v>
      </c>
    </row>
    <row r="15" spans="1:20">
      <c r="A15" s="552">
        <f t="shared" si="0"/>
        <v>172000</v>
      </c>
      <c r="C15" s="532">
        <v>1</v>
      </c>
      <c r="E15" s="533">
        <f t="shared" si="6"/>
        <v>10</v>
      </c>
      <c r="G15" s="533">
        <f t="shared" si="1"/>
        <v>172000</v>
      </c>
      <c r="H15" s="533"/>
      <c r="I15" s="533">
        <f t="shared" si="7"/>
        <v>480000</v>
      </c>
      <c r="K15" s="533">
        <f t="shared" si="2"/>
        <v>8</v>
      </c>
      <c r="M15" s="533">
        <f t="shared" si="3"/>
        <v>1856000</v>
      </c>
      <c r="O15" s="534">
        <f t="shared" si="4"/>
        <v>0.20761245674740483</v>
      </c>
      <c r="P15" s="532">
        <v>172</v>
      </c>
      <c r="T15" s="536" t="e">
        <f t="shared" si="5"/>
        <v>#REF!</v>
      </c>
    </row>
    <row r="16" spans="1:20">
      <c r="A16" s="552">
        <f t="shared" si="0"/>
        <v>191000</v>
      </c>
      <c r="C16" s="532">
        <v>1</v>
      </c>
      <c r="E16" s="533">
        <f t="shared" si="6"/>
        <v>11</v>
      </c>
      <c r="G16" s="533">
        <f t="shared" si="1"/>
        <v>191000</v>
      </c>
      <c r="H16" s="533"/>
      <c r="I16" s="533">
        <f t="shared" si="7"/>
        <v>671000</v>
      </c>
      <c r="K16" s="533">
        <f t="shared" si="2"/>
        <v>7</v>
      </c>
      <c r="M16" s="533">
        <f t="shared" si="3"/>
        <v>2008000</v>
      </c>
      <c r="O16" s="534">
        <f t="shared" si="4"/>
        <v>0.29022491349480967</v>
      </c>
      <c r="P16" s="532">
        <v>191</v>
      </c>
      <c r="T16" s="536" t="e">
        <f t="shared" si="5"/>
        <v>#REF!</v>
      </c>
    </row>
    <row r="17" spans="1:20">
      <c r="A17" s="552">
        <f t="shared" si="0"/>
        <v>195000</v>
      </c>
      <c r="C17" s="532">
        <v>1</v>
      </c>
      <c r="E17" s="533">
        <f t="shared" si="6"/>
        <v>12</v>
      </c>
      <c r="G17" s="533">
        <f t="shared" si="1"/>
        <v>195000</v>
      </c>
      <c r="H17" s="533"/>
      <c r="I17" s="533">
        <f t="shared" si="7"/>
        <v>866000</v>
      </c>
      <c r="K17" s="533">
        <f t="shared" si="2"/>
        <v>6</v>
      </c>
      <c r="M17" s="533">
        <f t="shared" si="3"/>
        <v>2036000</v>
      </c>
      <c r="O17" s="534">
        <f t="shared" si="4"/>
        <v>0.37456747404844293</v>
      </c>
      <c r="P17" s="532">
        <v>195</v>
      </c>
      <c r="T17" s="536" t="e">
        <f t="shared" si="5"/>
        <v>#REF!</v>
      </c>
    </row>
    <row r="18" spans="1:20">
      <c r="A18" s="552">
        <f t="shared" si="0"/>
        <v>208000</v>
      </c>
      <c r="C18" s="532">
        <v>1</v>
      </c>
      <c r="E18" s="533">
        <f t="shared" si="6"/>
        <v>13</v>
      </c>
      <c r="G18" s="533">
        <f t="shared" si="1"/>
        <v>208000</v>
      </c>
      <c r="H18" s="533"/>
      <c r="I18" s="533">
        <f t="shared" si="7"/>
        <v>1074000</v>
      </c>
      <c r="K18" s="533">
        <f t="shared" si="2"/>
        <v>5</v>
      </c>
      <c r="M18" s="533">
        <f t="shared" si="3"/>
        <v>2114000</v>
      </c>
      <c r="O18" s="534">
        <f t="shared" si="4"/>
        <v>0.46453287197231835</v>
      </c>
      <c r="P18" s="532">
        <v>208</v>
      </c>
      <c r="T18" s="536" t="e">
        <f t="shared" si="5"/>
        <v>#REF!</v>
      </c>
    </row>
    <row r="19" spans="1:20">
      <c r="A19" s="552">
        <f t="shared" si="0"/>
        <v>215000</v>
      </c>
      <c r="C19" s="532">
        <v>1</v>
      </c>
      <c r="E19" s="533">
        <f t="shared" si="6"/>
        <v>14</v>
      </c>
      <c r="G19" s="533">
        <f t="shared" si="1"/>
        <v>215000</v>
      </c>
      <c r="H19" s="533"/>
      <c r="I19" s="533">
        <f t="shared" si="7"/>
        <v>1289000</v>
      </c>
      <c r="K19" s="533">
        <f t="shared" si="2"/>
        <v>4</v>
      </c>
      <c r="M19" s="533">
        <f t="shared" si="3"/>
        <v>2149000</v>
      </c>
      <c r="O19" s="534">
        <f t="shared" si="4"/>
        <v>0.55752595155709339</v>
      </c>
      <c r="P19" s="532">
        <v>215</v>
      </c>
      <c r="T19" s="536" t="e">
        <f t="shared" si="5"/>
        <v>#REF!</v>
      </c>
    </row>
    <row r="20" spans="1:20">
      <c r="A20" s="552">
        <f t="shared" si="0"/>
        <v>221000</v>
      </c>
      <c r="C20" s="532">
        <v>1</v>
      </c>
      <c r="E20" s="533">
        <f t="shared" si="6"/>
        <v>15</v>
      </c>
      <c r="G20" s="533">
        <f t="shared" si="1"/>
        <v>221000</v>
      </c>
      <c r="H20" s="533"/>
      <c r="I20" s="533">
        <f t="shared" si="7"/>
        <v>1510000</v>
      </c>
      <c r="K20" s="533">
        <f t="shared" si="2"/>
        <v>3</v>
      </c>
      <c r="M20" s="533">
        <f t="shared" si="3"/>
        <v>2173000</v>
      </c>
      <c r="O20" s="534">
        <f t="shared" si="4"/>
        <v>0.65311418685121103</v>
      </c>
      <c r="P20" s="532">
        <v>221</v>
      </c>
      <c r="T20" s="536" t="e">
        <f t="shared" si="5"/>
        <v>#REF!</v>
      </c>
    </row>
    <row r="21" spans="1:20">
      <c r="A21" s="552">
        <f t="shared" si="0"/>
        <v>228000</v>
      </c>
      <c r="C21" s="532">
        <v>1</v>
      </c>
      <c r="E21" s="533">
        <f t="shared" si="6"/>
        <v>16</v>
      </c>
      <c r="G21" s="533">
        <f t="shared" si="1"/>
        <v>228000</v>
      </c>
      <c r="H21" s="533"/>
      <c r="I21" s="533">
        <f t="shared" si="7"/>
        <v>1738000</v>
      </c>
      <c r="K21" s="533">
        <f t="shared" si="2"/>
        <v>2</v>
      </c>
      <c r="M21" s="533">
        <f t="shared" si="3"/>
        <v>2194000</v>
      </c>
      <c r="O21" s="534">
        <f t="shared" si="4"/>
        <v>0.7517301038062284</v>
      </c>
      <c r="P21" s="532">
        <v>228</v>
      </c>
      <c r="T21" s="536" t="e">
        <f t="shared" si="5"/>
        <v>#REF!</v>
      </c>
    </row>
    <row r="22" spans="1:20">
      <c r="A22" s="552">
        <f t="shared" si="0"/>
        <v>285000</v>
      </c>
      <c r="C22" s="532">
        <v>1</v>
      </c>
      <c r="E22" s="533">
        <f t="shared" si="6"/>
        <v>17</v>
      </c>
      <c r="G22" s="533">
        <f t="shared" si="1"/>
        <v>285000</v>
      </c>
      <c r="H22" s="533"/>
      <c r="I22" s="533">
        <f t="shared" si="7"/>
        <v>2023000</v>
      </c>
      <c r="K22" s="533">
        <f t="shared" si="2"/>
        <v>1</v>
      </c>
      <c r="M22" s="533">
        <f t="shared" si="3"/>
        <v>2308000</v>
      </c>
      <c r="O22" s="534">
        <f t="shared" si="4"/>
        <v>0.875</v>
      </c>
      <c r="P22" s="532">
        <v>285</v>
      </c>
      <c r="T22" s="536" t="e">
        <f t="shared" si="5"/>
        <v>#REF!</v>
      </c>
    </row>
    <row r="23" spans="1:20">
      <c r="A23" s="552">
        <f t="shared" si="0"/>
        <v>289000</v>
      </c>
      <c r="C23" s="532">
        <v>1</v>
      </c>
      <c r="E23" s="533">
        <f t="shared" si="6"/>
        <v>18</v>
      </c>
      <c r="G23" s="533">
        <f t="shared" si="1"/>
        <v>289000</v>
      </c>
      <c r="H23" s="533"/>
      <c r="I23" s="533">
        <f t="shared" si="7"/>
        <v>2312000</v>
      </c>
      <c r="K23" s="533">
        <f t="shared" si="2"/>
        <v>0</v>
      </c>
      <c r="M23" s="533">
        <f t="shared" si="3"/>
        <v>2312000</v>
      </c>
      <c r="O23" s="534">
        <f t="shared" si="4"/>
        <v>1</v>
      </c>
      <c r="P23" s="532">
        <v>289</v>
      </c>
      <c r="T23" s="536" t="e">
        <f t="shared" si="5"/>
        <v>#REF!</v>
      </c>
    </row>
    <row r="25" spans="1:20">
      <c r="T25" s="539" t="e">
        <f>SUM(T10:T23)</f>
        <v>#REF!</v>
      </c>
    </row>
    <row r="26" spans="1:20" hidden="1">
      <c r="T26" s="513">
        <v>9257</v>
      </c>
    </row>
    <row r="27" spans="1:20" hidden="1">
      <c r="T27" s="540" t="e">
        <f>T25-T26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J37"/>
  <sheetViews>
    <sheetView view="pageBreakPreview" zoomScale="75" zoomScaleNormal="100" zoomScaleSheetLayoutView="75" workbookViewId="0">
      <selection activeCell="C22" sqref="C22"/>
    </sheetView>
  </sheetViews>
  <sheetFormatPr defaultColWidth="10.875" defaultRowHeight="15"/>
  <cols>
    <col min="1" max="1" width="60.125" style="13" customWidth="1"/>
    <col min="2" max="2" width="3.5" style="13" customWidth="1"/>
    <col min="3" max="3" width="2.875" style="13" customWidth="1"/>
    <col min="4" max="4" width="13" style="13" customWidth="1"/>
    <col min="5" max="5" width="2.625" style="13" hidden="1" customWidth="1"/>
    <col min="6" max="6" width="10.625" style="70" hidden="1" customWidth="1"/>
    <col min="7" max="7" width="2.625" style="70" hidden="1" customWidth="1"/>
    <col min="8" max="8" width="10.625" style="70" hidden="1" customWidth="1"/>
    <col min="9" max="10" width="12.5" style="70" customWidth="1"/>
    <col min="11" max="12" width="10.875" style="20" customWidth="1"/>
    <col min="13" max="13" width="0" style="20" hidden="1" customWidth="1"/>
    <col min="14" max="14" width="26.625" style="20" customWidth="1"/>
    <col min="15" max="17" width="0" style="20" hidden="1" customWidth="1"/>
    <col min="18" max="16384" width="10.875" style="20"/>
  </cols>
  <sheetData>
    <row r="1" spans="1:10">
      <c r="A1" s="36" t="str">
        <f>'Input Schedule'!G6</f>
        <v>WATER SERVICE CORPORATION OF KENTUCKY</v>
      </c>
      <c r="D1" s="1308" t="s">
        <v>988</v>
      </c>
      <c r="F1" s="68"/>
      <c r="G1" s="20"/>
      <c r="H1" s="68" t="s">
        <v>988</v>
      </c>
    </row>
    <row r="2" spans="1:10">
      <c r="A2" s="36" t="str">
        <f>'Sch.A-B.S'!F2</f>
        <v>Case No. 2013 - 00237</v>
      </c>
      <c r="D2" s="1209"/>
      <c r="F2" s="68"/>
      <c r="G2" s="20"/>
      <c r="H2" s="68"/>
    </row>
    <row r="3" spans="1:10">
      <c r="A3" s="36" t="s">
        <v>72</v>
      </c>
    </row>
    <row r="4" spans="1:10">
      <c r="A4" s="36" t="str">
        <f>'Schedule D'!A4</f>
        <v>Test Year Ended December 31, 2012</v>
      </c>
      <c r="F4" s="13"/>
    </row>
    <row r="5" spans="1:10">
      <c r="F5" s="13"/>
    </row>
    <row r="7" spans="1:10">
      <c r="D7" s="35" t="s">
        <v>822</v>
      </c>
      <c r="F7" s="70" t="s">
        <v>104</v>
      </c>
      <c r="H7" s="70" t="s">
        <v>391</v>
      </c>
    </row>
    <row r="9" spans="1:10" ht="15.75" thickBot="1">
      <c r="A9" s="13" t="s">
        <v>629</v>
      </c>
      <c r="D9" s="46">
        <f>'Sch.B-I.S'!F8</f>
        <v>2066451.4</v>
      </c>
      <c r="F9" s="46">
        <f>+'Sch.B-I.S'!J128</f>
        <v>0</v>
      </c>
      <c r="H9" s="70">
        <f>D9+F9</f>
        <v>2066451.4</v>
      </c>
    </row>
    <row r="10" spans="1:10" ht="15.75" thickTop="1"/>
    <row r="11" spans="1:10">
      <c r="A11" s="13" t="s">
        <v>72</v>
      </c>
      <c r="D11" s="1293">
        <f>-'Sch.B-I.S'!F11</f>
        <v>37353.129999999997</v>
      </c>
      <c r="F11" s="70">
        <f>+'Sch.B-I.S'!J130</f>
        <v>0</v>
      </c>
      <c r="H11" s="70">
        <f>D11+F11</f>
        <v>37353.129999999997</v>
      </c>
      <c r="J11" s="20"/>
    </row>
    <row r="12" spans="1:10">
      <c r="D12" s="1293"/>
      <c r="J12" s="20"/>
    </row>
    <row r="13" spans="1:10">
      <c r="D13" s="265"/>
      <c r="I13" s="20"/>
      <c r="J13" s="20"/>
    </row>
    <row r="14" spans="1:10">
      <c r="D14" s="1294"/>
      <c r="I14" s="20"/>
      <c r="J14" s="20"/>
    </row>
    <row r="15" spans="1:10" ht="15.75" thickBot="1">
      <c r="A15" s="13" t="s">
        <v>1774</v>
      </c>
      <c r="D15" s="1295">
        <f>D11-D13</f>
        <v>37353.129999999997</v>
      </c>
      <c r="J15" s="20"/>
    </row>
    <row r="17" spans="1:10" ht="15.75" thickBot="1">
      <c r="A17" s="13" t="s">
        <v>570</v>
      </c>
      <c r="D17" s="56">
        <f>D15/D9</f>
        <v>1.8075977978480404E-2</v>
      </c>
      <c r="F17" s="56" t="e">
        <f>F11/F9</f>
        <v>#DIV/0!</v>
      </c>
      <c r="H17" s="56">
        <f>H11/H9</f>
        <v>1.8075977978480404E-2</v>
      </c>
      <c r="J17" s="20"/>
    </row>
    <row r="18" spans="1:10" ht="15.75" thickTop="1">
      <c r="I18" s="20"/>
      <c r="J18" s="20"/>
    </row>
    <row r="21" spans="1:10" ht="15.75" thickBot="1">
      <c r="A21" s="13" t="s">
        <v>1763</v>
      </c>
      <c r="D21" s="46">
        <f>'Sch.B-I.S'!J8</f>
        <v>2103812.8677777764</v>
      </c>
      <c r="I21" s="20"/>
      <c r="J21" s="20"/>
    </row>
    <row r="22" spans="1:10" ht="15.75" thickTop="1">
      <c r="I22" s="20"/>
      <c r="J22" s="20"/>
    </row>
    <row r="23" spans="1:10">
      <c r="A23" s="13" t="s">
        <v>570</v>
      </c>
      <c r="D23" s="55">
        <f>D17</f>
        <v>1.8075977978480404E-2</v>
      </c>
      <c r="I23" s="20"/>
      <c r="J23" s="20"/>
    </row>
    <row r="26" spans="1:10">
      <c r="A26" s="13" t="s">
        <v>1764</v>
      </c>
      <c r="D26" s="13">
        <f>D21*D23</f>
        <v>38028.475068794796</v>
      </c>
      <c r="I26" s="20"/>
      <c r="J26" s="20"/>
    </row>
    <row r="30" spans="1:10" ht="15.75" thickBot="1">
      <c r="A30" s="13" t="s">
        <v>1069</v>
      </c>
      <c r="D30" s="46">
        <f>+'Sch.B-I.S'!N8</f>
        <v>2332602</v>
      </c>
      <c r="F30" s="70">
        <f>+'Sch.B-I.S'!N128</f>
        <v>0</v>
      </c>
      <c r="H30" s="70">
        <f>D30+F30</f>
        <v>2332602</v>
      </c>
      <c r="I30" s="20"/>
      <c r="J30" s="1321"/>
    </row>
    <row r="31" spans="1:10" ht="15.75" thickTop="1">
      <c r="I31" s="20"/>
      <c r="J31" s="20"/>
    </row>
    <row r="32" spans="1:10">
      <c r="A32" s="13" t="s">
        <v>570</v>
      </c>
      <c r="D32" s="55">
        <f>D17</f>
        <v>1.8075977978480404E-2</v>
      </c>
      <c r="F32" s="55" t="e">
        <f>F17</f>
        <v>#DIV/0!</v>
      </c>
      <c r="H32" s="70" t="e">
        <f>D32+F32</f>
        <v>#DIV/0!</v>
      </c>
      <c r="I32" s="20"/>
      <c r="J32" s="20"/>
    </row>
    <row r="35" spans="1:10" ht="15.75" thickBot="1">
      <c r="A35" s="13" t="s">
        <v>72</v>
      </c>
      <c r="D35" s="46">
        <f>D32*D30</f>
        <v>42164.062384559351</v>
      </c>
      <c r="F35" s="46" t="e">
        <f>F32*F30</f>
        <v>#DIV/0!</v>
      </c>
      <c r="H35" s="46" t="e">
        <f>H32*H30</f>
        <v>#DIV/0!</v>
      </c>
      <c r="I35" s="20"/>
      <c r="J35" s="20"/>
    </row>
    <row r="36" spans="1:10" ht="15.75" thickTop="1">
      <c r="I36" s="20"/>
      <c r="J36" s="20"/>
    </row>
    <row r="37" spans="1:10">
      <c r="A37" s="20"/>
      <c r="B37" s="20"/>
      <c r="C37" s="20"/>
      <c r="D37" s="20"/>
      <c r="I37" s="20"/>
      <c r="J37" s="20"/>
    </row>
  </sheetData>
  <phoneticPr fontId="26" type="noConversion"/>
  <pageMargins left="0.25" right="0.25" top="0.5" bottom="1" header="0.5" footer="0.5"/>
  <pageSetup orientation="portrait" horizontalDpi="4294967292" verticalDpi="4294967292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0"/>
  <sheetViews>
    <sheetView showGridLines="0" topLeftCell="H4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6.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'16263'!T2</f>
        <v>13.7</v>
      </c>
    </row>
    <row r="3" spans="1:20">
      <c r="A3" s="513" t="s">
        <v>545</v>
      </c>
      <c r="M3" s="520" t="s">
        <v>538</v>
      </c>
      <c r="R3" s="518" t="s">
        <v>274</v>
      </c>
      <c r="S3" s="518"/>
      <c r="T3" s="519">
        <f>'16263'!T3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'16263'!T4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'16263'!T5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'16263'!T6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'16263'!T7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5" si="0">P10*1000</f>
        <v>0</v>
      </c>
      <c r="C10" s="532">
        <v>5</v>
      </c>
      <c r="D10" s="533"/>
      <c r="E10" s="533">
        <f>C10</f>
        <v>5</v>
      </c>
      <c r="F10" s="533"/>
      <c r="G10" s="533">
        <f t="shared" ref="G10:G25" si="1">A10*C10</f>
        <v>0</v>
      </c>
      <c r="H10" s="533"/>
      <c r="I10" s="533">
        <f>G10</f>
        <v>0</v>
      </c>
      <c r="J10" s="533"/>
      <c r="K10" s="533">
        <f t="shared" ref="K10:K25" si="2">$E$25-E10</f>
        <v>428</v>
      </c>
      <c r="L10" s="533"/>
      <c r="M10" s="533">
        <f t="shared" ref="M10:M25" si="3">(A10*K10)+I10</f>
        <v>0</v>
      </c>
      <c r="O10" s="534">
        <f t="shared" ref="O10:O25" si="4">I10/$I$25</f>
        <v>0</v>
      </c>
      <c r="P10" s="532">
        <v>0</v>
      </c>
      <c r="R10" s="535"/>
      <c r="S10" s="513"/>
      <c r="T10" s="536">
        <f t="shared" ref="T10:T25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68.5</v>
      </c>
    </row>
    <row r="11" spans="1:20" s="515" customFormat="1">
      <c r="A11" s="552">
        <f t="shared" si="0"/>
        <v>1000</v>
      </c>
      <c r="C11" s="532">
        <v>39</v>
      </c>
      <c r="D11" s="533"/>
      <c r="E11" s="533">
        <f t="shared" ref="E11:E25" si="6">E10+C11</f>
        <v>44</v>
      </c>
      <c r="F11" s="533"/>
      <c r="G11" s="533">
        <f t="shared" si="1"/>
        <v>39000</v>
      </c>
      <c r="H11" s="533"/>
      <c r="I11" s="533">
        <f t="shared" ref="I11:I25" si="7">I10+G11</f>
        <v>39000</v>
      </c>
      <c r="J11" s="533"/>
      <c r="K11" s="533">
        <f t="shared" si="2"/>
        <v>389</v>
      </c>
      <c r="L11" s="533"/>
      <c r="M11" s="533">
        <f t="shared" si="3"/>
        <v>428000</v>
      </c>
      <c r="O11" s="534">
        <f t="shared" si="4"/>
        <v>2.1149674620390455E-2</v>
      </c>
      <c r="P11" s="532">
        <v>1</v>
      </c>
      <c r="R11" s="535"/>
      <c r="S11" s="513"/>
      <c r="T11" s="536">
        <f t="shared" si="5"/>
        <v>534.29999999999995</v>
      </c>
    </row>
    <row r="12" spans="1:20">
      <c r="A12" s="552">
        <f t="shared" si="0"/>
        <v>2000</v>
      </c>
      <c r="C12" s="532">
        <v>56</v>
      </c>
      <c r="E12" s="533">
        <f t="shared" si="6"/>
        <v>100</v>
      </c>
      <c r="G12" s="533">
        <f t="shared" si="1"/>
        <v>112000</v>
      </c>
      <c r="H12" s="533"/>
      <c r="I12" s="533">
        <f t="shared" si="7"/>
        <v>151000</v>
      </c>
      <c r="K12" s="533">
        <f t="shared" si="2"/>
        <v>333</v>
      </c>
      <c r="M12" s="533">
        <f t="shared" si="3"/>
        <v>817000</v>
      </c>
      <c r="O12" s="534">
        <f t="shared" si="4"/>
        <v>8.188720173535792E-2</v>
      </c>
      <c r="P12" s="532">
        <v>2</v>
      </c>
      <c r="R12" s="515"/>
      <c r="S12" s="515"/>
      <c r="T12" s="536">
        <f t="shared" si="5"/>
        <v>1201.76</v>
      </c>
    </row>
    <row r="13" spans="1:20">
      <c r="A13" s="552">
        <f t="shared" si="0"/>
        <v>3000</v>
      </c>
      <c r="C13" s="532">
        <v>108</v>
      </c>
      <c r="E13" s="533">
        <f t="shared" si="6"/>
        <v>208</v>
      </c>
      <c r="G13" s="533">
        <f t="shared" si="1"/>
        <v>324000</v>
      </c>
      <c r="H13" s="533"/>
      <c r="I13" s="533">
        <f t="shared" si="7"/>
        <v>475000</v>
      </c>
      <c r="K13" s="533">
        <f t="shared" si="2"/>
        <v>225</v>
      </c>
      <c r="M13" s="533">
        <f t="shared" si="3"/>
        <v>1150000</v>
      </c>
      <c r="O13" s="534">
        <f t="shared" si="4"/>
        <v>0.25759219088937091</v>
      </c>
      <c r="P13" s="532">
        <v>3</v>
      </c>
      <c r="T13" s="536">
        <f t="shared" si="5"/>
        <v>3155.7599999999998</v>
      </c>
    </row>
    <row r="14" spans="1:20">
      <c r="A14" s="552">
        <f t="shared" si="0"/>
        <v>4000</v>
      </c>
      <c r="C14" s="532">
        <v>71</v>
      </c>
      <c r="E14" s="533">
        <f t="shared" si="6"/>
        <v>279</v>
      </c>
      <c r="G14" s="533">
        <f t="shared" si="1"/>
        <v>284000</v>
      </c>
      <c r="H14" s="533"/>
      <c r="I14" s="533">
        <f t="shared" si="7"/>
        <v>759000</v>
      </c>
      <c r="K14" s="533">
        <f t="shared" si="2"/>
        <v>154</v>
      </c>
      <c r="M14" s="533">
        <f t="shared" si="3"/>
        <v>1375000</v>
      </c>
      <c r="O14" s="534">
        <f t="shared" si="4"/>
        <v>0.41160520607375273</v>
      </c>
      <c r="P14" s="532">
        <v>4</v>
      </c>
      <c r="T14" s="536">
        <f t="shared" si="5"/>
        <v>2625.58</v>
      </c>
    </row>
    <row r="15" spans="1:20">
      <c r="A15" s="552">
        <f t="shared" si="0"/>
        <v>5000</v>
      </c>
      <c r="C15" s="532">
        <v>48</v>
      </c>
      <c r="E15" s="533">
        <f t="shared" si="6"/>
        <v>327</v>
      </c>
      <c r="G15" s="533">
        <f t="shared" si="1"/>
        <v>240000</v>
      </c>
      <c r="H15" s="533"/>
      <c r="I15" s="533">
        <f t="shared" si="7"/>
        <v>999000</v>
      </c>
      <c r="K15" s="533">
        <f t="shared" si="2"/>
        <v>106</v>
      </c>
      <c r="M15" s="533">
        <f t="shared" si="3"/>
        <v>1529000</v>
      </c>
      <c r="O15" s="534">
        <f t="shared" si="4"/>
        <v>0.54175704989154017</v>
      </c>
      <c r="P15" s="532">
        <v>5</v>
      </c>
      <c r="T15" s="536">
        <f t="shared" si="5"/>
        <v>2147.52</v>
      </c>
    </row>
    <row r="16" spans="1:20">
      <c r="A16" s="552">
        <f t="shared" si="0"/>
        <v>6000</v>
      </c>
      <c r="C16" s="532">
        <v>39</v>
      </c>
      <c r="E16" s="533">
        <f t="shared" si="6"/>
        <v>366</v>
      </c>
      <c r="G16" s="533">
        <f t="shared" si="1"/>
        <v>234000</v>
      </c>
      <c r="H16" s="533"/>
      <c r="I16" s="533">
        <f t="shared" si="7"/>
        <v>1233000</v>
      </c>
      <c r="K16" s="533">
        <f t="shared" si="2"/>
        <v>67</v>
      </c>
      <c r="M16" s="533">
        <f t="shared" si="3"/>
        <v>1635000</v>
      </c>
      <c r="O16" s="534">
        <f t="shared" si="4"/>
        <v>0.66865509761388287</v>
      </c>
      <c r="P16" s="532">
        <v>6</v>
      </c>
      <c r="T16" s="536">
        <f t="shared" si="5"/>
        <v>2047.5</v>
      </c>
    </row>
    <row r="17" spans="1:20">
      <c r="A17" s="552">
        <f t="shared" si="0"/>
        <v>7000</v>
      </c>
      <c r="C17" s="532">
        <v>22</v>
      </c>
      <c r="E17" s="533">
        <f t="shared" si="6"/>
        <v>388</v>
      </c>
      <c r="G17" s="533">
        <f t="shared" si="1"/>
        <v>154000</v>
      </c>
      <c r="H17" s="533"/>
      <c r="I17" s="533">
        <f t="shared" si="7"/>
        <v>1387000</v>
      </c>
      <c r="K17" s="533">
        <f t="shared" si="2"/>
        <v>45</v>
      </c>
      <c r="M17" s="533">
        <f t="shared" si="3"/>
        <v>1702000</v>
      </c>
      <c r="O17" s="534">
        <f t="shared" si="4"/>
        <v>0.75216919739696309</v>
      </c>
      <c r="P17" s="532">
        <v>7</v>
      </c>
      <c r="T17" s="536">
        <f t="shared" si="5"/>
        <v>1325.7199999999998</v>
      </c>
    </row>
    <row r="18" spans="1:20">
      <c r="A18" s="552">
        <f t="shared" si="0"/>
        <v>8000</v>
      </c>
      <c r="C18" s="532">
        <v>20</v>
      </c>
      <c r="E18" s="533">
        <f t="shared" si="6"/>
        <v>408</v>
      </c>
      <c r="G18" s="533">
        <f t="shared" si="1"/>
        <v>160000</v>
      </c>
      <c r="H18" s="533"/>
      <c r="I18" s="533">
        <f t="shared" si="7"/>
        <v>1547000</v>
      </c>
      <c r="K18" s="533">
        <f t="shared" si="2"/>
        <v>25</v>
      </c>
      <c r="M18" s="533">
        <f t="shared" si="3"/>
        <v>1747000</v>
      </c>
      <c r="O18" s="534">
        <f t="shared" si="4"/>
        <v>0.83893709327548804</v>
      </c>
      <c r="P18" s="532">
        <v>8</v>
      </c>
      <c r="T18" s="536">
        <f t="shared" si="5"/>
        <v>1360.3999999999999</v>
      </c>
    </row>
    <row r="19" spans="1:20">
      <c r="A19" s="552">
        <f t="shared" si="0"/>
        <v>9000</v>
      </c>
      <c r="C19" s="532">
        <v>9</v>
      </c>
      <c r="E19" s="533">
        <f t="shared" si="6"/>
        <v>417</v>
      </c>
      <c r="G19" s="533">
        <f t="shared" si="1"/>
        <v>81000</v>
      </c>
      <c r="H19" s="533"/>
      <c r="I19" s="533">
        <f t="shared" si="7"/>
        <v>1628000</v>
      </c>
      <c r="K19" s="533">
        <f t="shared" si="2"/>
        <v>16</v>
      </c>
      <c r="M19" s="533">
        <f t="shared" si="3"/>
        <v>1772000</v>
      </c>
      <c r="O19" s="534">
        <f t="shared" si="4"/>
        <v>0.88286334056399129</v>
      </c>
      <c r="P19" s="532">
        <v>9</v>
      </c>
      <c r="T19" s="536">
        <f t="shared" si="5"/>
        <v>682.02</v>
      </c>
    </row>
    <row r="20" spans="1:20">
      <c r="A20" s="552">
        <f t="shared" si="0"/>
        <v>10000</v>
      </c>
      <c r="C20" s="532">
        <v>6</v>
      </c>
      <c r="E20" s="533">
        <f t="shared" si="6"/>
        <v>423</v>
      </c>
      <c r="G20" s="533">
        <f t="shared" si="1"/>
        <v>60000</v>
      </c>
      <c r="H20" s="533"/>
      <c r="I20" s="533">
        <f t="shared" si="7"/>
        <v>1688000</v>
      </c>
      <c r="K20" s="533">
        <f t="shared" si="2"/>
        <v>10</v>
      </c>
      <c r="M20" s="533">
        <f t="shared" si="3"/>
        <v>1788000</v>
      </c>
      <c r="O20" s="534">
        <f t="shared" si="4"/>
        <v>0.91540130151843813</v>
      </c>
      <c r="P20" s="532">
        <v>10</v>
      </c>
      <c r="T20" s="536">
        <f t="shared" si="5"/>
        <v>501.23999999999995</v>
      </c>
    </row>
    <row r="21" spans="1:20">
      <c r="A21" s="552">
        <f t="shared" si="0"/>
        <v>12000</v>
      </c>
      <c r="C21" s="532">
        <v>1</v>
      </c>
      <c r="E21" s="533">
        <f t="shared" si="6"/>
        <v>424</v>
      </c>
      <c r="G21" s="533">
        <f t="shared" si="1"/>
        <v>12000</v>
      </c>
      <c r="H21" s="533"/>
      <c r="I21" s="533">
        <f t="shared" si="7"/>
        <v>1700000</v>
      </c>
      <c r="K21" s="533">
        <f t="shared" si="2"/>
        <v>9</v>
      </c>
      <c r="M21" s="533">
        <f t="shared" si="3"/>
        <v>1808000</v>
      </c>
      <c r="O21" s="534">
        <f t="shared" si="4"/>
        <v>0.9219088937093276</v>
      </c>
      <c r="P21" s="532">
        <v>12</v>
      </c>
      <c r="T21" s="536">
        <f t="shared" si="5"/>
        <v>97.78</v>
      </c>
    </row>
    <row r="22" spans="1:20">
      <c r="A22" s="552">
        <f t="shared" si="0"/>
        <v>13000</v>
      </c>
      <c r="C22" s="532">
        <v>4</v>
      </c>
      <c r="E22" s="533">
        <f t="shared" si="6"/>
        <v>428</v>
      </c>
      <c r="G22" s="533">
        <f t="shared" si="1"/>
        <v>52000</v>
      </c>
      <c r="H22" s="533"/>
      <c r="I22" s="533">
        <f t="shared" si="7"/>
        <v>1752000</v>
      </c>
      <c r="K22" s="533">
        <f t="shared" si="2"/>
        <v>5</v>
      </c>
      <c r="M22" s="533">
        <f t="shared" si="3"/>
        <v>1817000</v>
      </c>
      <c r="O22" s="534">
        <f t="shared" si="4"/>
        <v>0.95010845986984815</v>
      </c>
      <c r="P22" s="532">
        <v>13</v>
      </c>
      <c r="T22" s="536">
        <f t="shared" si="5"/>
        <v>419.6</v>
      </c>
    </row>
    <row r="23" spans="1:20">
      <c r="A23" s="552">
        <f t="shared" si="0"/>
        <v>16000</v>
      </c>
      <c r="C23" s="532">
        <v>3</v>
      </c>
      <c r="E23" s="533">
        <f t="shared" si="6"/>
        <v>431</v>
      </c>
      <c r="G23" s="533">
        <f t="shared" si="1"/>
        <v>48000</v>
      </c>
      <c r="H23" s="533"/>
      <c r="I23" s="533">
        <f t="shared" si="7"/>
        <v>1800000</v>
      </c>
      <c r="K23" s="533">
        <f t="shared" si="2"/>
        <v>2</v>
      </c>
      <c r="M23" s="533">
        <f t="shared" si="3"/>
        <v>1832000</v>
      </c>
      <c r="O23" s="534">
        <f t="shared" si="4"/>
        <v>0.97613882863340562</v>
      </c>
      <c r="P23" s="532">
        <v>16</v>
      </c>
      <c r="T23" s="536">
        <f t="shared" si="5"/>
        <v>378.78</v>
      </c>
    </row>
    <row r="24" spans="1:20">
      <c r="A24" s="552">
        <f t="shared" si="0"/>
        <v>19000</v>
      </c>
      <c r="C24" s="532">
        <v>1</v>
      </c>
      <c r="E24" s="533">
        <f t="shared" si="6"/>
        <v>432</v>
      </c>
      <c r="G24" s="533">
        <f t="shared" si="1"/>
        <v>19000</v>
      </c>
      <c r="H24" s="533"/>
      <c r="I24" s="533">
        <f t="shared" si="7"/>
        <v>1819000</v>
      </c>
      <c r="K24" s="533">
        <f t="shared" si="2"/>
        <v>1</v>
      </c>
      <c r="M24" s="533">
        <f t="shared" si="3"/>
        <v>1838000</v>
      </c>
      <c r="O24" s="534">
        <f t="shared" si="4"/>
        <v>0.9864425162689805</v>
      </c>
      <c r="P24" s="532">
        <v>19</v>
      </c>
      <c r="T24" s="536">
        <f t="shared" si="5"/>
        <v>147.62</v>
      </c>
    </row>
    <row r="25" spans="1:20">
      <c r="A25" s="552">
        <f t="shared" si="0"/>
        <v>25000</v>
      </c>
      <c r="C25" s="532">
        <v>1</v>
      </c>
      <c r="E25" s="533">
        <f t="shared" si="6"/>
        <v>433</v>
      </c>
      <c r="G25" s="533">
        <f t="shared" si="1"/>
        <v>25000</v>
      </c>
      <c r="H25" s="533"/>
      <c r="I25" s="533">
        <f t="shared" si="7"/>
        <v>1844000</v>
      </c>
      <c r="K25" s="533">
        <f t="shared" si="2"/>
        <v>0</v>
      </c>
      <c r="M25" s="533">
        <f t="shared" si="3"/>
        <v>1844000</v>
      </c>
      <c r="O25" s="534">
        <f t="shared" si="4"/>
        <v>1</v>
      </c>
      <c r="P25" s="532">
        <v>25</v>
      </c>
      <c r="T25" s="536">
        <f t="shared" si="5"/>
        <v>190.34</v>
      </c>
    </row>
    <row r="26" spans="1:20">
      <c r="T26" s="536"/>
    </row>
    <row r="27" spans="1:20">
      <c r="T27" s="554">
        <f>SUM(T10:T25)</f>
        <v>16884.419999999998</v>
      </c>
    </row>
    <row r="28" spans="1:20" hidden="1">
      <c r="T28" s="536">
        <v>11191</v>
      </c>
    </row>
    <row r="29" spans="1:20" hidden="1">
      <c r="T29" s="540">
        <f>T27-T28</f>
        <v>5693.4199999999983</v>
      </c>
    </row>
    <row r="30" spans="1:20" hidden="1">
      <c r="T30" s="555">
        <f>T29/T27</f>
        <v>0.33719961953090477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5"/>
  <sheetViews>
    <sheetView showGridLines="0" topLeftCell="H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'16265'!T2</f>
        <v>13.7</v>
      </c>
    </row>
    <row r="3" spans="1:20">
      <c r="A3" s="513" t="s">
        <v>546</v>
      </c>
      <c r="M3" s="520" t="s">
        <v>538</v>
      </c>
      <c r="R3" s="518" t="s">
        <v>274</v>
      </c>
      <c r="S3" s="518"/>
      <c r="T3" s="519">
        <f>'16265'!T3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'16265'!T4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'16265'!T5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'16265'!T6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'16265'!T7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47">
        <v>0</v>
      </c>
      <c r="D10" s="533"/>
      <c r="E10" s="533">
        <f>C10</f>
        <v>0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$E$11-E10</f>
        <v>6</v>
      </c>
      <c r="L10" s="533"/>
      <c r="M10" s="533">
        <f>(A10*K10)+I10</f>
        <v>0</v>
      </c>
      <c r="O10" s="534">
        <f>I10/$I$11</f>
        <v>0</v>
      </c>
      <c r="P10" s="547">
        <v>0</v>
      </c>
      <c r="R10" s="535"/>
      <c r="S10" s="513"/>
      <c r="T10" s="536">
        <f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0</v>
      </c>
    </row>
    <row r="11" spans="1:20" s="515" customFormat="1">
      <c r="A11" s="552">
        <f>P11*1000</f>
        <v>1000</v>
      </c>
      <c r="C11" s="547">
        <v>6</v>
      </c>
      <c r="D11" s="533"/>
      <c r="E11" s="533">
        <f>E10+C11</f>
        <v>6</v>
      </c>
      <c r="F11" s="533"/>
      <c r="G11" s="533">
        <f>A11*C11</f>
        <v>6000</v>
      </c>
      <c r="H11" s="533"/>
      <c r="I11" s="533">
        <f>I10+G11</f>
        <v>6000</v>
      </c>
      <c r="J11" s="533"/>
      <c r="K11" s="533">
        <f>$E$11-E11</f>
        <v>0</v>
      </c>
      <c r="L11" s="533"/>
      <c r="M11" s="533">
        <f>(A11*K11)+I11</f>
        <v>6000</v>
      </c>
      <c r="O11" s="534">
        <f>I11/$I$11</f>
        <v>1</v>
      </c>
      <c r="P11" s="547">
        <v>1</v>
      </c>
      <c r="R11" s="535"/>
      <c r="S11" s="513"/>
      <c r="T11" s="536">
        <f>IF(A11&lt;1000,C11*$T$2,IF(A11=1000,C11*$T$2,IF(AND(A11&lt;11000,A11&gt;1000),(C11*$T$2)+((A11-1000)*C11/1000*$T$3),IF(AND(A11&gt;10000,A11&lt;26000),(C11*$T$2)+(9*$T$3*C11)+((A11-10000)/1000*$T$4*C11),IF(AND(A11&lt;51000,A11&gt;25000),(C11*$T$2)+(9*$T$3*C11)+(15*$T$4*C11)+((A11-25000)/1000*$T$5*C11),IF(AND(A11&lt;101000,A11&gt;50000),(C11*$T$2)+(9*$T$3*C11)+(15*$T$4*C11)+(25*$T$5*C11)+((A11-50000)/1000*$T$6*C11),IF(A11&gt;100000,(C11*$T$2)+(9*$T$3*C11)+(15*$T$4*C11)+(25*$T$5*C11)+(50*$T$6*C11)+((A11-100000)/1000*$T$7*C11))))))))</f>
        <v>82.199999999999989</v>
      </c>
    </row>
    <row r="12" spans="1:20">
      <c r="T12" s="536"/>
    </row>
    <row r="13" spans="1:20">
      <c r="T13" s="554">
        <f>SUM(T10:T11)</f>
        <v>82.199999999999989</v>
      </c>
    </row>
    <row r="14" spans="1:20" hidden="1">
      <c r="T14" s="536">
        <v>59</v>
      </c>
    </row>
    <row r="15" spans="1:20" hidden="1">
      <c r="T15" s="536">
        <f>T13-T14</f>
        <v>23.199999999999989</v>
      </c>
    </row>
    <row r="16" spans="1:20">
      <c r="T16" s="536"/>
    </row>
    <row r="17" spans="20:20">
      <c r="T17" s="536"/>
    </row>
    <row r="18" spans="20:20">
      <c r="T18" s="536"/>
    </row>
    <row r="19" spans="20:20">
      <c r="T19" s="536"/>
    </row>
    <row r="20" spans="20:20">
      <c r="T20" s="536"/>
    </row>
    <row r="21" spans="20:20">
      <c r="T21" s="536"/>
    </row>
    <row r="22" spans="20:20">
      <c r="T22" s="536"/>
    </row>
    <row r="23" spans="20:20">
      <c r="T23" s="536"/>
    </row>
    <row r="24" spans="20:20">
      <c r="T24" s="536"/>
    </row>
    <row r="25" spans="20:20">
      <c r="T25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topLeftCell="M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'16265'!T2</f>
        <v>13.7</v>
      </c>
    </row>
    <row r="3" spans="1:20">
      <c r="A3" s="513" t="s">
        <v>546</v>
      </c>
      <c r="M3" s="520" t="s">
        <v>538</v>
      </c>
      <c r="R3" s="518" t="s">
        <v>274</v>
      </c>
      <c r="S3" s="518"/>
      <c r="T3" s="519">
        <f>'16265'!T3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'16265'!T4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'16265'!T5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'16265'!T6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'16265'!T7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47">
        <v>0</v>
      </c>
      <c r="D10" s="533"/>
      <c r="E10" s="533">
        <f>C10</f>
        <v>0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$E$11-E10</f>
        <v>5</v>
      </c>
      <c r="L10" s="533"/>
      <c r="M10" s="533">
        <f>(A10*K10)+I10</f>
        <v>0</v>
      </c>
      <c r="O10" s="534">
        <f>I10/$I$11</f>
        <v>0</v>
      </c>
      <c r="P10" s="547">
        <v>0</v>
      </c>
      <c r="R10" s="535"/>
      <c r="S10" s="513"/>
      <c r="T10" s="536">
        <f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0</v>
      </c>
    </row>
    <row r="11" spans="1:20" s="515" customFormat="1">
      <c r="A11" s="552">
        <f>P11*1000</f>
        <v>1000</v>
      </c>
      <c r="C11" s="547">
        <v>5</v>
      </c>
      <c r="D11" s="533"/>
      <c r="E11" s="533">
        <f>E10+C11</f>
        <v>5</v>
      </c>
      <c r="F11" s="533"/>
      <c r="G11" s="533">
        <f>A11*C11</f>
        <v>5000</v>
      </c>
      <c r="H11" s="533"/>
      <c r="I11" s="533">
        <f>I10+G11</f>
        <v>5000</v>
      </c>
      <c r="J11" s="533"/>
      <c r="K11" s="533">
        <f>$E$11-E11</f>
        <v>0</v>
      </c>
      <c r="L11" s="533"/>
      <c r="M11" s="533">
        <f>(A11*K11)+I11</f>
        <v>5000</v>
      </c>
      <c r="O11" s="534">
        <f>I11/$I$11</f>
        <v>1</v>
      </c>
      <c r="P11" s="547">
        <v>1</v>
      </c>
      <c r="R11" s="535"/>
      <c r="S11" s="513"/>
      <c r="T11" s="536">
        <f>IF(A11&lt;1000,C11*$T$2,IF(A11=1000,C11*$T$2,IF(AND(A11&lt;11000,A11&gt;1000),(C11*$T$2)+((A11-1000)*C11/1000*$T$3),IF(AND(A11&gt;10000,A11&lt;26000),(C11*$T$2)+(9*$T$3*C11)+((A11-10000)/1000*$T$4*C11),IF(AND(A11&lt;51000,A11&gt;25000),(C11*$T$2)+(9*$T$3*C11)+(15*$T$4*C11)+((A11-25000)/1000*$T$5*C11),IF(AND(A11&lt;101000,A11&gt;50000),(C11*$T$2)+(9*$T$3*C11)+(15*$T$4*C11)+(25*$T$5*C11)+((A11-50000)/1000*$T$6*C11),IF(A11&gt;100000,(C11*$T$2)+(9*$T$3*C11)+(15*$T$4*C11)+(25*$T$5*C11)+(50*$T$6*C11)+((A11-100000)/1000*$T$7*C11))))))))</f>
        <v>68.5</v>
      </c>
    </row>
    <row r="12" spans="1:20">
      <c r="T12" s="536"/>
    </row>
    <row r="13" spans="1:20">
      <c r="T13" s="554">
        <f>SUM(T10:T11)</f>
        <v>68.5</v>
      </c>
    </row>
    <row r="14" spans="1:20" hidden="1">
      <c r="T14" s="536">
        <v>47</v>
      </c>
    </row>
    <row r="15" spans="1:20" hidden="1">
      <c r="T15" s="536">
        <f>T13-T14</f>
        <v>21.5</v>
      </c>
    </row>
    <row r="16" spans="1:20" hidden="1">
      <c r="T16" s="569">
        <f>T15/T13</f>
        <v>0.31386861313868614</v>
      </c>
    </row>
    <row r="17" spans="20:20">
      <c r="T17" s="536"/>
    </row>
    <row r="18" spans="20:20">
      <c r="T18" s="536"/>
    </row>
    <row r="19" spans="20:20">
      <c r="T19" s="536"/>
    </row>
    <row r="20" spans="20:20">
      <c r="T20" s="536"/>
    </row>
    <row r="21" spans="20:20">
      <c r="T21" s="536"/>
    </row>
    <row r="22" spans="20:20">
      <c r="T22" s="536"/>
    </row>
    <row r="23" spans="20:20">
      <c r="T23" s="536"/>
    </row>
    <row r="24" spans="20:20">
      <c r="T24" s="536"/>
    </row>
    <row r="25" spans="20:20">
      <c r="T25" s="536"/>
    </row>
  </sheetData>
  <phoneticPr fontId="54" type="noConversion"/>
  <pageMargins left="0.75" right="0.75" top="1" bottom="1" header="0.5" footer="0.5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J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'16265'!T2</f>
        <v>13.7</v>
      </c>
    </row>
    <row r="3" spans="1:20">
      <c r="A3" s="513" t="s">
        <v>546</v>
      </c>
      <c r="M3" s="520" t="s">
        <v>538</v>
      </c>
      <c r="R3" s="518" t="s">
        <v>274</v>
      </c>
      <c r="S3" s="518"/>
      <c r="T3" s="519">
        <f>'16265'!T3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'16265'!T4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'16265'!T5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'16265'!T6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'16265'!T7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8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8" si="1">A10*C10</f>
        <v>0</v>
      </c>
      <c r="H10" s="533"/>
      <c r="I10" s="533">
        <f>G10</f>
        <v>0</v>
      </c>
      <c r="J10" s="533"/>
      <c r="K10" s="533">
        <f t="shared" ref="K10:K18" si="2">$E$18-E10</f>
        <v>25</v>
      </c>
      <c r="L10" s="533"/>
      <c r="M10" s="533">
        <f t="shared" ref="M10:M18" si="3">(A10*K10)+I10</f>
        <v>0</v>
      </c>
      <c r="O10" s="534">
        <f t="shared" ref="O10:O18" si="4">I10/$I$18</f>
        <v>0</v>
      </c>
      <c r="P10" s="532">
        <v>0</v>
      </c>
      <c r="R10" s="535"/>
      <c r="S10" s="513"/>
      <c r="T10" s="536">
        <f t="shared" ref="T10:T18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0</v>
      </c>
    </row>
    <row r="11" spans="1:20" s="515" customFormat="1">
      <c r="A11" s="552">
        <f t="shared" si="0"/>
        <v>1000</v>
      </c>
      <c r="C11" s="532">
        <v>8</v>
      </c>
      <c r="D11" s="533"/>
      <c r="E11" s="533">
        <f t="shared" ref="E11:E18" si="6">E10+C11</f>
        <v>8</v>
      </c>
      <c r="F11" s="533"/>
      <c r="G11" s="533">
        <f t="shared" si="1"/>
        <v>8000</v>
      </c>
      <c r="H11" s="533"/>
      <c r="I11" s="533">
        <f t="shared" ref="I11:I18" si="7">I10+G11</f>
        <v>8000</v>
      </c>
      <c r="J11" s="533"/>
      <c r="K11" s="533">
        <f t="shared" si="2"/>
        <v>17</v>
      </c>
      <c r="L11" s="533"/>
      <c r="M11" s="533">
        <f t="shared" si="3"/>
        <v>25000</v>
      </c>
      <c r="O11" s="534">
        <f t="shared" si="4"/>
        <v>8.6021505376344093E-2</v>
      </c>
      <c r="P11" s="532">
        <v>1</v>
      </c>
      <c r="R11" s="535"/>
      <c r="S11" s="513"/>
      <c r="T11" s="536">
        <f t="shared" si="5"/>
        <v>109.6</v>
      </c>
    </row>
    <row r="12" spans="1:20">
      <c r="A12" s="552">
        <f t="shared" si="0"/>
        <v>2000</v>
      </c>
      <c r="C12" s="532">
        <v>4</v>
      </c>
      <c r="E12" s="533">
        <f t="shared" si="6"/>
        <v>12</v>
      </c>
      <c r="G12" s="533">
        <f t="shared" si="1"/>
        <v>8000</v>
      </c>
      <c r="H12" s="533"/>
      <c r="I12" s="533">
        <f t="shared" si="7"/>
        <v>16000</v>
      </c>
      <c r="K12" s="533">
        <f t="shared" si="2"/>
        <v>13</v>
      </c>
      <c r="M12" s="533">
        <f t="shared" si="3"/>
        <v>42000</v>
      </c>
      <c r="O12" s="534">
        <f t="shared" si="4"/>
        <v>0.17204301075268819</v>
      </c>
      <c r="P12" s="532">
        <v>2</v>
      </c>
      <c r="R12" s="515"/>
      <c r="S12" s="515"/>
      <c r="T12" s="536">
        <f t="shared" si="5"/>
        <v>85.84</v>
      </c>
    </row>
    <row r="13" spans="1:20">
      <c r="A13" s="552">
        <f t="shared" si="0"/>
        <v>3000</v>
      </c>
      <c r="C13" s="532">
        <v>1</v>
      </c>
      <c r="E13" s="533">
        <f t="shared" si="6"/>
        <v>13</v>
      </c>
      <c r="G13" s="533">
        <f t="shared" si="1"/>
        <v>3000</v>
      </c>
      <c r="H13" s="533"/>
      <c r="I13" s="533">
        <f t="shared" si="7"/>
        <v>19000</v>
      </c>
      <c r="K13" s="533">
        <f t="shared" si="2"/>
        <v>12</v>
      </c>
      <c r="M13" s="533">
        <f t="shared" si="3"/>
        <v>55000</v>
      </c>
      <c r="O13" s="534">
        <f t="shared" si="4"/>
        <v>0.20430107526881722</v>
      </c>
      <c r="P13" s="532">
        <v>3</v>
      </c>
      <c r="R13" s="515"/>
      <c r="S13" s="515"/>
      <c r="T13" s="536">
        <f t="shared" si="5"/>
        <v>29.22</v>
      </c>
    </row>
    <row r="14" spans="1:20">
      <c r="A14" s="552">
        <f t="shared" si="0"/>
        <v>4000</v>
      </c>
      <c r="C14" s="532">
        <v>4</v>
      </c>
      <c r="E14" s="533">
        <f t="shared" si="6"/>
        <v>17</v>
      </c>
      <c r="G14" s="533">
        <f t="shared" si="1"/>
        <v>16000</v>
      </c>
      <c r="H14" s="533"/>
      <c r="I14" s="533">
        <f t="shared" si="7"/>
        <v>35000</v>
      </c>
      <c r="K14" s="533">
        <f t="shared" si="2"/>
        <v>8</v>
      </c>
      <c r="M14" s="533">
        <f t="shared" si="3"/>
        <v>67000</v>
      </c>
      <c r="O14" s="534">
        <f t="shared" si="4"/>
        <v>0.37634408602150538</v>
      </c>
      <c r="P14" s="532">
        <v>4</v>
      </c>
      <c r="R14" s="515"/>
      <c r="S14" s="515"/>
      <c r="T14" s="536">
        <f t="shared" si="5"/>
        <v>147.92000000000002</v>
      </c>
    </row>
    <row r="15" spans="1:20">
      <c r="A15" s="552">
        <f t="shared" si="0"/>
        <v>5000</v>
      </c>
      <c r="C15" s="532">
        <v>1</v>
      </c>
      <c r="E15" s="533">
        <f t="shared" si="6"/>
        <v>18</v>
      </c>
      <c r="G15" s="533">
        <f t="shared" si="1"/>
        <v>5000</v>
      </c>
      <c r="H15" s="533"/>
      <c r="I15" s="533">
        <f t="shared" si="7"/>
        <v>40000</v>
      </c>
      <c r="K15" s="533">
        <f t="shared" si="2"/>
        <v>7</v>
      </c>
      <c r="M15" s="533">
        <f t="shared" si="3"/>
        <v>75000</v>
      </c>
      <c r="O15" s="534">
        <f t="shared" si="4"/>
        <v>0.43010752688172044</v>
      </c>
      <c r="P15" s="532">
        <v>5</v>
      </c>
      <c r="R15" s="515"/>
      <c r="S15" s="515"/>
      <c r="T15" s="536">
        <f t="shared" si="5"/>
        <v>44.739999999999995</v>
      </c>
    </row>
    <row r="16" spans="1:20">
      <c r="A16" s="552">
        <f t="shared" si="0"/>
        <v>6000</v>
      </c>
      <c r="C16" s="532">
        <v>3</v>
      </c>
      <c r="E16" s="533">
        <f t="shared" si="6"/>
        <v>21</v>
      </c>
      <c r="G16" s="533">
        <f t="shared" si="1"/>
        <v>18000</v>
      </c>
      <c r="H16" s="533"/>
      <c r="I16" s="533">
        <f t="shared" si="7"/>
        <v>58000</v>
      </c>
      <c r="K16" s="533">
        <f t="shared" si="2"/>
        <v>4</v>
      </c>
      <c r="M16" s="533">
        <f t="shared" si="3"/>
        <v>82000</v>
      </c>
      <c r="O16" s="534">
        <f t="shared" si="4"/>
        <v>0.62365591397849462</v>
      </c>
      <c r="P16" s="532">
        <v>6</v>
      </c>
      <c r="R16" s="515"/>
      <c r="S16" s="515"/>
      <c r="T16" s="536">
        <f t="shared" si="5"/>
        <v>157.5</v>
      </c>
    </row>
    <row r="17" spans="1:20">
      <c r="A17" s="552">
        <f t="shared" si="0"/>
        <v>8000</v>
      </c>
      <c r="C17" s="532">
        <v>1</v>
      </c>
      <c r="E17" s="533">
        <f t="shared" si="6"/>
        <v>22</v>
      </c>
      <c r="G17" s="533">
        <f t="shared" si="1"/>
        <v>8000</v>
      </c>
      <c r="H17" s="533"/>
      <c r="I17" s="533">
        <f t="shared" si="7"/>
        <v>66000</v>
      </c>
      <c r="K17" s="533">
        <f t="shared" si="2"/>
        <v>3</v>
      </c>
      <c r="M17" s="533">
        <f t="shared" si="3"/>
        <v>90000</v>
      </c>
      <c r="O17" s="534">
        <f t="shared" si="4"/>
        <v>0.70967741935483875</v>
      </c>
      <c r="P17" s="532">
        <v>8</v>
      </c>
      <c r="R17" s="515"/>
      <c r="S17" s="515"/>
      <c r="T17" s="536">
        <f t="shared" si="5"/>
        <v>68.02</v>
      </c>
    </row>
    <row r="18" spans="1:20">
      <c r="A18" s="552">
        <f t="shared" si="0"/>
        <v>9000</v>
      </c>
      <c r="C18" s="532">
        <v>3</v>
      </c>
      <c r="E18" s="533">
        <f t="shared" si="6"/>
        <v>25</v>
      </c>
      <c r="G18" s="533">
        <f t="shared" si="1"/>
        <v>27000</v>
      </c>
      <c r="H18" s="533"/>
      <c r="I18" s="533">
        <f t="shared" si="7"/>
        <v>93000</v>
      </c>
      <c r="K18" s="533">
        <f t="shared" si="2"/>
        <v>0</v>
      </c>
      <c r="M18" s="533">
        <f t="shared" si="3"/>
        <v>93000</v>
      </c>
      <c r="O18" s="534">
        <f t="shared" si="4"/>
        <v>1</v>
      </c>
      <c r="P18" s="532">
        <v>9</v>
      </c>
      <c r="R18" s="515"/>
      <c r="S18" s="515"/>
      <c r="T18" s="536">
        <f t="shared" si="5"/>
        <v>227.34</v>
      </c>
    </row>
    <row r="19" spans="1:20">
      <c r="A19" s="552"/>
      <c r="E19" s="533"/>
      <c r="G19" s="533"/>
      <c r="H19" s="533"/>
      <c r="I19" s="533"/>
      <c r="K19" s="533"/>
      <c r="M19" s="533"/>
      <c r="O19" s="534"/>
      <c r="R19" s="515"/>
      <c r="S19" s="515"/>
      <c r="T19" s="536"/>
    </row>
    <row r="20" spans="1:20">
      <c r="A20" s="552"/>
      <c r="E20" s="533"/>
      <c r="G20" s="533"/>
      <c r="H20" s="533"/>
      <c r="I20" s="533"/>
      <c r="K20" s="533"/>
      <c r="M20" s="533"/>
      <c r="O20" s="534"/>
      <c r="R20" s="515"/>
      <c r="S20" s="515"/>
      <c r="T20" s="536"/>
    </row>
    <row r="21" spans="1:20">
      <c r="A21" s="552"/>
      <c r="E21" s="533"/>
      <c r="G21" s="533"/>
      <c r="H21" s="533"/>
      <c r="I21" s="533"/>
      <c r="K21" s="533"/>
      <c r="M21" s="533"/>
      <c r="O21" s="534"/>
      <c r="R21" s="515"/>
      <c r="S21" s="515"/>
      <c r="T21" s="536"/>
    </row>
    <row r="22" spans="1:20">
      <c r="T22" s="536"/>
    </row>
    <row r="23" spans="1:20">
      <c r="T23" s="554">
        <f>SUM(T10:T18)</f>
        <v>870.18000000000006</v>
      </c>
    </row>
    <row r="24" spans="1:20" hidden="1">
      <c r="T24" s="536">
        <v>585</v>
      </c>
    </row>
    <row r="25" spans="1:20" hidden="1">
      <c r="T25" s="536">
        <f>T23-T24</f>
        <v>285.18000000000006</v>
      </c>
    </row>
    <row r="26" spans="1:20">
      <c r="T26" s="536"/>
    </row>
    <row r="27" spans="1:20">
      <c r="T27" s="536"/>
    </row>
    <row r="28" spans="1:20">
      <c r="T28" s="536"/>
    </row>
    <row r="29" spans="1:20">
      <c r="T29" s="536"/>
    </row>
    <row r="30" spans="1:20">
      <c r="T30" s="536"/>
    </row>
    <row r="31" spans="1:20">
      <c r="T31" s="536"/>
    </row>
    <row r="32" spans="1:20">
      <c r="T32" s="536"/>
    </row>
    <row r="33" spans="20:20">
      <c r="T33" s="536"/>
    </row>
    <row r="34" spans="20:20">
      <c r="T34" s="536"/>
    </row>
    <row r="35" spans="20:20">
      <c r="T35" s="536"/>
    </row>
  </sheetData>
  <phoneticPr fontId="54" type="noConversion"/>
  <pageMargins left="0.75" right="0.75" top="1" bottom="1" header="0.5" footer="0.5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topLeftCell="H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'16262'!R2</f>
        <v>First 17,600</v>
      </c>
      <c r="S2" s="518"/>
      <c r="T2" s="519" t="e">
        <f>'16262'!T2</f>
        <v>#REF!</v>
      </c>
    </row>
    <row r="3" spans="1:20">
      <c r="A3" s="513" t="s">
        <v>544</v>
      </c>
      <c r="M3" s="520" t="s">
        <v>538</v>
      </c>
      <c r="R3" s="519" t="str">
        <f>'16262'!R3</f>
        <v>Next 7,400</v>
      </c>
      <c r="S3" s="518"/>
      <c r="T3" s="519" t="e">
        <f>'16262'!T3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'16262'!R4</f>
        <v>Next 25,000 gallons</v>
      </c>
      <c r="S4" s="518"/>
      <c r="T4" s="519" t="e">
        <f>'16262'!T4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'16262'!R5</f>
        <v>Next 50,000 gallons</v>
      </c>
      <c r="S5" s="518"/>
      <c r="T5" s="519" t="e">
        <f>'16262'!T5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'16262'!R6</f>
        <v>Over 100,000</v>
      </c>
      <c r="S6" s="518"/>
      <c r="T6" s="519" t="e">
        <f>'16262'!T6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32">
        <v>0</v>
      </c>
      <c r="D10" s="533"/>
      <c r="E10" s="533">
        <f>C10</f>
        <v>0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$E$14-E10</f>
        <v>5</v>
      </c>
      <c r="L10" s="533"/>
      <c r="M10" s="533">
        <f>(A10*K10)+I10</f>
        <v>0</v>
      </c>
      <c r="O10" s="534">
        <f>I10/$I$14</f>
        <v>0</v>
      </c>
      <c r="P10" s="532">
        <v>0</v>
      </c>
      <c r="R10" s="535"/>
      <c r="S10" s="513"/>
      <c r="T10" s="536" t="e">
        <f>IF(A10&lt;17600,C10*$T$2,IF(A10=17600,C10*$T$2,IF(AND(A10&lt;26000,A10&gt;17600),(C10*$T$2)+((A10-17600)*C10/1000*$T$3),IF(AND(A10&gt;25000,A10&lt;51000),(C10*$T$2)+(7.4*$T$3*C10)+((A10-25000)/1000*$T$4*C10),IF(AND(A10&lt;101000,A10&gt;50000),(C10*$T$2)+(7.4*$T$3*C10)+(25*$T$4*C10)+((A10-50000)/1000*$T$5*C10),IF(A10&gt;100000,(C10*$T$2)+(7.4*$T$3*C10)+(25*$T$4*C10)+(50*$T$5*C10)+((A10-100000)/1000*$T$6*C10)))))))</f>
        <v>#REF!</v>
      </c>
    </row>
    <row r="11" spans="1:20" s="515" customFormat="1">
      <c r="A11" s="552">
        <f>P11*1000</f>
        <v>42000</v>
      </c>
      <c r="C11" s="532">
        <v>2</v>
      </c>
      <c r="D11" s="533"/>
      <c r="E11" s="533">
        <f>E10+C11</f>
        <v>2</v>
      </c>
      <c r="F11" s="533"/>
      <c r="G11" s="533">
        <f>A11*C11</f>
        <v>84000</v>
      </c>
      <c r="H11" s="533"/>
      <c r="I11" s="533">
        <f>I10+G11</f>
        <v>84000</v>
      </c>
      <c r="J11" s="533"/>
      <c r="K11" s="533">
        <f>$E$14-E11</f>
        <v>3</v>
      </c>
      <c r="L11" s="533"/>
      <c r="M11" s="533">
        <f>(A11*K11)+I11</f>
        <v>210000</v>
      </c>
      <c r="O11" s="534">
        <f>I11/$I$14</f>
        <v>0.35294117647058826</v>
      </c>
      <c r="P11" s="532">
        <v>42</v>
      </c>
      <c r="R11" s="535"/>
      <c r="S11" s="513"/>
      <c r="T11" s="536" t="e">
        <f>IF(A11&lt;17600,C11*$T$2,IF(A11=17600,C11*$T$2,IF(AND(A11&lt;26000,A11&gt;17600),(C11*$T$2)+((A11-17600)*C11/1000*$T$3),IF(AND(A11&gt;25000,A11&lt;51000),(C11*$T$2)+(7.4*$T$3*C11)+((A11-25000)/1000*$T$4*C11),IF(AND(A11&lt;101000,A11&gt;50000),(C11*$T$2)+(7.4*$T$3*C11)+(25*$T$4*C11)+((A11-50000)/1000*$T$5*C11),IF(A11&gt;100000,(C11*$T$2)+(7.4*$T$3*C11)+(25*$T$4*C11)+(50*$T$5*C11)+((A11-100000)/1000*$T$6*C11)))))))</f>
        <v>#REF!</v>
      </c>
    </row>
    <row r="12" spans="1:20">
      <c r="A12" s="552">
        <f>P12*1000</f>
        <v>47000</v>
      </c>
      <c r="C12" s="532">
        <v>1</v>
      </c>
      <c r="E12" s="533">
        <f>E11+C12</f>
        <v>3</v>
      </c>
      <c r="G12" s="533">
        <f>A12*C12</f>
        <v>47000</v>
      </c>
      <c r="H12" s="533"/>
      <c r="I12" s="533">
        <f>I11+G12</f>
        <v>131000</v>
      </c>
      <c r="K12" s="533">
        <f>$E$14-E12</f>
        <v>2</v>
      </c>
      <c r="M12" s="533">
        <f>(A12*K12)+I12</f>
        <v>225000</v>
      </c>
      <c r="O12" s="534">
        <f>I12/$I$14</f>
        <v>0.55042016806722693</v>
      </c>
      <c r="P12" s="532">
        <v>47</v>
      </c>
      <c r="R12" s="515"/>
      <c r="S12" s="515"/>
      <c r="T12" s="536" t="e">
        <f>IF(A12&lt;17600,C12*$T$2,IF(A12=17600,C12*$T$2,IF(AND(A12&lt;26000,A12&gt;17600),(C12*$T$2)+((A12-17600)*C12/1000*$T$3),IF(AND(A12&gt;25000,A12&lt;51000),(C12*$T$2)+(7.4*$T$3*C12)+((A12-25000)/1000*$T$4*C12),IF(AND(A12&lt;101000,A12&gt;50000),(C12*$T$2)+(7.4*$T$3*C12)+(25*$T$4*C12)+((A12-50000)/1000*$T$5*C12),IF(A12&gt;100000,(C12*$T$2)+(7.4*$T$3*C12)+(25*$T$4*C12)+(50*$T$5*C12)+((A12-100000)/1000*$T$6*C12)))))))</f>
        <v>#REF!</v>
      </c>
    </row>
    <row r="13" spans="1:20">
      <c r="A13" s="552">
        <f>P13*1000</f>
        <v>50000</v>
      </c>
      <c r="C13" s="532">
        <v>1</v>
      </c>
      <c r="E13" s="533">
        <f>E12+C13</f>
        <v>4</v>
      </c>
      <c r="G13" s="533">
        <f>A13*C13</f>
        <v>50000</v>
      </c>
      <c r="H13" s="533"/>
      <c r="I13" s="533">
        <f>I12+G13</f>
        <v>181000</v>
      </c>
      <c r="K13" s="533">
        <f>$E$14-E13</f>
        <v>1</v>
      </c>
      <c r="M13" s="533">
        <f>(A13*K13)+I13</f>
        <v>231000</v>
      </c>
      <c r="O13" s="534">
        <f>I13/$I$14</f>
        <v>0.76050420168067223</v>
      </c>
      <c r="P13" s="532">
        <v>50</v>
      </c>
      <c r="T13" s="536" t="e">
        <f>IF(A13&lt;17600,C13*$T$2,IF(A13=17600,C13*$T$2,IF(AND(A13&lt;26000,A13&gt;17600),(C13*$T$2)+((A13-17600)*C13/1000*$T$3),IF(AND(A13&gt;25000,A13&lt;51000),(C13*$T$2)+(7.4*$T$3*C13)+((A13-25000)/1000*$T$4*C13),IF(AND(A13&lt;101000,A13&gt;50000),(C13*$T$2)+(7.4*$T$3*C13)+(25*$T$4*C13)+((A13-50000)/1000*$T$5*C13),IF(A13&gt;100000,(C13*$T$2)+(7.4*$T$3*C13)+(25*$T$4*C13)+(50*$T$5*C13)+((A13-100000)/1000*$T$6*C13)))))))</f>
        <v>#REF!</v>
      </c>
    </row>
    <row r="14" spans="1:20">
      <c r="A14" s="552">
        <f>P14*1000</f>
        <v>57000</v>
      </c>
      <c r="C14" s="532">
        <v>1</v>
      </c>
      <c r="E14" s="533">
        <f>E13+C14</f>
        <v>5</v>
      </c>
      <c r="G14" s="533">
        <f>A14*C14</f>
        <v>57000</v>
      </c>
      <c r="H14" s="533"/>
      <c r="I14" s="533">
        <f>I13+G14</f>
        <v>238000</v>
      </c>
      <c r="K14" s="533">
        <f>$E$14-E14</f>
        <v>0</v>
      </c>
      <c r="M14" s="533">
        <f>(A14*K14)+I14</f>
        <v>238000</v>
      </c>
      <c r="O14" s="534">
        <f>I14/$I$14</f>
        <v>1</v>
      </c>
      <c r="P14" s="532">
        <v>57</v>
      </c>
      <c r="T14" s="536" t="e">
        <f>IF(A14&lt;17600,C14*$T$2,IF(A14=17600,C14*$T$2,IF(AND(A14&lt;26000,A14&gt;17600),(C14*$T$2)+((A14-17600)*C14/1000*$T$3),IF(AND(A14&gt;25000,A14&lt;51000),(C14*$T$2)+(7.4*$T$3*C14)+((A14-25000)/1000*$T$4*C14),IF(AND(A14&lt;101000,A14&gt;50000),(C14*$T$2)+(7.4*$T$3*C14)+(25*$T$4*C14)+((A14-50000)/1000*$T$5*C14),IF(A14&gt;100000,(C14*$T$2)+(7.4*$T$3*C14)+(25*$T$4*C14)+(50*$T$5*C14)+((A14-100000)/1000*$T$6*C14)))))))</f>
        <v>#REF!</v>
      </c>
    </row>
    <row r="16" spans="1:20">
      <c r="T16" s="539" t="e">
        <f>SUM(T10:T14)</f>
        <v>#REF!</v>
      </c>
    </row>
    <row r="17" spans="20:20" hidden="1">
      <c r="T17" s="513">
        <v>1105</v>
      </c>
    </row>
    <row r="18" spans="20:20" hidden="1">
      <c r="T18" s="540" t="e">
        <f>T16-T17</f>
        <v>#REF!</v>
      </c>
    </row>
    <row r="19" spans="20:20" hidden="1">
      <c r="T19" s="555" t="e">
        <f>T18/T16</f>
        <v>#REF!</v>
      </c>
    </row>
  </sheetData>
  <phoneticPr fontId="54" type="noConversion"/>
  <pageMargins left="0.75" right="0.75" top="1" bottom="1" header="0.5" footer="0.5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topLeftCell="H13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'16244'!R2</f>
        <v>First 5,300</v>
      </c>
      <c r="S2" s="518"/>
      <c r="T2" s="519">
        <f>'16244'!T2</f>
        <v>47.06</v>
      </c>
    </row>
    <row r="3" spans="1:20">
      <c r="A3" s="513" t="s">
        <v>543</v>
      </c>
      <c r="M3" s="520" t="s">
        <v>523</v>
      </c>
      <c r="R3" s="519" t="str">
        <f>'16244'!R3</f>
        <v>Next 3,700</v>
      </c>
      <c r="S3" s="518"/>
      <c r="T3" s="519">
        <f>'16244'!T3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'16244'!R4</f>
        <v>Next 15,000</v>
      </c>
      <c r="S4" s="518"/>
      <c r="T4" s="519">
        <f>'16244'!T4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'16244'!R5</f>
        <v>Next 25,000</v>
      </c>
      <c r="S5" s="518"/>
      <c r="T5" s="519">
        <f>'16244'!T5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'16244'!R6</f>
        <v>Next 50,000</v>
      </c>
      <c r="S6" s="518"/>
      <c r="T6" s="519">
        <f>'16244'!T6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 t="str">
        <f>'16244'!R7</f>
        <v>Over 100,000</v>
      </c>
      <c r="S7" s="518"/>
      <c r="T7" s="519">
        <f>'16244'!T7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33" si="0">P10*1000</f>
        <v>0</v>
      </c>
      <c r="C10" s="532">
        <v>2</v>
      </c>
      <c r="D10" s="533"/>
      <c r="E10" s="533">
        <f>C10</f>
        <v>2</v>
      </c>
      <c r="F10" s="533"/>
      <c r="G10" s="533">
        <f t="shared" ref="G10:G33" si="1">A10*C10</f>
        <v>0</v>
      </c>
      <c r="H10" s="533"/>
      <c r="I10" s="533">
        <f>G10</f>
        <v>0</v>
      </c>
      <c r="J10" s="533"/>
      <c r="K10" s="533">
        <f t="shared" ref="K10:K33" si="2">$E$33-E10</f>
        <v>33</v>
      </c>
      <c r="L10" s="533"/>
      <c r="M10" s="533">
        <f t="shared" ref="M10:M33" si="3">(A10*K10)+I10</f>
        <v>0</v>
      </c>
      <c r="O10" s="534">
        <f t="shared" ref="O10:O33" si="4">I10/$I$33</f>
        <v>0</v>
      </c>
      <c r="P10" s="532">
        <v>0</v>
      </c>
      <c r="T10" s="536">
        <f t="shared" ref="T10:T33" si="5">IF(A10&lt;5300,C10*$T$2,IF(A10=5300,C10*$T$2,IF(AND(A10&lt;11000,A10&gt;5300),(C10*$T$2)+((A10-5300)*C10/1000*$T$3),IF(AND(A10&gt;10000,A10&lt;26000),(C10*$T$2)+(4.7*$T$3*C10)+((A10-10000)/1000*$T$4*C10),IF(AND(A10&lt;51000,A10&gt;25000),(C10*$T$2)+(4.7*$T$3*C10)+(15*$T$4*C10)+((A10-25000)/1000*$T$5*C10),IF(AND(A10&lt;101000,A10&gt;50000),(C10*$T$2)+(4.7*$T$3*C10)+(15*$T$4*C10)+(25*$T$5*C10)+((A10-50000)/1000*$T$6*C10),IF(A10&gt;100000,(C10*$T$2)+(4.7*$T$3*C10)+(15*$T$4*C10)+(25*$T$5*C10)+(50*$T$6*C10)+((A10-100000)/1000*$T$7*C10))))))))</f>
        <v>94.12</v>
      </c>
    </row>
    <row r="11" spans="1:20" s="515" customFormat="1">
      <c r="A11" s="552">
        <f t="shared" si="0"/>
        <v>6000</v>
      </c>
      <c r="C11" s="532">
        <v>1</v>
      </c>
      <c r="D11" s="533"/>
      <c r="E11" s="533">
        <f t="shared" ref="E11:E33" si="6">E10+C11</f>
        <v>3</v>
      </c>
      <c r="F11" s="533"/>
      <c r="G11" s="533">
        <f t="shared" si="1"/>
        <v>6000</v>
      </c>
      <c r="H11" s="533"/>
      <c r="I11" s="533">
        <f t="shared" ref="I11:I33" si="7">I10+G11</f>
        <v>6000</v>
      </c>
      <c r="J11" s="533"/>
      <c r="K11" s="533">
        <f t="shared" si="2"/>
        <v>32</v>
      </c>
      <c r="L11" s="533"/>
      <c r="M11" s="533">
        <f t="shared" si="3"/>
        <v>198000</v>
      </c>
      <c r="O11" s="534">
        <f t="shared" si="4"/>
        <v>9.7560975609756097E-3</v>
      </c>
      <c r="P11" s="532">
        <v>6</v>
      </c>
      <c r="T11" s="536">
        <f t="shared" si="5"/>
        <v>52.492000000000004</v>
      </c>
    </row>
    <row r="12" spans="1:20">
      <c r="A12" s="552">
        <f t="shared" si="0"/>
        <v>7000</v>
      </c>
      <c r="C12" s="532">
        <v>2</v>
      </c>
      <c r="E12" s="533">
        <f t="shared" si="6"/>
        <v>5</v>
      </c>
      <c r="G12" s="533">
        <f t="shared" si="1"/>
        <v>14000</v>
      </c>
      <c r="H12" s="533"/>
      <c r="I12" s="533">
        <f t="shared" si="7"/>
        <v>20000</v>
      </c>
      <c r="K12" s="533">
        <f t="shared" si="2"/>
        <v>30</v>
      </c>
      <c r="M12" s="533">
        <f t="shared" si="3"/>
        <v>230000</v>
      </c>
      <c r="O12" s="534">
        <f t="shared" si="4"/>
        <v>3.2520325203252036E-2</v>
      </c>
      <c r="P12" s="532">
        <v>7</v>
      </c>
      <c r="R12" s="515"/>
      <c r="S12" s="515"/>
      <c r="T12" s="536">
        <f t="shared" si="5"/>
        <v>120.504</v>
      </c>
    </row>
    <row r="13" spans="1:20">
      <c r="A13" s="552">
        <f t="shared" si="0"/>
        <v>8000</v>
      </c>
      <c r="C13" s="532">
        <v>2</v>
      </c>
      <c r="E13" s="533">
        <f t="shared" si="6"/>
        <v>7</v>
      </c>
      <c r="G13" s="533">
        <f t="shared" si="1"/>
        <v>16000</v>
      </c>
      <c r="H13" s="533"/>
      <c r="I13" s="533">
        <f t="shared" si="7"/>
        <v>36000</v>
      </c>
      <c r="K13" s="533">
        <f t="shared" si="2"/>
        <v>28</v>
      </c>
      <c r="M13" s="533">
        <f t="shared" si="3"/>
        <v>260000</v>
      </c>
      <c r="O13" s="534">
        <f t="shared" si="4"/>
        <v>5.8536585365853662E-2</v>
      </c>
      <c r="P13" s="532">
        <v>8</v>
      </c>
      <c r="T13" s="536">
        <f t="shared" si="5"/>
        <v>136.024</v>
      </c>
    </row>
    <row r="14" spans="1:20">
      <c r="A14" s="552">
        <f t="shared" si="0"/>
        <v>9000</v>
      </c>
      <c r="C14" s="532">
        <v>2</v>
      </c>
      <c r="E14" s="533">
        <f t="shared" si="6"/>
        <v>9</v>
      </c>
      <c r="G14" s="533">
        <f t="shared" si="1"/>
        <v>18000</v>
      </c>
      <c r="H14" s="533"/>
      <c r="I14" s="533">
        <f t="shared" si="7"/>
        <v>54000</v>
      </c>
      <c r="K14" s="533">
        <f t="shared" si="2"/>
        <v>26</v>
      </c>
      <c r="M14" s="533">
        <f t="shared" si="3"/>
        <v>288000</v>
      </c>
      <c r="O14" s="534">
        <f t="shared" si="4"/>
        <v>8.7804878048780483E-2</v>
      </c>
      <c r="P14" s="532">
        <v>9</v>
      </c>
      <c r="T14" s="536">
        <f t="shared" si="5"/>
        <v>151.54400000000001</v>
      </c>
    </row>
    <row r="15" spans="1:20">
      <c r="A15" s="552">
        <f t="shared" si="0"/>
        <v>10000</v>
      </c>
      <c r="C15" s="532">
        <v>2</v>
      </c>
      <c r="E15" s="533">
        <f t="shared" si="6"/>
        <v>11</v>
      </c>
      <c r="G15" s="533">
        <f t="shared" si="1"/>
        <v>20000</v>
      </c>
      <c r="H15" s="533"/>
      <c r="I15" s="533">
        <f t="shared" si="7"/>
        <v>74000</v>
      </c>
      <c r="K15" s="533">
        <f t="shared" si="2"/>
        <v>24</v>
      </c>
      <c r="M15" s="533">
        <f t="shared" si="3"/>
        <v>314000</v>
      </c>
      <c r="O15" s="534">
        <f t="shared" si="4"/>
        <v>0.12032520325203253</v>
      </c>
      <c r="P15" s="532">
        <v>10</v>
      </c>
      <c r="T15" s="536">
        <f t="shared" si="5"/>
        <v>167.06400000000002</v>
      </c>
    </row>
    <row r="16" spans="1:20">
      <c r="A16" s="552">
        <f t="shared" si="0"/>
        <v>11000</v>
      </c>
      <c r="C16" s="532">
        <v>2</v>
      </c>
      <c r="E16" s="533">
        <f t="shared" si="6"/>
        <v>13</v>
      </c>
      <c r="G16" s="533">
        <f t="shared" si="1"/>
        <v>22000</v>
      </c>
      <c r="H16" s="533"/>
      <c r="I16" s="533">
        <f t="shared" si="7"/>
        <v>96000</v>
      </c>
      <c r="K16" s="533">
        <f t="shared" si="2"/>
        <v>22</v>
      </c>
      <c r="M16" s="533">
        <f t="shared" si="3"/>
        <v>338000</v>
      </c>
      <c r="O16" s="534">
        <f t="shared" si="4"/>
        <v>0.15609756097560976</v>
      </c>
      <c r="P16" s="532">
        <v>11</v>
      </c>
      <c r="T16" s="536">
        <f t="shared" si="5"/>
        <v>181.30400000000003</v>
      </c>
    </row>
    <row r="17" spans="1:20">
      <c r="A17" s="552">
        <f t="shared" si="0"/>
        <v>12000</v>
      </c>
      <c r="C17" s="532">
        <v>1</v>
      </c>
      <c r="E17" s="533">
        <f t="shared" si="6"/>
        <v>14</v>
      </c>
      <c r="G17" s="533">
        <f t="shared" si="1"/>
        <v>12000</v>
      </c>
      <c r="H17" s="533"/>
      <c r="I17" s="533">
        <f t="shared" si="7"/>
        <v>108000</v>
      </c>
      <c r="K17" s="533">
        <f t="shared" si="2"/>
        <v>21</v>
      </c>
      <c r="M17" s="533">
        <f t="shared" si="3"/>
        <v>360000</v>
      </c>
      <c r="O17" s="534">
        <f t="shared" si="4"/>
        <v>0.17560975609756097</v>
      </c>
      <c r="P17" s="532">
        <v>12</v>
      </c>
      <c r="T17" s="536">
        <f t="shared" si="5"/>
        <v>97.772000000000006</v>
      </c>
    </row>
    <row r="18" spans="1:20">
      <c r="A18" s="552">
        <f t="shared" si="0"/>
        <v>13000</v>
      </c>
      <c r="C18" s="532">
        <v>1</v>
      </c>
      <c r="E18" s="533">
        <f t="shared" si="6"/>
        <v>15</v>
      </c>
      <c r="G18" s="533">
        <f t="shared" si="1"/>
        <v>13000</v>
      </c>
      <c r="H18" s="533"/>
      <c r="I18" s="533">
        <f t="shared" si="7"/>
        <v>121000</v>
      </c>
      <c r="K18" s="533">
        <f t="shared" si="2"/>
        <v>20</v>
      </c>
      <c r="M18" s="533">
        <f t="shared" si="3"/>
        <v>381000</v>
      </c>
      <c r="O18" s="534">
        <f t="shared" si="4"/>
        <v>0.1967479674796748</v>
      </c>
      <c r="P18" s="532">
        <v>13</v>
      </c>
      <c r="T18" s="536">
        <f t="shared" si="5"/>
        <v>104.89200000000001</v>
      </c>
    </row>
    <row r="19" spans="1:20">
      <c r="A19" s="552">
        <f t="shared" si="0"/>
        <v>14000</v>
      </c>
      <c r="C19" s="532">
        <v>2</v>
      </c>
      <c r="E19" s="533">
        <f t="shared" si="6"/>
        <v>17</v>
      </c>
      <c r="G19" s="533">
        <f t="shared" si="1"/>
        <v>28000</v>
      </c>
      <c r="H19" s="533"/>
      <c r="I19" s="533">
        <f t="shared" si="7"/>
        <v>149000</v>
      </c>
      <c r="K19" s="533">
        <f t="shared" si="2"/>
        <v>18</v>
      </c>
      <c r="M19" s="533">
        <f t="shared" si="3"/>
        <v>401000</v>
      </c>
      <c r="O19" s="534">
        <f t="shared" si="4"/>
        <v>0.24227642276422764</v>
      </c>
      <c r="P19" s="532">
        <v>14</v>
      </c>
      <c r="T19" s="536">
        <f t="shared" si="5"/>
        <v>224.02400000000003</v>
      </c>
    </row>
    <row r="20" spans="1:20">
      <c r="A20" s="552">
        <f t="shared" si="0"/>
        <v>15000</v>
      </c>
      <c r="C20" s="532">
        <v>3</v>
      </c>
      <c r="E20" s="533">
        <f t="shared" si="6"/>
        <v>20</v>
      </c>
      <c r="G20" s="533">
        <f t="shared" si="1"/>
        <v>45000</v>
      </c>
      <c r="H20" s="533"/>
      <c r="I20" s="533">
        <f t="shared" si="7"/>
        <v>194000</v>
      </c>
      <c r="K20" s="533">
        <f t="shared" si="2"/>
        <v>15</v>
      </c>
      <c r="M20" s="533">
        <f t="shared" si="3"/>
        <v>419000</v>
      </c>
      <c r="O20" s="534">
        <f t="shared" si="4"/>
        <v>0.3154471544715447</v>
      </c>
      <c r="P20" s="532">
        <v>15</v>
      </c>
      <c r="T20" s="536">
        <f t="shared" si="5"/>
        <v>357.39600000000002</v>
      </c>
    </row>
    <row r="21" spans="1:20">
      <c r="A21" s="552">
        <f t="shared" si="0"/>
        <v>16000</v>
      </c>
      <c r="C21" s="532">
        <v>2</v>
      </c>
      <c r="E21" s="533">
        <f t="shared" si="6"/>
        <v>22</v>
      </c>
      <c r="G21" s="533">
        <f t="shared" si="1"/>
        <v>32000</v>
      </c>
      <c r="H21" s="533"/>
      <c r="I21" s="533">
        <f t="shared" si="7"/>
        <v>226000</v>
      </c>
      <c r="K21" s="533">
        <f t="shared" si="2"/>
        <v>13</v>
      </c>
      <c r="M21" s="533">
        <f t="shared" si="3"/>
        <v>434000</v>
      </c>
      <c r="O21" s="534">
        <f t="shared" si="4"/>
        <v>0.36747967479674798</v>
      </c>
      <c r="P21" s="532">
        <v>16</v>
      </c>
      <c r="T21" s="536">
        <f t="shared" si="5"/>
        <v>252.50400000000002</v>
      </c>
    </row>
    <row r="22" spans="1:20">
      <c r="A22" s="552">
        <f t="shared" si="0"/>
        <v>17000</v>
      </c>
      <c r="C22" s="532">
        <v>1</v>
      </c>
      <c r="E22" s="533">
        <f t="shared" si="6"/>
        <v>23</v>
      </c>
      <c r="G22" s="533">
        <f t="shared" si="1"/>
        <v>17000</v>
      </c>
      <c r="H22" s="533"/>
      <c r="I22" s="533">
        <f t="shared" si="7"/>
        <v>243000</v>
      </c>
      <c r="K22" s="533">
        <f t="shared" si="2"/>
        <v>12</v>
      </c>
      <c r="M22" s="533">
        <f t="shared" si="3"/>
        <v>447000</v>
      </c>
      <c r="O22" s="534">
        <f t="shared" si="4"/>
        <v>0.39512195121951221</v>
      </c>
      <c r="P22" s="532">
        <v>17</v>
      </c>
      <c r="T22" s="536">
        <f t="shared" si="5"/>
        <v>133.37200000000001</v>
      </c>
    </row>
    <row r="23" spans="1:20">
      <c r="A23" s="552">
        <f t="shared" si="0"/>
        <v>18000</v>
      </c>
      <c r="C23" s="532">
        <v>1</v>
      </c>
      <c r="E23" s="533">
        <f t="shared" si="6"/>
        <v>24</v>
      </c>
      <c r="G23" s="533">
        <f t="shared" si="1"/>
        <v>18000</v>
      </c>
      <c r="H23" s="533"/>
      <c r="I23" s="533">
        <f t="shared" si="7"/>
        <v>261000</v>
      </c>
      <c r="K23" s="533">
        <f t="shared" si="2"/>
        <v>11</v>
      </c>
      <c r="M23" s="533">
        <f t="shared" si="3"/>
        <v>459000</v>
      </c>
      <c r="O23" s="534">
        <f t="shared" si="4"/>
        <v>0.42439024390243901</v>
      </c>
      <c r="P23" s="532">
        <v>18</v>
      </c>
      <c r="T23" s="536">
        <f t="shared" si="5"/>
        <v>140.49200000000002</v>
      </c>
    </row>
    <row r="24" spans="1:20">
      <c r="A24" s="552">
        <f t="shared" si="0"/>
        <v>19000</v>
      </c>
      <c r="C24" s="532">
        <v>1</v>
      </c>
      <c r="E24" s="533">
        <f t="shared" si="6"/>
        <v>25</v>
      </c>
      <c r="G24" s="533">
        <f t="shared" si="1"/>
        <v>19000</v>
      </c>
      <c r="H24" s="533"/>
      <c r="I24" s="533">
        <f t="shared" si="7"/>
        <v>280000</v>
      </c>
      <c r="K24" s="533">
        <f t="shared" si="2"/>
        <v>10</v>
      </c>
      <c r="M24" s="533">
        <f t="shared" si="3"/>
        <v>470000</v>
      </c>
      <c r="O24" s="534">
        <f t="shared" si="4"/>
        <v>0.45528455284552843</v>
      </c>
      <c r="P24" s="532">
        <v>19</v>
      </c>
      <c r="T24" s="536">
        <f t="shared" si="5"/>
        <v>147.61200000000002</v>
      </c>
    </row>
    <row r="25" spans="1:20">
      <c r="A25" s="552">
        <f t="shared" si="0"/>
        <v>21000</v>
      </c>
      <c r="C25" s="532">
        <v>1</v>
      </c>
      <c r="E25" s="533">
        <f t="shared" si="6"/>
        <v>26</v>
      </c>
      <c r="G25" s="533">
        <f t="shared" si="1"/>
        <v>21000</v>
      </c>
      <c r="H25" s="533"/>
      <c r="I25" s="533">
        <f t="shared" si="7"/>
        <v>301000</v>
      </c>
      <c r="K25" s="533">
        <f t="shared" si="2"/>
        <v>9</v>
      </c>
      <c r="M25" s="533">
        <f t="shared" si="3"/>
        <v>490000</v>
      </c>
      <c r="O25" s="534">
        <f t="shared" si="4"/>
        <v>0.4894308943089431</v>
      </c>
      <c r="P25" s="532">
        <v>21</v>
      </c>
      <c r="T25" s="536">
        <f t="shared" si="5"/>
        <v>161.85200000000003</v>
      </c>
    </row>
    <row r="26" spans="1:20">
      <c r="A26" s="552">
        <f t="shared" si="0"/>
        <v>23000</v>
      </c>
      <c r="C26" s="532">
        <v>2</v>
      </c>
      <c r="E26" s="533">
        <f t="shared" si="6"/>
        <v>28</v>
      </c>
      <c r="G26" s="533">
        <f t="shared" si="1"/>
        <v>46000</v>
      </c>
      <c r="H26" s="533"/>
      <c r="I26" s="533">
        <f t="shared" si="7"/>
        <v>347000</v>
      </c>
      <c r="K26" s="533">
        <f t="shared" si="2"/>
        <v>7</v>
      </c>
      <c r="M26" s="533">
        <f t="shared" si="3"/>
        <v>508000</v>
      </c>
      <c r="O26" s="534">
        <f t="shared" si="4"/>
        <v>0.56422764227642275</v>
      </c>
      <c r="P26" s="532">
        <v>23</v>
      </c>
      <c r="T26" s="536">
        <f t="shared" si="5"/>
        <v>352.18400000000003</v>
      </c>
    </row>
    <row r="27" spans="1:20">
      <c r="A27" s="552">
        <f t="shared" si="0"/>
        <v>25000</v>
      </c>
      <c r="C27" s="532">
        <v>1</v>
      </c>
      <c r="E27" s="533">
        <f t="shared" si="6"/>
        <v>29</v>
      </c>
      <c r="G27" s="533">
        <f t="shared" si="1"/>
        <v>25000</v>
      </c>
      <c r="H27" s="533"/>
      <c r="I27" s="533">
        <f t="shared" si="7"/>
        <v>372000</v>
      </c>
      <c r="K27" s="533">
        <f t="shared" si="2"/>
        <v>6</v>
      </c>
      <c r="M27" s="533">
        <f t="shared" si="3"/>
        <v>522000</v>
      </c>
      <c r="O27" s="534">
        <f t="shared" si="4"/>
        <v>0.60487804878048779</v>
      </c>
      <c r="P27" s="532">
        <v>25</v>
      </c>
      <c r="T27" s="536">
        <f t="shared" si="5"/>
        <v>190.33199999999999</v>
      </c>
    </row>
    <row r="28" spans="1:20">
      <c r="A28" s="552">
        <f t="shared" si="0"/>
        <v>29000</v>
      </c>
      <c r="C28" s="532">
        <v>1</v>
      </c>
      <c r="E28" s="533">
        <f t="shared" si="6"/>
        <v>30</v>
      </c>
      <c r="G28" s="533">
        <f t="shared" si="1"/>
        <v>29000</v>
      </c>
      <c r="H28" s="533"/>
      <c r="I28" s="533">
        <f t="shared" si="7"/>
        <v>401000</v>
      </c>
      <c r="K28" s="533">
        <f t="shared" si="2"/>
        <v>5</v>
      </c>
      <c r="M28" s="533">
        <f t="shared" si="3"/>
        <v>546000</v>
      </c>
      <c r="O28" s="534">
        <f t="shared" si="4"/>
        <v>0.6520325203252032</v>
      </c>
      <c r="P28" s="532">
        <v>29</v>
      </c>
      <c r="T28" s="536">
        <f t="shared" si="5"/>
        <v>216.25200000000001</v>
      </c>
    </row>
    <row r="29" spans="1:20">
      <c r="A29" s="552">
        <f t="shared" si="0"/>
        <v>30000</v>
      </c>
      <c r="C29" s="532">
        <v>1</v>
      </c>
      <c r="E29" s="533">
        <f t="shared" si="6"/>
        <v>31</v>
      </c>
      <c r="G29" s="533">
        <f t="shared" si="1"/>
        <v>30000</v>
      </c>
      <c r="H29" s="533"/>
      <c r="I29" s="533">
        <f t="shared" si="7"/>
        <v>431000</v>
      </c>
      <c r="K29" s="533">
        <f t="shared" si="2"/>
        <v>4</v>
      </c>
      <c r="M29" s="533">
        <f t="shared" si="3"/>
        <v>551000</v>
      </c>
      <c r="O29" s="534">
        <f t="shared" si="4"/>
        <v>0.70081300813008129</v>
      </c>
      <c r="P29" s="532">
        <v>30</v>
      </c>
      <c r="T29" s="536">
        <f t="shared" si="5"/>
        <v>222.732</v>
      </c>
    </row>
    <row r="30" spans="1:20">
      <c r="A30" s="552">
        <f t="shared" si="0"/>
        <v>31000</v>
      </c>
      <c r="C30" s="532">
        <v>1</v>
      </c>
      <c r="E30" s="533">
        <f t="shared" si="6"/>
        <v>32</v>
      </c>
      <c r="G30" s="533">
        <f t="shared" si="1"/>
        <v>31000</v>
      </c>
      <c r="H30" s="533"/>
      <c r="I30" s="533">
        <f t="shared" si="7"/>
        <v>462000</v>
      </c>
      <c r="K30" s="533">
        <f t="shared" si="2"/>
        <v>3</v>
      </c>
      <c r="M30" s="533">
        <f t="shared" si="3"/>
        <v>555000</v>
      </c>
      <c r="O30" s="534">
        <f t="shared" si="4"/>
        <v>0.75121951219512195</v>
      </c>
      <c r="P30" s="532">
        <v>31</v>
      </c>
      <c r="T30" s="536">
        <f t="shared" si="5"/>
        <v>229.21199999999999</v>
      </c>
    </row>
    <row r="31" spans="1:20">
      <c r="A31" s="552">
        <f t="shared" si="0"/>
        <v>40000</v>
      </c>
      <c r="C31" s="532">
        <v>1</v>
      </c>
      <c r="E31" s="533">
        <f t="shared" si="6"/>
        <v>33</v>
      </c>
      <c r="G31" s="533">
        <f t="shared" si="1"/>
        <v>40000</v>
      </c>
      <c r="H31" s="533"/>
      <c r="I31" s="533">
        <f t="shared" si="7"/>
        <v>502000</v>
      </c>
      <c r="K31" s="533">
        <f t="shared" si="2"/>
        <v>2</v>
      </c>
      <c r="M31" s="533">
        <f t="shared" si="3"/>
        <v>582000</v>
      </c>
      <c r="O31" s="534">
        <f t="shared" si="4"/>
        <v>0.81626016260162604</v>
      </c>
      <c r="P31" s="532">
        <v>40</v>
      </c>
      <c r="T31" s="536">
        <f t="shared" si="5"/>
        <v>287.53199999999998</v>
      </c>
    </row>
    <row r="32" spans="1:20">
      <c r="A32" s="552">
        <f t="shared" si="0"/>
        <v>53000</v>
      </c>
      <c r="C32" s="532">
        <v>1</v>
      </c>
      <c r="E32" s="533">
        <f t="shared" si="6"/>
        <v>34</v>
      </c>
      <c r="G32" s="533">
        <f t="shared" si="1"/>
        <v>53000</v>
      </c>
      <c r="H32" s="533"/>
      <c r="I32" s="533">
        <f t="shared" si="7"/>
        <v>555000</v>
      </c>
      <c r="K32" s="533">
        <f t="shared" si="2"/>
        <v>1</v>
      </c>
      <c r="M32" s="533">
        <f t="shared" si="3"/>
        <v>608000</v>
      </c>
      <c r="O32" s="534">
        <f t="shared" si="4"/>
        <v>0.90243902439024393</v>
      </c>
      <c r="P32" s="532">
        <v>53</v>
      </c>
      <c r="T32" s="536">
        <f t="shared" si="5"/>
        <v>369.61199999999997</v>
      </c>
    </row>
    <row r="33" spans="1:20">
      <c r="A33" s="552">
        <f t="shared" si="0"/>
        <v>60000</v>
      </c>
      <c r="C33" s="532">
        <v>1</v>
      </c>
      <c r="E33" s="533">
        <f t="shared" si="6"/>
        <v>35</v>
      </c>
      <c r="G33" s="533">
        <f t="shared" si="1"/>
        <v>60000</v>
      </c>
      <c r="H33" s="533"/>
      <c r="I33" s="533">
        <f t="shared" si="7"/>
        <v>615000</v>
      </c>
      <c r="K33" s="533">
        <f t="shared" si="2"/>
        <v>0</v>
      </c>
      <c r="M33" s="533">
        <f t="shared" si="3"/>
        <v>615000</v>
      </c>
      <c r="O33" s="534">
        <f t="shared" si="4"/>
        <v>1</v>
      </c>
      <c r="P33" s="532">
        <v>60</v>
      </c>
      <c r="T33" s="536">
        <f t="shared" si="5"/>
        <v>409.93200000000002</v>
      </c>
    </row>
    <row r="35" spans="1:20">
      <c r="T35" s="539">
        <f>SUM(T10:T33)</f>
        <v>4800.7560000000003</v>
      </c>
    </row>
    <row r="36" spans="1:20" hidden="1">
      <c r="T36" s="513">
        <v>3168</v>
      </c>
    </row>
    <row r="37" spans="1:20" hidden="1">
      <c r="T37" s="540">
        <f>T35-T36</f>
        <v>1632.7560000000003</v>
      </c>
    </row>
    <row r="38" spans="1:20" hidden="1">
      <c r="T38" s="541">
        <f>T37/T35</f>
        <v>0.34010393363045327</v>
      </c>
    </row>
  </sheetData>
  <phoneticPr fontId="54" type="noConversion"/>
  <pageMargins left="0.75" right="0.75" top="1" bottom="1" header="0.5" footer="0.5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T12"/>
  <sheetViews>
    <sheetView topLeftCell="H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">
        <v>270</v>
      </c>
      <c r="S2" s="518"/>
      <c r="T2" s="594" t="e">
        <f>'Sch.D&amp;E-REV'!K810</f>
        <v>#REF!</v>
      </c>
    </row>
    <row r="3" spans="1:20">
      <c r="A3" s="513" t="s">
        <v>543</v>
      </c>
      <c r="M3" s="520" t="s">
        <v>523</v>
      </c>
      <c r="R3" s="519" t="s">
        <v>354</v>
      </c>
      <c r="S3" s="518"/>
      <c r="T3" s="595" t="e">
        <f>'Sch.D&amp;E-REV'!D808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/>
      <c r="S4" s="518"/>
      <c r="T4" s="519"/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>P10*1000</f>
        <v>0</v>
      </c>
      <c r="C10" s="547">
        <v>0</v>
      </c>
      <c r="D10" s="533"/>
      <c r="E10" s="533">
        <f>C10</f>
        <v>0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E10-E10</f>
        <v>0</v>
      </c>
      <c r="L10" s="533"/>
      <c r="M10" s="533">
        <f>(A10*K10)+I10</f>
        <v>0</v>
      </c>
      <c r="O10" s="534" t="e">
        <f>I10/$I$10</f>
        <v>#DIV/0!</v>
      </c>
      <c r="P10" s="547">
        <v>0</v>
      </c>
      <c r="T10" s="584" t="e">
        <f>($T$2+($T$3*5))*$C10</f>
        <v>#REF!</v>
      </c>
    </row>
    <row r="12" spans="1:20">
      <c r="T12" s="539" t="e">
        <f>SUM(T10:T10)</f>
        <v>#REF!</v>
      </c>
    </row>
  </sheetData>
  <phoneticPr fontId="54" type="noConversion"/>
  <pageMargins left="0.75" right="0.75" top="1" bottom="1" header="0.5" footer="0.5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2"/>
  <sheetViews>
    <sheetView showGridLines="0" topLeftCell="D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hidden="1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547</v>
      </c>
      <c r="M3" s="520" t="s">
        <v>297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7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7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7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7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7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7">
      <c r="A10" s="560" t="e">
        <f>P10*1000</f>
        <v>#REF!</v>
      </c>
      <c r="B10" s="515"/>
      <c r="C10" s="547">
        <v>22</v>
      </c>
      <c r="D10" s="533"/>
      <c r="E10" s="533">
        <f>C10</f>
        <v>22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C10*Q10</f>
        <v>#REF!</v>
      </c>
      <c r="Q10" s="596" t="e">
        <f>'Sch.D&amp;E-REV'!D813</f>
        <v>#REF!</v>
      </c>
    </row>
    <row r="11" spans="1:17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495</v>
      </c>
      <c r="Q11" s="561"/>
    </row>
    <row r="12" spans="1:17" hidden="1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  <c r="Q12" s="561"/>
    </row>
    <row r="13" spans="1:17" hidden="1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69" t="e">
        <f>P12/P10</f>
        <v>#REF!</v>
      </c>
      <c r="Q13" s="561"/>
    </row>
    <row r="14" spans="1:17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2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2"/>
  <sheetViews>
    <sheetView showGridLines="0" topLeftCell="D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hidden="1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548</v>
      </c>
      <c r="M3" s="520" t="s">
        <v>297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7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7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7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7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7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7">
      <c r="A10" s="560" t="e">
        <f>P10*1000</f>
        <v>#REF!</v>
      </c>
      <c r="B10" s="515"/>
      <c r="C10" s="547">
        <v>66</v>
      </c>
      <c r="D10" s="533"/>
      <c r="E10" s="533">
        <f>C10</f>
        <v>66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C10*Q10</f>
        <v>#REF!</v>
      </c>
      <c r="Q10" s="596" t="e">
        <f>'Sch.D&amp;E-REV'!D815</f>
        <v>#REF!</v>
      </c>
    </row>
    <row r="11" spans="1:17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990</v>
      </c>
      <c r="Q11" s="561"/>
    </row>
    <row r="12" spans="1:17" hidden="1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  <c r="Q12" s="561"/>
    </row>
    <row r="13" spans="1:17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Q13" s="561"/>
    </row>
    <row r="14" spans="1:17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1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T26"/>
  <sheetViews>
    <sheetView topLeftCell="J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'16265'!T2</f>
        <v>13.7</v>
      </c>
    </row>
    <row r="3" spans="1:20">
      <c r="A3" s="513" t="s">
        <v>546</v>
      </c>
      <c r="M3" s="520" t="s">
        <v>538</v>
      </c>
      <c r="R3" s="518" t="s">
        <v>274</v>
      </c>
      <c r="S3" s="518"/>
      <c r="T3" s="519">
        <f>'16265'!T3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'16265'!T4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'16265'!T5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'16265'!T6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'16265'!T7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47">
        <v>0</v>
      </c>
      <c r="D10" s="533"/>
      <c r="E10" s="533">
        <f>C10</f>
        <v>0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$E$12-E10</f>
        <v>12</v>
      </c>
      <c r="L10" s="533"/>
      <c r="M10" s="533">
        <f>(A10*K10)+I10</f>
        <v>0</v>
      </c>
      <c r="O10" s="534">
        <f>I10/$I$12</f>
        <v>0</v>
      </c>
      <c r="P10" s="547">
        <v>0</v>
      </c>
      <c r="R10" s="535"/>
      <c r="S10" s="513"/>
      <c r="T10" s="536">
        <f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0</v>
      </c>
    </row>
    <row r="11" spans="1:20" s="515" customFormat="1">
      <c r="A11" s="552">
        <f>P11*1000</f>
        <v>1000</v>
      </c>
      <c r="C11" s="547">
        <v>5</v>
      </c>
      <c r="D11" s="533"/>
      <c r="E11" s="533">
        <f>E10+C11</f>
        <v>5</v>
      </c>
      <c r="F11" s="533"/>
      <c r="G11" s="533">
        <f>A11*C11</f>
        <v>5000</v>
      </c>
      <c r="H11" s="533"/>
      <c r="I11" s="533">
        <f>I10+G11</f>
        <v>5000</v>
      </c>
      <c r="J11" s="533"/>
      <c r="K11" s="533">
        <f>$E$12-E11</f>
        <v>7</v>
      </c>
      <c r="L11" s="533"/>
      <c r="M11" s="533">
        <f>(A11*K11)+I11</f>
        <v>12000</v>
      </c>
      <c r="O11" s="534">
        <f>I11/$I$12</f>
        <v>0.26315789473684209</v>
      </c>
      <c r="P11" s="547">
        <v>1</v>
      </c>
      <c r="R11" s="535"/>
      <c r="S11" s="513"/>
      <c r="T11" s="536">
        <f>IF(A11&lt;1000,C11*$T$2,IF(A11=1000,C11*$T$2,IF(AND(A11&lt;11000,A11&gt;1000),(C11*$T$2)+((A11-1000)*C11/1000*$T$3),IF(AND(A11&gt;10000,A11&lt;26000),(C11*$T$2)+(9*$T$3*C11)+((A11-10000)/1000*$T$4*C11),IF(AND(A11&lt;51000,A11&gt;25000),(C11*$T$2)+(9*$T$3*C11)+(15*$T$4*C11)+((A11-25000)/1000*$T$5*C11),IF(AND(A11&lt;101000,A11&gt;50000),(C11*$T$2)+(9*$T$3*C11)+(15*$T$4*C11)+(25*$T$5*C11)+((A11-50000)/1000*$T$6*C11),IF(A11&gt;100000,(C11*$T$2)+(9*$T$3*C11)+(15*$T$4*C11)+(25*$T$5*C11)+(50*$T$6*C11)+((A11-100000)/1000*$T$7*C11))))))))</f>
        <v>68.5</v>
      </c>
    </row>
    <row r="12" spans="1:20">
      <c r="A12" s="552">
        <f>P12*1000</f>
        <v>2000</v>
      </c>
      <c r="C12" s="513">
        <v>7</v>
      </c>
      <c r="E12" s="533">
        <f>E11+C12</f>
        <v>12</v>
      </c>
      <c r="G12" s="533">
        <f>A12*C12</f>
        <v>14000</v>
      </c>
      <c r="H12" s="533"/>
      <c r="I12" s="533">
        <f>I11+G12</f>
        <v>19000</v>
      </c>
      <c r="K12" s="533">
        <f>$E$12-E12</f>
        <v>0</v>
      </c>
      <c r="M12" s="533">
        <f>(A12*K12)+I12</f>
        <v>19000</v>
      </c>
      <c r="O12" s="534">
        <f>I12/$I$12</f>
        <v>1</v>
      </c>
      <c r="P12" s="515">
        <v>2</v>
      </c>
      <c r="R12" s="515"/>
      <c r="S12" s="515"/>
      <c r="T12" s="536">
        <f>IF(A12&lt;1000,C12*$T$2,IF(A12=1000,C12*$T$2,IF(AND(A12&lt;11000,A12&gt;1000),(C12*$T$2)+((A12-1000)*C12/1000*$T$3),IF(AND(A12&gt;10000,A12&lt;26000),(C12*$T$2)+(9*$T$3*C12)+((A12-10000)/1000*$T$4*C12),IF(AND(A12&lt;51000,A12&gt;25000),(C12*$T$2)+(9*$T$3*C12)+(15*$T$4*C12)+((A12-25000)/1000*$T$5*C12),IF(AND(A12&lt;101000,A12&gt;50000),(C12*$T$2)+(9*$T$3*C12)+(15*$T$4*C12)+(25*$T$5*C12)+((A12-50000)/1000*$T$6*C12),IF(A12&gt;100000,(C12*$T$2)+(9*$T$3*C12)+(15*$T$4*C12)+(25*$T$5*C12)+(50*$T$6*C12)+((A12-100000)/1000*$T$7*C12))))))))</f>
        <v>150.22</v>
      </c>
    </row>
    <row r="13" spans="1:20">
      <c r="T13" s="536"/>
    </row>
    <row r="14" spans="1:20">
      <c r="T14" s="554">
        <f>SUM(T10:T12)</f>
        <v>218.72</v>
      </c>
    </row>
    <row r="15" spans="1:20">
      <c r="T15" s="536"/>
    </row>
    <row r="16" spans="1:20">
      <c r="T16" s="536"/>
    </row>
    <row r="17" spans="20:20">
      <c r="T17" s="536"/>
    </row>
    <row r="18" spans="20:20">
      <c r="T18" s="536"/>
    </row>
    <row r="19" spans="20:20">
      <c r="T19" s="536"/>
    </row>
    <row r="20" spans="20:20">
      <c r="T20" s="536"/>
    </row>
    <row r="21" spans="20:20">
      <c r="T21" s="536"/>
    </row>
    <row r="22" spans="20:20">
      <c r="T22" s="536"/>
    </row>
    <row r="23" spans="20:20">
      <c r="T23" s="536"/>
    </row>
    <row r="24" spans="20:20">
      <c r="T24" s="536"/>
    </row>
    <row r="25" spans="20:20">
      <c r="T25" s="536"/>
    </row>
    <row r="26" spans="20:20">
      <c r="T26" s="536"/>
    </row>
  </sheetData>
  <phoneticPr fontId="54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O98"/>
  <sheetViews>
    <sheetView view="pageBreakPreview" zoomScale="75" zoomScaleNormal="100" zoomScaleSheetLayoutView="75" workbookViewId="0">
      <pane xSplit="3" ySplit="9" topLeftCell="G10" activePane="bottomRight" state="frozen"/>
      <selection activeCell="C22" sqref="C22"/>
      <selection pane="topRight" activeCell="C22" sqref="C22"/>
      <selection pane="bottomLeft" activeCell="C22" sqref="C22"/>
      <selection pane="bottomRight" activeCell="Y12" sqref="Y12"/>
    </sheetView>
  </sheetViews>
  <sheetFormatPr defaultRowHeight="12"/>
  <cols>
    <col min="1" max="1" width="2" style="476" customWidth="1"/>
    <col min="2" max="2" width="2.625" style="476" customWidth="1"/>
    <col min="3" max="3" width="29.25" style="476" customWidth="1"/>
    <col min="4" max="4" width="12.375" style="476" customWidth="1"/>
    <col min="5" max="5" width="10.75" style="476" bestFit="1" customWidth="1"/>
    <col min="6" max="6" width="5.125" style="476" bestFit="1" customWidth="1"/>
    <col min="7" max="7" width="11.125" style="476" bestFit="1" customWidth="1"/>
    <col min="8" max="8" width="1.625" style="476" customWidth="1"/>
    <col min="9" max="9" width="11.625" style="476" bestFit="1" customWidth="1"/>
    <col min="10" max="10" width="2.125" style="476" customWidth="1"/>
    <col min="11" max="11" width="12.25" style="476" customWidth="1"/>
    <col min="12" max="12" width="2.75" style="476" customWidth="1"/>
    <col min="13" max="13" width="8.25" style="476" bestFit="1" customWidth="1"/>
    <col min="14" max="14" width="2" style="476" customWidth="1"/>
    <col min="15" max="15" width="10.375" style="476" bestFit="1" customWidth="1"/>
    <col min="16" max="16" width="2.125" style="476" customWidth="1"/>
    <col min="17" max="17" width="9" style="476"/>
    <col min="18" max="18" width="2.125" style="476" customWidth="1"/>
    <col min="19" max="19" width="11.625" style="476" bestFit="1" customWidth="1"/>
    <col min="20" max="20" width="2.125" style="476" customWidth="1"/>
    <col min="21" max="21" width="10.125" style="476" bestFit="1" customWidth="1"/>
    <col min="22" max="22" width="2.125" style="476" customWidth="1"/>
    <col min="23" max="23" width="9" style="476"/>
    <col min="24" max="24" width="1.875" style="476" customWidth="1"/>
    <col min="25" max="25" width="11.375" style="476" bestFit="1" customWidth="1"/>
    <col min="26" max="26" width="2.25" style="476" customWidth="1"/>
    <col min="27" max="27" width="9" style="476" customWidth="1"/>
    <col min="28" max="28" width="2.25" style="476" customWidth="1"/>
    <col min="29" max="29" width="9" style="476" customWidth="1"/>
    <col min="30" max="30" width="2.25" style="476" customWidth="1"/>
    <col min="31" max="31" width="9.625" style="476" bestFit="1" customWidth="1"/>
    <col min="32" max="32" width="2.875" style="476" customWidth="1"/>
    <col min="33" max="33" width="9" style="476"/>
    <col min="34" max="34" width="2.25" style="476" customWidth="1"/>
    <col min="35" max="35" width="9" style="476"/>
    <col min="36" max="36" width="2.25" style="476" customWidth="1"/>
    <col min="37" max="37" width="9.25" style="476" bestFit="1" customWidth="1"/>
    <col min="38" max="38" width="9" style="476"/>
    <col min="39" max="39" width="20.125" style="476" bestFit="1" customWidth="1"/>
    <col min="40" max="16384" width="9" style="476"/>
  </cols>
  <sheetData>
    <row r="1" spans="1:41" ht="15.75" thickBot="1">
      <c r="A1" s="603" t="s">
        <v>350</v>
      </c>
      <c r="B1" s="73"/>
      <c r="C1" s="603"/>
      <c r="D1" s="604"/>
      <c r="E1" s="73"/>
      <c r="F1" s="73"/>
      <c r="G1" s="73"/>
      <c r="H1" s="73"/>
      <c r="I1" s="72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605" t="s">
        <v>980</v>
      </c>
      <c r="X1" s="73"/>
      <c r="Y1" s="73"/>
      <c r="Z1" s="73"/>
      <c r="AA1" s="603"/>
      <c r="AB1" s="603"/>
      <c r="AC1" s="603"/>
      <c r="AD1" s="603"/>
      <c r="AE1" s="603"/>
      <c r="AF1" s="603"/>
      <c r="AG1" s="603"/>
      <c r="AH1" s="603"/>
      <c r="AI1" s="605"/>
      <c r="AJ1" s="606"/>
      <c r="AK1" s="607"/>
      <c r="AL1" s="608"/>
      <c r="AM1" s="609" t="s">
        <v>151</v>
      </c>
      <c r="AN1" s="610" t="s">
        <v>384</v>
      </c>
      <c r="AO1" s="611"/>
    </row>
    <row r="2" spans="1:41" ht="15.75" thickBot="1">
      <c r="A2" s="603" t="str">
        <f>'Sch.A-B.S'!F2</f>
        <v>Case No. 2013 - 00237</v>
      </c>
      <c r="B2" s="73"/>
      <c r="C2" s="603"/>
      <c r="D2" s="604"/>
      <c r="E2" s="73"/>
      <c r="F2" s="73"/>
      <c r="G2" s="73"/>
      <c r="H2" s="73"/>
      <c r="I2" s="72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605"/>
      <c r="X2" s="73"/>
      <c r="Y2" s="73"/>
      <c r="Z2" s="73"/>
      <c r="AA2" s="603"/>
      <c r="AB2" s="603"/>
      <c r="AC2" s="603"/>
      <c r="AD2" s="603"/>
      <c r="AE2" s="603"/>
      <c r="AF2" s="603"/>
      <c r="AG2" s="603"/>
      <c r="AH2" s="603"/>
      <c r="AI2" s="605"/>
      <c r="AJ2" s="606"/>
      <c r="AK2" s="607"/>
      <c r="AL2" s="608"/>
      <c r="AM2" s="609"/>
      <c r="AN2" s="610"/>
      <c r="AO2" s="611"/>
    </row>
    <row r="3" spans="1:41" ht="15.75" thickBot="1">
      <c r="A3" s="72" t="s">
        <v>641</v>
      </c>
      <c r="B3" s="73"/>
      <c r="C3" s="73"/>
      <c r="D3" s="604"/>
      <c r="E3" s="73"/>
      <c r="F3" s="73"/>
      <c r="G3" s="73"/>
      <c r="H3" s="73"/>
      <c r="I3" s="744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61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614" t="s">
        <v>166</v>
      </c>
      <c r="AM3" s="615">
        <v>9300</v>
      </c>
      <c r="AN3" s="616">
        <v>3.3000000000000002E-2</v>
      </c>
      <c r="AO3" s="611"/>
    </row>
    <row r="4" spans="1:41" ht="15">
      <c r="A4" s="72" t="str">
        <f>'Sch.B-I.S'!A4</f>
        <v>Test Year 12/31/2012</v>
      </c>
      <c r="B4" s="73"/>
      <c r="C4" s="73"/>
      <c r="D4" s="604"/>
      <c r="E4" s="73"/>
      <c r="F4" s="73"/>
      <c r="G4" s="73"/>
      <c r="H4" s="73"/>
      <c r="I4" s="612"/>
      <c r="J4" s="73"/>
      <c r="K4" s="72" t="s">
        <v>1783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61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617"/>
      <c r="AM4" s="618"/>
      <c r="AN4" s="619"/>
      <c r="AO4" s="611"/>
    </row>
    <row r="5" spans="1:41" ht="15">
      <c r="A5" s="72"/>
      <c r="B5" s="73"/>
      <c r="C5" s="73"/>
      <c r="D5" s="604"/>
      <c r="E5" s="73"/>
      <c r="F5" s="73"/>
      <c r="G5" s="73"/>
      <c r="H5" s="73"/>
      <c r="I5" s="612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61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617"/>
      <c r="AM5" s="618"/>
      <c r="AN5" s="619"/>
      <c r="AO5" s="611"/>
    </row>
    <row r="6" spans="1:41" ht="15">
      <c r="A6" s="73"/>
      <c r="B6" s="73"/>
      <c r="C6" s="73"/>
      <c r="D6" s="604"/>
      <c r="E6" s="73"/>
      <c r="F6" s="73"/>
      <c r="G6" s="73"/>
      <c r="H6" s="73"/>
      <c r="I6" s="612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617"/>
      <c r="AM6" s="618"/>
      <c r="AN6" s="619"/>
      <c r="AO6" s="611"/>
    </row>
    <row r="7" spans="1:41" ht="15">
      <c r="A7" s="73"/>
      <c r="B7" s="72"/>
      <c r="C7" s="73"/>
      <c r="D7" s="604"/>
      <c r="E7" s="77" t="s">
        <v>83</v>
      </c>
      <c r="F7" s="73"/>
      <c r="G7" s="73"/>
      <c r="H7" s="73"/>
      <c r="I7" s="73"/>
      <c r="J7" s="73"/>
      <c r="K7" s="78"/>
      <c r="L7" s="73"/>
      <c r="M7" s="73"/>
      <c r="N7" s="73"/>
      <c r="O7" s="620">
        <v>41274</v>
      </c>
      <c r="P7" s="90"/>
      <c r="Q7" s="90"/>
      <c r="R7" s="621"/>
      <c r="S7" s="82" t="s">
        <v>2006</v>
      </c>
      <c r="T7" s="90"/>
      <c r="U7" s="90"/>
      <c r="V7" s="90"/>
      <c r="W7" s="73"/>
      <c r="X7" s="73"/>
      <c r="Y7" s="82" t="s">
        <v>402</v>
      </c>
      <c r="Z7" s="82"/>
      <c r="AA7" s="611"/>
      <c r="AB7" s="622"/>
      <c r="AC7" s="622"/>
      <c r="AD7" s="622"/>
      <c r="AE7" s="77"/>
      <c r="AF7" s="77"/>
      <c r="AG7" s="77"/>
      <c r="AH7" s="77"/>
      <c r="AI7" s="77"/>
      <c r="AJ7" s="77"/>
      <c r="AK7" s="621" t="s">
        <v>83</v>
      </c>
      <c r="AL7" s="90"/>
      <c r="AM7" s="90"/>
      <c r="AN7" s="90"/>
      <c r="AO7" s="623"/>
    </row>
    <row r="8" spans="1:41" ht="15">
      <c r="A8" s="82"/>
      <c r="B8" s="82"/>
      <c r="C8" s="82"/>
      <c r="D8" s="82"/>
      <c r="E8" s="77" t="s">
        <v>77</v>
      </c>
      <c r="F8" s="82"/>
      <c r="G8" s="82" t="s">
        <v>403</v>
      </c>
      <c r="H8" s="82"/>
      <c r="I8" s="82" t="s">
        <v>404</v>
      </c>
      <c r="J8" s="82"/>
      <c r="K8" s="82" t="s">
        <v>151</v>
      </c>
      <c r="L8" s="82"/>
      <c r="M8" s="82" t="s">
        <v>391</v>
      </c>
      <c r="N8" s="82"/>
      <c r="O8" s="82" t="s">
        <v>563</v>
      </c>
      <c r="P8" s="82"/>
      <c r="Q8" s="82" t="s">
        <v>776</v>
      </c>
      <c r="R8" s="82"/>
      <c r="S8" s="82" t="s">
        <v>2007</v>
      </c>
      <c r="T8" s="82"/>
      <c r="U8" s="620">
        <v>41274</v>
      </c>
      <c r="V8" s="82"/>
      <c r="W8" s="82" t="s">
        <v>391</v>
      </c>
      <c r="X8" s="82"/>
      <c r="Y8" s="82" t="s">
        <v>921</v>
      </c>
      <c r="Z8" s="82"/>
      <c r="AA8" s="82" t="s">
        <v>579</v>
      </c>
      <c r="AB8" s="82"/>
      <c r="AC8" s="82" t="s">
        <v>579</v>
      </c>
      <c r="AD8" s="82"/>
      <c r="AE8" s="621" t="s">
        <v>77</v>
      </c>
      <c r="AF8" s="621"/>
      <c r="AG8" s="621" t="s">
        <v>1536</v>
      </c>
      <c r="AH8" s="621"/>
      <c r="AI8" s="624"/>
      <c r="AJ8" s="621"/>
      <c r="AK8" s="621" t="s">
        <v>77</v>
      </c>
      <c r="AL8" s="617"/>
      <c r="AM8" s="618"/>
      <c r="AN8" s="625"/>
      <c r="AO8" s="626"/>
    </row>
    <row r="9" spans="1:41" ht="15">
      <c r="A9" s="82"/>
      <c r="B9" s="82"/>
      <c r="C9" s="82"/>
      <c r="D9" s="82"/>
      <c r="E9" s="83" t="s">
        <v>481</v>
      </c>
      <c r="F9" s="82" t="s">
        <v>1279</v>
      </c>
      <c r="G9" s="85" t="str">
        <f>"7.65%"</f>
        <v>7.65%</v>
      </c>
      <c r="H9" s="82"/>
      <c r="I9" s="85" t="s">
        <v>349</v>
      </c>
      <c r="J9" s="82"/>
      <c r="K9" s="85" t="s">
        <v>2002</v>
      </c>
      <c r="L9" s="82"/>
      <c r="M9" s="85" t="s">
        <v>929</v>
      </c>
      <c r="N9" s="82"/>
      <c r="O9" s="85" t="s">
        <v>379</v>
      </c>
      <c r="P9" s="82"/>
      <c r="Q9" s="85" t="s">
        <v>771</v>
      </c>
      <c r="R9" s="82"/>
      <c r="S9" s="85" t="s">
        <v>772</v>
      </c>
      <c r="T9" s="82"/>
      <c r="U9" s="85" t="s">
        <v>122</v>
      </c>
      <c r="V9" s="82"/>
      <c r="W9" s="85" t="s">
        <v>73</v>
      </c>
      <c r="X9" s="621"/>
      <c r="Y9" s="85"/>
      <c r="Z9" s="85"/>
      <c r="AA9" s="627"/>
      <c r="AB9" s="622"/>
      <c r="AC9" s="83" t="s">
        <v>794</v>
      </c>
      <c r="AD9" s="622"/>
      <c r="AE9" s="83" t="s">
        <v>481</v>
      </c>
      <c r="AF9" s="77"/>
      <c r="AG9" s="77" t="s">
        <v>1537</v>
      </c>
      <c r="AH9" s="622"/>
      <c r="AI9" s="83" t="s">
        <v>60</v>
      </c>
      <c r="AJ9" s="77"/>
      <c r="AK9" s="83" t="s">
        <v>481</v>
      </c>
      <c r="AL9" s="621"/>
      <c r="AM9" s="621"/>
      <c r="AN9" s="621"/>
      <c r="AO9" s="628"/>
    </row>
    <row r="10" spans="1:41" ht="15.75" thickBot="1">
      <c r="A10" s="73"/>
      <c r="B10" s="91" t="s">
        <v>828</v>
      </c>
      <c r="C10" s="90"/>
      <c r="D10" s="604"/>
      <c r="E10" s="87"/>
      <c r="F10" s="73"/>
      <c r="G10" s="73"/>
      <c r="H10" s="73"/>
      <c r="I10" s="73"/>
      <c r="J10" s="73"/>
      <c r="K10" s="629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630"/>
      <c r="AB10" s="631"/>
      <c r="AC10" s="622"/>
      <c r="AD10" s="631"/>
      <c r="AE10" s="631"/>
      <c r="AF10" s="631"/>
      <c r="AG10" s="631"/>
      <c r="AH10" s="631"/>
      <c r="AI10" s="87"/>
      <c r="AJ10" s="87"/>
      <c r="AK10" s="87"/>
      <c r="AL10" s="73"/>
      <c r="AM10" s="73"/>
      <c r="AN10" s="73"/>
      <c r="AO10" s="623"/>
    </row>
    <row r="11" spans="1:41" ht="15.75" thickBot="1">
      <c r="A11" s="73"/>
      <c r="B11" s="632"/>
      <c r="C11" s="633" t="s">
        <v>2225</v>
      </c>
      <c r="D11" s="73"/>
      <c r="E11" s="634">
        <f t="shared" ref="E11:E20" si="0">AK11</f>
        <v>50756.05</v>
      </c>
      <c r="F11" s="635"/>
      <c r="G11" s="635">
        <f t="shared" ref="G11:G21" si="1">+ROUND((IF(E11&gt;=113700,113700*0.062,E11*0.062)+(E11*0.0145)),0)</f>
        <v>3883</v>
      </c>
      <c r="H11" s="635"/>
      <c r="I11" s="635">
        <f>ROUND(7000*0.008,0)</f>
        <v>56</v>
      </c>
      <c r="J11" s="635"/>
      <c r="K11" s="634">
        <f>IF(E11&lt;=9300,E11*0.033,9300*0.033)</f>
        <v>306.90000000000003</v>
      </c>
      <c r="L11" s="635"/>
      <c r="M11" s="635">
        <f>SUM(G11:K11)</f>
        <v>4245.8999999999996</v>
      </c>
      <c r="N11" s="635"/>
      <c r="O11" s="635">
        <f>'wp b1'!I13</f>
        <v>7481.8509443099274</v>
      </c>
      <c r="P11" s="635"/>
      <c r="Q11" s="635">
        <f>E11*0.03</f>
        <v>1522.6815000000001</v>
      </c>
      <c r="R11" s="635"/>
      <c r="S11" s="635">
        <f>E11*0.04</f>
        <v>2030.2420000000002</v>
      </c>
      <c r="T11" s="635"/>
      <c r="U11" s="635">
        <f>'wp b1'!I21</f>
        <v>453.52290556900732</v>
      </c>
      <c r="V11" s="635"/>
      <c r="W11" s="635">
        <f>SUM(O11:U11)</f>
        <v>11488.297349878934</v>
      </c>
      <c r="X11" s="73"/>
      <c r="Y11" s="636">
        <v>1</v>
      </c>
      <c r="Z11" s="613"/>
      <c r="AA11" s="637">
        <v>21.1</v>
      </c>
      <c r="AB11" s="87"/>
      <c r="AC11" s="621">
        <v>2080</v>
      </c>
      <c r="AD11" s="73"/>
      <c r="AE11" s="638">
        <f>AA11*AC11</f>
        <v>43888</v>
      </c>
      <c r="AF11" s="634"/>
      <c r="AG11" s="634">
        <v>217</v>
      </c>
      <c r="AH11" s="635"/>
      <c r="AI11" s="639">
        <f>AG11*AA11*1.5</f>
        <v>6868.0500000000011</v>
      </c>
      <c r="AJ11" s="635"/>
      <c r="AK11" s="635">
        <f>AI11+AE11</f>
        <v>50756.05</v>
      </c>
      <c r="AL11" s="617"/>
      <c r="AM11" s="1383"/>
      <c r="AN11" s="988"/>
      <c r="AO11" s="640"/>
    </row>
    <row r="12" spans="1:41" ht="15.75" thickBot="1">
      <c r="A12" s="73"/>
      <c r="B12" s="632"/>
      <c r="C12" s="633" t="s">
        <v>2226</v>
      </c>
      <c r="D12" s="604"/>
      <c r="E12" s="634">
        <f t="shared" si="0"/>
        <v>39906.829999999994</v>
      </c>
      <c r="F12" s="635"/>
      <c r="G12" s="635">
        <f t="shared" si="1"/>
        <v>3053</v>
      </c>
      <c r="H12" s="635"/>
      <c r="I12" s="635">
        <f t="shared" ref="I12:I21" si="2">ROUND(7000*0.008,0)</f>
        <v>56</v>
      </c>
      <c r="J12" s="635"/>
      <c r="K12" s="634">
        <f t="shared" ref="K12:K21" si="3">IF(E12&lt;=9300,E12*0.033,9300*0.033)</f>
        <v>306.90000000000003</v>
      </c>
      <c r="L12" s="635"/>
      <c r="M12" s="635">
        <f>SUM(G12:K12)</f>
        <v>3415.9</v>
      </c>
      <c r="N12" s="635"/>
      <c r="O12" s="635">
        <f t="shared" ref="O12:O21" si="4">+O11</f>
        <v>7481.8509443099274</v>
      </c>
      <c r="P12" s="635"/>
      <c r="Q12" s="635">
        <f t="shared" ref="Q12:Q20" si="5">E12*0.03</f>
        <v>1197.2048999999997</v>
      </c>
      <c r="R12" s="635"/>
      <c r="S12" s="635">
        <f t="shared" ref="S12:S20" si="6">E12*0.04</f>
        <v>1596.2731999999999</v>
      </c>
      <c r="T12" s="635"/>
      <c r="U12" s="635">
        <f>+U11</f>
        <v>453.52290556900732</v>
      </c>
      <c r="V12" s="635"/>
      <c r="W12" s="635">
        <f>SUM(O12:U12)</f>
        <v>10728.851949878934</v>
      </c>
      <c r="X12" s="73"/>
      <c r="Y12" s="636">
        <v>1</v>
      </c>
      <c r="Z12" s="613"/>
      <c r="AA12" s="637">
        <v>18.739999999999998</v>
      </c>
      <c r="AB12" s="87"/>
      <c r="AC12" s="621">
        <v>2080</v>
      </c>
      <c r="AD12" s="73"/>
      <c r="AE12" s="638">
        <f t="shared" ref="AE12:AE21" si="7">AA12*AC12</f>
        <v>38979.199999999997</v>
      </c>
      <c r="AF12" s="634"/>
      <c r="AG12" s="634">
        <v>33</v>
      </c>
      <c r="AH12" s="635"/>
      <c r="AI12" s="639">
        <f t="shared" ref="AI12:AI21" si="8">AG12*AA12*1.5</f>
        <v>927.62999999999988</v>
      </c>
      <c r="AJ12" s="635"/>
      <c r="AK12" s="635">
        <f t="shared" ref="AK12:AK21" si="9">AI12+AE12</f>
        <v>39906.829999999994</v>
      </c>
      <c r="AL12" s="617"/>
      <c r="AM12" s="1383"/>
      <c r="AN12" s="988"/>
      <c r="AO12" s="640"/>
    </row>
    <row r="13" spans="1:41" ht="15.75" thickBot="1">
      <c r="A13" s="73"/>
      <c r="B13" s="632"/>
      <c r="C13" s="633" t="s">
        <v>2227</v>
      </c>
      <c r="D13" s="604"/>
      <c r="E13" s="634">
        <f t="shared" si="0"/>
        <v>32332.0625</v>
      </c>
      <c r="F13" s="635"/>
      <c r="G13" s="635">
        <f t="shared" si="1"/>
        <v>2473</v>
      </c>
      <c r="H13" s="635"/>
      <c r="I13" s="635">
        <f t="shared" si="2"/>
        <v>56</v>
      </c>
      <c r="J13" s="635"/>
      <c r="K13" s="634">
        <f t="shared" si="3"/>
        <v>306.90000000000003</v>
      </c>
      <c r="L13" s="635"/>
      <c r="M13" s="635">
        <f>SUM(G13:K13)</f>
        <v>2835.9</v>
      </c>
      <c r="N13" s="635"/>
      <c r="O13" s="635">
        <f t="shared" si="4"/>
        <v>7481.8509443099274</v>
      </c>
      <c r="P13" s="635"/>
      <c r="Q13" s="635">
        <f>E13*0.03</f>
        <v>969.96187499999996</v>
      </c>
      <c r="R13" s="635"/>
      <c r="S13" s="635">
        <f>E13*0.04</f>
        <v>1293.2825</v>
      </c>
      <c r="T13" s="635"/>
      <c r="U13" s="635">
        <f>+U12</f>
        <v>453.52290556900732</v>
      </c>
      <c r="V13" s="635"/>
      <c r="W13" s="635">
        <f>SUM(O13:U13)</f>
        <v>10198.618224878934</v>
      </c>
      <c r="X13" s="73"/>
      <c r="Y13" s="636">
        <v>1</v>
      </c>
      <c r="Z13" s="613"/>
      <c r="AA13" s="637">
        <v>14.33</v>
      </c>
      <c r="AB13" s="87"/>
      <c r="AC13" s="621">
        <v>2080</v>
      </c>
      <c r="AD13" s="73"/>
      <c r="AE13" s="638">
        <f t="shared" si="7"/>
        <v>29806.400000000001</v>
      </c>
      <c r="AF13" s="634"/>
      <c r="AG13" s="634">
        <v>117.5</v>
      </c>
      <c r="AH13" s="635"/>
      <c r="AI13" s="639">
        <f t="shared" si="8"/>
        <v>2525.6625000000004</v>
      </c>
      <c r="AJ13" s="635"/>
      <c r="AK13" s="635">
        <f t="shared" si="9"/>
        <v>32332.0625</v>
      </c>
      <c r="AL13" s="617"/>
      <c r="AM13" s="1383"/>
      <c r="AN13" s="988"/>
      <c r="AO13" s="640"/>
    </row>
    <row r="14" spans="1:41" ht="15.75" thickBot="1">
      <c r="A14" s="73"/>
      <c r="B14" s="632"/>
      <c r="C14" s="633" t="s">
        <v>2228</v>
      </c>
      <c r="D14" s="604"/>
      <c r="E14" s="634">
        <f t="shared" si="0"/>
        <v>73654.799999999988</v>
      </c>
      <c r="F14" s="635"/>
      <c r="G14" s="635">
        <f t="shared" si="1"/>
        <v>5635</v>
      </c>
      <c r="H14" s="635"/>
      <c r="I14" s="635">
        <f t="shared" si="2"/>
        <v>56</v>
      </c>
      <c r="J14" s="635"/>
      <c r="K14" s="634">
        <f t="shared" si="3"/>
        <v>306.90000000000003</v>
      </c>
      <c r="L14" s="635"/>
      <c r="M14" s="635">
        <f t="shared" ref="M14:M20" si="10">SUM(G14:K14)</f>
        <v>5997.9</v>
      </c>
      <c r="N14" s="635"/>
      <c r="O14" s="635">
        <f t="shared" si="4"/>
        <v>7481.8509443099274</v>
      </c>
      <c r="P14" s="635"/>
      <c r="Q14" s="635">
        <f t="shared" si="5"/>
        <v>2209.6439999999998</v>
      </c>
      <c r="R14" s="635"/>
      <c r="S14" s="635">
        <f t="shared" si="6"/>
        <v>2946.1919999999996</v>
      </c>
      <c r="T14" s="635"/>
      <c r="U14" s="635">
        <f>+U13</f>
        <v>453.52290556900732</v>
      </c>
      <c r="V14" s="635"/>
      <c r="W14" s="635">
        <f t="shared" ref="W14:W19" si="11">SUM(O14:U14)</f>
        <v>13091.209849878933</v>
      </c>
      <c r="X14" s="73"/>
      <c r="Y14" s="636">
        <v>1</v>
      </c>
      <c r="Z14" s="613"/>
      <c r="AA14" s="637">
        <v>3068.95</v>
      </c>
      <c r="AB14" s="87"/>
      <c r="AC14" s="621">
        <v>24</v>
      </c>
      <c r="AD14" s="73"/>
      <c r="AE14" s="638">
        <f t="shared" si="7"/>
        <v>73654.799999999988</v>
      </c>
      <c r="AF14" s="634"/>
      <c r="AG14" s="634">
        <v>0</v>
      </c>
      <c r="AH14" s="635"/>
      <c r="AI14" s="639">
        <f t="shared" si="8"/>
        <v>0</v>
      </c>
      <c r="AJ14" s="635"/>
      <c r="AK14" s="635">
        <f t="shared" si="9"/>
        <v>73654.799999999988</v>
      </c>
      <c r="AL14" s="617"/>
      <c r="AM14" s="1383"/>
      <c r="AN14" s="988"/>
      <c r="AO14" s="640"/>
    </row>
    <row r="15" spans="1:41" ht="15.75" thickBot="1">
      <c r="A15" s="73"/>
      <c r="B15" s="632"/>
      <c r="C15" s="633" t="s">
        <v>2229</v>
      </c>
      <c r="D15" s="73"/>
      <c r="E15" s="634">
        <f t="shared" si="0"/>
        <v>51470.21</v>
      </c>
      <c r="F15" s="635"/>
      <c r="G15" s="635">
        <f t="shared" si="1"/>
        <v>3937</v>
      </c>
      <c r="H15" s="635"/>
      <c r="I15" s="635">
        <f t="shared" si="2"/>
        <v>56</v>
      </c>
      <c r="J15" s="635"/>
      <c r="K15" s="634">
        <f t="shared" si="3"/>
        <v>306.90000000000003</v>
      </c>
      <c r="L15" s="635"/>
      <c r="M15" s="635">
        <f t="shared" si="10"/>
        <v>4299.8999999999996</v>
      </c>
      <c r="N15" s="635"/>
      <c r="O15" s="635">
        <f t="shared" si="4"/>
        <v>7481.8509443099274</v>
      </c>
      <c r="P15" s="635"/>
      <c r="Q15" s="635">
        <f t="shared" si="5"/>
        <v>1544.1062999999999</v>
      </c>
      <c r="R15" s="635"/>
      <c r="S15" s="635">
        <f t="shared" si="6"/>
        <v>2058.8083999999999</v>
      </c>
      <c r="T15" s="635"/>
      <c r="U15" s="635">
        <f t="shared" ref="U15:U21" si="12">+U14</f>
        <v>453.52290556900732</v>
      </c>
      <c r="V15" s="635"/>
      <c r="W15" s="635">
        <f t="shared" si="11"/>
        <v>11538.288549878935</v>
      </c>
      <c r="X15" s="73"/>
      <c r="Y15" s="636">
        <v>1</v>
      </c>
      <c r="Z15" s="613"/>
      <c r="AA15" s="641">
        <v>23.54</v>
      </c>
      <c r="AB15" s="631"/>
      <c r="AC15" s="621">
        <v>2080</v>
      </c>
      <c r="AD15" s="73"/>
      <c r="AE15" s="638">
        <f t="shared" si="7"/>
        <v>48963.199999999997</v>
      </c>
      <c r="AF15" s="634"/>
      <c r="AG15" s="634">
        <v>71</v>
      </c>
      <c r="AH15" s="635"/>
      <c r="AI15" s="639">
        <f t="shared" si="8"/>
        <v>2507.0099999999998</v>
      </c>
      <c r="AJ15" s="635"/>
      <c r="AK15" s="635">
        <f t="shared" si="9"/>
        <v>51470.21</v>
      </c>
      <c r="AL15" s="617"/>
      <c r="AM15" s="1383"/>
      <c r="AN15" s="988"/>
      <c r="AO15" s="640"/>
    </row>
    <row r="16" spans="1:41" ht="15.75" thickBot="1">
      <c r="A16" s="73"/>
      <c r="B16" s="632"/>
      <c r="C16" s="633" t="s">
        <v>2230</v>
      </c>
      <c r="D16" s="73"/>
      <c r="E16" s="634">
        <f t="shared" si="0"/>
        <v>34134.1</v>
      </c>
      <c r="F16" s="635"/>
      <c r="G16" s="635">
        <f t="shared" si="1"/>
        <v>2611</v>
      </c>
      <c r="H16" s="635"/>
      <c r="I16" s="635">
        <f t="shared" si="2"/>
        <v>56</v>
      </c>
      <c r="J16" s="635"/>
      <c r="K16" s="634">
        <f t="shared" si="3"/>
        <v>306.90000000000003</v>
      </c>
      <c r="L16" s="635"/>
      <c r="M16" s="635">
        <f t="shared" si="10"/>
        <v>2973.9</v>
      </c>
      <c r="N16" s="635"/>
      <c r="O16" s="635">
        <f t="shared" si="4"/>
        <v>7481.8509443099274</v>
      </c>
      <c r="P16" s="635"/>
      <c r="Q16" s="635">
        <f t="shared" si="5"/>
        <v>1024.0229999999999</v>
      </c>
      <c r="R16" s="635"/>
      <c r="S16" s="635">
        <f t="shared" si="6"/>
        <v>1365.364</v>
      </c>
      <c r="T16" s="635"/>
      <c r="U16" s="635">
        <f t="shared" si="12"/>
        <v>453.52290556900732</v>
      </c>
      <c r="V16" s="635"/>
      <c r="W16" s="635">
        <f t="shared" si="11"/>
        <v>10324.760849878934</v>
      </c>
      <c r="X16" s="73"/>
      <c r="Y16" s="636">
        <v>1</v>
      </c>
      <c r="Z16" s="613"/>
      <c r="AA16" s="641">
        <v>15.4</v>
      </c>
      <c r="AB16" s="631"/>
      <c r="AC16" s="621">
        <v>2080</v>
      </c>
      <c r="AD16" s="73"/>
      <c r="AE16" s="638">
        <f t="shared" si="7"/>
        <v>32032</v>
      </c>
      <c r="AF16" s="634"/>
      <c r="AG16" s="634">
        <v>91</v>
      </c>
      <c r="AH16" s="635"/>
      <c r="AI16" s="639">
        <f t="shared" si="8"/>
        <v>2102.1000000000004</v>
      </c>
      <c r="AJ16" s="635"/>
      <c r="AK16" s="635">
        <f t="shared" si="9"/>
        <v>34134.1</v>
      </c>
      <c r="AL16" s="617"/>
      <c r="AM16" s="1383"/>
      <c r="AN16" s="988"/>
      <c r="AO16" s="640"/>
    </row>
    <row r="17" spans="1:41" ht="15.75" thickBot="1">
      <c r="A17" s="73"/>
      <c r="B17" s="632"/>
      <c r="C17" s="633" t="s">
        <v>2231</v>
      </c>
      <c r="D17" s="73"/>
      <c r="E17" s="634">
        <f t="shared" si="0"/>
        <v>40127.425000000003</v>
      </c>
      <c r="F17" s="635"/>
      <c r="G17" s="635">
        <f t="shared" si="1"/>
        <v>3070</v>
      </c>
      <c r="H17" s="635"/>
      <c r="I17" s="635">
        <f t="shared" si="2"/>
        <v>56</v>
      </c>
      <c r="J17" s="635"/>
      <c r="K17" s="634">
        <f t="shared" si="3"/>
        <v>306.90000000000003</v>
      </c>
      <c r="L17" s="635"/>
      <c r="M17" s="635">
        <f t="shared" si="10"/>
        <v>3432.9</v>
      </c>
      <c r="N17" s="635"/>
      <c r="O17" s="635">
        <f t="shared" si="4"/>
        <v>7481.8509443099274</v>
      </c>
      <c r="P17" s="635"/>
      <c r="Q17" s="635">
        <f t="shared" si="5"/>
        <v>1203.82275</v>
      </c>
      <c r="R17" s="635"/>
      <c r="S17" s="635">
        <f t="shared" si="6"/>
        <v>1605.0970000000002</v>
      </c>
      <c r="T17" s="635"/>
      <c r="U17" s="635">
        <f t="shared" si="12"/>
        <v>453.52290556900732</v>
      </c>
      <c r="V17" s="635"/>
      <c r="W17" s="635">
        <f t="shared" si="11"/>
        <v>10744.293599878934</v>
      </c>
      <c r="X17" s="73"/>
      <c r="Y17" s="636">
        <v>1</v>
      </c>
      <c r="Z17" s="613"/>
      <c r="AA17" s="641">
        <v>18.46</v>
      </c>
      <c r="AB17" s="631"/>
      <c r="AC17" s="621">
        <v>2080</v>
      </c>
      <c r="AD17" s="73"/>
      <c r="AE17" s="638">
        <f t="shared" si="7"/>
        <v>38396.800000000003</v>
      </c>
      <c r="AF17" s="634"/>
      <c r="AG17" s="634">
        <v>62.5</v>
      </c>
      <c r="AH17" s="635"/>
      <c r="AI17" s="639">
        <f t="shared" si="8"/>
        <v>1730.625</v>
      </c>
      <c r="AJ17" s="635"/>
      <c r="AK17" s="635">
        <f t="shared" si="9"/>
        <v>40127.425000000003</v>
      </c>
      <c r="AL17" s="617"/>
      <c r="AM17" s="1383"/>
      <c r="AN17" s="988"/>
      <c r="AO17" s="640"/>
    </row>
    <row r="18" spans="1:41" ht="15.75" thickBot="1">
      <c r="A18" s="73"/>
      <c r="B18" s="632"/>
      <c r="C18" s="633" t="s">
        <v>2232</v>
      </c>
      <c r="D18" s="73"/>
      <c r="E18" s="634">
        <f t="shared" si="0"/>
        <v>26858.28</v>
      </c>
      <c r="F18" s="635"/>
      <c r="G18" s="635">
        <f t="shared" si="1"/>
        <v>2055</v>
      </c>
      <c r="H18" s="635"/>
      <c r="I18" s="635">
        <f t="shared" si="2"/>
        <v>56</v>
      </c>
      <c r="J18" s="635"/>
      <c r="K18" s="634">
        <f t="shared" si="3"/>
        <v>306.90000000000003</v>
      </c>
      <c r="L18" s="635"/>
      <c r="M18" s="635">
        <f t="shared" si="10"/>
        <v>2417.9</v>
      </c>
      <c r="N18" s="635"/>
      <c r="O18" s="635">
        <f t="shared" si="4"/>
        <v>7481.8509443099274</v>
      </c>
      <c r="P18" s="635"/>
      <c r="Q18" s="635">
        <f t="shared" si="5"/>
        <v>805.74839999999995</v>
      </c>
      <c r="R18" s="635"/>
      <c r="S18" s="635">
        <f t="shared" si="6"/>
        <v>1074.3312000000001</v>
      </c>
      <c r="T18" s="635"/>
      <c r="U18" s="635">
        <f t="shared" si="12"/>
        <v>453.52290556900732</v>
      </c>
      <c r="V18" s="635"/>
      <c r="W18" s="635">
        <f t="shared" si="11"/>
        <v>9815.4534498789344</v>
      </c>
      <c r="X18" s="73"/>
      <c r="Y18" s="636">
        <v>1</v>
      </c>
      <c r="Z18" s="613"/>
      <c r="AA18" s="641">
        <v>12.36</v>
      </c>
      <c r="AB18" s="631"/>
      <c r="AC18" s="621">
        <v>2080</v>
      </c>
      <c r="AD18" s="73"/>
      <c r="AE18" s="638">
        <f t="shared" si="7"/>
        <v>25708.799999999999</v>
      </c>
      <c r="AF18" s="634"/>
      <c r="AG18" s="634">
        <v>62</v>
      </c>
      <c r="AH18" s="635"/>
      <c r="AI18" s="639">
        <f t="shared" si="8"/>
        <v>1149.48</v>
      </c>
      <c r="AJ18" s="635"/>
      <c r="AK18" s="635">
        <f t="shared" si="9"/>
        <v>26858.28</v>
      </c>
      <c r="AL18" s="617"/>
      <c r="AM18" s="1383"/>
      <c r="AN18" s="988"/>
      <c r="AO18" s="640"/>
    </row>
    <row r="19" spans="1:41" ht="15.75" thickBot="1">
      <c r="A19" s="73"/>
      <c r="B19" s="632"/>
      <c r="C19" s="633" t="s">
        <v>2233</v>
      </c>
      <c r="D19" s="73"/>
      <c r="E19" s="634">
        <f t="shared" si="0"/>
        <v>33866.157500000001</v>
      </c>
      <c r="F19" s="635"/>
      <c r="G19" s="635">
        <f t="shared" si="1"/>
        <v>2591</v>
      </c>
      <c r="H19" s="635"/>
      <c r="I19" s="635">
        <f t="shared" si="2"/>
        <v>56</v>
      </c>
      <c r="J19" s="635"/>
      <c r="K19" s="634">
        <f t="shared" si="3"/>
        <v>306.90000000000003</v>
      </c>
      <c r="L19" s="635"/>
      <c r="M19" s="635">
        <f t="shared" si="10"/>
        <v>2953.9</v>
      </c>
      <c r="N19" s="635"/>
      <c r="O19" s="635">
        <f t="shared" si="4"/>
        <v>7481.8509443099274</v>
      </c>
      <c r="P19" s="635"/>
      <c r="Q19" s="635">
        <f t="shared" si="5"/>
        <v>1015.984725</v>
      </c>
      <c r="R19" s="635"/>
      <c r="S19" s="635">
        <f t="shared" si="6"/>
        <v>1354.6463000000001</v>
      </c>
      <c r="T19" s="635"/>
      <c r="U19" s="635">
        <f t="shared" si="12"/>
        <v>453.52290556900732</v>
      </c>
      <c r="V19" s="635"/>
      <c r="W19" s="635">
        <f t="shared" si="11"/>
        <v>10306.004874878934</v>
      </c>
      <c r="X19" s="73"/>
      <c r="Y19" s="636">
        <v>1</v>
      </c>
      <c r="Z19" s="613"/>
      <c r="AA19" s="641">
        <v>14.99</v>
      </c>
      <c r="AB19" s="631"/>
      <c r="AC19" s="621">
        <v>2080</v>
      </c>
      <c r="AD19" s="73"/>
      <c r="AE19" s="638">
        <f t="shared" si="7"/>
        <v>31179.200000000001</v>
      </c>
      <c r="AF19" s="634"/>
      <c r="AG19" s="634">
        <v>119.5</v>
      </c>
      <c r="AH19" s="635"/>
      <c r="AI19" s="639">
        <f t="shared" si="8"/>
        <v>2686.9575</v>
      </c>
      <c r="AJ19" s="635"/>
      <c r="AK19" s="635">
        <f t="shared" si="9"/>
        <v>33866.157500000001</v>
      </c>
      <c r="AL19" s="617"/>
      <c r="AM19" s="1383"/>
      <c r="AN19" s="988"/>
      <c r="AO19" s="640"/>
    </row>
    <row r="20" spans="1:41" ht="15.75" thickBot="1">
      <c r="A20" s="73"/>
      <c r="B20" s="73"/>
      <c r="C20" s="633" t="s">
        <v>2234</v>
      </c>
      <c r="D20" s="604"/>
      <c r="E20" s="634">
        <f t="shared" si="0"/>
        <v>42966.3</v>
      </c>
      <c r="F20" s="635"/>
      <c r="G20" s="635">
        <f t="shared" si="1"/>
        <v>3287</v>
      </c>
      <c r="H20" s="635"/>
      <c r="I20" s="635">
        <f t="shared" si="2"/>
        <v>56</v>
      </c>
      <c r="J20" s="635"/>
      <c r="K20" s="634">
        <f t="shared" si="3"/>
        <v>306.90000000000003</v>
      </c>
      <c r="L20" s="635"/>
      <c r="M20" s="635">
        <f t="shared" si="10"/>
        <v>3649.9</v>
      </c>
      <c r="N20" s="635"/>
      <c r="O20" s="635">
        <f t="shared" si="4"/>
        <v>7481.8509443099274</v>
      </c>
      <c r="P20" s="635"/>
      <c r="Q20" s="635">
        <f t="shared" si="5"/>
        <v>1288.989</v>
      </c>
      <c r="R20" s="635"/>
      <c r="S20" s="635">
        <f t="shared" si="6"/>
        <v>1718.652</v>
      </c>
      <c r="T20" s="635"/>
      <c r="U20" s="635">
        <f t="shared" si="12"/>
        <v>453.52290556900732</v>
      </c>
      <c r="V20" s="635"/>
      <c r="W20" s="635">
        <f>SUM(O20:U20)</f>
        <v>10943.014849878935</v>
      </c>
      <c r="X20" s="73"/>
      <c r="Y20" s="636">
        <v>1</v>
      </c>
      <c r="Z20" s="613"/>
      <c r="AA20" s="641">
        <v>17.940000000000001</v>
      </c>
      <c r="AB20" s="631"/>
      <c r="AC20" s="621">
        <v>2080</v>
      </c>
      <c r="AD20" s="631"/>
      <c r="AE20" s="638">
        <f t="shared" si="7"/>
        <v>37315.200000000004</v>
      </c>
      <c r="AF20" s="634"/>
      <c r="AG20" s="634">
        <v>210</v>
      </c>
      <c r="AH20" s="635"/>
      <c r="AI20" s="639">
        <f t="shared" si="8"/>
        <v>5651.1</v>
      </c>
      <c r="AJ20" s="634"/>
      <c r="AK20" s="635">
        <f t="shared" si="9"/>
        <v>42966.3</v>
      </c>
      <c r="AL20" s="617"/>
      <c r="AM20" s="1383"/>
      <c r="AN20" s="988"/>
      <c r="AO20" s="623"/>
    </row>
    <row r="21" spans="1:41" ht="15.75" thickBot="1">
      <c r="A21" s="73"/>
      <c r="B21" s="73"/>
      <c r="C21" s="633" t="s">
        <v>2235</v>
      </c>
      <c r="D21" s="604"/>
      <c r="E21" s="634">
        <f t="shared" ref="E21" si="13">AK21*1.03</f>
        <v>38883.308550000002</v>
      </c>
      <c r="F21" s="635"/>
      <c r="G21" s="635">
        <f t="shared" si="1"/>
        <v>2975</v>
      </c>
      <c r="H21" s="635"/>
      <c r="I21" s="635">
        <f t="shared" si="2"/>
        <v>56</v>
      </c>
      <c r="J21" s="635"/>
      <c r="K21" s="634">
        <f t="shared" si="3"/>
        <v>306.90000000000003</v>
      </c>
      <c r="L21" s="635"/>
      <c r="M21" s="635">
        <f>SUM(G21:K21)</f>
        <v>3337.9</v>
      </c>
      <c r="N21" s="635"/>
      <c r="O21" s="635">
        <f t="shared" si="4"/>
        <v>7481.8509443099274</v>
      </c>
      <c r="P21" s="635"/>
      <c r="Q21" s="635">
        <f>E21*0.03</f>
        <v>1166.4992565</v>
      </c>
      <c r="R21" s="635"/>
      <c r="S21" s="635">
        <f>E21*0.04</f>
        <v>1555.3323420000002</v>
      </c>
      <c r="T21" s="635"/>
      <c r="U21" s="635">
        <f t="shared" si="12"/>
        <v>453.52290556900732</v>
      </c>
      <c r="V21" s="635"/>
      <c r="W21" s="635">
        <f>SUM(O21:U21)</f>
        <v>10657.205448378934</v>
      </c>
      <c r="X21" s="73"/>
      <c r="Y21" s="636">
        <v>1</v>
      </c>
      <c r="Z21" s="613"/>
      <c r="AA21" s="641">
        <v>16.98</v>
      </c>
      <c r="AB21" s="631"/>
      <c r="AC21" s="621">
        <v>2080</v>
      </c>
      <c r="AD21" s="631"/>
      <c r="AE21" s="638">
        <f t="shared" si="7"/>
        <v>35318.400000000001</v>
      </c>
      <c r="AF21" s="634"/>
      <c r="AG21" s="634">
        <v>95.5</v>
      </c>
      <c r="AH21" s="635"/>
      <c r="AI21" s="639">
        <f t="shared" si="8"/>
        <v>2432.3850000000002</v>
      </c>
      <c r="AJ21" s="634"/>
      <c r="AK21" s="635">
        <f t="shared" si="9"/>
        <v>37750.785000000003</v>
      </c>
      <c r="AL21" s="617"/>
      <c r="AM21" s="1383"/>
      <c r="AN21" s="988"/>
      <c r="AO21" s="623"/>
    </row>
    <row r="22" spans="1:41" ht="15">
      <c r="A22" s="73"/>
      <c r="B22" s="73"/>
      <c r="C22" s="633"/>
      <c r="D22" s="604"/>
      <c r="E22" s="634"/>
      <c r="F22" s="635"/>
      <c r="G22" s="635"/>
      <c r="H22" s="635"/>
      <c r="I22" s="635"/>
      <c r="J22" s="635"/>
      <c r="K22" s="635"/>
      <c r="L22" s="635"/>
      <c r="M22" s="635"/>
      <c r="N22" s="635"/>
      <c r="O22" s="635"/>
      <c r="P22" s="635"/>
      <c r="Q22" s="635"/>
      <c r="R22" s="635"/>
      <c r="S22" s="635"/>
      <c r="T22" s="635"/>
      <c r="U22" s="635"/>
      <c r="V22" s="635"/>
      <c r="W22" s="635"/>
      <c r="X22" s="73"/>
      <c r="Y22" s="613"/>
      <c r="Z22" s="613"/>
      <c r="AA22" s="641"/>
      <c r="AB22" s="631"/>
      <c r="AC22" s="622"/>
      <c r="AD22" s="631"/>
      <c r="AE22" s="635"/>
      <c r="AF22" s="635"/>
      <c r="AG22" s="635"/>
      <c r="AH22" s="635"/>
      <c r="AI22" s="634"/>
      <c r="AJ22" s="634"/>
      <c r="AK22" s="634"/>
      <c r="AL22" s="604"/>
      <c r="AM22" s="987"/>
      <c r="AN22" s="988"/>
      <c r="AO22" s="623"/>
    </row>
    <row r="23" spans="1:41" ht="15.75" thickBot="1">
      <c r="A23" s="90"/>
      <c r="B23" s="91" t="s">
        <v>590</v>
      </c>
      <c r="C23" s="90"/>
      <c r="D23" s="90"/>
      <c r="E23" s="634"/>
      <c r="F23" s="634"/>
      <c r="G23" s="634"/>
      <c r="H23" s="634"/>
      <c r="I23" s="634"/>
      <c r="J23" s="634"/>
      <c r="K23" s="635"/>
      <c r="L23" s="634"/>
      <c r="M23" s="634"/>
      <c r="N23" s="634"/>
      <c r="O23" s="634"/>
      <c r="P23" s="634"/>
      <c r="Q23" s="635"/>
      <c r="R23" s="634"/>
      <c r="S23" s="634"/>
      <c r="T23" s="634"/>
      <c r="U23" s="634"/>
      <c r="V23" s="634"/>
      <c r="W23" s="635"/>
      <c r="X23" s="90"/>
      <c r="Y23" s="613"/>
      <c r="Z23" s="613"/>
      <c r="AA23" s="641"/>
      <c r="AB23" s="87"/>
      <c r="AC23" s="77"/>
      <c r="AD23" s="87"/>
      <c r="AE23" s="634"/>
      <c r="AF23" s="634"/>
      <c r="AG23" s="634"/>
      <c r="AH23" s="634"/>
      <c r="AI23" s="634"/>
      <c r="AJ23" s="634"/>
      <c r="AK23" s="634"/>
      <c r="AL23" s="604"/>
      <c r="AM23" s="987"/>
      <c r="AN23" s="988"/>
      <c r="AO23" s="623"/>
    </row>
    <row r="24" spans="1:41" ht="15.75" thickBot="1">
      <c r="A24" s="90"/>
      <c r="B24" s="91"/>
      <c r="C24" s="633" t="s">
        <v>2236</v>
      </c>
      <c r="D24" s="90"/>
      <c r="E24" s="634">
        <f>AK24</f>
        <v>124819.20000000001</v>
      </c>
      <c r="F24" s="634"/>
      <c r="G24" s="635">
        <f>+ROUND((IF(E24&gt;=113700,113700*0.062,E24*0.062)+(E24*0.0145)),0)</f>
        <v>8859</v>
      </c>
      <c r="H24" s="635"/>
      <c r="I24" s="635">
        <f>ROUND(7000*0.008,0)</f>
        <v>56</v>
      </c>
      <c r="J24" s="635"/>
      <c r="K24" s="634">
        <f>IF(E24&lt;=9300,E24*0.033,9300*0.033)</f>
        <v>306.90000000000003</v>
      </c>
      <c r="L24" s="635"/>
      <c r="M24" s="635">
        <f>SUM(G24:K24)</f>
        <v>9221.9</v>
      </c>
      <c r="N24" s="635"/>
      <c r="O24" s="635">
        <f>+O21</f>
        <v>7481.8509443099274</v>
      </c>
      <c r="P24" s="635"/>
      <c r="Q24" s="635">
        <f>E24*0.03</f>
        <v>3744.576</v>
      </c>
      <c r="R24" s="635"/>
      <c r="S24" s="635">
        <f>E24*0.04</f>
        <v>4992.7680000000009</v>
      </c>
      <c r="T24" s="635"/>
      <c r="U24" s="635">
        <f>+U21</f>
        <v>453.52290556900732</v>
      </c>
      <c r="V24" s="635"/>
      <c r="W24" s="635">
        <f>SUM(O24:U24)</f>
        <v>16672.717849878936</v>
      </c>
      <c r="X24" s="90"/>
      <c r="Y24" s="636">
        <f>+'Input Schedule'!D16</f>
        <v>0.21677963406806305</v>
      </c>
      <c r="Z24" s="613"/>
      <c r="AA24" s="641">
        <v>5200.8</v>
      </c>
      <c r="AB24" s="87"/>
      <c r="AC24" s="77">
        <v>24</v>
      </c>
      <c r="AD24" s="87"/>
      <c r="AE24" s="638">
        <f>AA24*AC24</f>
        <v>124819.20000000001</v>
      </c>
      <c r="AF24" s="634"/>
      <c r="AG24" s="634"/>
      <c r="AH24" s="634"/>
      <c r="AI24" s="634"/>
      <c r="AJ24" s="634"/>
      <c r="AK24" s="635">
        <f t="shared" ref="AK24:AK28" si="14">AI24+AE24</f>
        <v>124819.20000000001</v>
      </c>
      <c r="AL24" s="604"/>
      <c r="AM24" s="604"/>
      <c r="AN24" s="90"/>
      <c r="AO24" s="623"/>
    </row>
    <row r="25" spans="1:41" ht="15.75" thickBot="1">
      <c r="A25" s="73"/>
      <c r="B25" s="632"/>
      <c r="C25" s="633" t="s">
        <v>2237</v>
      </c>
      <c r="D25" s="604"/>
      <c r="E25" s="634">
        <f>AK25</f>
        <v>184997.52</v>
      </c>
      <c r="F25" s="635"/>
      <c r="G25" s="635">
        <f>+ROUND((IF(E25&gt;=113700,113700*0.062,E25*0.062)+(E25*0.0145)),0)</f>
        <v>9732</v>
      </c>
      <c r="H25" s="635"/>
      <c r="I25" s="635">
        <f>ROUND(7000*0.008,0)</f>
        <v>56</v>
      </c>
      <c r="J25" s="635"/>
      <c r="K25" s="634">
        <f>IF(E25&lt;=9300,E25*0.033,9300*0.033)</f>
        <v>306.90000000000003</v>
      </c>
      <c r="L25" s="635"/>
      <c r="M25" s="635">
        <f>SUM(G25:K25)</f>
        <v>10094.9</v>
      </c>
      <c r="N25" s="635"/>
      <c r="O25" s="635">
        <f>O11</f>
        <v>7481.8509443099274</v>
      </c>
      <c r="P25" s="635"/>
      <c r="Q25" s="635">
        <f>E25*0.03</f>
        <v>5549.9255999999996</v>
      </c>
      <c r="R25" s="635"/>
      <c r="S25" s="635">
        <f>E25*0.04</f>
        <v>7399.9007999999994</v>
      </c>
      <c r="T25" s="635"/>
      <c r="U25" s="635">
        <f>U11</f>
        <v>453.52290556900732</v>
      </c>
      <c r="V25" s="635"/>
      <c r="W25" s="635">
        <f>SUM(O25:U25)</f>
        <v>20885.200249878933</v>
      </c>
      <c r="X25" s="73"/>
      <c r="Y25" s="983">
        <f>+'Input Schedule'!$D$15</f>
        <v>6.9774677565532461E-2</v>
      </c>
      <c r="Z25" s="613"/>
      <c r="AA25" s="637">
        <v>7708.23</v>
      </c>
      <c r="AB25" s="87"/>
      <c r="AC25" s="621">
        <v>24</v>
      </c>
      <c r="AD25" s="73"/>
      <c r="AE25" s="638">
        <f>AA25*AC25</f>
        <v>184997.52</v>
      </c>
      <c r="AF25" s="634"/>
      <c r="AG25" s="634"/>
      <c r="AH25" s="635"/>
      <c r="AI25" s="639"/>
      <c r="AJ25" s="635"/>
      <c r="AK25" s="635">
        <f t="shared" si="14"/>
        <v>184997.52</v>
      </c>
      <c r="AL25" s="617"/>
      <c r="AM25" s="618"/>
      <c r="AN25" s="625"/>
      <c r="AO25" s="640"/>
    </row>
    <row r="26" spans="1:41" ht="15.75" thickBot="1">
      <c r="A26" s="73"/>
      <c r="B26" s="632"/>
      <c r="C26" s="633" t="s">
        <v>2238</v>
      </c>
      <c r="D26" s="604"/>
      <c r="E26" s="634">
        <f>AK26</f>
        <v>69913.200000000012</v>
      </c>
      <c r="F26" s="635"/>
      <c r="G26" s="635">
        <f>+ROUND((IF(E26&gt;=113700,113700*0.062,E26*0.062)+(E26*0.0145)),0)</f>
        <v>5348</v>
      </c>
      <c r="H26" s="635"/>
      <c r="I26" s="635">
        <f>ROUND(7000*0.008,0)</f>
        <v>56</v>
      </c>
      <c r="J26" s="635"/>
      <c r="K26" s="634">
        <f>IF(E26&lt;=9300,E26*0.033,9300*0.033)</f>
        <v>306.90000000000003</v>
      </c>
      <c r="L26" s="635"/>
      <c r="M26" s="635">
        <f>SUM(G26:K26)</f>
        <v>5710.9</v>
      </c>
      <c r="N26" s="635"/>
      <c r="O26" s="635">
        <f>O12</f>
        <v>7481.8509443099274</v>
      </c>
      <c r="P26" s="635"/>
      <c r="Q26" s="635">
        <f>E26*0.03</f>
        <v>2097.3960000000002</v>
      </c>
      <c r="R26" s="635"/>
      <c r="S26" s="635">
        <f>E26*0.04</f>
        <v>2796.5280000000007</v>
      </c>
      <c r="T26" s="635"/>
      <c r="U26" s="635">
        <f>+U25</f>
        <v>453.52290556900732</v>
      </c>
      <c r="V26" s="635"/>
      <c r="W26" s="635">
        <f>SUM(O26:U26)</f>
        <v>12829.297849878934</v>
      </c>
      <c r="X26" s="73"/>
      <c r="Y26" s="983">
        <f>+'Input Schedule'!$D$15</f>
        <v>6.9774677565532461E-2</v>
      </c>
      <c r="Z26" s="613"/>
      <c r="AA26" s="637">
        <v>2913.05</v>
      </c>
      <c r="AB26" s="87"/>
      <c r="AC26" s="621">
        <v>24</v>
      </c>
      <c r="AD26" s="73"/>
      <c r="AE26" s="638">
        <f>AA26*AC26</f>
        <v>69913.200000000012</v>
      </c>
      <c r="AF26" s="634"/>
      <c r="AG26" s="634"/>
      <c r="AH26" s="635"/>
      <c r="AI26" s="639"/>
      <c r="AJ26" s="635"/>
      <c r="AK26" s="635">
        <f t="shared" si="14"/>
        <v>69913.200000000012</v>
      </c>
      <c r="AL26" s="617"/>
      <c r="AM26" s="618"/>
      <c r="AN26" s="625"/>
      <c r="AO26" s="632"/>
    </row>
    <row r="27" spans="1:41" ht="15.75" thickBot="1">
      <c r="A27" s="73"/>
      <c r="B27" s="632"/>
      <c r="C27" s="633" t="s">
        <v>2239</v>
      </c>
      <c r="D27" s="604"/>
      <c r="E27" s="634">
        <f>AK27</f>
        <v>72407.040000000008</v>
      </c>
      <c r="F27" s="635"/>
      <c r="G27" s="635">
        <f>+ROUND((IF(E27&gt;=113700,113700*0.062,E27*0.062)+(E27*0.0145)),0)</f>
        <v>5539</v>
      </c>
      <c r="H27" s="635"/>
      <c r="I27" s="635">
        <f>ROUND(7000*0.008,0)</f>
        <v>56</v>
      </c>
      <c r="J27" s="635"/>
      <c r="K27" s="634">
        <f>IF(E27&lt;=9300,E27*0.033,9300*0.033)</f>
        <v>306.90000000000003</v>
      </c>
      <c r="L27" s="635"/>
      <c r="M27" s="635">
        <f>SUM(G27:K27)</f>
        <v>5901.9</v>
      </c>
      <c r="N27" s="635"/>
      <c r="O27" s="635">
        <f>O14</f>
        <v>7481.8509443099274</v>
      </c>
      <c r="P27" s="635"/>
      <c r="Q27" s="635">
        <f>E27*0.03</f>
        <v>2172.2112000000002</v>
      </c>
      <c r="R27" s="635"/>
      <c r="S27" s="635">
        <f>E27*0.04</f>
        <v>2896.2816000000003</v>
      </c>
      <c r="T27" s="635"/>
      <c r="U27" s="635">
        <f>+U26</f>
        <v>453.52290556900732</v>
      </c>
      <c r="V27" s="635"/>
      <c r="W27" s="635">
        <f>SUM(O27:U27)</f>
        <v>13003.866649878935</v>
      </c>
      <c r="X27" s="73"/>
      <c r="Y27" s="983">
        <f>+'Input Schedule'!$D$15</f>
        <v>6.9774677565532461E-2</v>
      </c>
      <c r="Z27" s="613"/>
      <c r="AA27" s="637">
        <v>3016.96</v>
      </c>
      <c r="AB27" s="87"/>
      <c r="AC27" s="621">
        <v>24</v>
      </c>
      <c r="AD27" s="73"/>
      <c r="AE27" s="638">
        <f>AA27*AC27</f>
        <v>72407.040000000008</v>
      </c>
      <c r="AF27" s="634"/>
      <c r="AG27" s="634"/>
      <c r="AH27" s="635"/>
      <c r="AI27" s="639"/>
      <c r="AJ27" s="635"/>
      <c r="AK27" s="635">
        <f t="shared" si="14"/>
        <v>72407.040000000008</v>
      </c>
      <c r="AL27" s="617"/>
      <c r="AM27" s="618"/>
      <c r="AN27" s="625"/>
      <c r="AO27" s="632"/>
    </row>
    <row r="28" spans="1:41" ht="15.75" thickBot="1">
      <c r="A28" s="73"/>
      <c r="B28" s="73"/>
      <c r="C28" s="633" t="s">
        <v>2240</v>
      </c>
      <c r="D28" s="604"/>
      <c r="E28" s="634">
        <f>AK28</f>
        <v>60864.479999999996</v>
      </c>
      <c r="F28" s="635"/>
      <c r="G28" s="635">
        <f>+ROUND((IF(E28&gt;=113700,113700*0.062,E28*0.062)+(E28*0.0145)),0)</f>
        <v>4656</v>
      </c>
      <c r="H28" s="635"/>
      <c r="I28" s="635">
        <f>ROUND(7000*0.008,0)</f>
        <v>56</v>
      </c>
      <c r="J28" s="635"/>
      <c r="K28" s="634">
        <f>IF(E28&lt;=9300,E28*0.033,9300*0.033)</f>
        <v>306.90000000000003</v>
      </c>
      <c r="L28" s="635"/>
      <c r="M28" s="635">
        <f>SUM(G28:K28)</f>
        <v>5018.8999999999996</v>
      </c>
      <c r="N28" s="635"/>
      <c r="O28" s="635">
        <f>O15</f>
        <v>7481.8509443099274</v>
      </c>
      <c r="P28" s="635"/>
      <c r="Q28" s="635">
        <f>E28*0.03</f>
        <v>1825.9343999999999</v>
      </c>
      <c r="R28" s="635"/>
      <c r="S28" s="635">
        <f>E28*0.04</f>
        <v>2434.5791999999997</v>
      </c>
      <c r="T28" s="635"/>
      <c r="U28" s="635">
        <f>U12</f>
        <v>453.52290556900732</v>
      </c>
      <c r="V28" s="635"/>
      <c r="W28" s="635">
        <f>SUM(O28:U28)</f>
        <v>12195.887449878934</v>
      </c>
      <c r="X28" s="73"/>
      <c r="Y28" s="983">
        <f>+'Input Schedule'!$D$15</f>
        <v>6.9774677565532461E-2</v>
      </c>
      <c r="Z28" s="90"/>
      <c r="AA28" s="1382">
        <v>2536.02</v>
      </c>
      <c r="AB28" s="73"/>
      <c r="AC28" s="621">
        <v>24</v>
      </c>
      <c r="AD28" s="73"/>
      <c r="AE28" s="638">
        <f>AA28*AC28</f>
        <v>60864.479999999996</v>
      </c>
      <c r="AF28" s="634"/>
      <c r="AG28" s="634"/>
      <c r="AH28" s="73"/>
      <c r="AI28" s="643"/>
      <c r="AJ28" s="73"/>
      <c r="AK28" s="642">
        <f t="shared" si="14"/>
        <v>60864.479999999996</v>
      </c>
      <c r="AL28" s="617"/>
      <c r="AM28" s="73"/>
      <c r="AN28" s="73"/>
      <c r="AO28" s="611"/>
    </row>
    <row r="29" spans="1:41" ht="15">
      <c r="A29" s="73"/>
      <c r="B29" s="73"/>
      <c r="C29" s="73"/>
      <c r="D29" s="73"/>
      <c r="E29" s="634"/>
      <c r="F29" s="635"/>
      <c r="G29" s="644"/>
      <c r="H29" s="635"/>
      <c r="I29" s="644"/>
      <c r="J29" s="635"/>
      <c r="K29" s="644"/>
      <c r="L29" s="635"/>
      <c r="M29" s="644"/>
      <c r="N29" s="635"/>
      <c r="O29" s="644"/>
      <c r="P29" s="635"/>
      <c r="Q29" s="644"/>
      <c r="R29" s="635"/>
      <c r="S29" s="644"/>
      <c r="T29" s="635"/>
      <c r="U29" s="644"/>
      <c r="V29" s="635"/>
      <c r="W29" s="644"/>
      <c r="X29" s="90"/>
      <c r="Y29" s="90"/>
      <c r="Z29" s="90"/>
      <c r="AA29" s="637"/>
      <c r="AB29" s="87"/>
      <c r="AC29" s="77"/>
      <c r="AD29" s="631"/>
      <c r="AE29" s="635"/>
      <c r="AF29" s="635"/>
      <c r="AG29" s="635"/>
      <c r="AH29" s="635"/>
      <c r="AI29" s="634"/>
      <c r="AJ29" s="634"/>
      <c r="AK29" s="634"/>
      <c r="AL29" s="91"/>
      <c r="AM29" s="90"/>
      <c r="AN29" s="73"/>
      <c r="AO29" s="611"/>
    </row>
    <row r="30" spans="1:41" ht="15.75" thickBot="1">
      <c r="A30" s="73"/>
      <c r="B30" s="72" t="s">
        <v>103</v>
      </c>
      <c r="C30" s="73"/>
      <c r="D30" s="73"/>
      <c r="E30" s="645">
        <f>SUM(E11:E28)</f>
        <v>977956.96354999999</v>
      </c>
      <c r="F30" s="635"/>
      <c r="G30" s="645">
        <f>SUM(G11:G28)</f>
        <v>69704</v>
      </c>
      <c r="H30" s="635"/>
      <c r="I30" s="645">
        <f>SUM(I11:I28)</f>
        <v>896</v>
      </c>
      <c r="J30" s="635"/>
      <c r="K30" s="645">
        <f>SUM(K11:K28)</f>
        <v>4910.3999999999996</v>
      </c>
      <c r="L30" s="635"/>
      <c r="M30" s="645">
        <f>SUM(M11:M28)</f>
        <v>75510.400000000009</v>
      </c>
      <c r="N30" s="635"/>
      <c r="O30" s="645">
        <f>SUM(O11:O28)</f>
        <v>119709.61510895887</v>
      </c>
      <c r="P30" s="635"/>
      <c r="Q30" s="645">
        <f>SUM(Q11:Q28)</f>
        <v>29338.708906499996</v>
      </c>
      <c r="R30" s="635"/>
      <c r="S30" s="645">
        <f>SUM(S11:S28)</f>
        <v>39118.278542</v>
      </c>
      <c r="T30" s="635"/>
      <c r="U30" s="645">
        <f>SUM(U11:U28)</f>
        <v>7256.3664891041153</v>
      </c>
      <c r="V30" s="635"/>
      <c r="W30" s="645">
        <f>SUM(W11:W28)</f>
        <v>195422.96904656294</v>
      </c>
      <c r="X30" s="90"/>
      <c r="Y30" s="90"/>
      <c r="Z30" s="90"/>
      <c r="AA30" s="90"/>
      <c r="AB30" s="87"/>
      <c r="AC30" s="90"/>
      <c r="AD30" s="631"/>
      <c r="AE30" s="645">
        <f>SUM(AE11:AE28)</f>
        <v>948243.44</v>
      </c>
      <c r="AF30" s="634"/>
      <c r="AG30" s="634"/>
      <c r="AH30" s="635"/>
      <c r="AI30" s="645">
        <f>SUM(AI11:AI28)</f>
        <v>28581.000000000007</v>
      </c>
      <c r="AJ30" s="634"/>
      <c r="AK30" s="645">
        <f>SUM(AK11:AK28)</f>
        <v>976824.44</v>
      </c>
      <c r="AL30" s="604"/>
      <c r="AM30" s="73"/>
      <c r="AN30" s="73"/>
      <c r="AO30" s="611"/>
    </row>
    <row r="31" spans="1:41" ht="15.75" thickTop="1">
      <c r="A31" s="73"/>
      <c r="B31" s="72"/>
      <c r="C31" s="73"/>
      <c r="D31" s="604"/>
      <c r="E31" s="646"/>
      <c r="F31" s="635"/>
      <c r="G31" s="634"/>
      <c r="H31" s="635"/>
      <c r="I31" s="634"/>
      <c r="J31" s="635"/>
      <c r="K31" s="634"/>
      <c r="L31" s="635"/>
      <c r="M31" s="634"/>
      <c r="N31" s="635"/>
      <c r="O31" s="634"/>
      <c r="P31" s="635"/>
      <c r="Q31" s="634"/>
      <c r="R31" s="635"/>
      <c r="S31" s="634"/>
      <c r="T31" s="635"/>
      <c r="U31" s="634"/>
      <c r="V31" s="635"/>
      <c r="W31" s="634"/>
      <c r="X31" s="90"/>
      <c r="Y31" s="90"/>
      <c r="Z31" s="90"/>
      <c r="AA31" s="73"/>
      <c r="AB31" s="73"/>
      <c r="AC31" s="73"/>
      <c r="AD31" s="73"/>
      <c r="AE31" s="635"/>
      <c r="AF31" s="635"/>
      <c r="AG31" s="635"/>
      <c r="AH31" s="635"/>
      <c r="AI31" s="635"/>
      <c r="AJ31" s="635"/>
      <c r="AK31" s="646"/>
      <c r="AL31" s="647"/>
      <c r="AM31" s="647"/>
      <c r="AN31" s="73"/>
      <c r="AO31" s="611"/>
    </row>
    <row r="32" spans="1:41" ht="15">
      <c r="A32" s="73"/>
      <c r="B32" s="90"/>
      <c r="C32" s="90"/>
      <c r="D32" s="90"/>
      <c r="E32" s="634"/>
      <c r="F32" s="634"/>
      <c r="G32" s="634"/>
      <c r="H32" s="634"/>
      <c r="I32" s="634"/>
      <c r="J32" s="634"/>
      <c r="K32" s="634"/>
      <c r="L32" s="634"/>
      <c r="M32" s="634"/>
      <c r="N32" s="634"/>
      <c r="O32" s="634"/>
      <c r="P32" s="634"/>
      <c r="Q32" s="634"/>
      <c r="R32" s="634"/>
      <c r="S32" s="634"/>
      <c r="T32" s="634"/>
      <c r="U32" s="634"/>
      <c r="V32" s="634"/>
      <c r="W32" s="634"/>
      <c r="X32" s="90"/>
      <c r="Y32" s="90"/>
      <c r="Z32" s="90"/>
      <c r="AA32" s="90"/>
      <c r="AB32" s="90"/>
      <c r="AC32" s="90"/>
      <c r="AD32" s="90"/>
      <c r="AE32" s="634"/>
      <c r="AF32" s="634"/>
      <c r="AG32" s="634"/>
      <c r="AH32" s="634"/>
      <c r="AI32" s="634"/>
      <c r="AJ32" s="634"/>
      <c r="AK32" s="634"/>
      <c r="AL32" s="73"/>
      <c r="AM32" s="73"/>
      <c r="AN32" s="73"/>
      <c r="AO32" s="90"/>
    </row>
    <row r="33" spans="1:41" ht="15">
      <c r="A33" s="73"/>
      <c r="B33" s="91" t="s">
        <v>500</v>
      </c>
      <c r="C33" s="90"/>
      <c r="D33" s="73"/>
      <c r="E33" s="634"/>
      <c r="F33" s="634"/>
      <c r="G33" s="634"/>
      <c r="H33" s="634"/>
      <c r="I33" s="634"/>
      <c r="J33" s="634"/>
      <c r="K33" s="634"/>
      <c r="L33" s="634"/>
      <c r="M33" s="634"/>
      <c r="N33" s="634"/>
      <c r="O33" s="634"/>
      <c r="P33" s="634"/>
      <c r="Q33" s="634"/>
      <c r="R33" s="634"/>
      <c r="S33" s="634"/>
      <c r="T33" s="634"/>
      <c r="U33" s="634"/>
      <c r="V33" s="634"/>
      <c r="W33" s="634"/>
      <c r="X33" s="90"/>
      <c r="Y33" s="90"/>
      <c r="Z33" s="90"/>
      <c r="AA33" s="90"/>
      <c r="AB33" s="90"/>
      <c r="AC33" s="90"/>
      <c r="AD33" s="90"/>
      <c r="AE33" s="634"/>
      <c r="AF33" s="634"/>
      <c r="AG33" s="634"/>
      <c r="AH33" s="634"/>
      <c r="AI33" s="634"/>
      <c r="AJ33" s="634"/>
      <c r="AK33" s="634"/>
      <c r="AL33" s="73"/>
      <c r="AM33" s="73"/>
      <c r="AN33" s="73"/>
      <c r="AO33" s="611"/>
    </row>
    <row r="34" spans="1:41" ht="15">
      <c r="A34" s="73"/>
      <c r="B34" s="91"/>
      <c r="C34" s="90"/>
      <c r="D34" s="73"/>
      <c r="E34" s="634"/>
      <c r="F34" s="634"/>
      <c r="G34" s="634"/>
      <c r="H34" s="634"/>
      <c r="I34" s="634"/>
      <c r="J34" s="634"/>
      <c r="K34" s="634"/>
      <c r="L34" s="634"/>
      <c r="M34" s="634"/>
      <c r="N34" s="634"/>
      <c r="O34" s="634"/>
      <c r="P34" s="634"/>
      <c r="Q34" s="634"/>
      <c r="R34" s="634"/>
      <c r="S34" s="634"/>
      <c r="T34" s="634"/>
      <c r="U34" s="634"/>
      <c r="V34" s="634"/>
      <c r="W34" s="634"/>
      <c r="X34" s="90"/>
      <c r="Y34" s="90"/>
      <c r="Z34" s="90"/>
      <c r="AA34" s="90"/>
      <c r="AB34" s="90"/>
      <c r="AC34" s="90"/>
      <c r="AD34" s="90"/>
      <c r="AE34" s="634"/>
      <c r="AF34" s="634"/>
      <c r="AG34" s="634"/>
      <c r="AH34" s="634"/>
      <c r="AI34" s="634"/>
      <c r="AJ34" s="634"/>
      <c r="AK34" s="634"/>
      <c r="AL34" s="73"/>
      <c r="AM34" s="73"/>
      <c r="AN34" s="73"/>
      <c r="AO34" s="611"/>
    </row>
    <row r="35" spans="1:41" ht="15">
      <c r="A35" s="73"/>
      <c r="B35" s="633" t="str">
        <f>+C11</f>
        <v>Maintenance 1</v>
      </c>
      <c r="C35" s="73"/>
      <c r="D35" s="73"/>
      <c r="E35" s="634">
        <f>E11*Y11</f>
        <v>50756.05</v>
      </c>
      <c r="F35" s="634"/>
      <c r="G35" s="634">
        <f>$Y11*G11</f>
        <v>3883</v>
      </c>
      <c r="H35" s="634"/>
      <c r="I35" s="634">
        <f>$Y11*I11</f>
        <v>56</v>
      </c>
      <c r="J35" s="634"/>
      <c r="K35" s="634">
        <f>$Y11*K11</f>
        <v>306.90000000000003</v>
      </c>
      <c r="L35" s="634"/>
      <c r="M35" s="634">
        <f>SUM(G35:K35)</f>
        <v>4245.8999999999996</v>
      </c>
      <c r="N35" s="634"/>
      <c r="O35" s="634">
        <f>$Y11*O11</f>
        <v>7481.8509443099274</v>
      </c>
      <c r="P35" s="634"/>
      <c r="Q35" s="635">
        <f>$Y11*Q11</f>
        <v>1522.6815000000001</v>
      </c>
      <c r="R35" s="634"/>
      <c r="S35" s="634">
        <f>$Y11*S11</f>
        <v>2030.2420000000002</v>
      </c>
      <c r="T35" s="634"/>
      <c r="U35" s="634">
        <f>$Y11*U11</f>
        <v>453.52290556900732</v>
      </c>
      <c r="V35" s="634"/>
      <c r="W35" s="635">
        <f>SUM(O35:U35)</f>
        <v>11488.297349878934</v>
      </c>
      <c r="X35" s="90"/>
      <c r="Y35" s="90"/>
      <c r="Z35" s="90"/>
      <c r="AA35" s="90"/>
      <c r="AB35" s="90"/>
      <c r="AC35" s="90"/>
      <c r="AD35" s="90"/>
      <c r="AE35" s="634"/>
      <c r="AF35" s="634"/>
      <c r="AG35" s="634"/>
      <c r="AH35" s="634"/>
      <c r="AI35" s="634"/>
      <c r="AJ35" s="634"/>
      <c r="AK35" s="634"/>
      <c r="AL35" s="73"/>
      <c r="AM35" s="73"/>
      <c r="AN35" s="73"/>
      <c r="AO35" s="611"/>
    </row>
    <row r="36" spans="1:41" ht="15">
      <c r="A36" s="73"/>
      <c r="B36" s="633" t="str">
        <f t="shared" ref="B36:B45" si="15">+C12</f>
        <v>Maintenance 2</v>
      </c>
      <c r="C36" s="73"/>
      <c r="D36" s="73"/>
      <c r="E36" s="634">
        <f>E12*Y12</f>
        <v>39906.829999999994</v>
      </c>
      <c r="F36" s="634"/>
      <c r="G36" s="634">
        <f>$Y12*G12</f>
        <v>3053</v>
      </c>
      <c r="H36" s="634"/>
      <c r="I36" s="634">
        <f>$Y12*I12</f>
        <v>56</v>
      </c>
      <c r="J36" s="634"/>
      <c r="K36" s="634">
        <f>$Y12*K12</f>
        <v>306.90000000000003</v>
      </c>
      <c r="L36" s="634"/>
      <c r="M36" s="634">
        <f>SUM(G36:K36)</f>
        <v>3415.9</v>
      </c>
      <c r="N36" s="634"/>
      <c r="O36" s="634">
        <f>$Y12*O12</f>
        <v>7481.8509443099274</v>
      </c>
      <c r="P36" s="634"/>
      <c r="Q36" s="635">
        <f>$Y12*Q12</f>
        <v>1197.2048999999997</v>
      </c>
      <c r="R36" s="634"/>
      <c r="S36" s="634">
        <f>$Y12*S12</f>
        <v>1596.2731999999999</v>
      </c>
      <c r="T36" s="634"/>
      <c r="U36" s="634">
        <f>$Y12*U12</f>
        <v>453.52290556900732</v>
      </c>
      <c r="V36" s="634"/>
      <c r="W36" s="635">
        <f>SUM(O36:U36)</f>
        <v>10728.851949878934</v>
      </c>
      <c r="X36" s="90"/>
      <c r="Y36" s="90"/>
      <c r="Z36" s="90"/>
      <c r="AA36" s="90"/>
      <c r="AB36" s="90"/>
      <c r="AC36" s="90"/>
      <c r="AD36" s="90"/>
      <c r="AE36" s="634"/>
      <c r="AF36" s="634"/>
      <c r="AG36" s="634"/>
      <c r="AH36" s="634"/>
      <c r="AI36" s="634"/>
      <c r="AJ36" s="634"/>
      <c r="AK36" s="634"/>
      <c r="AL36" s="73"/>
      <c r="AM36" s="73"/>
      <c r="AN36" s="73"/>
      <c r="AO36" s="611"/>
    </row>
    <row r="37" spans="1:41" ht="15">
      <c r="A37" s="73"/>
      <c r="B37" s="633" t="str">
        <f t="shared" si="15"/>
        <v>Maintenance 3</v>
      </c>
      <c r="C37" s="73"/>
      <c r="D37" s="73"/>
      <c r="E37" s="634">
        <f>E13*Y13</f>
        <v>32332.0625</v>
      </c>
      <c r="F37" s="634"/>
      <c r="G37" s="634">
        <f t="shared" ref="G37:G45" si="16">$Y13*G13</f>
        <v>2473</v>
      </c>
      <c r="H37" s="634"/>
      <c r="I37" s="634">
        <f t="shared" ref="I37:I45" si="17">$Y13*I13</f>
        <v>56</v>
      </c>
      <c r="J37" s="634"/>
      <c r="K37" s="634">
        <f t="shared" ref="K37:K45" si="18">$Y13*K13</f>
        <v>306.90000000000003</v>
      </c>
      <c r="L37" s="634"/>
      <c r="M37" s="634">
        <f t="shared" ref="M37:M45" si="19">SUM(G37:K37)</f>
        <v>2835.9</v>
      </c>
      <c r="N37" s="634"/>
      <c r="O37" s="634">
        <f t="shared" ref="O37:O45" si="20">$Y13*O13</f>
        <v>7481.8509443099274</v>
      </c>
      <c r="P37" s="634"/>
      <c r="Q37" s="635">
        <f t="shared" ref="Q37:Q45" si="21">$Y13*Q13</f>
        <v>969.96187499999996</v>
      </c>
      <c r="R37" s="634"/>
      <c r="S37" s="634">
        <f t="shared" ref="S37:S45" si="22">$Y13*S13</f>
        <v>1293.2825</v>
      </c>
      <c r="T37" s="634"/>
      <c r="U37" s="634">
        <f t="shared" ref="U37:U45" si="23">$Y13*U13</f>
        <v>453.52290556900732</v>
      </c>
      <c r="V37" s="634"/>
      <c r="W37" s="635">
        <f t="shared" ref="W37:W45" si="24">SUM(O37:U37)</f>
        <v>10198.618224878934</v>
      </c>
      <c r="X37" s="90"/>
      <c r="Y37" s="90"/>
      <c r="Z37" s="90"/>
      <c r="AA37" s="90"/>
      <c r="AB37" s="90"/>
      <c r="AC37" s="90"/>
      <c r="AD37" s="90"/>
      <c r="AE37" s="634"/>
      <c r="AF37" s="634"/>
      <c r="AG37" s="634"/>
      <c r="AH37" s="634"/>
      <c r="AI37" s="634"/>
      <c r="AJ37" s="634"/>
      <c r="AK37" s="634"/>
      <c r="AL37" s="73"/>
      <c r="AM37" s="73"/>
      <c r="AN37" s="73"/>
      <c r="AO37" s="611"/>
    </row>
    <row r="38" spans="1:41" ht="15">
      <c r="A38" s="73"/>
      <c r="B38" s="633" t="str">
        <f t="shared" si="15"/>
        <v>Maintenance 4</v>
      </c>
      <c r="C38" s="73"/>
      <c r="D38" s="73"/>
      <c r="E38" s="634">
        <f>E14*Y14</f>
        <v>73654.799999999988</v>
      </c>
      <c r="F38" s="634"/>
      <c r="G38" s="634">
        <f t="shared" si="16"/>
        <v>5635</v>
      </c>
      <c r="H38" s="634"/>
      <c r="I38" s="634">
        <f t="shared" si="17"/>
        <v>56</v>
      </c>
      <c r="J38" s="634"/>
      <c r="K38" s="634">
        <f t="shared" si="18"/>
        <v>306.90000000000003</v>
      </c>
      <c r="L38" s="634"/>
      <c r="M38" s="634">
        <f t="shared" si="19"/>
        <v>5997.9</v>
      </c>
      <c r="N38" s="634"/>
      <c r="O38" s="634">
        <f t="shared" si="20"/>
        <v>7481.8509443099274</v>
      </c>
      <c r="P38" s="634"/>
      <c r="Q38" s="635">
        <f t="shared" si="21"/>
        <v>2209.6439999999998</v>
      </c>
      <c r="R38" s="634"/>
      <c r="S38" s="634">
        <f t="shared" si="22"/>
        <v>2946.1919999999996</v>
      </c>
      <c r="T38" s="634"/>
      <c r="U38" s="634">
        <f t="shared" si="23"/>
        <v>453.52290556900732</v>
      </c>
      <c r="V38" s="634"/>
      <c r="W38" s="635">
        <f t="shared" si="24"/>
        <v>13091.209849878933</v>
      </c>
      <c r="X38" s="90"/>
      <c r="Y38" s="90"/>
      <c r="Z38" s="90"/>
      <c r="AA38" s="90"/>
      <c r="AB38" s="90"/>
      <c r="AC38" s="90"/>
      <c r="AD38" s="90"/>
      <c r="AE38" s="634"/>
      <c r="AF38" s="634"/>
      <c r="AG38" s="634"/>
      <c r="AH38" s="634"/>
      <c r="AI38" s="634"/>
      <c r="AJ38" s="634"/>
      <c r="AK38" s="634"/>
      <c r="AL38" s="73"/>
      <c r="AM38" s="73"/>
      <c r="AN38" s="73"/>
      <c r="AO38" s="611"/>
    </row>
    <row r="39" spans="1:41" ht="15">
      <c r="A39" s="73"/>
      <c r="B39" s="633" t="str">
        <f t="shared" si="15"/>
        <v>Maintenance 5</v>
      </c>
      <c r="C39" s="73"/>
      <c r="D39" s="73"/>
      <c r="E39" s="634">
        <f t="shared" ref="E39:E45" si="25">E15*Y15</f>
        <v>51470.21</v>
      </c>
      <c r="F39" s="634"/>
      <c r="G39" s="634">
        <f t="shared" si="16"/>
        <v>3937</v>
      </c>
      <c r="H39" s="634"/>
      <c r="I39" s="634">
        <f t="shared" si="17"/>
        <v>56</v>
      </c>
      <c r="J39" s="634"/>
      <c r="K39" s="634">
        <f t="shared" si="18"/>
        <v>306.90000000000003</v>
      </c>
      <c r="L39" s="634"/>
      <c r="M39" s="634">
        <f t="shared" si="19"/>
        <v>4299.8999999999996</v>
      </c>
      <c r="N39" s="634"/>
      <c r="O39" s="634">
        <f t="shared" si="20"/>
        <v>7481.8509443099274</v>
      </c>
      <c r="P39" s="634"/>
      <c r="Q39" s="635">
        <f t="shared" si="21"/>
        <v>1544.1062999999999</v>
      </c>
      <c r="R39" s="634"/>
      <c r="S39" s="634">
        <f t="shared" si="22"/>
        <v>2058.8083999999999</v>
      </c>
      <c r="T39" s="634"/>
      <c r="U39" s="634">
        <f t="shared" si="23"/>
        <v>453.52290556900732</v>
      </c>
      <c r="V39" s="634"/>
      <c r="W39" s="635">
        <f t="shared" si="24"/>
        <v>11538.288549878935</v>
      </c>
      <c r="X39" s="90"/>
      <c r="Y39" s="90"/>
      <c r="Z39" s="90"/>
      <c r="AA39" s="90"/>
      <c r="AB39" s="90"/>
      <c r="AC39" s="90"/>
      <c r="AD39" s="90"/>
      <c r="AE39" s="634"/>
      <c r="AF39" s="634"/>
      <c r="AG39" s="634"/>
      <c r="AH39" s="634"/>
      <c r="AI39" s="634"/>
      <c r="AJ39" s="634"/>
      <c r="AK39" s="634"/>
      <c r="AL39" s="73"/>
      <c r="AM39" s="73"/>
      <c r="AN39" s="73"/>
      <c r="AO39" s="611"/>
    </row>
    <row r="40" spans="1:41" ht="15">
      <c r="A40" s="73"/>
      <c r="B40" s="633" t="str">
        <f t="shared" si="15"/>
        <v>Maintenance 6</v>
      </c>
      <c r="C40" s="73"/>
      <c r="D40" s="73"/>
      <c r="E40" s="634">
        <f t="shared" si="25"/>
        <v>34134.1</v>
      </c>
      <c r="F40" s="634"/>
      <c r="G40" s="634">
        <f t="shared" si="16"/>
        <v>2611</v>
      </c>
      <c r="H40" s="634"/>
      <c r="I40" s="634">
        <f t="shared" si="17"/>
        <v>56</v>
      </c>
      <c r="J40" s="634"/>
      <c r="K40" s="634">
        <f t="shared" si="18"/>
        <v>306.90000000000003</v>
      </c>
      <c r="L40" s="634"/>
      <c r="M40" s="634">
        <f t="shared" si="19"/>
        <v>2973.9</v>
      </c>
      <c r="N40" s="634"/>
      <c r="O40" s="634">
        <f t="shared" si="20"/>
        <v>7481.8509443099274</v>
      </c>
      <c r="P40" s="634"/>
      <c r="Q40" s="635">
        <f t="shared" si="21"/>
        <v>1024.0229999999999</v>
      </c>
      <c r="R40" s="634"/>
      <c r="S40" s="634">
        <f t="shared" si="22"/>
        <v>1365.364</v>
      </c>
      <c r="T40" s="634"/>
      <c r="U40" s="634">
        <f t="shared" si="23"/>
        <v>453.52290556900732</v>
      </c>
      <c r="V40" s="634"/>
      <c r="W40" s="635">
        <f t="shared" si="24"/>
        <v>10324.760849878934</v>
      </c>
      <c r="X40" s="90"/>
      <c r="Y40" s="90"/>
      <c r="Z40" s="90"/>
      <c r="AA40" s="90"/>
      <c r="AB40" s="90"/>
      <c r="AC40" s="90"/>
      <c r="AD40" s="90"/>
      <c r="AE40" s="634"/>
      <c r="AF40" s="634"/>
      <c r="AG40" s="634"/>
      <c r="AH40" s="634"/>
      <c r="AI40" s="634"/>
      <c r="AJ40" s="634"/>
      <c r="AK40" s="634"/>
      <c r="AL40" s="73"/>
      <c r="AM40" s="73"/>
      <c r="AN40" s="73"/>
      <c r="AO40" s="611"/>
    </row>
    <row r="41" spans="1:41" ht="15">
      <c r="A41" s="73"/>
      <c r="B41" s="633" t="str">
        <f t="shared" si="15"/>
        <v>Maintenance 7</v>
      </c>
      <c r="C41" s="73"/>
      <c r="D41" s="73"/>
      <c r="E41" s="634">
        <f t="shared" si="25"/>
        <v>40127.425000000003</v>
      </c>
      <c r="F41" s="634"/>
      <c r="G41" s="634">
        <f t="shared" si="16"/>
        <v>3070</v>
      </c>
      <c r="H41" s="634"/>
      <c r="I41" s="634">
        <f t="shared" si="17"/>
        <v>56</v>
      </c>
      <c r="J41" s="634"/>
      <c r="K41" s="634">
        <f t="shared" si="18"/>
        <v>306.90000000000003</v>
      </c>
      <c r="L41" s="634"/>
      <c r="M41" s="634">
        <f t="shared" si="19"/>
        <v>3432.9</v>
      </c>
      <c r="N41" s="634"/>
      <c r="O41" s="634">
        <f t="shared" si="20"/>
        <v>7481.8509443099274</v>
      </c>
      <c r="P41" s="634"/>
      <c r="Q41" s="635">
        <f t="shared" si="21"/>
        <v>1203.82275</v>
      </c>
      <c r="R41" s="634"/>
      <c r="S41" s="634">
        <f t="shared" si="22"/>
        <v>1605.0970000000002</v>
      </c>
      <c r="T41" s="634"/>
      <c r="U41" s="634">
        <f t="shared" si="23"/>
        <v>453.52290556900732</v>
      </c>
      <c r="V41" s="634"/>
      <c r="W41" s="635">
        <f t="shared" si="24"/>
        <v>10744.293599878934</v>
      </c>
      <c r="X41" s="90"/>
      <c r="Y41" s="90"/>
      <c r="Z41" s="90"/>
      <c r="AA41" s="90"/>
      <c r="AB41" s="90"/>
      <c r="AC41" s="90"/>
      <c r="AD41" s="90"/>
      <c r="AE41" s="634"/>
      <c r="AF41" s="634"/>
      <c r="AG41" s="634"/>
      <c r="AH41" s="634"/>
      <c r="AI41" s="634"/>
      <c r="AJ41" s="634"/>
      <c r="AK41" s="634"/>
      <c r="AL41" s="73"/>
      <c r="AM41" s="73"/>
      <c r="AN41" s="73"/>
      <c r="AO41" s="611"/>
    </row>
    <row r="42" spans="1:41" ht="15">
      <c r="A42" s="73"/>
      <c r="B42" s="633" t="str">
        <f t="shared" si="15"/>
        <v>Maintenance 8</v>
      </c>
      <c r="C42" s="73"/>
      <c r="D42" s="73"/>
      <c r="E42" s="634">
        <f t="shared" si="25"/>
        <v>26858.28</v>
      </c>
      <c r="F42" s="634"/>
      <c r="G42" s="634">
        <f t="shared" si="16"/>
        <v>2055</v>
      </c>
      <c r="H42" s="634"/>
      <c r="I42" s="634">
        <f t="shared" si="17"/>
        <v>56</v>
      </c>
      <c r="J42" s="634"/>
      <c r="K42" s="634">
        <f t="shared" si="18"/>
        <v>306.90000000000003</v>
      </c>
      <c r="L42" s="634"/>
      <c r="M42" s="634">
        <f t="shared" si="19"/>
        <v>2417.9</v>
      </c>
      <c r="N42" s="634"/>
      <c r="O42" s="634">
        <f t="shared" si="20"/>
        <v>7481.8509443099274</v>
      </c>
      <c r="P42" s="634"/>
      <c r="Q42" s="635">
        <f t="shared" si="21"/>
        <v>805.74839999999995</v>
      </c>
      <c r="R42" s="634"/>
      <c r="S42" s="634">
        <f t="shared" si="22"/>
        <v>1074.3312000000001</v>
      </c>
      <c r="T42" s="634"/>
      <c r="U42" s="634">
        <f t="shared" si="23"/>
        <v>453.52290556900732</v>
      </c>
      <c r="V42" s="634"/>
      <c r="W42" s="635">
        <f t="shared" si="24"/>
        <v>9815.4534498789344</v>
      </c>
      <c r="X42" s="90"/>
      <c r="Y42" s="90"/>
      <c r="Z42" s="90"/>
      <c r="AA42" s="90"/>
      <c r="AB42" s="90"/>
      <c r="AC42" s="90"/>
      <c r="AD42" s="90"/>
      <c r="AE42" s="634"/>
      <c r="AF42" s="634"/>
      <c r="AG42" s="634"/>
      <c r="AH42" s="634"/>
      <c r="AI42" s="634"/>
      <c r="AJ42" s="634"/>
      <c r="AK42" s="634"/>
      <c r="AL42" s="73"/>
      <c r="AM42" s="73"/>
      <c r="AN42" s="73"/>
      <c r="AO42" s="611"/>
    </row>
    <row r="43" spans="1:41" ht="15">
      <c r="A43" s="73"/>
      <c r="B43" s="633" t="str">
        <f t="shared" si="15"/>
        <v>Maintenance 9</v>
      </c>
      <c r="C43" s="73"/>
      <c r="D43" s="73"/>
      <c r="E43" s="634">
        <f t="shared" si="25"/>
        <v>33866.157500000001</v>
      </c>
      <c r="F43" s="634"/>
      <c r="G43" s="634">
        <f t="shared" si="16"/>
        <v>2591</v>
      </c>
      <c r="H43" s="634"/>
      <c r="I43" s="634">
        <f t="shared" si="17"/>
        <v>56</v>
      </c>
      <c r="J43" s="634"/>
      <c r="K43" s="634">
        <f t="shared" si="18"/>
        <v>306.90000000000003</v>
      </c>
      <c r="L43" s="634"/>
      <c r="M43" s="634">
        <f t="shared" si="19"/>
        <v>2953.9</v>
      </c>
      <c r="N43" s="634"/>
      <c r="O43" s="634">
        <f t="shared" si="20"/>
        <v>7481.8509443099274</v>
      </c>
      <c r="P43" s="634"/>
      <c r="Q43" s="635">
        <f t="shared" si="21"/>
        <v>1015.984725</v>
      </c>
      <c r="R43" s="634"/>
      <c r="S43" s="634">
        <f t="shared" si="22"/>
        <v>1354.6463000000001</v>
      </c>
      <c r="T43" s="634"/>
      <c r="U43" s="634">
        <f t="shared" si="23"/>
        <v>453.52290556900732</v>
      </c>
      <c r="V43" s="634"/>
      <c r="W43" s="635">
        <f t="shared" si="24"/>
        <v>10306.004874878934</v>
      </c>
      <c r="X43" s="90"/>
      <c r="Y43" s="90"/>
      <c r="Z43" s="90"/>
      <c r="AA43" s="90"/>
      <c r="AB43" s="90"/>
      <c r="AC43" s="90"/>
      <c r="AD43" s="90"/>
      <c r="AE43" s="634"/>
      <c r="AF43" s="634"/>
      <c r="AG43" s="634"/>
      <c r="AH43" s="634"/>
      <c r="AI43" s="634"/>
      <c r="AJ43" s="634"/>
      <c r="AK43" s="634"/>
      <c r="AL43" s="73"/>
      <c r="AM43" s="73"/>
      <c r="AN43" s="73"/>
      <c r="AO43" s="611"/>
    </row>
    <row r="44" spans="1:41" ht="15">
      <c r="A44" s="73"/>
      <c r="B44" s="633" t="str">
        <f t="shared" si="15"/>
        <v>Maintenance 10</v>
      </c>
      <c r="C44" s="73"/>
      <c r="D44" s="73"/>
      <c r="E44" s="634">
        <f t="shared" si="25"/>
        <v>42966.3</v>
      </c>
      <c r="F44" s="634"/>
      <c r="G44" s="634">
        <f t="shared" si="16"/>
        <v>3287</v>
      </c>
      <c r="H44" s="634"/>
      <c r="I44" s="634">
        <f t="shared" si="17"/>
        <v>56</v>
      </c>
      <c r="J44" s="634"/>
      <c r="K44" s="634">
        <f t="shared" si="18"/>
        <v>306.90000000000003</v>
      </c>
      <c r="L44" s="634"/>
      <c r="M44" s="634">
        <f t="shared" si="19"/>
        <v>3649.9</v>
      </c>
      <c r="N44" s="634"/>
      <c r="O44" s="634">
        <f t="shared" si="20"/>
        <v>7481.8509443099274</v>
      </c>
      <c r="P44" s="634"/>
      <c r="Q44" s="635">
        <f t="shared" si="21"/>
        <v>1288.989</v>
      </c>
      <c r="R44" s="634"/>
      <c r="S44" s="634">
        <f t="shared" si="22"/>
        <v>1718.652</v>
      </c>
      <c r="T44" s="634"/>
      <c r="U44" s="634">
        <f t="shared" si="23"/>
        <v>453.52290556900732</v>
      </c>
      <c r="V44" s="634"/>
      <c r="W44" s="635">
        <f t="shared" si="24"/>
        <v>10943.014849878935</v>
      </c>
      <c r="X44" s="90"/>
      <c r="Y44" s="90"/>
      <c r="Z44" s="90"/>
      <c r="AA44" s="90"/>
      <c r="AB44" s="90"/>
      <c r="AC44" s="90"/>
      <c r="AD44" s="90"/>
      <c r="AE44" s="634"/>
      <c r="AF44" s="634"/>
      <c r="AG44" s="634"/>
      <c r="AH44" s="634"/>
      <c r="AI44" s="634"/>
      <c r="AJ44" s="634"/>
      <c r="AK44" s="634"/>
      <c r="AL44" s="73"/>
      <c r="AM44" s="73"/>
      <c r="AN44" s="73"/>
      <c r="AO44" s="611"/>
    </row>
    <row r="45" spans="1:41" ht="15">
      <c r="A45" s="73"/>
      <c r="B45" s="633" t="str">
        <f t="shared" si="15"/>
        <v>Maintenance 11</v>
      </c>
      <c r="C45" s="73"/>
      <c r="D45" s="73"/>
      <c r="E45" s="634">
        <f t="shared" si="25"/>
        <v>38883.308550000002</v>
      </c>
      <c r="F45" s="634"/>
      <c r="G45" s="634">
        <f t="shared" si="16"/>
        <v>2975</v>
      </c>
      <c r="H45" s="634"/>
      <c r="I45" s="634">
        <f t="shared" si="17"/>
        <v>56</v>
      </c>
      <c r="J45" s="634"/>
      <c r="K45" s="634">
        <f t="shared" si="18"/>
        <v>306.90000000000003</v>
      </c>
      <c r="L45" s="634"/>
      <c r="M45" s="634">
        <f t="shared" si="19"/>
        <v>3337.9</v>
      </c>
      <c r="N45" s="634"/>
      <c r="O45" s="634">
        <f t="shared" si="20"/>
        <v>7481.8509443099274</v>
      </c>
      <c r="P45" s="634"/>
      <c r="Q45" s="635">
        <f t="shared" si="21"/>
        <v>1166.4992565</v>
      </c>
      <c r="R45" s="634"/>
      <c r="S45" s="634">
        <f t="shared" si="22"/>
        <v>1555.3323420000002</v>
      </c>
      <c r="T45" s="634"/>
      <c r="U45" s="634">
        <f t="shared" si="23"/>
        <v>453.52290556900732</v>
      </c>
      <c r="V45" s="634"/>
      <c r="W45" s="635">
        <f t="shared" si="24"/>
        <v>10657.205448378934</v>
      </c>
      <c r="X45" s="90"/>
      <c r="Y45" s="90"/>
      <c r="Z45" s="90"/>
      <c r="AA45" s="90"/>
      <c r="AB45" s="90"/>
      <c r="AC45" s="90"/>
      <c r="AD45" s="90"/>
      <c r="AE45" s="634"/>
      <c r="AF45" s="634"/>
      <c r="AG45" s="634"/>
      <c r="AH45" s="634"/>
      <c r="AI45" s="634"/>
      <c r="AJ45" s="634"/>
      <c r="AK45" s="634"/>
      <c r="AL45" s="73"/>
      <c r="AM45" s="73"/>
      <c r="AN45" s="73"/>
      <c r="AO45" s="611"/>
    </row>
    <row r="46" spans="1:41" ht="15">
      <c r="A46" s="73"/>
      <c r="B46" s="633"/>
      <c r="C46" s="73"/>
      <c r="D46" s="73"/>
      <c r="E46" s="634"/>
      <c r="F46" s="634"/>
      <c r="G46" s="634"/>
      <c r="H46" s="634"/>
      <c r="I46" s="634"/>
      <c r="J46" s="634"/>
      <c r="K46" s="634"/>
      <c r="L46" s="634"/>
      <c r="M46" s="635"/>
      <c r="N46" s="634"/>
      <c r="O46" s="634"/>
      <c r="P46" s="634"/>
      <c r="Q46" s="634"/>
      <c r="R46" s="634"/>
      <c r="S46" s="634"/>
      <c r="T46" s="634"/>
      <c r="U46" s="634"/>
      <c r="V46" s="634"/>
      <c r="W46" s="635"/>
      <c r="X46" s="90"/>
      <c r="Y46" s="90"/>
      <c r="Z46" s="90"/>
      <c r="AA46" s="90"/>
      <c r="AB46" s="90"/>
      <c r="AC46" s="90"/>
      <c r="AD46" s="90"/>
      <c r="AE46" s="634"/>
      <c r="AF46" s="634"/>
      <c r="AG46" s="634"/>
      <c r="AH46" s="634"/>
      <c r="AI46" s="634"/>
      <c r="AJ46" s="634"/>
      <c r="AK46" s="634"/>
      <c r="AL46" s="73"/>
      <c r="AM46" s="73"/>
      <c r="AN46" s="73"/>
      <c r="AO46" s="611"/>
    </row>
    <row r="47" spans="1:41" ht="15">
      <c r="A47" s="73"/>
      <c r="B47" s="91" t="s">
        <v>590</v>
      </c>
      <c r="C47" s="73"/>
      <c r="D47" s="73"/>
      <c r="E47" s="635"/>
      <c r="F47" s="634"/>
      <c r="G47" s="634"/>
      <c r="H47" s="634"/>
      <c r="I47" s="634"/>
      <c r="J47" s="634"/>
      <c r="K47" s="634"/>
      <c r="L47" s="634"/>
      <c r="M47" s="635"/>
      <c r="N47" s="634"/>
      <c r="O47" s="634"/>
      <c r="P47" s="634"/>
      <c r="Q47" s="634"/>
      <c r="R47" s="634"/>
      <c r="S47" s="634"/>
      <c r="T47" s="634"/>
      <c r="U47" s="634"/>
      <c r="V47" s="634"/>
      <c r="W47" s="635"/>
      <c r="X47" s="90"/>
      <c r="Y47" s="90"/>
      <c r="Z47" s="90"/>
      <c r="AA47" s="90"/>
      <c r="AB47" s="90"/>
      <c r="AC47" s="90"/>
      <c r="AD47" s="90"/>
      <c r="AE47" s="634"/>
      <c r="AF47" s="634"/>
      <c r="AG47" s="634"/>
      <c r="AH47" s="634"/>
      <c r="AI47" s="634"/>
      <c r="AJ47" s="634"/>
      <c r="AK47" s="634"/>
      <c r="AL47" s="73"/>
      <c r="AM47" s="73"/>
      <c r="AN47" s="73"/>
      <c r="AO47" s="611"/>
    </row>
    <row r="48" spans="1:41" ht="15">
      <c r="A48" s="73"/>
      <c r="B48" s="633" t="str">
        <f>C24</f>
        <v>Supervisory 1</v>
      </c>
      <c r="C48" s="73"/>
      <c r="D48" s="73"/>
      <c r="E48" s="634">
        <f>E24*Y24</f>
        <v>27058.260500668377</v>
      </c>
      <c r="F48" s="634"/>
      <c r="G48" s="634">
        <f>$Y24*G24</f>
        <v>1920.4507782089706</v>
      </c>
      <c r="H48" s="634"/>
      <c r="I48" s="634">
        <f>$Y24*I24</f>
        <v>12.139659507811531</v>
      </c>
      <c r="J48" s="634"/>
      <c r="K48" s="634">
        <f>$Y24*K24</f>
        <v>66.529669695488565</v>
      </c>
      <c r="L48" s="634"/>
      <c r="M48" s="634">
        <f>SUM(G48:K48)</f>
        <v>1999.1201074122707</v>
      </c>
      <c r="N48" s="634"/>
      <c r="O48" s="634">
        <f>$Y24*O24</f>
        <v>1621.912909859298</v>
      </c>
      <c r="P48" s="634"/>
      <c r="Q48" s="634">
        <f>$Y24*Q24</f>
        <v>811.74781502005123</v>
      </c>
      <c r="R48" s="634"/>
      <c r="S48" s="634">
        <f>$Y24*S24</f>
        <v>1082.3304200267353</v>
      </c>
      <c r="T48" s="634"/>
      <c r="U48" s="634">
        <f>$Y24*U24</f>
        <v>98.314529510734118</v>
      </c>
      <c r="V48" s="634"/>
      <c r="W48" s="635">
        <f>SUM(O48:U48)</f>
        <v>3614.3056744168189</v>
      </c>
      <c r="X48" s="90"/>
      <c r="Y48" s="90"/>
      <c r="Z48" s="90"/>
      <c r="AA48" s="90"/>
      <c r="AB48" s="90"/>
      <c r="AC48" s="90"/>
      <c r="AD48" s="90"/>
      <c r="AE48" s="634"/>
      <c r="AF48" s="634"/>
      <c r="AG48" s="634"/>
      <c r="AH48" s="634"/>
      <c r="AI48" s="634"/>
      <c r="AJ48" s="634"/>
      <c r="AK48" s="634"/>
      <c r="AL48" s="73"/>
      <c r="AM48" s="73"/>
      <c r="AN48" s="73"/>
      <c r="AO48" s="611"/>
    </row>
    <row r="49" spans="1:41" ht="15">
      <c r="A49" s="73"/>
      <c r="B49" s="633" t="str">
        <f>C25</f>
        <v>Supervisory 2</v>
      </c>
      <c r="C49" s="73"/>
      <c r="D49" s="73"/>
      <c r="E49" s="634">
        <f>E25*Y25</f>
        <v>12908.142308423143</v>
      </c>
      <c r="F49" s="634"/>
      <c r="G49" s="634">
        <f>$Y25*G25</f>
        <v>679.04716206776186</v>
      </c>
      <c r="H49" s="634"/>
      <c r="I49" s="634">
        <f>$Y25*I25</f>
        <v>3.9073819436698178</v>
      </c>
      <c r="J49" s="634"/>
      <c r="K49" s="634">
        <f>$Y25*K25</f>
        <v>21.413848544861914</v>
      </c>
      <c r="L49" s="634"/>
      <c r="M49" s="634">
        <f>SUM(G49:K49)</f>
        <v>704.36839255629366</v>
      </c>
      <c r="N49" s="634"/>
      <c r="O49" s="634">
        <f>$Y25*O25</f>
        <v>522.04373723259971</v>
      </c>
      <c r="P49" s="634"/>
      <c r="Q49" s="634">
        <f>$Y25*Q25</f>
        <v>387.24426925269427</v>
      </c>
      <c r="R49" s="634"/>
      <c r="S49" s="634">
        <f>$Y25*S25</f>
        <v>516.32569233692573</v>
      </c>
      <c r="T49" s="634"/>
      <c r="U49" s="634">
        <f>$Y25*U25</f>
        <v>31.644414504660912</v>
      </c>
      <c r="V49" s="634"/>
      <c r="W49" s="635">
        <f>SUM(O49:U49)</f>
        <v>1457.2581133268807</v>
      </c>
      <c r="X49" s="90"/>
      <c r="Y49" s="90"/>
      <c r="Z49" s="90"/>
      <c r="AA49" s="90"/>
      <c r="AB49" s="90"/>
      <c r="AC49" s="90"/>
      <c r="AD49" s="90"/>
      <c r="AE49" s="634"/>
      <c r="AF49" s="634"/>
      <c r="AG49" s="634"/>
      <c r="AH49" s="634"/>
      <c r="AI49" s="634"/>
      <c r="AJ49" s="634"/>
      <c r="AK49" s="634"/>
      <c r="AL49" s="73"/>
      <c r="AM49" s="73"/>
      <c r="AN49" s="73"/>
      <c r="AO49" s="611"/>
    </row>
    <row r="50" spans="1:41" ht="15">
      <c r="A50" s="73"/>
      <c r="B50" s="633" t="str">
        <f>C26</f>
        <v>Supervisory 3</v>
      </c>
      <c r="C50" s="73"/>
      <c r="D50" s="73"/>
      <c r="E50" s="634">
        <f>E26*Y26</f>
        <v>4878.1709875745846</v>
      </c>
      <c r="F50" s="634"/>
      <c r="G50" s="634">
        <f>$Y26*G26</f>
        <v>373.15497562046761</v>
      </c>
      <c r="H50" s="634"/>
      <c r="I50" s="634">
        <f>$Y26*I26</f>
        <v>3.9073819436698178</v>
      </c>
      <c r="J50" s="634"/>
      <c r="K50" s="634">
        <f>$Y26*K26</f>
        <v>21.413848544861914</v>
      </c>
      <c r="L50" s="634"/>
      <c r="M50" s="634">
        <f>SUM(G50:K50)</f>
        <v>398.47620610899935</v>
      </c>
      <c r="N50" s="634"/>
      <c r="O50" s="634">
        <f>$Y26*O26</f>
        <v>522.04373723259971</v>
      </c>
      <c r="P50" s="634"/>
      <c r="Q50" s="634">
        <f>$Y26*Q26</f>
        <v>146.34512962723753</v>
      </c>
      <c r="R50" s="634"/>
      <c r="S50" s="634">
        <f>$Y26*S26</f>
        <v>195.12683950298342</v>
      </c>
      <c r="T50" s="634"/>
      <c r="U50" s="634">
        <f>$Y26*U26</f>
        <v>31.644414504660912</v>
      </c>
      <c r="V50" s="634"/>
      <c r="W50" s="635">
        <f>SUM(O50:U50)</f>
        <v>895.16012086748151</v>
      </c>
      <c r="X50" s="90"/>
      <c r="Y50" s="90"/>
      <c r="Z50" s="90"/>
      <c r="AA50" s="90"/>
      <c r="AB50" s="90"/>
      <c r="AC50" s="90"/>
      <c r="AD50" s="90"/>
      <c r="AE50" s="634"/>
      <c r="AF50" s="634"/>
      <c r="AG50" s="634"/>
      <c r="AH50" s="634"/>
      <c r="AI50" s="634"/>
      <c r="AJ50" s="634"/>
      <c r="AK50" s="634"/>
      <c r="AL50" s="73"/>
      <c r="AM50" s="73"/>
      <c r="AN50" s="73"/>
      <c r="AO50" s="611"/>
    </row>
    <row r="51" spans="1:41" ht="15">
      <c r="A51" s="73"/>
      <c r="B51" s="633" t="str">
        <f>C27</f>
        <v>Supervisory 4</v>
      </c>
      <c r="C51" s="73"/>
      <c r="D51" s="73"/>
      <c r="E51" s="634">
        <f>E27*Y27</f>
        <v>5052.1778694746117</v>
      </c>
      <c r="F51" s="634"/>
      <c r="G51" s="634">
        <f>$Y27*G27</f>
        <v>386.48193903548429</v>
      </c>
      <c r="H51" s="634"/>
      <c r="I51" s="634">
        <f>$Y27*I27</f>
        <v>3.9073819436698178</v>
      </c>
      <c r="J51" s="634"/>
      <c r="K51" s="634">
        <f>$Y27*K27</f>
        <v>21.413848544861914</v>
      </c>
      <c r="L51" s="634"/>
      <c r="M51" s="634">
        <f>SUM(G51:K51)</f>
        <v>411.80316952401603</v>
      </c>
      <c r="N51" s="634"/>
      <c r="O51" s="634">
        <f>$Y27*O27</f>
        <v>522.04373723259971</v>
      </c>
      <c r="P51" s="634"/>
      <c r="Q51" s="634">
        <f>$Y27*Q27</f>
        <v>151.56533608423837</v>
      </c>
      <c r="R51" s="634"/>
      <c r="S51" s="634">
        <f>$Y27*S27</f>
        <v>202.08711477898447</v>
      </c>
      <c r="T51" s="634"/>
      <c r="U51" s="634">
        <f>$Y27*U27</f>
        <v>31.644414504660912</v>
      </c>
      <c r="V51" s="634"/>
      <c r="W51" s="635">
        <f>SUM(O51:U51)</f>
        <v>907.34060260048329</v>
      </c>
      <c r="X51" s="90"/>
      <c r="Y51" s="90"/>
      <c r="Z51" s="90"/>
      <c r="AA51" s="90"/>
      <c r="AB51" s="90"/>
      <c r="AC51" s="90"/>
      <c r="AD51" s="90"/>
      <c r="AE51" s="634"/>
      <c r="AF51" s="634"/>
      <c r="AG51" s="634"/>
      <c r="AH51" s="634"/>
      <c r="AI51" s="634"/>
      <c r="AJ51" s="634"/>
      <c r="AK51" s="634"/>
      <c r="AL51" s="73"/>
      <c r="AM51" s="73"/>
      <c r="AN51" s="73"/>
      <c r="AO51" s="611"/>
    </row>
    <row r="52" spans="1:41" ht="15">
      <c r="A52" s="73"/>
      <c r="B52" s="633" t="str">
        <f>C28</f>
        <v>Supervisory 5</v>
      </c>
      <c r="C52" s="73"/>
      <c r="D52" s="73"/>
      <c r="E52" s="642">
        <f>E28*Y28</f>
        <v>4246.7994671937986</v>
      </c>
      <c r="F52" s="642"/>
      <c r="G52" s="642">
        <f>$Y28*G28</f>
        <v>324.87089874511912</v>
      </c>
      <c r="H52" s="642"/>
      <c r="I52" s="642">
        <f>$Y28*I28</f>
        <v>3.9073819436698178</v>
      </c>
      <c r="J52" s="642"/>
      <c r="K52" s="642">
        <f>$Y28*K28</f>
        <v>21.413848544861914</v>
      </c>
      <c r="L52" s="642"/>
      <c r="M52" s="642">
        <f>SUM(G52:K52)</f>
        <v>350.19212923365086</v>
      </c>
      <c r="N52" s="642"/>
      <c r="O52" s="642">
        <f>$Y28*O28</f>
        <v>522.04373723259971</v>
      </c>
      <c r="P52" s="642"/>
      <c r="Q52" s="642">
        <f>$Y28*Q28</f>
        <v>127.40398401581396</v>
      </c>
      <c r="R52" s="642"/>
      <c r="S52" s="642">
        <f>$Y28*S28</f>
        <v>169.87197868775195</v>
      </c>
      <c r="T52" s="642"/>
      <c r="U52" s="642">
        <f>$Y28*U28</f>
        <v>31.644414504660912</v>
      </c>
      <c r="V52" s="642"/>
      <c r="W52" s="642">
        <f>SUM(O52:U52)</f>
        <v>850.96411444082651</v>
      </c>
      <c r="X52" s="90"/>
      <c r="Y52" s="90"/>
      <c r="Z52" s="90"/>
      <c r="AA52" s="90"/>
      <c r="AB52" s="90"/>
      <c r="AC52" s="90"/>
      <c r="AD52" s="90"/>
      <c r="AE52" s="634"/>
      <c r="AF52" s="634"/>
      <c r="AG52" s="634"/>
      <c r="AH52" s="634"/>
      <c r="AI52" s="634"/>
      <c r="AJ52" s="634"/>
      <c r="AK52" s="634"/>
      <c r="AL52" s="73"/>
      <c r="AM52" s="73"/>
      <c r="AN52" s="73"/>
      <c r="AO52" s="611"/>
    </row>
    <row r="53" spans="1:41" ht="15">
      <c r="A53" s="73"/>
      <c r="B53" s="72" t="s">
        <v>74</v>
      </c>
      <c r="C53" s="73"/>
      <c r="D53" s="73"/>
      <c r="E53" s="634">
        <f>SUM(E35:E52)</f>
        <v>519099.07468333439</v>
      </c>
      <c r="F53" s="634"/>
      <c r="G53" s="634">
        <f t="shared" ref="G53:W53" si="26">SUM(G35:G52)</f>
        <v>39254.005753677804</v>
      </c>
      <c r="H53" s="634">
        <f t="shared" si="26"/>
        <v>0</v>
      </c>
      <c r="I53" s="634">
        <f t="shared" si="26"/>
        <v>643.76918728249098</v>
      </c>
      <c r="J53" s="634">
        <f t="shared" si="26"/>
        <v>0</v>
      </c>
      <c r="K53" s="634">
        <f t="shared" si="26"/>
        <v>3528.0850638749371</v>
      </c>
      <c r="L53" s="634"/>
      <c r="M53" s="634">
        <f t="shared" si="26"/>
        <v>43425.860004835238</v>
      </c>
      <c r="N53" s="634">
        <f t="shared" si="26"/>
        <v>0</v>
      </c>
      <c r="O53" s="634">
        <f t="shared" si="26"/>
        <v>86010.448246198896</v>
      </c>
      <c r="P53" s="634">
        <f t="shared" si="26"/>
        <v>0</v>
      </c>
      <c r="Q53" s="634">
        <f t="shared" si="26"/>
        <v>15572.972240500036</v>
      </c>
      <c r="R53" s="634">
        <f t="shared" si="26"/>
        <v>0</v>
      </c>
      <c r="S53" s="634">
        <f t="shared" si="26"/>
        <v>20763.96298733338</v>
      </c>
      <c r="T53" s="634">
        <f t="shared" si="26"/>
        <v>0</v>
      </c>
      <c r="U53" s="634">
        <f t="shared" si="26"/>
        <v>5213.6441487884576</v>
      </c>
      <c r="V53" s="634">
        <f t="shared" si="26"/>
        <v>0</v>
      </c>
      <c r="W53" s="634">
        <f t="shared" si="26"/>
        <v>127561.02762282077</v>
      </c>
      <c r="X53" s="90"/>
      <c r="Y53" s="90"/>
      <c r="Z53" s="90"/>
      <c r="AA53" s="90"/>
      <c r="AB53" s="90"/>
      <c r="AC53" s="90"/>
      <c r="AD53" s="90"/>
      <c r="AE53" s="634"/>
      <c r="AF53" s="634"/>
      <c r="AG53" s="634"/>
      <c r="AH53" s="634"/>
      <c r="AI53" s="634"/>
      <c r="AJ53" s="634"/>
      <c r="AK53" s="634"/>
      <c r="AL53" s="73"/>
      <c r="AM53" s="73"/>
      <c r="AN53" s="73"/>
      <c r="AO53" s="611"/>
    </row>
    <row r="54" spans="1:41" ht="15">
      <c r="A54" s="73"/>
      <c r="B54" s="90"/>
      <c r="C54" s="90"/>
      <c r="D54" s="73"/>
      <c r="E54" s="634"/>
      <c r="F54" s="634"/>
      <c r="G54" s="634"/>
      <c r="H54" s="634"/>
      <c r="I54" s="634"/>
      <c r="J54" s="634"/>
      <c r="K54" s="634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4"/>
      <c r="X54" s="90"/>
      <c r="Y54" s="90"/>
      <c r="Z54" s="90"/>
      <c r="AA54" s="90"/>
      <c r="AB54" s="90"/>
      <c r="AC54" s="90"/>
      <c r="AD54" s="90"/>
      <c r="AE54" s="634"/>
      <c r="AF54" s="634"/>
      <c r="AG54" s="634"/>
      <c r="AH54" s="634"/>
      <c r="AI54" s="634"/>
      <c r="AJ54" s="634"/>
      <c r="AK54" s="634"/>
      <c r="AL54" s="73"/>
      <c r="AM54" s="73"/>
      <c r="AN54" s="73"/>
      <c r="AO54" s="611"/>
    </row>
    <row r="55" spans="1:41" ht="15" hidden="1">
      <c r="A55" s="648"/>
      <c r="B55" s="648"/>
      <c r="C55" s="649"/>
      <c r="D55" s="648"/>
      <c r="E55" s="650"/>
      <c r="F55" s="651"/>
      <c r="G55" s="651"/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  <c r="T55" s="651"/>
      <c r="U55" s="651"/>
      <c r="V55" s="651"/>
      <c r="W55" s="651"/>
      <c r="X55" s="648"/>
      <c r="Y55" s="93"/>
      <c r="Z55" s="93"/>
      <c r="AA55" s="93"/>
      <c r="AB55" s="93"/>
      <c r="AC55" s="93"/>
      <c r="AD55" s="93"/>
      <c r="AE55" s="652"/>
      <c r="AF55" s="652"/>
      <c r="AG55" s="652"/>
      <c r="AH55" s="651"/>
      <c r="AI55" s="651"/>
      <c r="AJ55" s="651"/>
      <c r="AK55" s="651"/>
      <c r="AL55" s="648"/>
      <c r="AM55" s="648"/>
      <c r="AN55" s="648"/>
      <c r="AO55" s="648"/>
    </row>
    <row r="56" spans="1:41" ht="15" hidden="1">
      <c r="A56" s="73"/>
      <c r="B56" s="72"/>
      <c r="C56" s="653"/>
      <c r="D56" s="90"/>
      <c r="E56" s="634"/>
      <c r="F56" s="635"/>
      <c r="G56" s="634"/>
      <c r="H56" s="635"/>
      <c r="I56" s="634"/>
      <c r="J56" s="635"/>
      <c r="K56" s="634"/>
      <c r="L56" s="635"/>
      <c r="M56" s="634"/>
      <c r="N56" s="635"/>
      <c r="O56" s="634"/>
      <c r="P56" s="635"/>
      <c r="Q56" s="634"/>
      <c r="R56" s="635"/>
      <c r="S56" s="634"/>
      <c r="T56" s="635"/>
      <c r="U56" s="634"/>
      <c r="V56" s="634"/>
      <c r="W56" s="634"/>
      <c r="X56" s="73"/>
      <c r="Y56" s="90"/>
      <c r="Z56" s="90"/>
      <c r="AA56" s="90"/>
      <c r="AB56" s="90"/>
      <c r="AC56" s="90"/>
      <c r="AD56" s="90"/>
      <c r="AE56" s="634"/>
      <c r="AF56" s="634"/>
      <c r="AG56" s="634"/>
      <c r="AH56" s="634"/>
      <c r="AI56" s="634"/>
      <c r="AJ56" s="634"/>
      <c r="AK56" s="634"/>
      <c r="AL56" s="90"/>
      <c r="AM56" s="90"/>
      <c r="AN56" s="90"/>
      <c r="AO56" s="611"/>
    </row>
    <row r="57" spans="1:41" ht="15" hidden="1">
      <c r="A57" s="73"/>
      <c r="B57" s="72"/>
      <c r="C57" s="90"/>
      <c r="D57" s="90"/>
      <c r="E57" s="634"/>
      <c r="F57" s="635"/>
      <c r="G57" s="634"/>
      <c r="H57" s="635"/>
      <c r="I57" s="634"/>
      <c r="J57" s="635"/>
      <c r="K57" s="634"/>
      <c r="L57" s="635"/>
      <c r="M57" s="634"/>
      <c r="N57" s="635"/>
      <c r="O57" s="634"/>
      <c r="P57" s="635"/>
      <c r="Q57" s="634"/>
      <c r="R57" s="635"/>
      <c r="S57" s="634"/>
      <c r="T57" s="635"/>
      <c r="U57" s="634"/>
      <c r="V57" s="634"/>
      <c r="W57" s="634"/>
      <c r="X57" s="73"/>
      <c r="Y57" s="90"/>
      <c r="Z57" s="90"/>
      <c r="AA57" s="90"/>
      <c r="AB57" s="90"/>
      <c r="AC57" s="90"/>
      <c r="AD57" s="90"/>
      <c r="AE57" s="634"/>
      <c r="AF57" s="634"/>
      <c r="AG57" s="634"/>
      <c r="AH57" s="634"/>
      <c r="AI57" s="634"/>
      <c r="AJ57" s="634"/>
      <c r="AK57" s="634"/>
      <c r="AL57" s="90"/>
      <c r="AM57" s="90"/>
      <c r="AN57" s="90"/>
      <c r="AO57" s="611"/>
    </row>
    <row r="58" spans="1:41" ht="15" hidden="1">
      <c r="A58" s="73"/>
      <c r="B58" s="72"/>
      <c r="C58" s="90"/>
      <c r="D58" s="90"/>
      <c r="E58" s="634"/>
      <c r="F58" s="635"/>
      <c r="G58" s="634"/>
      <c r="H58" s="635"/>
      <c r="I58" s="634"/>
      <c r="J58" s="635"/>
      <c r="K58" s="634"/>
      <c r="L58" s="635"/>
      <c r="M58" s="634"/>
      <c r="N58" s="635"/>
      <c r="O58" s="634"/>
      <c r="P58" s="635"/>
      <c r="Q58" s="634"/>
      <c r="R58" s="635"/>
      <c r="S58" s="634"/>
      <c r="T58" s="635"/>
      <c r="U58" s="634"/>
      <c r="V58" s="634"/>
      <c r="W58" s="634"/>
      <c r="X58" s="73"/>
      <c r="Y58" s="90"/>
      <c r="Z58" s="90"/>
      <c r="AA58" s="90"/>
      <c r="AB58" s="90"/>
      <c r="AC58" s="90"/>
      <c r="AD58" s="90"/>
      <c r="AE58" s="634"/>
      <c r="AF58" s="634"/>
      <c r="AG58" s="634"/>
      <c r="AH58" s="634"/>
      <c r="AI58" s="634"/>
      <c r="AJ58" s="634"/>
      <c r="AK58" s="634"/>
      <c r="AL58" s="90"/>
      <c r="AM58" s="90"/>
      <c r="AN58" s="90"/>
      <c r="AO58" s="611"/>
    </row>
    <row r="59" spans="1:41" ht="15" hidden="1">
      <c r="A59" s="73"/>
      <c r="B59" s="72"/>
      <c r="C59" s="73"/>
      <c r="D59" s="73"/>
      <c r="E59" s="634"/>
      <c r="F59" s="635"/>
      <c r="G59" s="634"/>
      <c r="H59" s="635"/>
      <c r="I59" s="634"/>
      <c r="J59" s="635"/>
      <c r="K59" s="634"/>
      <c r="L59" s="635"/>
      <c r="M59" s="634"/>
      <c r="N59" s="635"/>
      <c r="O59" s="634"/>
      <c r="P59" s="635"/>
      <c r="Q59" s="634"/>
      <c r="R59" s="635"/>
      <c r="S59" s="634"/>
      <c r="T59" s="635"/>
      <c r="U59" s="634"/>
      <c r="V59" s="634"/>
      <c r="W59" s="634"/>
      <c r="X59" s="73"/>
      <c r="Y59" s="90"/>
      <c r="Z59" s="90"/>
      <c r="AA59" s="90"/>
      <c r="AB59" s="90"/>
      <c r="AC59" s="90"/>
      <c r="AD59" s="90"/>
      <c r="AE59" s="634"/>
      <c r="AF59" s="634"/>
      <c r="AG59" s="634"/>
      <c r="AH59" s="634"/>
      <c r="AI59" s="634"/>
      <c r="AJ59" s="634"/>
      <c r="AK59" s="634"/>
      <c r="AL59" s="90"/>
      <c r="AM59" s="90"/>
      <c r="AN59" s="90"/>
      <c r="AO59" s="611"/>
    </row>
    <row r="60" spans="1:41" ht="15" hidden="1">
      <c r="A60" s="73"/>
      <c r="B60" s="73"/>
      <c r="C60" s="73"/>
      <c r="D60" s="73"/>
      <c r="E60" s="634"/>
      <c r="F60" s="634"/>
      <c r="G60" s="635"/>
      <c r="H60" s="635"/>
      <c r="I60" s="635"/>
      <c r="J60" s="635"/>
      <c r="K60" s="634"/>
      <c r="L60" s="635"/>
      <c r="M60" s="635"/>
      <c r="N60" s="635"/>
      <c r="O60" s="635"/>
      <c r="P60" s="635"/>
      <c r="Q60" s="635"/>
      <c r="R60" s="635"/>
      <c r="S60" s="635"/>
      <c r="T60" s="635"/>
      <c r="U60" s="635"/>
      <c r="V60" s="635"/>
      <c r="W60" s="635"/>
      <c r="X60" s="73"/>
      <c r="Y60" s="654"/>
      <c r="Z60" s="90"/>
      <c r="AA60" s="90"/>
      <c r="AB60" s="90"/>
      <c r="AC60" s="90"/>
      <c r="AD60" s="90"/>
      <c r="AE60" s="634"/>
      <c r="AF60" s="634"/>
      <c r="AG60" s="634"/>
      <c r="AH60" s="634"/>
      <c r="AI60" s="634"/>
      <c r="AJ60" s="634"/>
      <c r="AK60" s="635"/>
      <c r="AL60" s="90"/>
      <c r="AM60" s="90"/>
      <c r="AN60" s="90"/>
      <c r="AO60" s="611"/>
    </row>
    <row r="61" spans="1:41" ht="15" hidden="1">
      <c r="A61" s="90"/>
      <c r="B61" s="90"/>
      <c r="C61" s="90"/>
      <c r="D61" s="90"/>
      <c r="E61" s="634"/>
      <c r="F61" s="634"/>
      <c r="G61" s="635"/>
      <c r="H61" s="635"/>
      <c r="I61" s="635"/>
      <c r="J61" s="635"/>
      <c r="K61" s="634"/>
      <c r="L61" s="635"/>
      <c r="M61" s="635"/>
      <c r="N61" s="635"/>
      <c r="O61" s="635"/>
      <c r="P61" s="635"/>
      <c r="Q61" s="635"/>
      <c r="R61" s="635"/>
      <c r="S61" s="635"/>
      <c r="T61" s="635"/>
      <c r="U61" s="635"/>
      <c r="V61" s="635"/>
      <c r="W61" s="635"/>
      <c r="X61" s="90"/>
      <c r="Y61" s="636"/>
      <c r="Z61" s="613"/>
      <c r="AA61" s="637"/>
      <c r="AB61" s="87"/>
      <c r="AC61" s="621"/>
      <c r="AD61" s="73"/>
      <c r="AE61" s="634"/>
      <c r="AF61" s="634"/>
      <c r="AG61" s="634"/>
      <c r="AH61" s="635"/>
      <c r="AI61" s="634"/>
      <c r="AJ61" s="635"/>
      <c r="AK61" s="635"/>
      <c r="AL61" s="90"/>
      <c r="AM61" s="90"/>
      <c r="AN61" s="90"/>
      <c r="AO61" s="623"/>
    </row>
    <row r="62" spans="1:41" ht="15" hidden="1">
      <c r="A62" s="90"/>
      <c r="B62" s="90"/>
      <c r="C62" s="90"/>
      <c r="D62" s="90"/>
      <c r="E62" s="634"/>
      <c r="F62" s="634"/>
      <c r="G62" s="635"/>
      <c r="H62" s="635"/>
      <c r="I62" s="635"/>
      <c r="J62" s="635"/>
      <c r="K62" s="634"/>
      <c r="L62" s="635"/>
      <c r="M62" s="635"/>
      <c r="N62" s="635"/>
      <c r="O62" s="635"/>
      <c r="P62" s="635"/>
      <c r="Q62" s="635"/>
      <c r="R62" s="635"/>
      <c r="S62" s="635"/>
      <c r="T62" s="635"/>
      <c r="U62" s="635"/>
      <c r="V62" s="635"/>
      <c r="W62" s="635"/>
      <c r="X62" s="90"/>
      <c r="Y62" s="636"/>
      <c r="Z62" s="613"/>
      <c r="AA62" s="637"/>
      <c r="AB62" s="87"/>
      <c r="AC62" s="621"/>
      <c r="AD62" s="73"/>
      <c r="AE62" s="634"/>
      <c r="AF62" s="634"/>
      <c r="AG62" s="634"/>
      <c r="AH62" s="635"/>
      <c r="AI62" s="634"/>
      <c r="AJ62" s="635"/>
      <c r="AK62" s="635"/>
      <c r="AL62" s="90"/>
      <c r="AM62" s="90"/>
      <c r="AN62" s="90"/>
      <c r="AO62" s="623"/>
    </row>
    <row r="63" spans="1:41" ht="15" hidden="1">
      <c r="A63" s="90"/>
      <c r="B63" s="90"/>
      <c r="C63" s="90"/>
      <c r="D63" s="90"/>
      <c r="E63" s="634"/>
      <c r="F63" s="634"/>
      <c r="G63" s="635"/>
      <c r="H63" s="635"/>
      <c r="I63" s="635"/>
      <c r="J63" s="635"/>
      <c r="K63" s="634"/>
      <c r="L63" s="635"/>
      <c r="M63" s="635"/>
      <c r="N63" s="635"/>
      <c r="O63" s="635"/>
      <c r="P63" s="635"/>
      <c r="Q63" s="635"/>
      <c r="R63" s="635"/>
      <c r="S63" s="635"/>
      <c r="T63" s="635"/>
      <c r="U63" s="635"/>
      <c r="V63" s="635"/>
      <c r="W63" s="635"/>
      <c r="X63" s="90"/>
      <c r="Y63" s="636"/>
      <c r="Z63" s="613"/>
      <c r="AA63" s="637"/>
      <c r="AB63" s="87"/>
      <c r="AC63" s="621"/>
      <c r="AD63" s="73"/>
      <c r="AE63" s="634"/>
      <c r="AF63" s="634"/>
      <c r="AG63" s="634"/>
      <c r="AH63" s="634"/>
      <c r="AI63" s="634"/>
      <c r="AJ63" s="634"/>
      <c r="AK63" s="634"/>
      <c r="AL63" s="90"/>
      <c r="AM63" s="90"/>
      <c r="AN63" s="90"/>
      <c r="AO63" s="623"/>
    </row>
    <row r="64" spans="1:41" ht="15" hidden="1">
      <c r="A64" s="90"/>
      <c r="B64" s="604"/>
      <c r="C64" s="90"/>
      <c r="D64" s="90"/>
      <c r="E64" s="634"/>
      <c r="F64" s="634"/>
      <c r="G64" s="635"/>
      <c r="H64" s="635"/>
      <c r="I64" s="635"/>
      <c r="J64" s="635"/>
      <c r="K64" s="634"/>
      <c r="L64" s="635"/>
      <c r="M64" s="635"/>
      <c r="N64" s="635"/>
      <c r="O64" s="635"/>
      <c r="P64" s="635"/>
      <c r="Q64" s="635"/>
      <c r="R64" s="635"/>
      <c r="S64" s="635"/>
      <c r="T64" s="635"/>
      <c r="U64" s="635"/>
      <c r="V64" s="635"/>
      <c r="W64" s="635"/>
      <c r="X64" s="90"/>
      <c r="Y64" s="636"/>
      <c r="Z64" s="613"/>
      <c r="AA64" s="637"/>
      <c r="AB64" s="87"/>
      <c r="AC64" s="621"/>
      <c r="AD64" s="73"/>
      <c r="AE64" s="634"/>
      <c r="AF64" s="634"/>
      <c r="AG64" s="634"/>
      <c r="AH64" s="635"/>
      <c r="AI64" s="634"/>
      <c r="AJ64" s="635"/>
      <c r="AK64" s="634"/>
      <c r="AL64" s="90"/>
      <c r="AM64" s="90"/>
      <c r="AN64" s="90"/>
      <c r="AO64" s="623"/>
    </row>
    <row r="65" spans="1:41" ht="15" hidden="1">
      <c r="A65" s="90"/>
      <c r="B65" s="604"/>
      <c r="C65" s="90"/>
      <c r="D65" s="90"/>
      <c r="E65" s="634"/>
      <c r="F65" s="634"/>
      <c r="G65" s="635"/>
      <c r="H65" s="635"/>
      <c r="I65" s="635"/>
      <c r="J65" s="635"/>
      <c r="K65" s="634"/>
      <c r="L65" s="635"/>
      <c r="M65" s="635"/>
      <c r="N65" s="635"/>
      <c r="O65" s="635"/>
      <c r="P65" s="635"/>
      <c r="Q65" s="635"/>
      <c r="R65" s="635"/>
      <c r="S65" s="635"/>
      <c r="T65" s="635"/>
      <c r="U65" s="635"/>
      <c r="V65" s="635"/>
      <c r="W65" s="635"/>
      <c r="X65" s="90"/>
      <c r="Y65" s="636"/>
      <c r="Z65" s="613"/>
      <c r="AA65" s="637"/>
      <c r="AB65" s="87"/>
      <c r="AC65" s="621"/>
      <c r="AD65" s="90"/>
      <c r="AE65" s="634"/>
      <c r="AF65" s="634"/>
      <c r="AG65" s="634"/>
      <c r="AH65" s="634"/>
      <c r="AI65" s="634"/>
      <c r="AJ65" s="634"/>
      <c r="AK65" s="634"/>
      <c r="AL65" s="90"/>
      <c r="AM65" s="90"/>
      <c r="AN65" s="90"/>
      <c r="AO65" s="623"/>
    </row>
    <row r="66" spans="1:41" ht="15" hidden="1">
      <c r="A66" s="90"/>
      <c r="B66" s="655"/>
      <c r="C66" s="90"/>
      <c r="D66" s="90"/>
      <c r="E66" s="634"/>
      <c r="F66" s="634"/>
      <c r="G66" s="635"/>
      <c r="H66" s="635"/>
      <c r="I66" s="635"/>
      <c r="J66" s="635"/>
      <c r="K66" s="634"/>
      <c r="L66" s="635"/>
      <c r="M66" s="635"/>
      <c r="N66" s="635"/>
      <c r="O66" s="635"/>
      <c r="P66" s="635"/>
      <c r="Q66" s="635"/>
      <c r="R66" s="635"/>
      <c r="S66" s="635"/>
      <c r="T66" s="635"/>
      <c r="U66" s="635"/>
      <c r="V66" s="635"/>
      <c r="W66" s="635"/>
      <c r="X66" s="90"/>
      <c r="Y66" s="636"/>
      <c r="Z66" s="613"/>
      <c r="AA66" s="637"/>
      <c r="AB66" s="87"/>
      <c r="AC66" s="621"/>
      <c r="AD66" s="90"/>
      <c r="AE66" s="634"/>
      <c r="AF66" s="634"/>
      <c r="AG66" s="634"/>
      <c r="AH66" s="634"/>
      <c r="AI66" s="634"/>
      <c r="AJ66" s="634"/>
      <c r="AK66" s="634"/>
      <c r="AL66" s="90"/>
      <c r="AM66" s="90"/>
      <c r="AN66" s="90"/>
      <c r="AO66" s="623"/>
    </row>
    <row r="67" spans="1:41" ht="15" hidden="1">
      <c r="A67" s="90"/>
      <c r="B67" s="655"/>
      <c r="C67" s="90"/>
      <c r="D67" s="90"/>
      <c r="E67" s="634"/>
      <c r="F67" s="634"/>
      <c r="G67" s="635"/>
      <c r="H67" s="635"/>
      <c r="I67" s="635"/>
      <c r="J67" s="635"/>
      <c r="K67" s="634"/>
      <c r="L67" s="635"/>
      <c r="M67" s="635"/>
      <c r="N67" s="635"/>
      <c r="O67" s="635"/>
      <c r="P67" s="635"/>
      <c r="Q67" s="635"/>
      <c r="R67" s="635"/>
      <c r="S67" s="635"/>
      <c r="T67" s="635"/>
      <c r="U67" s="635"/>
      <c r="V67" s="635"/>
      <c r="W67" s="635"/>
      <c r="X67" s="90"/>
      <c r="Y67" s="636"/>
      <c r="Z67" s="613"/>
      <c r="AA67" s="637"/>
      <c r="AB67" s="87"/>
      <c r="AC67" s="621"/>
      <c r="AD67" s="90"/>
      <c r="AE67" s="642"/>
      <c r="AF67" s="634"/>
      <c r="AG67" s="634"/>
      <c r="AH67" s="634"/>
      <c r="AI67" s="642"/>
      <c r="AJ67" s="634"/>
      <c r="AK67" s="642"/>
      <c r="AL67" s="90"/>
      <c r="AM67" s="90"/>
      <c r="AN67" s="90"/>
      <c r="AO67" s="623"/>
    </row>
    <row r="68" spans="1:41" ht="15" hidden="1">
      <c r="A68" s="73"/>
      <c r="B68" s="72"/>
      <c r="C68" s="73"/>
      <c r="D68" s="73"/>
      <c r="E68" s="656"/>
      <c r="F68" s="656"/>
      <c r="G68" s="656"/>
      <c r="H68" s="656"/>
      <c r="I68" s="656"/>
      <c r="J68" s="656"/>
      <c r="K68" s="656"/>
      <c r="L68" s="656"/>
      <c r="M68" s="656"/>
      <c r="N68" s="656"/>
      <c r="O68" s="656"/>
      <c r="P68" s="656"/>
      <c r="Q68" s="656"/>
      <c r="R68" s="656"/>
      <c r="S68" s="656"/>
      <c r="T68" s="656"/>
      <c r="U68" s="656"/>
      <c r="V68" s="656"/>
      <c r="W68" s="656"/>
      <c r="X68" s="73"/>
      <c r="Y68" s="90"/>
      <c r="Z68" s="90"/>
      <c r="AA68" s="90"/>
      <c r="AB68" s="90"/>
      <c r="AC68" s="90"/>
      <c r="AD68" s="90"/>
      <c r="AE68" s="634"/>
      <c r="AF68" s="634"/>
      <c r="AG68" s="634"/>
      <c r="AH68" s="634"/>
      <c r="AI68" s="634"/>
      <c r="AJ68" s="634"/>
      <c r="AK68" s="634"/>
      <c r="AL68" s="90"/>
      <c r="AM68" s="90"/>
      <c r="AN68" s="90"/>
      <c r="AO68" s="611"/>
    </row>
    <row r="69" spans="1:41" ht="15" hidden="1">
      <c r="A69" s="73"/>
      <c r="B69" s="72"/>
      <c r="C69" s="73"/>
      <c r="D69" s="73"/>
      <c r="E69" s="656"/>
      <c r="F69" s="635"/>
      <c r="G69" s="656"/>
      <c r="H69" s="635"/>
      <c r="I69" s="656"/>
      <c r="J69" s="635"/>
      <c r="K69" s="656"/>
      <c r="L69" s="635"/>
      <c r="M69" s="656"/>
      <c r="N69" s="635"/>
      <c r="O69" s="656"/>
      <c r="P69" s="635"/>
      <c r="Q69" s="656"/>
      <c r="R69" s="635"/>
      <c r="S69" s="656"/>
      <c r="T69" s="635"/>
      <c r="U69" s="656"/>
      <c r="V69" s="634"/>
      <c r="W69" s="656"/>
      <c r="X69" s="73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611"/>
    </row>
    <row r="70" spans="1:41" ht="15" hidden="1">
      <c r="A70" s="73"/>
      <c r="B70" s="72"/>
      <c r="C70" s="73"/>
      <c r="D70" s="73"/>
      <c r="E70" s="656"/>
      <c r="F70" s="656"/>
      <c r="G70" s="656"/>
      <c r="H70" s="656"/>
      <c r="I70" s="656"/>
      <c r="J70" s="656"/>
      <c r="K70" s="656"/>
      <c r="L70" s="656"/>
      <c r="M70" s="656"/>
      <c r="N70" s="656"/>
      <c r="O70" s="656"/>
      <c r="P70" s="656"/>
      <c r="Q70" s="656"/>
      <c r="R70" s="656"/>
      <c r="S70" s="656"/>
      <c r="T70" s="656"/>
      <c r="U70" s="656"/>
      <c r="V70" s="656"/>
      <c r="W70" s="656"/>
      <c r="X70" s="73"/>
      <c r="Y70" s="613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611"/>
    </row>
    <row r="71" spans="1:41" ht="15">
      <c r="A71" s="73"/>
      <c r="B71" s="73" t="s">
        <v>1279</v>
      </c>
      <c r="C71" s="73" t="s">
        <v>1974</v>
      </c>
      <c r="D71" s="73"/>
      <c r="E71" s="73"/>
      <c r="F71" s="73"/>
      <c r="G71" s="90"/>
      <c r="H71" s="73"/>
      <c r="I71" s="90"/>
      <c r="J71" s="73"/>
      <c r="K71" s="90"/>
      <c r="L71" s="73"/>
      <c r="M71" s="90"/>
      <c r="N71" s="73"/>
      <c r="O71" s="90"/>
      <c r="P71" s="73"/>
      <c r="Q71" s="90"/>
      <c r="R71" s="73"/>
      <c r="S71" s="90"/>
      <c r="T71" s="73"/>
      <c r="U71" s="90"/>
      <c r="V71" s="73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611"/>
    </row>
    <row r="72" spans="1:41" ht="15">
      <c r="A72" s="657"/>
      <c r="B72" s="657"/>
      <c r="C72" s="649"/>
      <c r="D72" s="657"/>
      <c r="E72" s="658"/>
      <c r="F72" s="657"/>
      <c r="G72" s="93"/>
      <c r="H72" s="657"/>
      <c r="I72" s="93"/>
      <c r="J72" s="657"/>
      <c r="K72" s="93"/>
      <c r="L72" s="657"/>
      <c r="M72" s="657"/>
      <c r="N72" s="657"/>
      <c r="O72" s="93"/>
      <c r="P72" s="657"/>
      <c r="Q72" s="93"/>
      <c r="R72" s="657"/>
      <c r="S72" s="93"/>
      <c r="T72" s="657"/>
      <c r="U72" s="93"/>
      <c r="V72" s="657"/>
      <c r="W72" s="657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659"/>
    </row>
    <row r="73" spans="1:41" ht="15">
      <c r="A73" s="73"/>
      <c r="B73" s="73"/>
      <c r="C73" s="660"/>
      <c r="D73" s="73"/>
      <c r="E73" s="73"/>
      <c r="F73" s="73"/>
      <c r="G73" s="90"/>
      <c r="H73" s="73"/>
      <c r="I73" s="90"/>
      <c r="J73" s="73"/>
      <c r="K73" s="90"/>
      <c r="L73" s="73"/>
      <c r="M73" s="73"/>
      <c r="N73" s="73"/>
      <c r="O73" s="90"/>
      <c r="P73" s="73"/>
      <c r="Q73" s="90"/>
      <c r="R73" s="73"/>
      <c r="S73" s="90"/>
      <c r="T73" s="73"/>
      <c r="U73" s="90"/>
      <c r="V73" s="73"/>
      <c r="W73" s="73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611"/>
    </row>
    <row r="74" spans="1:41" ht="15">
      <c r="A74" s="73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605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</row>
    <row r="75" spans="1:41" ht="15">
      <c r="A75" s="73"/>
      <c r="B75" s="90"/>
      <c r="C75" s="90"/>
      <c r="D75" s="94" t="s">
        <v>795</v>
      </c>
      <c r="E75" s="90"/>
      <c r="F75" s="90"/>
      <c r="G75" s="90"/>
      <c r="H75" s="95" t="s">
        <v>780</v>
      </c>
      <c r="I75" s="90"/>
      <c r="J75" s="90"/>
      <c r="K75" s="90"/>
      <c r="L75" s="95" t="s">
        <v>637</v>
      </c>
      <c r="M75" s="90"/>
      <c r="N75" s="90"/>
      <c r="O75" s="90"/>
      <c r="P75" s="95" t="s">
        <v>73</v>
      </c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</row>
    <row r="76" spans="1:41" ht="15">
      <c r="A76" s="73"/>
      <c r="B76" s="73"/>
      <c r="C76" s="73"/>
      <c r="D76" s="661">
        <f>G76</f>
        <v>1</v>
      </c>
      <c r="E76" s="661">
        <f>I76</f>
        <v>0</v>
      </c>
      <c r="F76" s="73"/>
      <c r="G76" s="661">
        <f>K76</f>
        <v>1</v>
      </c>
      <c r="H76" s="662"/>
      <c r="I76" s="661">
        <f>M76</f>
        <v>0</v>
      </c>
      <c r="J76" s="73"/>
      <c r="K76" s="661">
        <f>O76</f>
        <v>1</v>
      </c>
      <c r="L76" s="662"/>
      <c r="M76" s="661">
        <f>Q76</f>
        <v>0</v>
      </c>
      <c r="N76" s="73"/>
      <c r="O76" s="661">
        <f>S94</f>
        <v>1</v>
      </c>
      <c r="P76" s="662"/>
      <c r="Q76" s="661">
        <f>S95</f>
        <v>0</v>
      </c>
      <c r="R76" s="73"/>
      <c r="S76" s="73"/>
      <c r="T76" s="73"/>
      <c r="U76" s="73"/>
      <c r="V76" s="73"/>
      <c r="W76" s="73"/>
      <c r="X76" s="73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611"/>
    </row>
    <row r="77" spans="1:41" ht="15">
      <c r="A77" s="73"/>
      <c r="B77" s="73" t="s">
        <v>926</v>
      </c>
      <c r="C77" s="73"/>
      <c r="D77" s="635">
        <f>E53*D76</f>
        <v>519099.07468333439</v>
      </c>
      <c r="E77" s="635">
        <f>E53-D77</f>
        <v>0</v>
      </c>
      <c r="F77" s="635"/>
      <c r="G77" s="635"/>
      <c r="H77" s="635"/>
      <c r="I77" s="635"/>
      <c r="J77" s="635"/>
      <c r="K77" s="635">
        <f>M53*K76</f>
        <v>43425.860004835238</v>
      </c>
      <c r="L77" s="635"/>
      <c r="M77" s="635">
        <f>M53-K77</f>
        <v>0</v>
      </c>
      <c r="N77" s="635"/>
      <c r="O77" s="635">
        <f>W53*O76</f>
        <v>127561.02762282077</v>
      </c>
      <c r="P77" s="635"/>
      <c r="Q77" s="635">
        <f>W53-O77</f>
        <v>0</v>
      </c>
      <c r="R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611"/>
    </row>
    <row r="78" spans="1:41" ht="15">
      <c r="A78" s="73"/>
      <c r="B78" s="73" t="s">
        <v>1547</v>
      </c>
      <c r="C78" s="73"/>
      <c r="D78" s="635"/>
      <c r="E78" s="635"/>
      <c r="F78" s="635"/>
      <c r="G78" s="635">
        <f>+'wp b3 - CSR'!F55</f>
        <v>37232.964989750952</v>
      </c>
      <c r="H78" s="635"/>
      <c r="I78" s="635">
        <v>0</v>
      </c>
      <c r="J78" s="635"/>
      <c r="K78" s="635">
        <f>+'wp b3 - CSR'!N55</f>
        <v>3584.8079545211212</v>
      </c>
      <c r="L78" s="635"/>
      <c r="M78" s="635">
        <v>0</v>
      </c>
      <c r="N78" s="635"/>
      <c r="O78" s="635">
        <f>+'wp b3 - CSR'!X55</f>
        <v>11415.675611102988</v>
      </c>
      <c r="P78" s="635"/>
      <c r="Q78" s="635">
        <v>0</v>
      </c>
      <c r="R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611"/>
    </row>
    <row r="79" spans="1:41" ht="15">
      <c r="A79" s="73"/>
      <c r="B79" s="73" t="s">
        <v>1289</v>
      </c>
      <c r="C79" s="73"/>
      <c r="D79" s="634"/>
      <c r="E79" s="634"/>
      <c r="F79" s="635"/>
      <c r="G79" s="635">
        <f>+'Wp b4 - WSC'!E12</f>
        <v>134651.65564523535</v>
      </c>
      <c r="H79" s="635"/>
      <c r="I79" s="635">
        <v>0</v>
      </c>
      <c r="J79" s="635"/>
      <c r="K79" s="635">
        <f>+'Wp b4 - WSC'!M12</f>
        <v>10740.413997248193</v>
      </c>
      <c r="L79" s="635"/>
      <c r="M79" s="635">
        <v>0</v>
      </c>
      <c r="N79" s="635"/>
      <c r="O79" s="635">
        <f>+'Wp b4 - WSC'!W12</f>
        <v>21738.893674997009</v>
      </c>
      <c r="P79" s="635"/>
      <c r="Q79" s="635">
        <v>0</v>
      </c>
      <c r="R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611"/>
    </row>
    <row r="80" spans="1:41" ht="15">
      <c r="A80" s="73"/>
      <c r="B80" s="73"/>
      <c r="C80" s="73" t="s">
        <v>391</v>
      </c>
      <c r="D80" s="644">
        <f>SUM(D77:D79)</f>
        <v>519099.07468333439</v>
      </c>
      <c r="E80" s="644">
        <f>SUM(E77:E79)</f>
        <v>0</v>
      </c>
      <c r="F80" s="635"/>
      <c r="G80" s="644">
        <f>SUM(G77:G79)</f>
        <v>171884.62063498632</v>
      </c>
      <c r="H80" s="634"/>
      <c r="I80" s="644">
        <f>SUM(I77:I79)</f>
        <v>0</v>
      </c>
      <c r="J80" s="635"/>
      <c r="K80" s="644">
        <f>SUM(K77:K79)</f>
        <v>57751.081956604554</v>
      </c>
      <c r="L80" s="635"/>
      <c r="M80" s="644">
        <f>SUM(M77:M79)</f>
        <v>0</v>
      </c>
      <c r="N80" s="635"/>
      <c r="O80" s="644">
        <f>SUM(O77:O79)</f>
        <v>160715.59690892076</v>
      </c>
      <c r="P80" s="635"/>
      <c r="Q80" s="644">
        <f>SUM(Q77:Q79)</f>
        <v>0</v>
      </c>
      <c r="R80" s="635"/>
      <c r="S80" s="644">
        <f>SUM(D80:Q80)</f>
        <v>909450.37418384606</v>
      </c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611"/>
    </row>
    <row r="81" spans="1:41" ht="15">
      <c r="A81" s="73"/>
      <c r="B81" s="73"/>
      <c r="C81" s="73"/>
      <c r="D81" s="635"/>
      <c r="E81" s="635"/>
      <c r="F81" s="635"/>
      <c r="G81" s="634"/>
      <c r="H81" s="634"/>
      <c r="I81" s="634"/>
      <c r="J81" s="635"/>
      <c r="K81" s="634"/>
      <c r="L81" s="635"/>
      <c r="M81" s="634"/>
      <c r="N81" s="635"/>
      <c r="O81" s="634"/>
      <c r="P81" s="635"/>
      <c r="Q81" s="634"/>
      <c r="R81" s="635"/>
      <c r="S81" s="634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611"/>
    </row>
    <row r="82" spans="1:41" ht="15">
      <c r="A82" s="73"/>
      <c r="B82" s="73" t="s">
        <v>125</v>
      </c>
      <c r="C82" s="73"/>
      <c r="D82" s="642">
        <f>+'Linked TB'!E483+'Linked TB'!E488</f>
        <v>460337.63</v>
      </c>
      <c r="E82" s="642">
        <v>0</v>
      </c>
      <c r="F82" s="635"/>
      <c r="G82" s="635">
        <f>+'Linked TB'!E478+'Linked TB'!E480+'Linked TB'!E481+'Linked TB'!E482+'Linked TB'!E484+'Linked TB'!E485+'Linked TB'!E486+'Linked TB'!E487+'Linked TB'!E489</f>
        <v>227555.39</v>
      </c>
      <c r="H82" s="635"/>
      <c r="I82" s="635">
        <v>0</v>
      </c>
      <c r="J82" s="635"/>
      <c r="K82" s="635">
        <f>+'Linked TB'!E619</f>
        <v>49453.909999999989</v>
      </c>
      <c r="L82" s="635"/>
      <c r="M82" s="635">
        <v>0</v>
      </c>
      <c r="N82" s="635"/>
      <c r="O82" s="635">
        <f>+'Linked TB'!E404</f>
        <v>122141.03999999998</v>
      </c>
      <c r="P82" s="635"/>
      <c r="Q82" s="635">
        <v>0</v>
      </c>
      <c r="R82" s="635"/>
      <c r="S82" s="635">
        <f>SUM(D82:Q82)</f>
        <v>859487.97</v>
      </c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611"/>
    </row>
    <row r="83" spans="1:41" ht="15">
      <c r="A83" s="73"/>
      <c r="B83" s="73"/>
      <c r="C83" s="73"/>
      <c r="D83" s="635"/>
      <c r="E83" s="635"/>
      <c r="F83" s="635"/>
      <c r="G83" s="644"/>
      <c r="H83" s="634"/>
      <c r="I83" s="644"/>
      <c r="J83" s="635"/>
      <c r="K83" s="644"/>
      <c r="L83" s="635"/>
      <c r="M83" s="644"/>
      <c r="N83" s="635"/>
      <c r="O83" s="644"/>
      <c r="P83" s="635"/>
      <c r="Q83" s="644"/>
      <c r="R83" s="635"/>
      <c r="S83" s="644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611"/>
    </row>
    <row r="84" spans="1:41" ht="15" thickBot="1">
      <c r="A84" s="72"/>
      <c r="B84" s="72" t="s">
        <v>114</v>
      </c>
      <c r="C84" s="72"/>
      <c r="D84" s="663">
        <f>D80-D82</f>
        <v>58761.444683334383</v>
      </c>
      <c r="E84" s="663">
        <f>E80-E82</f>
        <v>0</v>
      </c>
      <c r="F84" s="664"/>
      <c r="G84" s="663">
        <f>G80-G82</f>
        <v>-55670.769365013693</v>
      </c>
      <c r="H84" s="665"/>
      <c r="I84" s="663">
        <f>I80-I82</f>
        <v>0</v>
      </c>
      <c r="J84" s="664"/>
      <c r="K84" s="663">
        <f>K80-K82</f>
        <v>8297.1719566045649</v>
      </c>
      <c r="L84" s="664"/>
      <c r="M84" s="663">
        <f>M80-M82</f>
        <v>0</v>
      </c>
      <c r="N84" s="664"/>
      <c r="O84" s="663">
        <f>O80-O82</f>
        <v>38574.556908920786</v>
      </c>
      <c r="P84" s="664"/>
      <c r="Q84" s="663">
        <f>Q80-Q82</f>
        <v>0</v>
      </c>
      <c r="R84" s="664"/>
      <c r="S84" s="663">
        <f>SUM(D84:Q84)</f>
        <v>49962.40418384604</v>
      </c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666"/>
    </row>
    <row r="85" spans="1:41" ht="15.75" thickTop="1">
      <c r="A85" s="73"/>
      <c r="B85" s="73"/>
      <c r="C85" s="73"/>
      <c r="D85" s="667" t="s">
        <v>896</v>
      </c>
      <c r="E85" s="82" t="s">
        <v>78</v>
      </c>
      <c r="F85" s="73"/>
      <c r="G85" s="621" t="s">
        <v>896</v>
      </c>
      <c r="H85" s="621"/>
      <c r="I85" s="621" t="s">
        <v>78</v>
      </c>
      <c r="J85" s="73"/>
      <c r="K85" s="621" t="s">
        <v>896</v>
      </c>
      <c r="L85" s="621"/>
      <c r="M85" s="621" t="s">
        <v>78</v>
      </c>
      <c r="N85" s="90"/>
      <c r="O85" s="621" t="s">
        <v>896</v>
      </c>
      <c r="P85" s="621"/>
      <c r="Q85" s="621" t="s">
        <v>78</v>
      </c>
      <c r="R85" s="73"/>
      <c r="S85" s="73"/>
      <c r="T85" s="73"/>
      <c r="U85" s="73"/>
      <c r="V85" s="90"/>
      <c r="W85" s="90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611"/>
    </row>
    <row r="86" spans="1:41" ht="15">
      <c r="A86" s="73"/>
      <c r="B86" s="73"/>
      <c r="C86" s="73"/>
      <c r="D86" s="604"/>
      <c r="E86" s="73"/>
      <c r="F86" s="73"/>
      <c r="G86" s="90"/>
      <c r="H86" s="90"/>
      <c r="I86" s="90"/>
      <c r="J86" s="73"/>
      <c r="K86" s="90"/>
      <c r="L86" s="73"/>
      <c r="M86" s="90"/>
      <c r="N86" s="73"/>
      <c r="O86" s="90"/>
      <c r="P86" s="72"/>
      <c r="Q86" s="90"/>
      <c r="R86" s="73"/>
      <c r="S86" s="90"/>
      <c r="T86" s="73"/>
      <c r="U86" s="73"/>
      <c r="V86" s="73"/>
      <c r="W86" s="73"/>
      <c r="X86" s="73"/>
      <c r="Y86" s="90"/>
      <c r="Z86" s="90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611"/>
    </row>
    <row r="87" spans="1:41" ht="15">
      <c r="A87" s="73"/>
      <c r="B87" s="73"/>
      <c r="C87" s="73"/>
      <c r="D87" s="604"/>
      <c r="E87" s="73"/>
      <c r="F87" s="73"/>
      <c r="G87" s="90"/>
      <c r="H87" s="90"/>
      <c r="I87" s="90"/>
      <c r="J87" s="73"/>
      <c r="K87" s="668"/>
      <c r="L87" s="73"/>
      <c r="M87" s="90"/>
      <c r="N87" s="73"/>
      <c r="O87" s="90"/>
      <c r="P87" s="73"/>
      <c r="Q87" s="90"/>
      <c r="R87" s="73"/>
      <c r="S87" s="90"/>
      <c r="T87" s="73"/>
      <c r="U87" s="73"/>
      <c r="V87" s="73"/>
      <c r="W87" s="90"/>
      <c r="X87" s="73"/>
      <c r="Y87" s="90"/>
      <c r="Z87" s="90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611"/>
    </row>
    <row r="88" spans="1:41" ht="15">
      <c r="A88" s="73"/>
      <c r="B88" s="73"/>
      <c r="C88" s="73"/>
      <c r="D88" s="604"/>
      <c r="E88" s="73"/>
      <c r="F88" s="73"/>
      <c r="G88" s="90"/>
      <c r="H88" s="90"/>
      <c r="I88" s="669"/>
      <c r="J88" s="73"/>
      <c r="K88" s="90"/>
      <c r="L88" s="73"/>
      <c r="M88" s="90"/>
      <c r="N88" s="73"/>
      <c r="O88" s="90"/>
      <c r="P88" s="73"/>
      <c r="Q88" s="90"/>
      <c r="R88" s="73"/>
      <c r="S88" s="90"/>
      <c r="T88" s="73"/>
      <c r="U88" s="73"/>
      <c r="V88" s="73"/>
      <c r="W88" s="90"/>
      <c r="X88" s="73"/>
      <c r="Y88" s="90"/>
      <c r="Z88" s="90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611"/>
    </row>
    <row r="89" spans="1:41" ht="15">
      <c r="A89" s="73"/>
      <c r="B89" s="73"/>
      <c r="C89" s="73"/>
      <c r="D89" s="604"/>
      <c r="E89" s="73"/>
      <c r="F89" s="73"/>
      <c r="G89" s="90"/>
      <c r="H89" s="90"/>
      <c r="I89" s="90"/>
      <c r="J89" s="73"/>
      <c r="K89" s="90"/>
      <c r="L89" s="73"/>
      <c r="M89" s="90"/>
      <c r="N89" s="73"/>
      <c r="O89" s="90"/>
      <c r="P89" s="73"/>
      <c r="Q89" s="90"/>
      <c r="R89" s="73"/>
      <c r="S89" s="90"/>
      <c r="T89" s="73"/>
      <c r="U89" s="73"/>
      <c r="V89" s="73"/>
      <c r="W89" s="90"/>
      <c r="X89" s="73"/>
      <c r="Y89" s="90"/>
      <c r="Z89" s="90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611"/>
    </row>
    <row r="90" spans="1:41" ht="15">
      <c r="A90" s="73"/>
      <c r="B90" s="73"/>
      <c r="C90" s="73"/>
      <c r="D90" s="604"/>
      <c r="E90" s="73"/>
      <c r="F90" s="73"/>
      <c r="G90" s="90"/>
      <c r="H90" s="90"/>
      <c r="I90" s="90"/>
      <c r="J90" s="73"/>
      <c r="K90" s="669"/>
      <c r="L90" s="73"/>
      <c r="M90" s="90"/>
      <c r="N90" s="73"/>
      <c r="O90" s="90"/>
      <c r="P90" s="73"/>
      <c r="Q90" s="90"/>
      <c r="R90" s="73"/>
      <c r="S90" s="90"/>
      <c r="T90" s="73"/>
      <c r="U90" s="73"/>
      <c r="V90" s="73"/>
      <c r="W90" s="90"/>
      <c r="X90" s="73"/>
      <c r="Y90" s="90"/>
      <c r="Z90" s="90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611"/>
    </row>
    <row r="91" spans="1:41" ht="15">
      <c r="A91" s="73"/>
      <c r="B91" s="73"/>
      <c r="C91" s="73"/>
      <c r="D91" s="604"/>
      <c r="E91" s="73"/>
      <c r="F91" s="73"/>
      <c r="G91" s="90"/>
      <c r="H91" s="90"/>
      <c r="I91" s="90"/>
      <c r="J91" s="73"/>
      <c r="K91" s="90"/>
      <c r="L91" s="73"/>
      <c r="M91" s="90"/>
      <c r="N91" s="73"/>
      <c r="O91" s="90"/>
      <c r="P91" s="73"/>
      <c r="Q91" s="90"/>
      <c r="R91" s="73"/>
      <c r="S91" s="90"/>
      <c r="T91" s="73"/>
      <c r="U91" s="73"/>
      <c r="V91" s="73"/>
      <c r="W91" s="90"/>
      <c r="X91" s="73"/>
      <c r="Y91" s="90"/>
      <c r="Z91" s="90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611"/>
    </row>
    <row r="94" spans="1:41" ht="15">
      <c r="O94" s="670" t="s">
        <v>98</v>
      </c>
      <c r="P94" s="671" t="s">
        <v>896</v>
      </c>
      <c r="Q94" s="496">
        <v>7385.1</v>
      </c>
      <c r="R94" s="496"/>
      <c r="S94" s="672">
        <f>Q94/Q98</f>
        <v>1</v>
      </c>
    </row>
    <row r="95" spans="1:41" ht="15">
      <c r="O95" s="673"/>
      <c r="P95" s="91" t="s">
        <v>78</v>
      </c>
      <c r="Q95" s="674">
        <v>0</v>
      </c>
      <c r="R95" s="90"/>
      <c r="S95" s="675">
        <f>1-S94</f>
        <v>0</v>
      </c>
    </row>
    <row r="96" spans="1:41" ht="15">
      <c r="O96" s="673"/>
      <c r="P96" s="91"/>
      <c r="Q96" s="90"/>
      <c r="R96" s="90"/>
      <c r="S96" s="675"/>
    </row>
    <row r="97" spans="15:19" ht="15">
      <c r="O97" s="673"/>
      <c r="P97" s="91"/>
      <c r="Q97" s="90"/>
      <c r="R97" s="90"/>
      <c r="S97" s="675"/>
    </row>
    <row r="98" spans="15:19" ht="15">
      <c r="O98" s="676"/>
      <c r="P98" s="677"/>
      <c r="Q98" s="677">
        <f>Q95+Q94</f>
        <v>7385.1</v>
      </c>
      <c r="R98" s="677"/>
      <c r="S98" s="678"/>
    </row>
  </sheetData>
  <phoneticPr fontId="42" type="noConversion"/>
  <pageMargins left="0.7" right="0.7" top="0.75" bottom="0.75" header="0.3" footer="0.3"/>
  <pageSetup scale="72" fitToHeight="0" orientation="landscape" r:id="rId1"/>
  <rowBreaks count="1" manualBreakCount="1">
    <brk id="73" max="22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topLeftCell="J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'16265'!T2</f>
        <v>13.7</v>
      </c>
    </row>
    <row r="3" spans="1:20">
      <c r="A3" s="513" t="s">
        <v>546</v>
      </c>
      <c r="M3" s="520" t="s">
        <v>538</v>
      </c>
      <c r="R3" s="518" t="s">
        <v>274</v>
      </c>
      <c r="S3" s="518"/>
      <c r="T3" s="519">
        <f>'16265'!T3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'16265'!T4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'16265'!T5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'16265'!T6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'16265'!T7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47">
        <v>5</v>
      </c>
      <c r="D10" s="533"/>
      <c r="E10" s="533">
        <f>C10</f>
        <v>5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E10</f>
        <v>5</v>
      </c>
      <c r="L10" s="533"/>
      <c r="M10" s="533">
        <f>(A10*K10)+I10</f>
        <v>0</v>
      </c>
      <c r="O10" s="534" t="e">
        <f>I10/$I$10</f>
        <v>#DIV/0!</v>
      </c>
      <c r="P10" s="547">
        <v>0</v>
      </c>
      <c r="R10" s="535"/>
      <c r="S10" s="513"/>
      <c r="T10" s="536">
        <f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68.5</v>
      </c>
    </row>
    <row r="11" spans="1:20">
      <c r="T11" s="536"/>
    </row>
    <row r="12" spans="1:20">
      <c r="T12" s="554">
        <f>SUM(T10:T10)</f>
        <v>68.5</v>
      </c>
    </row>
    <row r="13" spans="1:20" hidden="1">
      <c r="T13" s="536">
        <v>45</v>
      </c>
    </row>
    <row r="14" spans="1:20">
      <c r="T14" s="536"/>
    </row>
    <row r="15" spans="1:20">
      <c r="T15" s="536"/>
    </row>
    <row r="16" spans="1:20">
      <c r="T16" s="536"/>
    </row>
    <row r="17" spans="20:20">
      <c r="T17" s="536"/>
    </row>
    <row r="18" spans="20:20">
      <c r="T18" s="536"/>
    </row>
    <row r="19" spans="20:20">
      <c r="T19" s="536"/>
    </row>
    <row r="20" spans="20:20">
      <c r="T20" s="536"/>
    </row>
    <row r="21" spans="20:20">
      <c r="T21" s="536"/>
    </row>
    <row r="22" spans="20:20">
      <c r="T22" s="536"/>
    </row>
    <row r="23" spans="20:20">
      <c r="T23" s="536"/>
    </row>
    <row r="24" spans="20:20">
      <c r="T24" s="536"/>
    </row>
  </sheetData>
  <phoneticPr fontId="54" type="noConversion"/>
  <pageMargins left="0.75" right="0.75" top="1" bottom="1" header="0.5" footer="0.5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topLeftCell="J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'16262'!R2</f>
        <v>First 17,600</v>
      </c>
      <c r="S2" s="518"/>
      <c r="T2" s="519" t="e">
        <f>'16262'!T2</f>
        <v>#REF!</v>
      </c>
    </row>
    <row r="3" spans="1:20">
      <c r="A3" s="513" t="s">
        <v>544</v>
      </c>
      <c r="M3" s="520" t="s">
        <v>538</v>
      </c>
      <c r="R3" s="519" t="str">
        <f>'16262'!R3</f>
        <v>Next 7,400</v>
      </c>
      <c r="S3" s="518"/>
      <c r="T3" s="519" t="e">
        <f>'16262'!T3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'16262'!R4</f>
        <v>Next 25,000 gallons</v>
      </c>
      <c r="S4" s="518"/>
      <c r="T4" s="519" t="e">
        <f>'16262'!T4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'16262'!R5</f>
        <v>Next 50,000 gallons</v>
      </c>
      <c r="S5" s="518"/>
      <c r="T5" s="519" t="e">
        <f>'16262'!T5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'16262'!R6</f>
        <v>Over 100,000</v>
      </c>
      <c r="S6" s="518"/>
      <c r="T6" s="519" t="e">
        <f>'16262'!T6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32">
        <v>0</v>
      </c>
      <c r="D10" s="533"/>
      <c r="E10" s="533">
        <f>C10</f>
        <v>0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$E$14-E10</f>
        <v>5</v>
      </c>
      <c r="L10" s="533"/>
      <c r="M10" s="533">
        <f>(A10*K10)+I10</f>
        <v>0</v>
      </c>
      <c r="O10" s="534">
        <f>I10/$I$14</f>
        <v>0</v>
      </c>
      <c r="P10" s="532">
        <v>0</v>
      </c>
      <c r="R10" s="535"/>
      <c r="S10" s="513"/>
      <c r="T10" s="536" t="e">
        <f>IF(A10&lt;17600,C10*$T$2,IF(A10=17600,C10*$T$2,IF(AND(A10&lt;26000,A10&gt;17600),(C10*$T$2)+((A10-17600)*C10/1000*$T$3),IF(AND(A10&gt;25000,A10&lt;51000),(C10*$T$2)+(7.4*$T$3*C10)+((A10-25000)/1000*$T$4*C10),IF(AND(A10&lt;101000,A10&gt;50000),(C10*$T$2)+(7.4*$T$3*C10)+(25*$T$4*C10)+((A10-50000)/1000*$T$5*C10),IF(A10&gt;100000,(C10*$T$2)+(7.4*$T$3*C10)+(25*$T$4*C10)+(50*$T$5*C10)+((A10-100000)/1000*$T$6*C10)))))))</f>
        <v>#REF!</v>
      </c>
    </row>
    <row r="11" spans="1:20" s="515" customFormat="1">
      <c r="A11" s="552">
        <f>P11*1000</f>
        <v>2000</v>
      </c>
      <c r="C11" s="532">
        <v>2</v>
      </c>
      <c r="D11" s="533"/>
      <c r="E11" s="533">
        <f>E10+C11</f>
        <v>2</v>
      </c>
      <c r="F11" s="533"/>
      <c r="G11" s="533">
        <f>A11*C11</f>
        <v>4000</v>
      </c>
      <c r="H11" s="533"/>
      <c r="I11" s="533">
        <f>I10+G11</f>
        <v>4000</v>
      </c>
      <c r="J11" s="533"/>
      <c r="K11" s="533">
        <f>$E$14-E11</f>
        <v>3</v>
      </c>
      <c r="L11" s="533"/>
      <c r="M11" s="533">
        <f>(A11*K11)+I11</f>
        <v>10000</v>
      </c>
      <c r="O11" s="534">
        <f>I11/$I$14</f>
        <v>0.23529411764705882</v>
      </c>
      <c r="P11" s="532">
        <v>2</v>
      </c>
      <c r="R11" s="535"/>
      <c r="S11" s="513"/>
      <c r="T11" s="536" t="e">
        <f>IF(A11&lt;17600,C11*$T$2,IF(A11=17600,C11*$T$2,IF(AND(A11&lt;26000,A11&gt;17600),(C11*$T$2)+((A11-17600)*C11/1000*$T$3),IF(AND(A11&gt;25000,A11&lt;51000),(C11*$T$2)+(7.4*$T$3*C11)+((A11-25000)/1000*$T$4*C11),IF(AND(A11&lt;101000,A11&gt;50000),(C11*$T$2)+(7.4*$T$3*C11)+(25*$T$4*C11)+((A11-50000)/1000*$T$5*C11),IF(A11&gt;100000,(C11*$T$2)+(7.4*$T$3*C11)+(25*$T$4*C11)+(50*$T$5*C11)+((A11-100000)/1000*$T$6*C11)))))))</f>
        <v>#REF!</v>
      </c>
    </row>
    <row r="12" spans="1:20">
      <c r="A12" s="552">
        <f>P12*1000</f>
        <v>3000</v>
      </c>
      <c r="C12" s="532">
        <v>1</v>
      </c>
      <c r="E12" s="533">
        <f>E11+C12</f>
        <v>3</v>
      </c>
      <c r="G12" s="533">
        <f>A12*C12</f>
        <v>3000</v>
      </c>
      <c r="H12" s="533"/>
      <c r="I12" s="533">
        <f>I11+G12</f>
        <v>7000</v>
      </c>
      <c r="K12" s="533">
        <f>$E$14-E12</f>
        <v>2</v>
      </c>
      <c r="M12" s="533">
        <f>(A12*K12)+I12</f>
        <v>13000</v>
      </c>
      <c r="O12" s="534">
        <f>I12/$I$14</f>
        <v>0.41176470588235292</v>
      </c>
      <c r="P12" s="532">
        <v>3</v>
      </c>
      <c r="R12" s="515"/>
      <c r="S12" s="515"/>
      <c r="T12" s="536" t="e">
        <f>IF(A12&lt;17600,C12*$T$2,IF(A12=17600,C12*$T$2,IF(AND(A12&lt;26000,A12&gt;17600),(C12*$T$2)+((A12-17600)*C12/1000*$T$3),IF(AND(A12&gt;25000,A12&lt;51000),(C12*$T$2)+(7.4*$T$3*C12)+((A12-25000)/1000*$T$4*C12),IF(AND(A12&lt;101000,A12&gt;50000),(C12*$T$2)+(7.4*$T$3*C12)+(25*$T$4*C12)+((A12-50000)/1000*$T$5*C12),IF(A12&gt;100000,(C12*$T$2)+(7.4*$T$3*C12)+(25*$T$4*C12)+(50*$T$5*C12)+((A12-100000)/1000*$T$6*C12)))))))</f>
        <v>#REF!</v>
      </c>
    </row>
    <row r="13" spans="1:20">
      <c r="A13" s="552">
        <f>P13*1000</f>
        <v>4000</v>
      </c>
      <c r="C13" s="532">
        <v>1</v>
      </c>
      <c r="E13" s="533">
        <f>E12+C13</f>
        <v>4</v>
      </c>
      <c r="G13" s="533">
        <f>A13*C13</f>
        <v>4000</v>
      </c>
      <c r="H13" s="533"/>
      <c r="I13" s="533">
        <f>I12+G13</f>
        <v>11000</v>
      </c>
      <c r="K13" s="533">
        <f>$E$14-E13</f>
        <v>1</v>
      </c>
      <c r="M13" s="533">
        <f>(A13*K13)+I13</f>
        <v>15000</v>
      </c>
      <c r="O13" s="534">
        <f>I13/$I$14</f>
        <v>0.6470588235294118</v>
      </c>
      <c r="P13" s="532">
        <v>4</v>
      </c>
      <c r="T13" s="536" t="e">
        <f>IF(A13&lt;17600,C13*$T$2,IF(A13=17600,C13*$T$2,IF(AND(A13&lt;26000,A13&gt;17600),(C13*$T$2)+((A13-17600)*C13/1000*$T$3),IF(AND(A13&gt;25000,A13&lt;51000),(C13*$T$2)+(7.4*$T$3*C13)+((A13-25000)/1000*$T$4*C13),IF(AND(A13&lt;101000,A13&gt;50000),(C13*$T$2)+(7.4*$T$3*C13)+(25*$T$4*C13)+((A13-50000)/1000*$T$5*C13),IF(A13&gt;100000,(C13*$T$2)+(7.4*$T$3*C13)+(25*$T$4*C13)+(50*$T$5*C13)+((A13-100000)/1000*$T$6*C13)))))))</f>
        <v>#REF!</v>
      </c>
    </row>
    <row r="14" spans="1:20">
      <c r="A14" s="552">
        <f>P14*1000</f>
        <v>6000</v>
      </c>
      <c r="C14" s="532">
        <v>1</v>
      </c>
      <c r="E14" s="533">
        <f>E13+C14</f>
        <v>5</v>
      </c>
      <c r="G14" s="533">
        <f>A14*C14</f>
        <v>6000</v>
      </c>
      <c r="H14" s="533"/>
      <c r="I14" s="533">
        <f>I13+G14</f>
        <v>17000</v>
      </c>
      <c r="K14" s="533">
        <f>$E$14-E14</f>
        <v>0</v>
      </c>
      <c r="M14" s="533">
        <f>(A14*K14)+I14</f>
        <v>17000</v>
      </c>
      <c r="O14" s="534">
        <f>I14/$I$14</f>
        <v>1</v>
      </c>
      <c r="P14" s="532">
        <v>6</v>
      </c>
      <c r="T14" s="536" t="e">
        <f>IF(A14&lt;17600,C14*$T$2,IF(A14=17600,C14*$T$2,IF(AND(A14&lt;26000,A14&gt;17600),(C14*$T$2)+((A14-17600)*C14/1000*$T$3),IF(AND(A14&gt;25000,A14&lt;51000),(C14*$T$2)+(7.4*$T$3*C14)+((A14-25000)/1000*$T$4*C14),IF(AND(A14&lt;101000,A14&gt;50000),(C14*$T$2)+(7.4*$T$3*C14)+(25*$T$4*C14)+((A14-50000)/1000*$T$5*C14),IF(A14&gt;100000,(C14*$T$2)+(7.4*$T$3*C14)+(25*$T$4*C14)+(50*$T$5*C14)+((A14-100000)/1000*$T$6*C14)))))))</f>
        <v>#REF!</v>
      </c>
    </row>
    <row r="16" spans="1:20">
      <c r="T16" s="539" t="e">
        <f>SUM(T10:T14)</f>
        <v>#REF!</v>
      </c>
    </row>
    <row r="17" spans="20:20" hidden="1">
      <c r="T17" s="513">
        <v>454</v>
      </c>
    </row>
    <row r="18" spans="20:20" hidden="1">
      <c r="T18" s="540" t="e">
        <f>T16-T17</f>
        <v>#REF!</v>
      </c>
    </row>
    <row r="19" spans="20:20" hidden="1">
      <c r="T19" s="555" t="e">
        <f>T18/T16</f>
        <v>#REF!</v>
      </c>
    </row>
  </sheetData>
  <phoneticPr fontId="54" type="noConversion"/>
  <pageMargins left="0.75" right="0.75" top="1" bottom="1" header="0.5" footer="0.5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topLeftCell="J2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9" t="str">
        <f>'16244'!R2</f>
        <v>First 5,300</v>
      </c>
      <c r="S2" s="518"/>
      <c r="T2" s="519">
        <f>'16244'!T2</f>
        <v>47.06</v>
      </c>
    </row>
    <row r="3" spans="1:20">
      <c r="A3" s="513" t="s">
        <v>543</v>
      </c>
      <c r="M3" s="520" t="s">
        <v>523</v>
      </c>
      <c r="R3" s="519" t="str">
        <f>'16244'!R3</f>
        <v>Next 3,700</v>
      </c>
      <c r="S3" s="518"/>
      <c r="T3" s="519">
        <f>'16244'!T3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'16244'!R4</f>
        <v>Next 15,000</v>
      </c>
      <c r="S4" s="518"/>
      <c r="T4" s="519">
        <f>'16244'!T4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str">
        <f>'16244'!R5</f>
        <v>Next 25,000</v>
      </c>
      <c r="S5" s="518"/>
      <c r="T5" s="519">
        <f>'16244'!T5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str">
        <f>'16244'!R6</f>
        <v>Next 50,000</v>
      </c>
      <c r="S6" s="518"/>
      <c r="T6" s="519">
        <f>'16244'!T6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 t="str">
        <f>'16244'!R7</f>
        <v>Over 100,000</v>
      </c>
      <c r="S7" s="518"/>
      <c r="T7" s="519">
        <f>'16244'!T7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20" s="515" customFormat="1">
      <c r="A10" s="552">
        <f t="shared" ref="A10:A15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5" si="1">A10*C10</f>
        <v>0</v>
      </c>
      <c r="H10" s="533"/>
      <c r="I10" s="533">
        <f>G10</f>
        <v>0</v>
      </c>
      <c r="J10" s="533"/>
      <c r="K10" s="533">
        <f t="shared" ref="K10:K15" si="2">$E$15-E10</f>
        <v>5</v>
      </c>
      <c r="L10" s="533"/>
      <c r="M10" s="533">
        <f t="shared" ref="M10:M15" si="3">(A10*K10)+I10</f>
        <v>0</v>
      </c>
      <c r="O10" s="534">
        <f t="shared" ref="O10:O15" si="4">I10/$I$15</f>
        <v>0</v>
      </c>
      <c r="P10" s="532">
        <v>0</v>
      </c>
      <c r="T10" s="536">
        <f t="shared" ref="T10:T15" si="5">IF(A10&lt;5300,C10*$T$2,IF(A10=5300,C10*$T$2,IF(AND(A10&lt;11000,A10&gt;5300),(C10*$T$2)+((A10-5300)*C10/1000*$T$3),IF(AND(A10&gt;10000,A10&lt;26000),(C10*$T$2)+(4.7*$T$3*C10)+((A10-10000)/1000*$T$4*C10),IF(AND(A10&lt;51000,A10&gt;25000),(C10*$T$2)+(4.7*$T$3*C10)+(15*$T$4*C10)+((A10-25000)/1000*$T$5*C10),IF(AND(A10&lt;101000,A10&gt;50000),(C10*$T$2)+(4.7*$T$3*C10)+(15*$T$4*C10)+(25*$T$5*C10)+((A10-50000)/1000*$T$6*C10),IF(A10&gt;100000,(C10*$T$2)+(4.7*$T$3*C10)+(15*$T$4*C10)+(25*$T$5*C10)+(50*$T$6*C10)+((A10-100000)/1000*$T$7*C10))))))))</f>
        <v>0</v>
      </c>
    </row>
    <row r="11" spans="1:20" s="515" customFormat="1">
      <c r="A11" s="552">
        <f t="shared" si="0"/>
        <v>4000</v>
      </c>
      <c r="C11" s="532">
        <v>1</v>
      </c>
      <c r="D11" s="533"/>
      <c r="E11" s="533">
        <f>E10+C11</f>
        <v>1</v>
      </c>
      <c r="F11" s="533"/>
      <c r="G11" s="533">
        <f t="shared" si="1"/>
        <v>4000</v>
      </c>
      <c r="H11" s="533"/>
      <c r="I11" s="533">
        <f>I10+G11</f>
        <v>4000</v>
      </c>
      <c r="J11" s="533"/>
      <c r="K11" s="533">
        <f t="shared" si="2"/>
        <v>4</v>
      </c>
      <c r="L11" s="533"/>
      <c r="M11" s="533">
        <f t="shared" si="3"/>
        <v>20000</v>
      </c>
      <c r="O11" s="534">
        <f t="shared" si="4"/>
        <v>3.1007751937984496E-2</v>
      </c>
      <c r="P11" s="532">
        <v>4</v>
      </c>
      <c r="T11" s="536">
        <f t="shared" si="5"/>
        <v>47.06</v>
      </c>
    </row>
    <row r="12" spans="1:20">
      <c r="A12" s="552">
        <f t="shared" si="0"/>
        <v>8000</v>
      </c>
      <c r="C12" s="532">
        <v>1</v>
      </c>
      <c r="E12" s="533">
        <f>E11+C12</f>
        <v>2</v>
      </c>
      <c r="G12" s="533">
        <f t="shared" si="1"/>
        <v>8000</v>
      </c>
      <c r="H12" s="533"/>
      <c r="I12" s="533">
        <f>I11+G12</f>
        <v>12000</v>
      </c>
      <c r="K12" s="533">
        <f t="shared" si="2"/>
        <v>3</v>
      </c>
      <c r="M12" s="533">
        <f t="shared" si="3"/>
        <v>36000</v>
      </c>
      <c r="O12" s="534">
        <f t="shared" si="4"/>
        <v>9.3023255813953487E-2</v>
      </c>
      <c r="P12" s="532">
        <v>8</v>
      </c>
      <c r="R12" s="515"/>
      <c r="S12" s="515"/>
      <c r="T12" s="536">
        <f t="shared" si="5"/>
        <v>68.012</v>
      </c>
    </row>
    <row r="13" spans="1:20">
      <c r="A13" s="552">
        <f t="shared" si="0"/>
        <v>11000</v>
      </c>
      <c r="C13" s="532">
        <v>1</v>
      </c>
      <c r="E13" s="533">
        <f>E12+C13</f>
        <v>3</v>
      </c>
      <c r="G13" s="533">
        <f t="shared" si="1"/>
        <v>11000</v>
      </c>
      <c r="H13" s="533"/>
      <c r="I13" s="533">
        <f>I12+G13</f>
        <v>23000</v>
      </c>
      <c r="K13" s="533">
        <f t="shared" si="2"/>
        <v>2</v>
      </c>
      <c r="M13" s="533">
        <f t="shared" si="3"/>
        <v>45000</v>
      </c>
      <c r="O13" s="534">
        <f t="shared" si="4"/>
        <v>0.17829457364341086</v>
      </c>
      <c r="P13" s="532">
        <v>11</v>
      </c>
      <c r="T13" s="536">
        <f t="shared" si="5"/>
        <v>90.652000000000015</v>
      </c>
    </row>
    <row r="14" spans="1:20">
      <c r="A14" s="552">
        <f t="shared" si="0"/>
        <v>31000</v>
      </c>
      <c r="C14" s="532">
        <v>1</v>
      </c>
      <c r="E14" s="533">
        <f>E13+C14</f>
        <v>4</v>
      </c>
      <c r="G14" s="533">
        <f t="shared" si="1"/>
        <v>31000</v>
      </c>
      <c r="H14" s="533"/>
      <c r="I14" s="533">
        <f>I13+G14</f>
        <v>54000</v>
      </c>
      <c r="K14" s="533">
        <f t="shared" si="2"/>
        <v>1</v>
      </c>
      <c r="M14" s="533">
        <f t="shared" si="3"/>
        <v>85000</v>
      </c>
      <c r="O14" s="534">
        <f t="shared" si="4"/>
        <v>0.41860465116279072</v>
      </c>
      <c r="P14" s="532">
        <v>31</v>
      </c>
      <c r="T14" s="536">
        <f t="shared" si="5"/>
        <v>229.21199999999999</v>
      </c>
    </row>
    <row r="15" spans="1:20">
      <c r="A15" s="552">
        <f t="shared" si="0"/>
        <v>75000</v>
      </c>
      <c r="C15" s="532">
        <v>1</v>
      </c>
      <c r="E15" s="533">
        <f>E14+C15</f>
        <v>5</v>
      </c>
      <c r="G15" s="533">
        <f t="shared" si="1"/>
        <v>75000</v>
      </c>
      <c r="H15" s="533"/>
      <c r="I15" s="533">
        <f>I14+G15</f>
        <v>129000</v>
      </c>
      <c r="K15" s="533">
        <f t="shared" si="2"/>
        <v>0</v>
      </c>
      <c r="M15" s="533">
        <f t="shared" si="3"/>
        <v>129000</v>
      </c>
      <c r="O15" s="534">
        <f t="shared" si="4"/>
        <v>1</v>
      </c>
      <c r="P15" s="532">
        <v>75</v>
      </c>
      <c r="T15" s="536">
        <f t="shared" si="5"/>
        <v>496.33199999999999</v>
      </c>
    </row>
    <row r="17" spans="20:20">
      <c r="T17" s="539">
        <f>SUM(T10:T15)</f>
        <v>931.26800000000003</v>
      </c>
    </row>
    <row r="18" spans="20:20" hidden="1">
      <c r="T18" s="513">
        <v>613</v>
      </c>
    </row>
  </sheetData>
  <phoneticPr fontId="54" type="noConversion"/>
  <pageMargins left="0.75" right="0.75" top="1" bottom="1" header="0.5" footer="0.5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topLeftCell="J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'16275'!T2</f>
        <v>13.7</v>
      </c>
    </row>
    <row r="3" spans="1:20">
      <c r="A3" s="513" t="s">
        <v>543</v>
      </c>
      <c r="M3" s="520" t="s">
        <v>538</v>
      </c>
      <c r="R3" s="518" t="s">
        <v>274</v>
      </c>
      <c r="S3" s="518"/>
      <c r="T3" s="519">
        <f>'16275'!T3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'16275'!T4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'16275'!T5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'16275'!T6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'16275'!T7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32">
        <v>8</v>
      </c>
      <c r="D10" s="533"/>
      <c r="E10" s="533">
        <f>C10</f>
        <v>8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$E$14-E10</f>
        <v>12</v>
      </c>
      <c r="L10" s="533"/>
      <c r="M10" s="533">
        <f>(A10*K10)+I10</f>
        <v>0</v>
      </c>
      <c r="O10" s="534">
        <f>I10/$I$14</f>
        <v>0</v>
      </c>
      <c r="P10" s="532">
        <v>0</v>
      </c>
      <c r="R10" s="535"/>
      <c r="S10" s="513"/>
      <c r="T10" s="536">
        <f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109.6</v>
      </c>
    </row>
    <row r="11" spans="1:20" s="515" customFormat="1">
      <c r="A11" s="552">
        <f>P11*1000</f>
        <v>1000</v>
      </c>
      <c r="C11" s="532">
        <v>6</v>
      </c>
      <c r="D11" s="533"/>
      <c r="E11" s="533">
        <f>E10+C11</f>
        <v>14</v>
      </c>
      <c r="F11" s="533"/>
      <c r="G11" s="533">
        <f>A11*C11</f>
        <v>6000</v>
      </c>
      <c r="H11" s="533"/>
      <c r="I11" s="533">
        <f>I10+G11</f>
        <v>6000</v>
      </c>
      <c r="J11" s="533"/>
      <c r="K11" s="533">
        <f>$E$14-E11</f>
        <v>6</v>
      </c>
      <c r="L11" s="533"/>
      <c r="M11" s="533">
        <f>(A11*K11)+I11</f>
        <v>12000</v>
      </c>
      <c r="O11" s="534">
        <f>I11/$I$14</f>
        <v>0.25</v>
      </c>
      <c r="P11" s="532">
        <v>1</v>
      </c>
      <c r="R11" s="535"/>
      <c r="S11" s="513"/>
      <c r="T11" s="536">
        <f>IF(A11&lt;1000,C11*$T$2,IF(A11=1000,C11*$T$2,IF(AND(A11&lt;11000,A11&gt;1000),(C11*$T$2)+((A11-1000)*C11/1000*$T$3),IF(AND(A11&gt;10000,A11&lt;26000),(C11*$T$2)+(9*$T$3*C11)+((A11-10000)/1000*$T$4*C11),IF(AND(A11&lt;51000,A11&gt;25000),(C11*$T$2)+(9*$T$3*C11)+(15*$T$4*C11)+((A11-25000)/1000*$T$5*C11),IF(AND(A11&lt;101000,A11&gt;50000),(C11*$T$2)+(9*$T$3*C11)+(15*$T$4*C11)+(25*$T$5*C11)+((A11-50000)/1000*$T$6*C11),IF(A11&gt;100000,(C11*$T$2)+(9*$T$3*C11)+(15*$T$4*C11)+(25*$T$5*C11)+(50*$T$6*C11)+((A11-100000)/1000*$T$7*C11))))))))</f>
        <v>82.199999999999989</v>
      </c>
    </row>
    <row r="12" spans="1:20">
      <c r="A12" s="552">
        <f>P12*1000</f>
        <v>2000</v>
      </c>
      <c r="C12" s="532">
        <v>2</v>
      </c>
      <c r="E12" s="533">
        <f>E11+C12</f>
        <v>16</v>
      </c>
      <c r="G12" s="533">
        <f>A12*C12</f>
        <v>4000</v>
      </c>
      <c r="H12" s="533"/>
      <c r="I12" s="533">
        <f>I11+G12</f>
        <v>10000</v>
      </c>
      <c r="K12" s="533">
        <f>$E$14-E12</f>
        <v>4</v>
      </c>
      <c r="M12" s="533">
        <f>(A12*K12)+I12</f>
        <v>18000</v>
      </c>
      <c r="O12" s="534">
        <f>I12/$I$14</f>
        <v>0.41666666666666669</v>
      </c>
      <c r="P12" s="532">
        <v>2</v>
      </c>
      <c r="R12" s="515"/>
      <c r="S12" s="515"/>
      <c r="T12" s="536">
        <f>IF(A12&lt;1000,C12*$T$2,IF(A12=1000,C12*$T$2,IF(AND(A12&lt;11000,A12&gt;1000),(C12*$T$2)+((A12-1000)*C12/1000*$T$3),IF(AND(A12&gt;10000,A12&lt;26000),(C12*$T$2)+(9*$T$3*C12)+((A12-10000)/1000*$T$4*C12),IF(AND(A12&lt;51000,A12&gt;25000),(C12*$T$2)+(9*$T$3*C12)+(15*$T$4*C12)+((A12-25000)/1000*$T$5*C12),IF(AND(A12&lt;101000,A12&gt;50000),(C12*$T$2)+(9*$T$3*C12)+(15*$T$4*C12)+(25*$T$5*C12)+((A12-50000)/1000*$T$6*C12),IF(A12&gt;100000,(C12*$T$2)+(9*$T$3*C12)+(15*$T$4*C12)+(25*$T$5*C12)+(50*$T$6*C12)+((A12-100000)/1000*$T$7*C12))))))))</f>
        <v>42.92</v>
      </c>
    </row>
    <row r="13" spans="1:20">
      <c r="A13" s="552">
        <f>P13*1000</f>
        <v>3000</v>
      </c>
      <c r="C13" s="532">
        <v>2</v>
      </c>
      <c r="E13" s="533">
        <f>E12+C13</f>
        <v>18</v>
      </c>
      <c r="G13" s="533">
        <f>A13*C13</f>
        <v>6000</v>
      </c>
      <c r="H13" s="533"/>
      <c r="I13" s="533">
        <f>I12+G13</f>
        <v>16000</v>
      </c>
      <c r="K13" s="533">
        <f>$E$14-E13</f>
        <v>2</v>
      </c>
      <c r="M13" s="533">
        <f>(A13*K13)+I13</f>
        <v>22000</v>
      </c>
      <c r="O13" s="534">
        <f>I13/$I$14</f>
        <v>0.66666666666666663</v>
      </c>
      <c r="P13" s="532">
        <v>3</v>
      </c>
      <c r="T13" s="536">
        <f>IF(A13&lt;1000,C13*$T$2,IF(A13=1000,C13*$T$2,IF(AND(A13&lt;11000,A13&gt;1000),(C13*$T$2)+((A13-1000)*C13/1000*$T$3),IF(AND(A13&gt;10000,A13&lt;26000),(C13*$T$2)+(9*$T$3*C13)+((A13-10000)/1000*$T$4*C13),IF(AND(A13&lt;51000,A13&gt;25000),(C13*$T$2)+(9*$T$3*C13)+(15*$T$4*C13)+((A13-25000)/1000*$T$5*C13),IF(AND(A13&lt;101000,A13&gt;50000),(C13*$T$2)+(9*$T$3*C13)+(15*$T$4*C13)+(25*$T$5*C13)+((A13-50000)/1000*$T$6*C13),IF(A13&gt;100000,(C13*$T$2)+(9*$T$3*C13)+(15*$T$4*C13)+(25*$T$5*C13)+(50*$T$6*C13)+((A13-100000)/1000*$T$7*C13))))))))</f>
        <v>58.44</v>
      </c>
    </row>
    <row r="14" spans="1:20">
      <c r="A14" s="552">
        <f>P14*1000</f>
        <v>4000</v>
      </c>
      <c r="C14" s="532">
        <v>2</v>
      </c>
      <c r="E14" s="533">
        <f>E13+C14</f>
        <v>20</v>
      </c>
      <c r="G14" s="533">
        <f>A14*C14</f>
        <v>8000</v>
      </c>
      <c r="H14" s="533"/>
      <c r="I14" s="533">
        <f>I13+G14</f>
        <v>24000</v>
      </c>
      <c r="K14" s="533">
        <f>$E$14-E14</f>
        <v>0</v>
      </c>
      <c r="M14" s="533">
        <f>(A14*K14)+I14</f>
        <v>24000</v>
      </c>
      <c r="O14" s="534">
        <f>I14/$I$14</f>
        <v>1</v>
      </c>
      <c r="P14" s="532">
        <v>4</v>
      </c>
      <c r="T14" s="536">
        <f>IF(A14&lt;1000,C14*$T$2,IF(A14=1000,C14*$T$2,IF(AND(A14&lt;11000,A14&gt;1000),(C14*$T$2)+((A14-1000)*C14/1000*$T$3),IF(AND(A14&gt;10000,A14&lt;26000),(C14*$T$2)+(9*$T$3*C14)+((A14-10000)/1000*$T$4*C14),IF(AND(A14&lt;51000,A14&gt;25000),(C14*$T$2)+(9*$T$3*C14)+(15*$T$4*C14)+((A14-25000)/1000*$T$5*C14),IF(AND(A14&lt;101000,A14&gt;50000),(C14*$T$2)+(9*$T$3*C14)+(15*$T$4*C14)+(25*$T$5*C14)+((A14-50000)/1000*$T$6*C14),IF(A14&gt;100000,(C14*$T$2)+(9*$T$3*C14)+(15*$T$4*C14)+(25*$T$5*C14)+(50*$T$6*C14)+((A14-100000)/1000*$T$7*C14))))))))</f>
        <v>73.960000000000008</v>
      </c>
    </row>
    <row r="15" spans="1:20">
      <c r="A15" s="552"/>
      <c r="T15" s="536"/>
    </row>
    <row r="16" spans="1:20">
      <c r="A16" s="552"/>
      <c r="T16" s="554">
        <f>SUM(T10:T14)</f>
        <v>367.12</v>
      </c>
    </row>
    <row r="17" spans="20:20" hidden="1">
      <c r="T17" s="536">
        <v>237</v>
      </c>
    </row>
    <row r="18" spans="20:20" hidden="1">
      <c r="T18" s="536">
        <f>T16-T17</f>
        <v>130.12</v>
      </c>
    </row>
    <row r="19" spans="20:20" hidden="1">
      <c r="T19" s="569">
        <f>T18/T16</f>
        <v>0.35443451732403575</v>
      </c>
    </row>
    <row r="20" spans="20:20">
      <c r="T20" s="536"/>
    </row>
  </sheetData>
  <phoneticPr fontId="54" type="noConversion"/>
  <pageMargins left="0.75" right="0.75" top="1" bottom="1" header="0.5" footer="0.5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"/>
  <sheetViews>
    <sheetView topLeftCell="J1" workbookViewId="0">
      <selection activeCell="R9" sqref="R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'16275'!T2</f>
        <v>13.7</v>
      </c>
    </row>
    <row r="3" spans="1:20">
      <c r="A3" s="513" t="s">
        <v>543</v>
      </c>
      <c r="M3" s="520" t="s">
        <v>538</v>
      </c>
      <c r="R3" s="518" t="s">
        <v>274</v>
      </c>
      <c r="S3" s="518"/>
      <c r="T3" s="519">
        <f>'16275'!T3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'16275'!T4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'16275'!T5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'16275'!T6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'16275'!T7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7" si="0">P10*1000</f>
        <v>0</v>
      </c>
      <c r="C10" s="532">
        <v>5</v>
      </c>
      <c r="D10" s="533"/>
      <c r="E10" s="533">
        <f>C10</f>
        <v>5</v>
      </c>
      <c r="F10" s="533"/>
      <c r="G10" s="533">
        <f t="shared" ref="G10:G17" si="1">A10*C10</f>
        <v>0</v>
      </c>
      <c r="H10" s="533"/>
      <c r="I10" s="533">
        <f>G10</f>
        <v>0</v>
      </c>
      <c r="J10" s="533"/>
      <c r="K10" s="533">
        <f t="shared" ref="K10:K17" si="2">$E$17-E10</f>
        <v>19</v>
      </c>
      <c r="L10" s="533"/>
      <c r="M10" s="533">
        <f t="shared" ref="M10:M17" si="3">(A10*K10)+I10</f>
        <v>0</v>
      </c>
      <c r="O10" s="534">
        <f t="shared" ref="O10:O17" si="4">I10/$I$17</f>
        <v>0</v>
      </c>
      <c r="P10" s="532">
        <v>0</v>
      </c>
      <c r="R10" s="535"/>
      <c r="S10" s="513"/>
      <c r="T10" s="536">
        <f t="shared" ref="T10:T17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68.5</v>
      </c>
    </row>
    <row r="11" spans="1:20" s="515" customFormat="1">
      <c r="A11" s="552">
        <f t="shared" si="0"/>
        <v>1000</v>
      </c>
      <c r="C11" s="532">
        <v>6</v>
      </c>
      <c r="D11" s="533"/>
      <c r="E11" s="533">
        <f t="shared" ref="E11:E17" si="6">E10+C11</f>
        <v>11</v>
      </c>
      <c r="F11" s="533"/>
      <c r="G11" s="533">
        <f t="shared" si="1"/>
        <v>6000</v>
      </c>
      <c r="H11" s="533"/>
      <c r="I11" s="533">
        <f t="shared" ref="I11:I17" si="7">I10+G11</f>
        <v>6000</v>
      </c>
      <c r="J11" s="533"/>
      <c r="K11" s="533">
        <f t="shared" si="2"/>
        <v>13</v>
      </c>
      <c r="L11" s="533"/>
      <c r="M11" s="533">
        <f t="shared" si="3"/>
        <v>19000</v>
      </c>
      <c r="O11" s="534">
        <f t="shared" si="4"/>
        <v>5.4545454545454543E-2</v>
      </c>
      <c r="P11" s="532">
        <v>1</v>
      </c>
      <c r="R11" s="535"/>
      <c r="S11" s="513"/>
      <c r="T11" s="536">
        <f t="shared" si="5"/>
        <v>82.199999999999989</v>
      </c>
    </row>
    <row r="12" spans="1:20">
      <c r="A12" s="552">
        <f t="shared" si="0"/>
        <v>5000</v>
      </c>
      <c r="C12" s="532">
        <v>2</v>
      </c>
      <c r="E12" s="533">
        <f t="shared" si="6"/>
        <v>13</v>
      </c>
      <c r="G12" s="533">
        <f t="shared" si="1"/>
        <v>10000</v>
      </c>
      <c r="H12" s="533"/>
      <c r="I12" s="533">
        <f t="shared" si="7"/>
        <v>16000</v>
      </c>
      <c r="K12" s="533">
        <f t="shared" si="2"/>
        <v>11</v>
      </c>
      <c r="M12" s="533">
        <f t="shared" si="3"/>
        <v>71000</v>
      </c>
      <c r="O12" s="534">
        <f t="shared" si="4"/>
        <v>0.14545454545454545</v>
      </c>
      <c r="P12" s="532">
        <v>5</v>
      </c>
      <c r="R12" s="515"/>
      <c r="S12" s="515"/>
      <c r="T12" s="536">
        <f t="shared" si="5"/>
        <v>89.47999999999999</v>
      </c>
    </row>
    <row r="13" spans="1:20">
      <c r="A13" s="552">
        <f t="shared" si="0"/>
        <v>6000</v>
      </c>
      <c r="C13" s="532">
        <v>4</v>
      </c>
      <c r="E13" s="533">
        <f t="shared" si="6"/>
        <v>17</v>
      </c>
      <c r="G13" s="533">
        <f t="shared" si="1"/>
        <v>24000</v>
      </c>
      <c r="H13" s="533"/>
      <c r="I13" s="533">
        <f t="shared" si="7"/>
        <v>40000</v>
      </c>
      <c r="K13" s="533">
        <f t="shared" si="2"/>
        <v>7</v>
      </c>
      <c r="M13" s="533">
        <f t="shared" si="3"/>
        <v>82000</v>
      </c>
      <c r="O13" s="534">
        <f t="shared" si="4"/>
        <v>0.36363636363636365</v>
      </c>
      <c r="P13" s="532">
        <v>6</v>
      </c>
      <c r="T13" s="536">
        <f t="shared" si="5"/>
        <v>210</v>
      </c>
    </row>
    <row r="14" spans="1:20">
      <c r="A14" s="552">
        <f t="shared" si="0"/>
        <v>8000</v>
      </c>
      <c r="C14" s="532">
        <v>1</v>
      </c>
      <c r="E14" s="533">
        <f t="shared" si="6"/>
        <v>18</v>
      </c>
      <c r="G14" s="533">
        <f t="shared" si="1"/>
        <v>8000</v>
      </c>
      <c r="H14" s="533"/>
      <c r="I14" s="533">
        <f t="shared" si="7"/>
        <v>48000</v>
      </c>
      <c r="K14" s="533">
        <f t="shared" si="2"/>
        <v>6</v>
      </c>
      <c r="M14" s="533">
        <f t="shared" si="3"/>
        <v>96000</v>
      </c>
      <c r="O14" s="534">
        <f t="shared" si="4"/>
        <v>0.43636363636363634</v>
      </c>
      <c r="P14" s="532">
        <v>8</v>
      </c>
      <c r="T14" s="536">
        <f t="shared" si="5"/>
        <v>68.02</v>
      </c>
    </row>
    <row r="15" spans="1:20">
      <c r="A15" s="552">
        <f t="shared" si="0"/>
        <v>9000</v>
      </c>
      <c r="C15" s="532">
        <v>1</v>
      </c>
      <c r="E15" s="533">
        <f t="shared" si="6"/>
        <v>19</v>
      </c>
      <c r="G15" s="533">
        <f t="shared" si="1"/>
        <v>9000</v>
      </c>
      <c r="H15" s="533"/>
      <c r="I15" s="533">
        <f t="shared" si="7"/>
        <v>57000</v>
      </c>
      <c r="K15" s="533">
        <f t="shared" si="2"/>
        <v>5</v>
      </c>
      <c r="M15" s="533">
        <f t="shared" si="3"/>
        <v>102000</v>
      </c>
      <c r="O15" s="534">
        <f t="shared" si="4"/>
        <v>0.51818181818181819</v>
      </c>
      <c r="P15" s="532">
        <v>9</v>
      </c>
      <c r="T15" s="536">
        <f t="shared" si="5"/>
        <v>75.78</v>
      </c>
    </row>
    <row r="16" spans="1:20">
      <c r="A16" s="552">
        <f t="shared" si="0"/>
        <v>10000</v>
      </c>
      <c r="C16" s="532">
        <v>4</v>
      </c>
      <c r="E16" s="533">
        <f t="shared" si="6"/>
        <v>23</v>
      </c>
      <c r="G16" s="533">
        <f t="shared" si="1"/>
        <v>40000</v>
      </c>
      <c r="H16" s="533"/>
      <c r="I16" s="533">
        <f t="shared" si="7"/>
        <v>97000</v>
      </c>
      <c r="K16" s="533">
        <f t="shared" si="2"/>
        <v>1</v>
      </c>
      <c r="M16" s="533">
        <f t="shared" si="3"/>
        <v>107000</v>
      </c>
      <c r="O16" s="534">
        <f t="shared" si="4"/>
        <v>0.88181818181818183</v>
      </c>
      <c r="P16" s="532">
        <v>10</v>
      </c>
      <c r="T16" s="536">
        <f t="shared" si="5"/>
        <v>334.16</v>
      </c>
    </row>
    <row r="17" spans="1:20">
      <c r="A17" s="552">
        <f t="shared" si="0"/>
        <v>13000</v>
      </c>
      <c r="C17" s="532">
        <v>1</v>
      </c>
      <c r="E17" s="533">
        <f t="shared" si="6"/>
        <v>24</v>
      </c>
      <c r="G17" s="533">
        <f t="shared" si="1"/>
        <v>13000</v>
      </c>
      <c r="H17" s="533"/>
      <c r="I17" s="533">
        <f t="shared" si="7"/>
        <v>110000</v>
      </c>
      <c r="K17" s="533">
        <f t="shared" si="2"/>
        <v>0</v>
      </c>
      <c r="M17" s="533">
        <f t="shared" si="3"/>
        <v>110000</v>
      </c>
      <c r="O17" s="534">
        <f t="shared" si="4"/>
        <v>1</v>
      </c>
      <c r="P17" s="532">
        <v>13</v>
      </c>
      <c r="T17" s="536">
        <f t="shared" si="5"/>
        <v>104.9</v>
      </c>
    </row>
    <row r="18" spans="1:20">
      <c r="A18" s="552"/>
      <c r="T18" s="536"/>
    </row>
    <row r="19" spans="1:20">
      <c r="A19" s="552"/>
      <c r="T19" s="554">
        <f>SUM(T10:T17)</f>
        <v>1033.04</v>
      </c>
    </row>
    <row r="20" spans="1:20" hidden="1">
      <c r="T20" s="536">
        <v>688</v>
      </c>
    </row>
    <row r="21" spans="1:20" hidden="1">
      <c r="T21" s="536">
        <f>T19-T20</f>
        <v>345.03999999999996</v>
      </c>
    </row>
    <row r="22" spans="1:20" hidden="1">
      <c r="T22" s="536">
        <f>T21/T19</f>
        <v>0.33400449159761481</v>
      </c>
    </row>
    <row r="23" spans="1:20">
      <c r="T23" s="536"/>
    </row>
  </sheetData>
  <phoneticPr fontId="54" type="noConversion"/>
  <pageMargins left="0.75" right="0.75" top="1" bottom="1" header="0.5" footer="0.5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topLeftCell="H1" workbookViewId="0">
      <selection activeCell="P31" sqref="P31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'16275'!T2</f>
        <v>13.7</v>
      </c>
    </row>
    <row r="3" spans="1:20">
      <c r="A3" s="513" t="s">
        <v>543</v>
      </c>
      <c r="M3" s="520" t="s">
        <v>538</v>
      </c>
      <c r="R3" s="518" t="s">
        <v>274</v>
      </c>
      <c r="S3" s="518"/>
      <c r="T3" s="519">
        <f>'16275'!T3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'16275'!T4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'16275'!T5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'16275'!T6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'16275'!T7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3" si="0">P10*1000</f>
        <v>0</v>
      </c>
      <c r="C10" s="532">
        <v>3</v>
      </c>
      <c r="D10" s="533"/>
      <c r="E10" s="533">
        <f>C10</f>
        <v>3</v>
      </c>
      <c r="F10" s="533"/>
      <c r="G10" s="533">
        <f t="shared" ref="G10:G23" si="1">A10*C10</f>
        <v>0</v>
      </c>
      <c r="H10" s="533"/>
      <c r="I10" s="533">
        <f>G10</f>
        <v>0</v>
      </c>
      <c r="J10" s="533"/>
      <c r="K10" s="533">
        <f t="shared" ref="K10:K23" si="2">$E$23-E10</f>
        <v>107</v>
      </c>
      <c r="L10" s="533"/>
      <c r="M10" s="533">
        <f t="shared" ref="M10:M23" si="3">(A10*K10)+I10</f>
        <v>0</v>
      </c>
      <c r="O10" s="534">
        <f t="shared" ref="O10:O23" si="4">I10/$I$23</f>
        <v>0</v>
      </c>
      <c r="P10" s="532">
        <v>0</v>
      </c>
      <c r="R10" s="535"/>
      <c r="S10" s="513"/>
      <c r="T10" s="536">
        <f t="shared" ref="T10:T23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41.099999999999994</v>
      </c>
    </row>
    <row r="11" spans="1:20" s="515" customFormat="1">
      <c r="A11" s="552">
        <f t="shared" si="0"/>
        <v>1000</v>
      </c>
      <c r="C11" s="532">
        <v>24</v>
      </c>
      <c r="D11" s="533"/>
      <c r="E11" s="533">
        <f t="shared" ref="E11:E23" si="6">E10+C11</f>
        <v>27</v>
      </c>
      <c r="F11" s="533"/>
      <c r="G11" s="533">
        <f t="shared" si="1"/>
        <v>24000</v>
      </c>
      <c r="H11" s="533"/>
      <c r="I11" s="533">
        <f t="shared" ref="I11:I23" si="7">I10+G11</f>
        <v>24000</v>
      </c>
      <c r="J11" s="533"/>
      <c r="K11" s="533">
        <f t="shared" si="2"/>
        <v>83</v>
      </c>
      <c r="L11" s="533"/>
      <c r="M11" s="533">
        <f t="shared" si="3"/>
        <v>107000</v>
      </c>
      <c r="O11" s="534">
        <f t="shared" si="4"/>
        <v>5.7279236276849645E-2</v>
      </c>
      <c r="P11" s="532">
        <v>1</v>
      </c>
      <c r="R11" s="535"/>
      <c r="S11" s="513"/>
      <c r="T11" s="536">
        <f t="shared" si="5"/>
        <v>328.79999999999995</v>
      </c>
    </row>
    <row r="12" spans="1:20">
      <c r="A12" s="552">
        <f t="shared" si="0"/>
        <v>2000</v>
      </c>
      <c r="C12" s="532">
        <v>20</v>
      </c>
      <c r="E12" s="533">
        <f t="shared" si="6"/>
        <v>47</v>
      </c>
      <c r="G12" s="533">
        <f t="shared" si="1"/>
        <v>40000</v>
      </c>
      <c r="H12" s="533"/>
      <c r="I12" s="533">
        <f t="shared" si="7"/>
        <v>64000</v>
      </c>
      <c r="K12" s="533">
        <f t="shared" si="2"/>
        <v>63</v>
      </c>
      <c r="M12" s="533">
        <f t="shared" si="3"/>
        <v>190000</v>
      </c>
      <c r="O12" s="534">
        <f t="shared" si="4"/>
        <v>0.15274463007159905</v>
      </c>
      <c r="P12" s="532">
        <v>2</v>
      </c>
      <c r="R12" s="515"/>
      <c r="S12" s="515"/>
      <c r="T12" s="536">
        <f t="shared" si="5"/>
        <v>429.2</v>
      </c>
    </row>
    <row r="13" spans="1:20">
      <c r="A13" s="552">
        <f t="shared" si="0"/>
        <v>3000</v>
      </c>
      <c r="C13" s="532">
        <v>18</v>
      </c>
      <c r="E13" s="533">
        <f t="shared" si="6"/>
        <v>65</v>
      </c>
      <c r="G13" s="533">
        <f t="shared" si="1"/>
        <v>54000</v>
      </c>
      <c r="H13" s="533"/>
      <c r="I13" s="533">
        <f t="shared" si="7"/>
        <v>118000</v>
      </c>
      <c r="K13" s="533">
        <f t="shared" si="2"/>
        <v>45</v>
      </c>
      <c r="M13" s="533">
        <f t="shared" si="3"/>
        <v>253000</v>
      </c>
      <c r="O13" s="534">
        <f t="shared" si="4"/>
        <v>0.28162291169451076</v>
      </c>
      <c r="P13" s="532">
        <v>3</v>
      </c>
      <c r="T13" s="536">
        <f t="shared" si="5"/>
        <v>525.96</v>
      </c>
    </row>
    <row r="14" spans="1:20">
      <c r="A14" s="552">
        <f t="shared" si="0"/>
        <v>4000</v>
      </c>
      <c r="C14" s="532">
        <v>5</v>
      </c>
      <c r="E14" s="533">
        <f t="shared" si="6"/>
        <v>70</v>
      </c>
      <c r="G14" s="533">
        <f t="shared" si="1"/>
        <v>20000</v>
      </c>
      <c r="H14" s="533"/>
      <c r="I14" s="533">
        <f t="shared" si="7"/>
        <v>138000</v>
      </c>
      <c r="K14" s="533">
        <f t="shared" si="2"/>
        <v>40</v>
      </c>
      <c r="M14" s="533">
        <f t="shared" si="3"/>
        <v>298000</v>
      </c>
      <c r="O14" s="534">
        <f t="shared" si="4"/>
        <v>0.32935560859188545</v>
      </c>
      <c r="P14" s="532">
        <v>4</v>
      </c>
      <c r="T14" s="536">
        <f t="shared" si="5"/>
        <v>184.89999999999998</v>
      </c>
    </row>
    <row r="15" spans="1:20">
      <c r="A15" s="552">
        <f t="shared" si="0"/>
        <v>5000</v>
      </c>
      <c r="C15" s="532">
        <v>11</v>
      </c>
      <c r="E15" s="533">
        <f t="shared" si="6"/>
        <v>81</v>
      </c>
      <c r="G15" s="533">
        <f t="shared" si="1"/>
        <v>55000</v>
      </c>
      <c r="H15" s="533"/>
      <c r="I15" s="533">
        <f t="shared" si="7"/>
        <v>193000</v>
      </c>
      <c r="K15" s="533">
        <f t="shared" si="2"/>
        <v>29</v>
      </c>
      <c r="M15" s="533">
        <f t="shared" si="3"/>
        <v>338000</v>
      </c>
      <c r="O15" s="534">
        <f t="shared" si="4"/>
        <v>0.46062052505966589</v>
      </c>
      <c r="P15" s="532">
        <v>5</v>
      </c>
      <c r="T15" s="536">
        <f t="shared" si="5"/>
        <v>492.14</v>
      </c>
    </row>
    <row r="16" spans="1:20">
      <c r="A16" s="552">
        <f t="shared" si="0"/>
        <v>6000</v>
      </c>
      <c r="C16" s="532">
        <v>11</v>
      </c>
      <c r="E16" s="533">
        <f t="shared" si="6"/>
        <v>92</v>
      </c>
      <c r="G16" s="533">
        <f t="shared" si="1"/>
        <v>66000</v>
      </c>
      <c r="H16" s="533"/>
      <c r="I16" s="533">
        <f t="shared" si="7"/>
        <v>259000</v>
      </c>
      <c r="K16" s="533">
        <f t="shared" si="2"/>
        <v>18</v>
      </c>
      <c r="M16" s="533">
        <f t="shared" si="3"/>
        <v>367000</v>
      </c>
      <c r="O16" s="534">
        <f t="shared" si="4"/>
        <v>0.61813842482100234</v>
      </c>
      <c r="P16" s="532">
        <v>6</v>
      </c>
      <c r="T16" s="536">
        <f t="shared" si="5"/>
        <v>577.5</v>
      </c>
    </row>
    <row r="17" spans="1:20">
      <c r="A17" s="552">
        <f t="shared" si="0"/>
        <v>7000</v>
      </c>
      <c r="C17" s="532">
        <v>7</v>
      </c>
      <c r="E17" s="533">
        <f t="shared" si="6"/>
        <v>99</v>
      </c>
      <c r="G17" s="533">
        <f t="shared" si="1"/>
        <v>49000</v>
      </c>
      <c r="H17" s="533"/>
      <c r="I17" s="533">
        <f t="shared" si="7"/>
        <v>308000</v>
      </c>
      <c r="K17" s="533">
        <f t="shared" si="2"/>
        <v>11</v>
      </c>
      <c r="M17" s="533">
        <f t="shared" si="3"/>
        <v>385000</v>
      </c>
      <c r="O17" s="534">
        <f t="shared" si="4"/>
        <v>0.73508353221957046</v>
      </c>
      <c r="P17" s="532">
        <v>7</v>
      </c>
      <c r="T17" s="536">
        <f t="shared" si="5"/>
        <v>421.82</v>
      </c>
    </row>
    <row r="18" spans="1:20">
      <c r="A18" s="552">
        <f t="shared" si="0"/>
        <v>8000</v>
      </c>
      <c r="C18" s="532">
        <v>4</v>
      </c>
      <c r="E18" s="533">
        <f t="shared" si="6"/>
        <v>103</v>
      </c>
      <c r="G18" s="533">
        <f t="shared" si="1"/>
        <v>32000</v>
      </c>
      <c r="H18" s="533"/>
      <c r="I18" s="533">
        <f t="shared" si="7"/>
        <v>340000</v>
      </c>
      <c r="K18" s="533">
        <f t="shared" si="2"/>
        <v>7</v>
      </c>
      <c r="M18" s="533">
        <f t="shared" si="3"/>
        <v>396000</v>
      </c>
      <c r="O18" s="534">
        <f t="shared" si="4"/>
        <v>0.8114558472553699</v>
      </c>
      <c r="P18" s="532">
        <v>8</v>
      </c>
      <c r="T18" s="536">
        <f t="shared" si="5"/>
        <v>272.08</v>
      </c>
    </row>
    <row r="19" spans="1:20">
      <c r="A19" s="552">
        <f t="shared" si="0"/>
        <v>9000</v>
      </c>
      <c r="C19" s="532">
        <v>1</v>
      </c>
      <c r="E19" s="533">
        <f t="shared" si="6"/>
        <v>104</v>
      </c>
      <c r="G19" s="533">
        <f t="shared" si="1"/>
        <v>9000</v>
      </c>
      <c r="H19" s="533"/>
      <c r="I19" s="533">
        <f t="shared" si="7"/>
        <v>349000</v>
      </c>
      <c r="K19" s="533">
        <f t="shared" si="2"/>
        <v>6</v>
      </c>
      <c r="M19" s="533">
        <f t="shared" si="3"/>
        <v>403000</v>
      </c>
      <c r="O19" s="534">
        <f t="shared" si="4"/>
        <v>0.83293556085918852</v>
      </c>
      <c r="P19" s="532">
        <v>9</v>
      </c>
      <c r="T19" s="536">
        <f t="shared" si="5"/>
        <v>75.78</v>
      </c>
    </row>
    <row r="20" spans="1:20">
      <c r="A20" s="552">
        <f t="shared" si="0"/>
        <v>10000</v>
      </c>
      <c r="C20" s="532">
        <v>3</v>
      </c>
      <c r="E20" s="533">
        <f t="shared" si="6"/>
        <v>107</v>
      </c>
      <c r="G20" s="533">
        <f t="shared" si="1"/>
        <v>30000</v>
      </c>
      <c r="H20" s="533"/>
      <c r="I20" s="533">
        <f t="shared" si="7"/>
        <v>379000</v>
      </c>
      <c r="K20" s="533">
        <f t="shared" si="2"/>
        <v>3</v>
      </c>
      <c r="M20" s="533">
        <f t="shared" si="3"/>
        <v>409000</v>
      </c>
      <c r="O20" s="534">
        <f t="shared" si="4"/>
        <v>0.90453460620525061</v>
      </c>
      <c r="P20" s="532">
        <v>10</v>
      </c>
      <c r="T20" s="536">
        <f t="shared" si="5"/>
        <v>250.61999999999998</v>
      </c>
    </row>
    <row r="21" spans="1:20">
      <c r="A21" s="552">
        <f t="shared" si="0"/>
        <v>11000</v>
      </c>
      <c r="C21" s="532">
        <v>1</v>
      </c>
      <c r="E21" s="533">
        <f t="shared" si="6"/>
        <v>108</v>
      </c>
      <c r="G21" s="533">
        <f t="shared" si="1"/>
        <v>11000</v>
      </c>
      <c r="H21" s="533"/>
      <c r="I21" s="533">
        <f t="shared" si="7"/>
        <v>390000</v>
      </c>
      <c r="K21" s="533">
        <f t="shared" si="2"/>
        <v>2</v>
      </c>
      <c r="M21" s="533">
        <f t="shared" si="3"/>
        <v>412000</v>
      </c>
      <c r="O21" s="534">
        <f t="shared" si="4"/>
        <v>0.93078758949880669</v>
      </c>
      <c r="P21" s="532">
        <v>11</v>
      </c>
      <c r="T21" s="536">
        <f t="shared" si="5"/>
        <v>90.660000000000011</v>
      </c>
    </row>
    <row r="22" spans="1:20">
      <c r="A22" s="552">
        <f t="shared" si="0"/>
        <v>13000</v>
      </c>
      <c r="C22" s="532">
        <v>1</v>
      </c>
      <c r="E22" s="533">
        <f t="shared" si="6"/>
        <v>109</v>
      </c>
      <c r="G22" s="533">
        <f t="shared" si="1"/>
        <v>13000</v>
      </c>
      <c r="H22" s="533"/>
      <c r="I22" s="533">
        <f t="shared" si="7"/>
        <v>403000</v>
      </c>
      <c r="K22" s="533">
        <f t="shared" si="2"/>
        <v>1</v>
      </c>
      <c r="M22" s="533">
        <f t="shared" si="3"/>
        <v>416000</v>
      </c>
      <c r="O22" s="534">
        <f t="shared" si="4"/>
        <v>0.96181384248210022</v>
      </c>
      <c r="P22" s="532">
        <v>13</v>
      </c>
      <c r="T22" s="536">
        <f t="shared" si="5"/>
        <v>104.9</v>
      </c>
    </row>
    <row r="23" spans="1:20">
      <c r="A23" s="552">
        <f t="shared" si="0"/>
        <v>16000</v>
      </c>
      <c r="C23" s="532">
        <v>1</v>
      </c>
      <c r="E23" s="533">
        <f t="shared" si="6"/>
        <v>110</v>
      </c>
      <c r="G23" s="533">
        <f t="shared" si="1"/>
        <v>16000</v>
      </c>
      <c r="H23" s="533"/>
      <c r="I23" s="533">
        <f t="shared" si="7"/>
        <v>419000</v>
      </c>
      <c r="K23" s="533">
        <f t="shared" si="2"/>
        <v>0</v>
      </c>
      <c r="M23" s="533">
        <f t="shared" si="3"/>
        <v>419000</v>
      </c>
      <c r="O23" s="534">
        <f t="shared" si="4"/>
        <v>1</v>
      </c>
      <c r="P23" s="532">
        <v>16</v>
      </c>
      <c r="T23" s="536">
        <f t="shared" si="5"/>
        <v>126.26</v>
      </c>
    </row>
    <row r="24" spans="1:20">
      <c r="A24" s="552"/>
      <c r="E24" s="533"/>
      <c r="G24" s="533"/>
      <c r="H24" s="533"/>
      <c r="I24" s="533"/>
      <c r="K24" s="533"/>
      <c r="M24" s="533"/>
      <c r="O24" s="534"/>
      <c r="T24" s="536"/>
    </row>
    <row r="25" spans="1:20">
      <c r="A25" s="552"/>
      <c r="E25" s="533"/>
      <c r="G25" s="533"/>
      <c r="H25" s="533"/>
      <c r="I25" s="533"/>
      <c r="K25" s="533"/>
      <c r="M25" s="533"/>
      <c r="O25" s="534"/>
      <c r="T25" s="536"/>
    </row>
    <row r="26" spans="1:20">
      <c r="A26" s="552"/>
      <c r="T26" s="536"/>
    </row>
    <row r="27" spans="1:20">
      <c r="A27" s="552"/>
      <c r="T27" s="554">
        <f>SUM(T10:T23)</f>
        <v>3921.7200000000003</v>
      </c>
    </row>
    <row r="28" spans="1:20" hidden="1">
      <c r="T28" s="536">
        <v>2620</v>
      </c>
    </row>
    <row r="29" spans="1:20" hidden="1">
      <c r="T29" s="536">
        <f>T27-T28</f>
        <v>1301.7200000000003</v>
      </c>
    </row>
    <row r="30" spans="1:20" hidden="1">
      <c r="T30" s="569">
        <f>T29/T27</f>
        <v>0.33192578766459618</v>
      </c>
    </row>
    <row r="31" spans="1:20">
      <c r="T31" s="536"/>
    </row>
  </sheetData>
  <phoneticPr fontId="54" type="noConversion"/>
  <pageMargins left="0.75" right="0.75" top="1" bottom="1" header="0.5" footer="0.5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"/>
  <sheetViews>
    <sheetView topLeftCell="J1" workbookViewId="0">
      <selection activeCell="P31" sqref="P31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66</v>
      </c>
      <c r="S1" s="516"/>
      <c r="T1" s="517" t="s">
        <v>271</v>
      </c>
    </row>
    <row r="2" spans="1:20">
      <c r="O2" s="514"/>
      <c r="R2" s="518" t="s">
        <v>272</v>
      </c>
      <c r="S2" s="518"/>
      <c r="T2" s="519">
        <f>'16275'!T2</f>
        <v>13.7</v>
      </c>
    </row>
    <row r="3" spans="1:20">
      <c r="A3" s="513" t="s">
        <v>543</v>
      </c>
      <c r="M3" s="520" t="s">
        <v>538</v>
      </c>
      <c r="R3" s="518" t="s">
        <v>274</v>
      </c>
      <c r="S3" s="518"/>
      <c r="T3" s="519">
        <f>'16275'!T3</f>
        <v>7.76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>
        <f>'16275'!T4</f>
        <v>7.12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>
        <f>'16275'!T5</f>
        <v>6.48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>
        <f>'16275'!T6</f>
        <v>5.76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>
        <f>'16275'!T7</f>
        <v>5.03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7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7" si="1">A10*C10</f>
        <v>0</v>
      </c>
      <c r="H10" s="533"/>
      <c r="I10" s="533">
        <f>G10</f>
        <v>0</v>
      </c>
      <c r="J10" s="533"/>
      <c r="K10" s="533">
        <f t="shared" ref="K10:K17" si="2">$E$17-E10</f>
        <v>25</v>
      </c>
      <c r="L10" s="533"/>
      <c r="M10" s="533">
        <f t="shared" ref="M10:M17" si="3">(A10*K10)+I10</f>
        <v>0</v>
      </c>
      <c r="O10" s="534">
        <f t="shared" ref="O10:O17" si="4">I10/$I$17</f>
        <v>0</v>
      </c>
      <c r="P10" s="532">
        <v>0</v>
      </c>
      <c r="R10" s="535"/>
      <c r="S10" s="513"/>
      <c r="T10" s="536">
        <f t="shared" ref="T10:T17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0</v>
      </c>
    </row>
    <row r="11" spans="1:20" s="515" customFormat="1">
      <c r="A11" s="552">
        <f t="shared" si="0"/>
        <v>1000</v>
      </c>
      <c r="C11" s="532">
        <v>2</v>
      </c>
      <c r="D11" s="533"/>
      <c r="E11" s="533">
        <f t="shared" ref="E11:E17" si="6">E10+C11</f>
        <v>2</v>
      </c>
      <c r="F11" s="533"/>
      <c r="G11" s="533">
        <f t="shared" si="1"/>
        <v>2000</v>
      </c>
      <c r="H11" s="533"/>
      <c r="I11" s="533">
        <f t="shared" ref="I11:I17" si="7">I10+G11</f>
        <v>2000</v>
      </c>
      <c r="J11" s="533"/>
      <c r="K11" s="533">
        <f t="shared" si="2"/>
        <v>23</v>
      </c>
      <c r="L11" s="533"/>
      <c r="M11" s="533">
        <f t="shared" si="3"/>
        <v>25000</v>
      </c>
      <c r="O11" s="534">
        <f t="shared" si="4"/>
        <v>2.197802197802198E-2</v>
      </c>
      <c r="P11" s="532">
        <v>1</v>
      </c>
      <c r="R11" s="535"/>
      <c r="S11" s="513"/>
      <c r="T11" s="536">
        <f t="shared" si="5"/>
        <v>27.4</v>
      </c>
    </row>
    <row r="12" spans="1:20">
      <c r="A12" s="552">
        <f t="shared" si="0"/>
        <v>2000</v>
      </c>
      <c r="C12" s="532">
        <v>10</v>
      </c>
      <c r="E12" s="533">
        <f t="shared" si="6"/>
        <v>12</v>
      </c>
      <c r="G12" s="533">
        <f t="shared" si="1"/>
        <v>20000</v>
      </c>
      <c r="H12" s="533"/>
      <c r="I12" s="533">
        <f t="shared" si="7"/>
        <v>22000</v>
      </c>
      <c r="K12" s="533">
        <f t="shared" si="2"/>
        <v>13</v>
      </c>
      <c r="M12" s="533">
        <f t="shared" si="3"/>
        <v>48000</v>
      </c>
      <c r="O12" s="534">
        <f t="shared" si="4"/>
        <v>0.24175824175824176</v>
      </c>
      <c r="P12" s="532">
        <v>2</v>
      </c>
      <c r="R12" s="515"/>
      <c r="S12" s="515"/>
      <c r="T12" s="536">
        <f t="shared" si="5"/>
        <v>214.6</v>
      </c>
    </row>
    <row r="13" spans="1:20">
      <c r="A13" s="552">
        <f t="shared" si="0"/>
        <v>3000</v>
      </c>
      <c r="C13" s="532">
        <v>3</v>
      </c>
      <c r="E13" s="533">
        <f t="shared" si="6"/>
        <v>15</v>
      </c>
      <c r="G13" s="533">
        <f t="shared" si="1"/>
        <v>9000</v>
      </c>
      <c r="H13" s="533"/>
      <c r="I13" s="533">
        <f t="shared" si="7"/>
        <v>31000</v>
      </c>
      <c r="K13" s="533">
        <f t="shared" si="2"/>
        <v>10</v>
      </c>
      <c r="M13" s="533">
        <f t="shared" si="3"/>
        <v>61000</v>
      </c>
      <c r="O13" s="534">
        <f t="shared" si="4"/>
        <v>0.34065934065934067</v>
      </c>
      <c r="P13" s="532">
        <v>3</v>
      </c>
      <c r="T13" s="536">
        <f t="shared" si="5"/>
        <v>87.66</v>
      </c>
    </row>
    <row r="14" spans="1:20">
      <c r="A14" s="552">
        <f t="shared" si="0"/>
        <v>4000</v>
      </c>
      <c r="C14" s="532">
        <v>2</v>
      </c>
      <c r="E14" s="533">
        <f t="shared" si="6"/>
        <v>17</v>
      </c>
      <c r="G14" s="533">
        <f t="shared" si="1"/>
        <v>8000</v>
      </c>
      <c r="H14" s="533"/>
      <c r="I14" s="533">
        <f t="shared" si="7"/>
        <v>39000</v>
      </c>
      <c r="K14" s="533">
        <f t="shared" si="2"/>
        <v>8</v>
      </c>
      <c r="M14" s="533">
        <f t="shared" si="3"/>
        <v>71000</v>
      </c>
      <c r="O14" s="534">
        <f t="shared" si="4"/>
        <v>0.42857142857142855</v>
      </c>
      <c r="P14" s="532">
        <v>4</v>
      </c>
      <c r="T14" s="536">
        <f t="shared" si="5"/>
        <v>73.960000000000008</v>
      </c>
    </row>
    <row r="15" spans="1:20">
      <c r="A15" s="552">
        <f t="shared" si="0"/>
        <v>5000</v>
      </c>
      <c r="C15" s="532">
        <v>3</v>
      </c>
      <c r="E15" s="533">
        <f t="shared" si="6"/>
        <v>20</v>
      </c>
      <c r="G15" s="533">
        <f t="shared" si="1"/>
        <v>15000</v>
      </c>
      <c r="H15" s="533"/>
      <c r="I15" s="533">
        <f t="shared" si="7"/>
        <v>54000</v>
      </c>
      <c r="K15" s="533">
        <f t="shared" si="2"/>
        <v>5</v>
      </c>
      <c r="M15" s="533">
        <f t="shared" si="3"/>
        <v>79000</v>
      </c>
      <c r="O15" s="534">
        <f t="shared" si="4"/>
        <v>0.59340659340659341</v>
      </c>
      <c r="P15" s="532">
        <v>5</v>
      </c>
      <c r="T15" s="536">
        <f t="shared" si="5"/>
        <v>134.22</v>
      </c>
    </row>
    <row r="16" spans="1:20">
      <c r="A16" s="552">
        <f t="shared" si="0"/>
        <v>7000</v>
      </c>
      <c r="C16" s="532">
        <v>3</v>
      </c>
      <c r="E16" s="533">
        <f t="shared" si="6"/>
        <v>23</v>
      </c>
      <c r="G16" s="533">
        <f t="shared" si="1"/>
        <v>21000</v>
      </c>
      <c r="H16" s="533"/>
      <c r="I16" s="533">
        <f t="shared" si="7"/>
        <v>75000</v>
      </c>
      <c r="K16" s="533">
        <f t="shared" si="2"/>
        <v>2</v>
      </c>
      <c r="M16" s="533">
        <f t="shared" si="3"/>
        <v>89000</v>
      </c>
      <c r="O16" s="534">
        <f t="shared" si="4"/>
        <v>0.82417582417582413</v>
      </c>
      <c r="P16" s="532">
        <v>7</v>
      </c>
      <c r="T16" s="536">
        <f t="shared" si="5"/>
        <v>180.78</v>
      </c>
    </row>
    <row r="17" spans="1:20">
      <c r="A17" s="552">
        <f t="shared" si="0"/>
        <v>8000</v>
      </c>
      <c r="C17" s="532">
        <v>2</v>
      </c>
      <c r="E17" s="533">
        <f t="shared" si="6"/>
        <v>25</v>
      </c>
      <c r="G17" s="533">
        <f t="shared" si="1"/>
        <v>16000</v>
      </c>
      <c r="H17" s="533"/>
      <c r="I17" s="533">
        <f t="shared" si="7"/>
        <v>91000</v>
      </c>
      <c r="K17" s="533">
        <f t="shared" si="2"/>
        <v>0</v>
      </c>
      <c r="M17" s="533">
        <f t="shared" si="3"/>
        <v>91000</v>
      </c>
      <c r="O17" s="534">
        <f t="shared" si="4"/>
        <v>1</v>
      </c>
      <c r="P17" s="532">
        <v>8</v>
      </c>
      <c r="T17" s="536">
        <f t="shared" si="5"/>
        <v>136.04</v>
      </c>
    </row>
    <row r="18" spans="1:20">
      <c r="A18" s="552"/>
      <c r="C18" s="532"/>
      <c r="T18" s="536"/>
    </row>
    <row r="19" spans="1:20">
      <c r="A19" s="552"/>
      <c r="T19" s="554">
        <f>SUM(T10:T17)</f>
        <v>854.66</v>
      </c>
    </row>
    <row r="20" spans="1:20" hidden="1">
      <c r="T20" s="536">
        <v>581</v>
      </c>
    </row>
    <row r="21" spans="1:20" hidden="1">
      <c r="T21" s="536">
        <f>T19-T20</f>
        <v>273.65999999999997</v>
      </c>
    </row>
    <row r="22" spans="1:20" hidden="1">
      <c r="T22" s="536">
        <f>T21/T19</f>
        <v>0.32019750544076003</v>
      </c>
    </row>
    <row r="23" spans="1:20">
      <c r="T23" s="536"/>
    </row>
  </sheetData>
  <phoneticPr fontId="54" type="noConversion"/>
  <pageMargins left="0.75" right="0.75" top="1" bottom="1" header="0.5" footer="0.5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P831"/>
  <sheetViews>
    <sheetView view="pageBreakPreview" zoomScale="75" zoomScaleNormal="100" zoomScaleSheetLayoutView="75" workbookViewId="0">
      <pane xSplit="4" ySplit="8" topLeftCell="E145" activePane="bottomRight" state="frozen"/>
      <selection activeCell="D26" sqref="D26"/>
      <selection pane="topRight" activeCell="D26" sqref="D26"/>
      <selection pane="bottomLeft" activeCell="D26" sqref="D26"/>
      <selection pane="bottomRight" activeCell="D26" sqref="D26"/>
    </sheetView>
  </sheetViews>
  <sheetFormatPr defaultColWidth="11" defaultRowHeight="15"/>
  <cols>
    <col min="1" max="2" width="9.5" style="15" customWidth="1"/>
    <col min="3" max="3" width="49.375" style="15" customWidth="1"/>
    <col min="4" max="4" width="10.5" style="15" bestFit="1" customWidth="1"/>
    <col min="5" max="5" width="15.125" style="15" bestFit="1" customWidth="1"/>
    <col min="6" max="6" width="4.875" style="15" customWidth="1"/>
    <col min="7" max="7" width="11.75" style="15" bestFit="1" customWidth="1"/>
    <col min="8" max="8" width="4.875" style="15" customWidth="1"/>
    <col min="9" max="9" width="11.625" style="15" bestFit="1" customWidth="1"/>
    <col min="10" max="10" width="6.625" style="15" customWidth="1"/>
    <col min="11" max="11" width="11.625" style="15" bestFit="1" customWidth="1"/>
    <col min="12" max="12" width="4.875" style="724" customWidth="1"/>
    <col min="13" max="13" width="12.125" style="15" bestFit="1" customWidth="1"/>
    <col min="14" max="14" width="4" style="43" customWidth="1"/>
    <col min="15" max="15" width="13.125" style="15" bestFit="1" customWidth="1"/>
    <col min="16" max="16" width="11.625" style="15" bestFit="1" customWidth="1"/>
    <col min="17" max="17" width="18.375" style="15" customWidth="1"/>
    <col min="18" max="18" width="10.875" style="43" customWidth="1"/>
    <col min="19" max="19" width="3.625" style="15" customWidth="1"/>
    <col min="20" max="20" width="10" style="15" customWidth="1"/>
    <col min="21" max="21" width="13" style="15" customWidth="1"/>
    <col min="22" max="22" width="0.125" style="15" customWidth="1"/>
    <col min="23" max="23" width="2" style="15" customWidth="1"/>
    <col min="24" max="24" width="15.875" style="726" customWidth="1"/>
    <col min="25" max="25" width="13.875" style="726" customWidth="1"/>
    <col min="26" max="26" width="11.875" style="43" customWidth="1"/>
    <col min="27" max="27" width="3" style="15" customWidth="1"/>
    <col min="28" max="28" width="11.5" style="15" customWidth="1"/>
    <col min="29" max="29" width="11" style="22" customWidth="1"/>
    <col min="30" max="30" width="11" style="15" customWidth="1"/>
    <col min="31" max="31" width="11" style="22" customWidth="1"/>
    <col min="32" max="32" width="12.5" style="22" bestFit="1" customWidth="1"/>
    <col min="33" max="42" width="11" style="22" customWidth="1"/>
    <col min="43" max="16384" width="11" style="15"/>
  </cols>
  <sheetData>
    <row r="1" spans="1:42">
      <c r="A1" s="723" t="str">
        <f>'Input Schedule'!G6</f>
        <v>WATER SERVICE CORPORATION OF KENTUCKY</v>
      </c>
      <c r="B1" s="723"/>
      <c r="C1" s="723"/>
      <c r="D1" s="723"/>
      <c r="O1" s="725" t="s">
        <v>361</v>
      </c>
    </row>
    <row r="2" spans="1:42">
      <c r="A2" s="225" t="s">
        <v>936</v>
      </c>
      <c r="B2" s="225"/>
      <c r="AL2" s="319"/>
      <c r="AM2" s="329"/>
      <c r="AN2" s="319"/>
      <c r="AO2" s="329"/>
      <c r="AP2" s="319"/>
    </row>
    <row r="3" spans="1:42">
      <c r="A3" s="1781" t="str">
        <f>'Input Schedule'!G9</f>
        <v>Test Year 12/31/2012</v>
      </c>
      <c r="B3" s="1781"/>
      <c r="C3" s="1782"/>
      <c r="E3" s="720"/>
      <c r="AL3" s="319"/>
      <c r="AM3" s="329"/>
      <c r="AN3" s="319"/>
      <c r="AO3" s="329"/>
      <c r="AP3" s="319"/>
    </row>
    <row r="4" spans="1:42">
      <c r="A4" s="338"/>
      <c r="B4" s="338"/>
      <c r="C4" s="717"/>
      <c r="E4" s="720"/>
      <c r="AL4" s="319"/>
      <c r="AM4" s="329"/>
      <c r="AN4" s="319"/>
      <c r="AO4" s="329"/>
      <c r="AP4" s="319"/>
    </row>
    <row r="5" spans="1:42">
      <c r="N5" s="725"/>
      <c r="AL5" s="319"/>
      <c r="AM5" s="329"/>
      <c r="AN5" s="319"/>
      <c r="AO5" s="329"/>
      <c r="AP5" s="319"/>
    </row>
    <row r="6" spans="1:42">
      <c r="A6" s="48"/>
      <c r="B6" s="48"/>
      <c r="C6" s="48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AL6" s="319"/>
      <c r="AM6" s="329"/>
      <c r="AN6" s="319"/>
      <c r="AO6" s="329"/>
      <c r="AP6" s="319"/>
    </row>
    <row r="7" spans="1:42">
      <c r="A7" s="275"/>
      <c r="B7" s="275"/>
      <c r="C7" s="275"/>
      <c r="D7" s="275"/>
      <c r="E7" s="727"/>
      <c r="F7" s="727"/>
      <c r="G7" s="727"/>
      <c r="H7" s="727"/>
      <c r="I7" s="727"/>
      <c r="J7" s="275"/>
      <c r="K7" s="275" t="s">
        <v>898</v>
      </c>
      <c r="L7" s="275"/>
      <c r="M7" s="275" t="s">
        <v>935</v>
      </c>
      <c r="N7" s="275"/>
      <c r="O7" s="275"/>
      <c r="P7" s="728"/>
      <c r="Q7" s="728"/>
      <c r="R7" s="729"/>
      <c r="S7" s="22"/>
      <c r="T7" s="728"/>
      <c r="U7" s="728"/>
      <c r="V7" s="728"/>
      <c r="W7" s="22"/>
      <c r="AL7" s="319"/>
      <c r="AM7" s="278"/>
      <c r="AN7" s="319"/>
      <c r="AO7" s="329"/>
      <c r="AP7" s="319"/>
    </row>
    <row r="8" spans="1:42">
      <c r="A8" s="274"/>
      <c r="B8" s="274"/>
      <c r="C8" s="275"/>
      <c r="D8" s="275"/>
      <c r="E8" s="317" t="s">
        <v>1608</v>
      </c>
      <c r="F8" s="275"/>
      <c r="G8" s="317" t="s">
        <v>658</v>
      </c>
      <c r="H8" s="275"/>
      <c r="I8" s="317" t="s">
        <v>390</v>
      </c>
      <c r="J8" s="275"/>
      <c r="K8" s="317" t="s">
        <v>390</v>
      </c>
      <c r="L8" s="275"/>
      <c r="M8" s="317" t="s">
        <v>649</v>
      </c>
      <c r="N8" s="727"/>
      <c r="O8" s="317" t="s">
        <v>670</v>
      </c>
      <c r="P8" s="728"/>
      <c r="Q8" s="728"/>
      <c r="R8" s="729"/>
      <c r="S8" s="22"/>
      <c r="T8" s="728"/>
      <c r="U8" s="728"/>
      <c r="V8" s="728"/>
      <c r="W8" s="22"/>
      <c r="AL8" s="319"/>
      <c r="AM8" s="278"/>
      <c r="AN8" s="319"/>
      <c r="AO8" s="329"/>
      <c r="AP8" s="319"/>
    </row>
    <row r="9" spans="1:42">
      <c r="A9" s="730" t="s">
        <v>989</v>
      </c>
      <c r="B9" s="730"/>
      <c r="C9" s="730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1"/>
      <c r="P9" s="728"/>
      <c r="Q9" s="728"/>
      <c r="R9" s="729"/>
      <c r="S9" s="22"/>
      <c r="T9" s="728"/>
      <c r="U9" s="728"/>
      <c r="V9" s="728"/>
      <c r="W9" s="22"/>
      <c r="AL9" s="319"/>
      <c r="AM9" s="278"/>
      <c r="AN9" s="319"/>
      <c r="AO9" s="329"/>
      <c r="AP9" s="319"/>
    </row>
    <row r="10" spans="1:42">
      <c r="A10" s="730"/>
      <c r="B10" s="730"/>
      <c r="C10" s="730"/>
      <c r="D10" s="321"/>
      <c r="E10" s="73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22"/>
      <c r="Q10" s="22"/>
      <c r="R10" s="295"/>
      <c r="S10" s="22"/>
      <c r="T10" s="22"/>
      <c r="U10" s="22"/>
      <c r="V10" s="22"/>
      <c r="W10" s="22"/>
      <c r="AL10" s="319"/>
      <c r="AM10" s="278"/>
      <c r="AN10" s="319"/>
      <c r="AO10" s="319"/>
      <c r="AP10" s="319"/>
    </row>
    <row r="11" spans="1:42">
      <c r="A11" s="214"/>
      <c r="B11" s="214"/>
      <c r="C11" s="462" t="s">
        <v>1557</v>
      </c>
      <c r="D11" s="322"/>
      <c r="E11" s="279">
        <v>25937820.399999999</v>
      </c>
      <c r="F11" s="279"/>
      <c r="G11" s="279">
        <v>6431.6666666666652</v>
      </c>
      <c r="H11" s="322"/>
      <c r="I11" s="279">
        <v>96978.374000000011</v>
      </c>
      <c r="J11" s="322"/>
      <c r="K11" s="279">
        <f>I11</f>
        <v>96978.374000000011</v>
      </c>
      <c r="L11" s="279"/>
      <c r="M11" s="279">
        <v>0</v>
      </c>
      <c r="N11" s="279"/>
      <c r="O11" s="279">
        <f>K11-M11</f>
        <v>96978.374000000011</v>
      </c>
      <c r="P11" s="22"/>
      <c r="Q11" s="22"/>
      <c r="R11" s="295"/>
      <c r="S11" s="22"/>
      <c r="T11" s="22"/>
      <c r="U11" s="22"/>
      <c r="V11" s="22"/>
      <c r="W11" s="22"/>
      <c r="AL11" s="278"/>
      <c r="AM11" s="278"/>
      <c r="AN11" s="278"/>
      <c r="AO11" s="278"/>
      <c r="AP11" s="278"/>
    </row>
    <row r="12" spans="1:42">
      <c r="A12" s="214"/>
      <c r="B12" s="214"/>
      <c r="C12" s="462" t="s">
        <v>1558</v>
      </c>
      <c r="D12" s="322"/>
      <c r="E12" s="279">
        <v>2883298.8</v>
      </c>
      <c r="F12" s="279"/>
      <c r="G12" s="279">
        <v>697.46666666666658</v>
      </c>
      <c r="H12" s="322"/>
      <c r="I12" s="279">
        <v>10728.099333333328</v>
      </c>
      <c r="J12" s="322"/>
      <c r="K12" s="279">
        <f>I12</f>
        <v>10728.099333333328</v>
      </c>
      <c r="L12" s="279"/>
      <c r="M12" s="279">
        <v>0</v>
      </c>
      <c r="N12" s="279"/>
      <c r="O12" s="279">
        <f>K12-M12</f>
        <v>10728.099333333328</v>
      </c>
      <c r="P12" s="22"/>
      <c r="Q12" s="22"/>
      <c r="R12" s="295"/>
      <c r="S12" s="22"/>
      <c r="T12" s="22"/>
      <c r="U12" s="22"/>
      <c r="V12" s="22"/>
      <c r="W12" s="22"/>
      <c r="X12" s="22" t="s">
        <v>501</v>
      </c>
      <c r="Y12" s="462"/>
      <c r="Z12" s="322"/>
      <c r="AA12" s="279"/>
      <c r="AB12" s="279"/>
      <c r="AC12" s="279"/>
      <c r="AD12" s="322"/>
      <c r="AE12" s="318"/>
      <c r="AF12" s="322"/>
      <c r="AG12" s="318"/>
      <c r="AH12" s="322"/>
      <c r="AI12" s="318"/>
      <c r="AJ12" s="322"/>
      <c r="AK12" s="318"/>
      <c r="AL12" s="278"/>
      <c r="AM12" s="278"/>
      <c r="AN12" s="278"/>
      <c r="AO12" s="278"/>
      <c r="AP12" s="278"/>
    </row>
    <row r="13" spans="1:42">
      <c r="A13" s="214"/>
      <c r="B13" s="214"/>
      <c r="C13" s="462" t="s">
        <v>1559</v>
      </c>
      <c r="D13" s="322"/>
      <c r="E13" s="279">
        <v>228333</v>
      </c>
      <c r="F13" s="279"/>
      <c r="G13" s="279">
        <v>15.2</v>
      </c>
      <c r="H13" s="322"/>
      <c r="I13" s="279">
        <v>669.23399999999992</v>
      </c>
      <c r="J13" s="322"/>
      <c r="K13" s="279">
        <f>I13</f>
        <v>669.23399999999992</v>
      </c>
      <c r="L13" s="279"/>
      <c r="M13" s="279">
        <v>0</v>
      </c>
      <c r="N13" s="279"/>
      <c r="O13" s="279">
        <f>K13-M13</f>
        <v>669.23399999999992</v>
      </c>
      <c r="P13" s="22"/>
      <c r="Q13" s="22" t="s">
        <v>669</v>
      </c>
      <c r="R13" s="295"/>
      <c r="S13" s="22"/>
      <c r="T13" s="22"/>
      <c r="U13" s="22"/>
      <c r="V13" s="22"/>
      <c r="W13" s="22"/>
      <c r="X13" s="22" t="s">
        <v>924</v>
      </c>
      <c r="Y13" s="15"/>
      <c r="Z13" s="15"/>
      <c r="AC13" s="15"/>
      <c r="AE13" s="15"/>
      <c r="AF13" s="15"/>
      <c r="AG13" s="15"/>
      <c r="AH13" s="15"/>
      <c r="AI13" s="15"/>
      <c r="AJ13" s="15"/>
      <c r="AK13" s="15"/>
      <c r="AL13" s="278"/>
      <c r="AM13" s="278"/>
      <c r="AN13" s="278"/>
      <c r="AO13" s="278"/>
      <c r="AP13" s="278"/>
    </row>
    <row r="14" spans="1:42">
      <c r="A14" s="214"/>
      <c r="B14" s="214"/>
      <c r="C14" s="462" t="s">
        <v>1560</v>
      </c>
      <c r="D14" s="322"/>
      <c r="E14" s="279">
        <v>61640</v>
      </c>
      <c r="F14" s="279"/>
      <c r="G14" s="279">
        <v>8.8666666666666671</v>
      </c>
      <c r="H14" s="322"/>
      <c r="I14" s="279">
        <v>191.60933333333332</v>
      </c>
      <c r="J14" s="322"/>
      <c r="K14" s="279">
        <f>I14</f>
        <v>191.60933333333332</v>
      </c>
      <c r="L14" s="279"/>
      <c r="M14" s="279">
        <v>0</v>
      </c>
      <c r="N14" s="279"/>
      <c r="O14" s="279">
        <f>K14-M14</f>
        <v>191.60933333333332</v>
      </c>
      <c r="P14" s="22"/>
      <c r="Q14" s="732">
        <f>(SUM(E11:E14))/(SUM(G11:G14))</f>
        <v>4069.6600402617023</v>
      </c>
      <c r="R14" s="295"/>
      <c r="S14" s="22"/>
      <c r="T14" s="22"/>
      <c r="U14" s="22"/>
      <c r="V14" s="22"/>
      <c r="W14" s="22"/>
      <c r="X14" s="732">
        <f>SUM(G11:G14)/12</f>
        <v>596.0999999999998</v>
      </c>
      <c r="Y14" s="15"/>
      <c r="Z14" s="15"/>
      <c r="AC14" s="15"/>
      <c r="AE14" s="15"/>
      <c r="AF14" s="15"/>
      <c r="AG14" s="15"/>
      <c r="AH14" s="15"/>
      <c r="AI14" s="15"/>
      <c r="AJ14" s="15"/>
      <c r="AK14" s="15"/>
      <c r="AL14" s="278"/>
      <c r="AM14" s="278"/>
      <c r="AN14" s="278"/>
      <c r="AO14" s="278"/>
      <c r="AP14" s="278"/>
    </row>
    <row r="15" spans="1:42">
      <c r="A15" s="214"/>
      <c r="B15" s="214"/>
      <c r="C15" s="462" t="s">
        <v>1603</v>
      </c>
      <c r="D15" s="322"/>
      <c r="E15" s="279">
        <v>4146.666666666667</v>
      </c>
      <c r="F15" s="279"/>
      <c r="G15" s="279">
        <v>1.2666666666666666</v>
      </c>
      <c r="H15" s="322"/>
      <c r="I15" s="279">
        <v>15.402666666666665</v>
      </c>
      <c r="J15" s="322"/>
      <c r="K15" s="279">
        <f>I15</f>
        <v>15.402666666666665</v>
      </c>
      <c r="L15" s="279"/>
      <c r="M15" s="279">
        <v>0</v>
      </c>
      <c r="N15" s="279"/>
      <c r="O15" s="279">
        <f>K15-M15</f>
        <v>15.402666666666665</v>
      </c>
      <c r="P15" s="22"/>
      <c r="Q15" s="135"/>
      <c r="R15" s="295"/>
      <c r="S15" s="22"/>
      <c r="T15" s="22"/>
      <c r="U15" s="22"/>
      <c r="V15" s="22"/>
      <c r="W15" s="22"/>
      <c r="X15" s="135"/>
      <c r="Y15" s="15"/>
      <c r="Z15" s="15"/>
      <c r="AC15" s="15"/>
      <c r="AE15" s="15"/>
      <c r="AF15" s="15"/>
      <c r="AG15" s="15"/>
      <c r="AH15" s="15"/>
      <c r="AI15" s="15"/>
      <c r="AJ15" s="15"/>
      <c r="AK15" s="15"/>
      <c r="AL15" s="278"/>
      <c r="AM15" s="278"/>
      <c r="AN15" s="278"/>
      <c r="AO15" s="278"/>
      <c r="AP15" s="278"/>
    </row>
    <row r="16" spans="1:42" ht="15.75" thickBot="1">
      <c r="E16" s="733">
        <f>SUM(E11:E15)</f>
        <v>29115238.866666667</v>
      </c>
      <c r="G16" s="733">
        <f>SUM(G11:G15)</f>
        <v>7154.4666666666644</v>
      </c>
      <c r="I16" s="734">
        <f>SUM(I11:I15)</f>
        <v>108582.71933333333</v>
      </c>
      <c r="J16" s="322"/>
      <c r="K16" s="734">
        <f>SUM(K11:K14)</f>
        <v>108567.31666666667</v>
      </c>
      <c r="M16" s="734">
        <f>SUM(M11:M14)</f>
        <v>0</v>
      </c>
      <c r="O16" s="734">
        <f>SUM(O11:O14)</f>
        <v>108567.31666666667</v>
      </c>
    </row>
    <row r="17" spans="1:42" ht="15.75" thickTop="1">
      <c r="A17" s="15">
        <f>1.11*B17</f>
        <v>7.4814000000000007</v>
      </c>
      <c r="B17" s="15">
        <v>6.74</v>
      </c>
      <c r="J17" s="322"/>
    </row>
    <row r="18" spans="1:42">
      <c r="A18" s="1009">
        <f>4*D20*1.11</f>
        <v>12.032400000000001</v>
      </c>
      <c r="B18" s="214"/>
      <c r="C18" s="316" t="s">
        <v>971</v>
      </c>
      <c r="D18" s="323"/>
      <c r="E18" s="463"/>
      <c r="F18" s="279"/>
      <c r="G18" s="279"/>
      <c r="H18" s="322"/>
      <c r="I18" s="322"/>
      <c r="J18" s="322"/>
      <c r="K18" s="279"/>
      <c r="L18" s="322"/>
      <c r="M18" s="322"/>
      <c r="N18" s="322"/>
      <c r="O18" s="322"/>
      <c r="P18" s="22"/>
      <c r="R18" s="295"/>
      <c r="S18" s="22"/>
      <c r="T18" s="22"/>
      <c r="U18" s="22"/>
      <c r="V18" s="22"/>
      <c r="W18" s="22"/>
      <c r="X18" s="15"/>
      <c r="Y18" s="15"/>
      <c r="Z18" s="15"/>
      <c r="AC18" s="15"/>
      <c r="AE18" s="15"/>
      <c r="AF18" s="15"/>
      <c r="AG18" s="15"/>
      <c r="AH18" s="15"/>
      <c r="AI18" s="15"/>
      <c r="AJ18" s="15"/>
      <c r="AK18" s="15"/>
      <c r="AL18" s="319"/>
      <c r="AM18" s="319"/>
      <c r="AN18" s="319"/>
      <c r="AO18" s="329"/>
      <c r="AP18" s="319"/>
    </row>
    <row r="19" spans="1:42">
      <c r="A19" s="214"/>
      <c r="B19" s="214"/>
      <c r="C19" s="316" t="s">
        <v>582</v>
      </c>
      <c r="D19" s="324">
        <v>6.74</v>
      </c>
      <c r="E19" s="463"/>
      <c r="F19" s="279"/>
      <c r="G19" s="279"/>
      <c r="H19" s="322"/>
      <c r="I19" s="322"/>
      <c r="J19" s="322"/>
      <c r="K19" s="279"/>
      <c r="L19" s="322"/>
      <c r="M19" s="322"/>
      <c r="N19" s="322"/>
      <c r="O19" s="322"/>
      <c r="P19" s="22"/>
      <c r="R19" s="295"/>
      <c r="S19" s="22"/>
      <c r="T19" s="22"/>
      <c r="U19" s="22"/>
      <c r="V19" s="22"/>
      <c r="W19" s="22"/>
      <c r="X19" s="15"/>
      <c r="Y19" s="15"/>
      <c r="Z19" s="15"/>
      <c r="AC19" s="15"/>
      <c r="AE19" s="15"/>
      <c r="AF19" s="15"/>
      <c r="AG19" s="15"/>
      <c r="AH19" s="15"/>
      <c r="AI19" s="15"/>
      <c r="AJ19" s="15"/>
      <c r="AK19" s="15"/>
      <c r="AL19" s="319"/>
      <c r="AM19" s="319"/>
      <c r="AN19" s="319"/>
      <c r="AO19" s="329"/>
      <c r="AP19" s="319"/>
    </row>
    <row r="20" spans="1:42">
      <c r="A20" s="214"/>
      <c r="B20" s="214"/>
      <c r="C20" s="316" t="s">
        <v>642</v>
      </c>
      <c r="D20" s="325">
        <v>2.71</v>
      </c>
      <c r="E20" s="463"/>
      <c r="F20" s="279"/>
      <c r="G20" s="279"/>
      <c r="H20" s="322"/>
      <c r="I20" s="322"/>
      <c r="J20" s="322"/>
      <c r="K20" s="279"/>
      <c r="L20" s="322"/>
      <c r="M20" s="322"/>
      <c r="N20" s="322"/>
      <c r="O20" s="322"/>
      <c r="P20" s="22"/>
      <c r="R20" s="295"/>
      <c r="S20" s="22"/>
      <c r="T20" s="22"/>
      <c r="U20" s="22"/>
      <c r="V20" s="22"/>
      <c r="W20" s="22"/>
      <c r="X20" s="15"/>
      <c r="Y20" s="15"/>
      <c r="Z20" s="15"/>
      <c r="AC20" s="15"/>
      <c r="AE20" s="15"/>
      <c r="AF20" s="15"/>
      <c r="AG20" s="15"/>
      <c r="AH20" s="15"/>
      <c r="AI20" s="15"/>
      <c r="AJ20" s="15"/>
      <c r="AK20" s="15"/>
      <c r="AL20" s="319"/>
      <c r="AM20" s="319"/>
      <c r="AN20" s="319"/>
      <c r="AO20" s="329"/>
      <c r="AP20" s="319"/>
    </row>
    <row r="21" spans="1:42">
      <c r="A21" s="214"/>
      <c r="B21" s="214"/>
      <c r="C21" s="316" t="s">
        <v>862</v>
      </c>
      <c r="D21" s="325">
        <v>2.4700000000000002</v>
      </c>
      <c r="E21" s="463"/>
      <c r="F21" s="279"/>
      <c r="G21" s="279"/>
      <c r="H21" s="322"/>
      <c r="I21" s="322"/>
      <c r="J21" s="322"/>
      <c r="K21" s="279"/>
      <c r="L21" s="322"/>
      <c r="M21" s="322"/>
      <c r="N21" s="322"/>
      <c r="O21" s="322"/>
      <c r="P21" s="22"/>
      <c r="Q21" s="22"/>
      <c r="R21" s="295"/>
      <c r="S21" s="22"/>
      <c r="T21" s="22"/>
      <c r="U21" s="22"/>
      <c r="V21" s="22"/>
      <c r="W21" s="22"/>
      <c r="X21" s="15"/>
      <c r="Y21" s="15"/>
      <c r="Z21" s="15"/>
      <c r="AC21" s="15"/>
      <c r="AE21" s="15"/>
      <c r="AF21" s="15"/>
      <c r="AG21" s="15"/>
      <c r="AH21" s="15"/>
      <c r="AI21" s="15"/>
      <c r="AJ21" s="15"/>
      <c r="AK21" s="15"/>
      <c r="AL21" s="319"/>
      <c r="AM21" s="319"/>
      <c r="AN21" s="319"/>
      <c r="AO21" s="329"/>
      <c r="AP21" s="319"/>
    </row>
    <row r="22" spans="1:42">
      <c r="A22" s="214"/>
      <c r="B22" s="214"/>
      <c r="C22" s="316" t="s">
        <v>863</v>
      </c>
      <c r="D22" s="325">
        <v>2.35</v>
      </c>
      <c r="E22" s="463"/>
      <c r="F22" s="279"/>
      <c r="G22" s="279"/>
      <c r="H22" s="322"/>
      <c r="I22" s="322"/>
      <c r="J22" s="322"/>
      <c r="K22" s="279"/>
      <c r="L22" s="322"/>
      <c r="M22" s="322"/>
      <c r="N22" s="322"/>
      <c r="O22" s="322"/>
      <c r="P22" s="22"/>
      <c r="Q22" s="22"/>
      <c r="R22" s="295"/>
      <c r="S22" s="22"/>
      <c r="T22" s="22"/>
      <c r="U22" s="22"/>
      <c r="V22" s="22"/>
      <c r="W22" s="22"/>
      <c r="X22" s="15"/>
      <c r="Y22" s="15"/>
      <c r="Z22" s="15"/>
      <c r="AC22" s="15"/>
      <c r="AE22" s="15"/>
      <c r="AF22" s="15"/>
      <c r="AG22" s="15"/>
      <c r="AH22" s="15"/>
      <c r="AI22" s="15"/>
      <c r="AJ22" s="15"/>
      <c r="AK22" s="15"/>
      <c r="AL22" s="319"/>
      <c r="AM22" s="278"/>
      <c r="AN22" s="319"/>
      <c r="AO22" s="329"/>
      <c r="AP22" s="319"/>
    </row>
    <row r="23" spans="1:42">
      <c r="A23" s="214"/>
      <c r="B23" s="214"/>
      <c r="C23" s="316" t="s">
        <v>864</v>
      </c>
      <c r="D23" s="325">
        <v>2.1</v>
      </c>
      <c r="E23" s="463"/>
      <c r="F23" s="279"/>
      <c r="G23" s="279"/>
      <c r="H23" s="322"/>
      <c r="I23" s="322"/>
      <c r="J23" s="322"/>
      <c r="K23" s="279"/>
      <c r="L23" s="322"/>
      <c r="M23" s="322"/>
      <c r="N23" s="322"/>
      <c r="O23" s="322"/>
      <c r="P23" s="22"/>
      <c r="Q23" s="22"/>
      <c r="R23" s="295"/>
      <c r="S23" s="22"/>
      <c r="T23" s="22"/>
      <c r="U23" s="22"/>
      <c r="V23" s="22"/>
      <c r="X23" s="15"/>
      <c r="Y23" s="15"/>
      <c r="Z23" s="15"/>
      <c r="AC23" s="15"/>
      <c r="AE23" s="15"/>
      <c r="AF23" s="15"/>
      <c r="AG23" s="15"/>
      <c r="AH23" s="15"/>
      <c r="AI23" s="15"/>
      <c r="AJ23" s="15"/>
      <c r="AK23" s="15"/>
      <c r="AL23" s="319"/>
      <c r="AM23" s="278"/>
      <c r="AN23" s="319"/>
      <c r="AO23" s="329"/>
      <c r="AP23" s="319"/>
    </row>
    <row r="24" spans="1:42">
      <c r="A24" s="214"/>
      <c r="B24" s="214"/>
      <c r="C24" s="316" t="s">
        <v>876</v>
      </c>
      <c r="D24" s="325">
        <v>1.92</v>
      </c>
      <c r="E24" s="463"/>
      <c r="F24" s="279"/>
      <c r="G24" s="279"/>
      <c r="H24" s="322"/>
      <c r="I24" s="322"/>
      <c r="J24" s="322"/>
      <c r="K24" s="279"/>
      <c r="L24" s="322"/>
      <c r="M24" s="322"/>
      <c r="N24" s="322"/>
      <c r="O24" s="322"/>
      <c r="P24" s="22"/>
      <c r="Q24" s="22"/>
      <c r="R24" s="295"/>
      <c r="S24" s="22"/>
      <c r="T24" s="22"/>
      <c r="U24" s="22"/>
      <c r="V24" s="22"/>
      <c r="X24" s="15"/>
      <c r="Y24" s="15"/>
      <c r="Z24" s="15"/>
      <c r="AC24" s="15"/>
      <c r="AE24" s="15"/>
      <c r="AF24" s="15"/>
      <c r="AG24" s="15"/>
      <c r="AH24" s="15"/>
      <c r="AI24" s="15"/>
      <c r="AJ24" s="15"/>
      <c r="AK24" s="15"/>
      <c r="AL24" s="319"/>
      <c r="AM24" s="278"/>
      <c r="AN24" s="319"/>
      <c r="AO24" s="329"/>
      <c r="AP24" s="319"/>
    </row>
    <row r="25" spans="1:42">
      <c r="A25" s="214"/>
      <c r="B25" s="214"/>
      <c r="C25" s="462"/>
      <c r="D25" s="322"/>
      <c r="E25" s="463"/>
      <c r="F25" s="279"/>
      <c r="G25" s="279"/>
      <c r="H25" s="322"/>
      <c r="I25" s="322"/>
      <c r="J25" s="322"/>
      <c r="K25" s="279"/>
      <c r="L25" s="322"/>
      <c r="M25" s="322"/>
      <c r="N25" s="322"/>
      <c r="O25" s="322"/>
      <c r="P25" s="22"/>
      <c r="Q25" s="22"/>
      <c r="R25" s="295"/>
      <c r="S25" s="22"/>
      <c r="T25" s="22"/>
      <c r="U25" s="22"/>
      <c r="V25" s="22"/>
      <c r="X25" s="15"/>
      <c r="Y25" s="15"/>
      <c r="Z25" s="15"/>
      <c r="AC25" s="15"/>
      <c r="AE25" s="15"/>
      <c r="AF25" s="15"/>
      <c r="AG25" s="15"/>
      <c r="AH25" s="15"/>
      <c r="AI25" s="15"/>
      <c r="AJ25" s="15"/>
      <c r="AK25" s="15"/>
      <c r="AL25" s="319"/>
      <c r="AM25" s="278"/>
      <c r="AN25" s="319"/>
      <c r="AO25" s="329"/>
      <c r="AP25" s="319"/>
    </row>
    <row r="26" spans="1:42">
      <c r="A26" s="214"/>
      <c r="B26" s="214"/>
      <c r="C26" s="462" t="s">
        <v>1561</v>
      </c>
      <c r="D26" s="322"/>
      <c r="E26" s="279">
        <v>226317956.59999999</v>
      </c>
      <c r="F26" s="279"/>
      <c r="G26" s="279">
        <v>53967.333333333299</v>
      </c>
      <c r="H26" s="322"/>
      <c r="I26" s="279">
        <v>1078599.0920000002</v>
      </c>
      <c r="J26" s="322"/>
      <c r="K26" s="279">
        <f>I26</f>
        <v>1078599.0920000002</v>
      </c>
      <c r="L26" s="279"/>
      <c r="M26" s="279">
        <v>0</v>
      </c>
      <c r="N26" s="279"/>
      <c r="O26" s="279">
        <f>K26-M26</f>
        <v>1078599.0920000002</v>
      </c>
      <c r="P26" s="22"/>
      <c r="Q26" s="22"/>
      <c r="R26" s="295"/>
      <c r="S26" s="22"/>
      <c r="T26" s="22"/>
      <c r="U26" s="22"/>
      <c r="V26" s="22"/>
      <c r="X26" s="15"/>
      <c r="Y26" s="15"/>
      <c r="Z26" s="15"/>
      <c r="AC26" s="15"/>
      <c r="AE26" s="15"/>
      <c r="AF26" s="15"/>
      <c r="AG26" s="15"/>
      <c r="AH26" s="15"/>
      <c r="AI26" s="15"/>
      <c r="AJ26" s="15"/>
      <c r="AK26" s="15"/>
      <c r="AL26" s="319"/>
      <c r="AM26" s="278"/>
      <c r="AN26" s="319"/>
      <c r="AO26" s="329"/>
      <c r="AP26" s="319"/>
    </row>
    <row r="27" spans="1:42">
      <c r="A27" s="214"/>
      <c r="B27" s="214"/>
      <c r="C27" s="462" t="s">
        <v>1562</v>
      </c>
      <c r="D27" s="322"/>
      <c r="E27" s="279">
        <v>24285551.199999999</v>
      </c>
      <c r="F27" s="279"/>
      <c r="G27" s="279">
        <v>5839.5333333333347</v>
      </c>
      <c r="H27" s="322"/>
      <c r="I27" s="279">
        <v>116653.05599999992</v>
      </c>
      <c r="J27" s="322"/>
      <c r="K27" s="279">
        <f>I27</f>
        <v>116653.05599999992</v>
      </c>
      <c r="L27" s="279"/>
      <c r="M27" s="279">
        <v>0</v>
      </c>
      <c r="N27" s="279"/>
      <c r="O27" s="279">
        <f>K27-M27</f>
        <v>116653.05599999992</v>
      </c>
      <c r="P27" s="22"/>
      <c r="Q27" s="22"/>
      <c r="R27" s="295"/>
      <c r="S27" s="22"/>
      <c r="T27" s="22"/>
      <c r="U27" s="22"/>
      <c r="V27" s="22"/>
      <c r="X27" s="15"/>
      <c r="Y27" s="15"/>
      <c r="Z27" s="15"/>
      <c r="AC27" s="15"/>
      <c r="AE27" s="15"/>
      <c r="AF27" s="15"/>
      <c r="AG27" s="15"/>
      <c r="AH27" s="15"/>
      <c r="AI27" s="15"/>
      <c r="AJ27" s="15"/>
      <c r="AK27" s="15"/>
      <c r="AL27" s="319"/>
      <c r="AM27" s="278"/>
      <c r="AN27" s="319"/>
      <c r="AO27" s="329"/>
      <c r="AP27" s="319"/>
    </row>
    <row r="28" spans="1:42">
      <c r="A28" s="214"/>
      <c r="B28" s="214"/>
      <c r="C28" s="462" t="s">
        <v>1563</v>
      </c>
      <c r="D28" s="322"/>
      <c r="E28" s="279">
        <v>1905922</v>
      </c>
      <c r="F28" s="279"/>
      <c r="G28" s="279">
        <v>131.80000000000001</v>
      </c>
      <c r="H28" s="322"/>
      <c r="I28" s="279">
        <v>5953.1026666666676</v>
      </c>
      <c r="J28" s="322"/>
      <c r="K28" s="279">
        <f>I28</f>
        <v>5953.1026666666676</v>
      </c>
      <c r="L28" s="279"/>
      <c r="M28" s="279">
        <v>0</v>
      </c>
      <c r="N28" s="279"/>
      <c r="O28" s="279">
        <f>K28-M28</f>
        <v>5953.1026666666676</v>
      </c>
      <c r="P28" s="22"/>
      <c r="Q28" s="22"/>
      <c r="R28" s="295"/>
      <c r="S28" s="22"/>
      <c r="T28" s="22"/>
      <c r="U28" s="22"/>
      <c r="V28" s="22"/>
      <c r="X28" s="15"/>
      <c r="Y28" s="15"/>
      <c r="Z28" s="15"/>
      <c r="AC28" s="15"/>
      <c r="AE28" s="15"/>
      <c r="AF28" s="15"/>
      <c r="AG28" s="15"/>
      <c r="AH28" s="15"/>
      <c r="AI28" s="15"/>
      <c r="AJ28" s="15"/>
      <c r="AK28" s="15"/>
      <c r="AL28" s="319"/>
      <c r="AM28" s="278"/>
      <c r="AN28" s="319"/>
      <c r="AO28" s="329"/>
      <c r="AP28" s="319"/>
    </row>
    <row r="29" spans="1:42">
      <c r="A29" s="214"/>
      <c r="B29" s="214"/>
      <c r="C29" s="462" t="s">
        <v>1564</v>
      </c>
      <c r="D29" s="322"/>
      <c r="E29" s="279">
        <v>1143960</v>
      </c>
      <c r="F29" s="279"/>
      <c r="G29" s="279">
        <v>76.13333333333334</v>
      </c>
      <c r="H29" s="322"/>
      <c r="I29" s="279">
        <v>3922.8660000000009</v>
      </c>
      <c r="J29" s="322"/>
      <c r="K29" s="279">
        <f>I29</f>
        <v>3922.8660000000009</v>
      </c>
      <c r="L29" s="279"/>
      <c r="M29" s="279">
        <v>0</v>
      </c>
      <c r="N29" s="279"/>
      <c r="O29" s="279">
        <f>K29-M29</f>
        <v>3922.8660000000009</v>
      </c>
      <c r="P29" s="22"/>
      <c r="Q29" s="22"/>
      <c r="R29" s="295"/>
      <c r="S29" s="22"/>
      <c r="T29" s="22"/>
      <c r="U29" s="22"/>
      <c r="V29" s="22"/>
      <c r="X29" s="15"/>
      <c r="Y29" s="15"/>
      <c r="Z29" s="15"/>
      <c r="AC29" s="15"/>
      <c r="AE29" s="15"/>
      <c r="AF29" s="15"/>
      <c r="AG29" s="15"/>
      <c r="AH29" s="15"/>
      <c r="AI29" s="15"/>
      <c r="AJ29" s="15"/>
      <c r="AK29" s="15"/>
      <c r="AL29" s="319"/>
      <c r="AM29" s="278"/>
      <c r="AN29" s="319"/>
      <c r="AO29" s="329"/>
      <c r="AP29" s="319"/>
    </row>
    <row r="30" spans="1:42">
      <c r="A30" s="214"/>
      <c r="B30" s="214"/>
      <c r="C30" s="462" t="s">
        <v>1606</v>
      </c>
      <c r="D30" s="322"/>
      <c r="E30" s="279">
        <v>1061453.3333333335</v>
      </c>
      <c r="F30" s="279"/>
      <c r="G30" s="279">
        <v>11.733333333333334</v>
      </c>
      <c r="H30" s="322"/>
      <c r="I30" s="279">
        <v>2834.7733333333335</v>
      </c>
      <c r="J30" s="322"/>
      <c r="K30" s="279">
        <v>2834.7733333333335</v>
      </c>
      <c r="L30" s="279"/>
      <c r="M30" s="279"/>
      <c r="N30" s="279"/>
      <c r="O30" s="279"/>
      <c r="P30" s="22"/>
      <c r="Q30" s="22"/>
      <c r="R30" s="295"/>
      <c r="S30" s="22"/>
      <c r="T30" s="22"/>
      <c r="U30" s="22"/>
      <c r="V30" s="22"/>
      <c r="X30" s="15"/>
      <c r="Y30" s="15"/>
      <c r="Z30" s="15"/>
      <c r="AC30" s="15"/>
      <c r="AE30" s="15"/>
      <c r="AF30" s="15"/>
      <c r="AG30" s="15"/>
      <c r="AH30" s="15"/>
      <c r="AI30" s="15"/>
      <c r="AJ30" s="15"/>
      <c r="AK30" s="15"/>
      <c r="AL30" s="319"/>
      <c r="AM30" s="278"/>
      <c r="AN30" s="319"/>
      <c r="AO30" s="329"/>
      <c r="AP30" s="319"/>
    </row>
    <row r="31" spans="1:42" ht="15.75" thickBot="1">
      <c r="E31" s="733">
        <f>SUM(E26:E30)</f>
        <v>254714843.13333333</v>
      </c>
      <c r="G31" s="733">
        <f>SUM(G26:G30)</f>
        <v>60026.533333333296</v>
      </c>
      <c r="I31" s="734">
        <f>SUM(I26:I30)</f>
        <v>1207962.8900000001</v>
      </c>
      <c r="J31" s="322"/>
      <c r="K31" s="734">
        <f>SUM(K26:K30)</f>
        <v>1207962.8900000001</v>
      </c>
      <c r="M31" s="734">
        <f>SUM(M26:M29)</f>
        <v>0</v>
      </c>
      <c r="O31" s="734">
        <f>SUM(O26:O29)</f>
        <v>1205128.1166666667</v>
      </c>
      <c r="P31" s="772">
        <f>SUM(O31,O16)</f>
        <v>1313695.4333333333</v>
      </c>
      <c r="Q31" s="826">
        <f>'Linked TB'!E333</f>
        <v>-1374241.23</v>
      </c>
      <c r="R31" s="295"/>
      <c r="S31" s="22"/>
      <c r="T31" s="22"/>
      <c r="U31" s="22"/>
      <c r="V31" s="22"/>
      <c r="X31" s="15"/>
      <c r="Y31" s="15"/>
      <c r="Z31" s="15"/>
      <c r="AC31" s="15"/>
      <c r="AE31" s="15"/>
      <c r="AF31" s="15"/>
      <c r="AG31" s="15"/>
      <c r="AH31" s="15"/>
      <c r="AI31" s="15"/>
      <c r="AJ31" s="15"/>
      <c r="AK31" s="15"/>
      <c r="AL31" s="319"/>
      <c r="AM31" s="278"/>
      <c r="AN31" s="319"/>
      <c r="AO31" s="329"/>
      <c r="AP31" s="319"/>
    </row>
    <row r="32" spans="1:42" ht="15.75" thickTop="1">
      <c r="J32" s="322"/>
      <c r="P32" s="22"/>
      <c r="Q32" s="22"/>
      <c r="R32" s="295"/>
      <c r="S32" s="22"/>
      <c r="T32" s="22"/>
      <c r="U32" s="22"/>
      <c r="V32" s="22"/>
      <c r="X32" s="15"/>
      <c r="Y32" s="15"/>
      <c r="Z32" s="15"/>
      <c r="AC32" s="15"/>
      <c r="AE32" s="15"/>
      <c r="AF32" s="15"/>
      <c r="AG32" s="15"/>
      <c r="AH32" s="15"/>
      <c r="AI32" s="15"/>
      <c r="AJ32" s="15"/>
      <c r="AK32" s="15"/>
      <c r="AL32" s="319"/>
      <c r="AM32" s="278"/>
      <c r="AN32" s="319"/>
      <c r="AO32" s="329"/>
      <c r="AP32" s="319"/>
    </row>
    <row r="33" spans="1:42">
      <c r="A33" s="214"/>
      <c r="B33" s="214"/>
      <c r="C33" s="316" t="s">
        <v>971</v>
      </c>
      <c r="D33" s="323"/>
      <c r="E33" s="463"/>
      <c r="F33" s="279"/>
      <c r="G33" s="279"/>
      <c r="H33" s="322"/>
      <c r="I33" s="322"/>
      <c r="J33" s="322"/>
      <c r="K33" s="279"/>
      <c r="L33" s="322"/>
      <c r="M33" s="322"/>
      <c r="N33" s="322"/>
      <c r="O33" s="322"/>
      <c r="P33" s="22"/>
      <c r="Q33" s="22"/>
      <c r="R33" s="295"/>
      <c r="S33" s="22"/>
      <c r="T33" s="22"/>
      <c r="U33" s="22"/>
      <c r="V33" s="22"/>
      <c r="X33" s="15"/>
      <c r="Y33" s="15"/>
      <c r="Z33" s="15"/>
      <c r="AC33" s="15"/>
      <c r="AE33" s="15"/>
      <c r="AF33" s="15"/>
      <c r="AG33" s="15"/>
      <c r="AH33" s="15"/>
      <c r="AI33" s="15"/>
      <c r="AJ33" s="15"/>
      <c r="AK33" s="15"/>
      <c r="AL33" s="319"/>
      <c r="AM33" s="278"/>
      <c r="AN33" s="319"/>
      <c r="AO33" s="329"/>
      <c r="AP33" s="319"/>
    </row>
    <row r="34" spans="1:42">
      <c r="A34" s="214"/>
      <c r="B34" s="214"/>
      <c r="C34" s="316" t="s">
        <v>582</v>
      </c>
      <c r="D34" s="324">
        <v>8.6999999999999993</v>
      </c>
      <c r="E34" s="463"/>
      <c r="F34" s="279"/>
      <c r="G34" s="279"/>
      <c r="H34" s="322"/>
      <c r="I34" s="322"/>
      <c r="J34" s="322"/>
      <c r="K34" s="279"/>
      <c r="L34" s="322"/>
      <c r="M34" s="322"/>
      <c r="N34" s="322"/>
      <c r="O34" s="322"/>
      <c r="P34" s="22"/>
      <c r="Q34" s="22"/>
      <c r="R34" s="295"/>
      <c r="S34" s="22"/>
      <c r="T34" s="22"/>
      <c r="U34" s="22"/>
      <c r="V34" s="22"/>
      <c r="X34" s="15"/>
      <c r="Y34" s="15"/>
      <c r="Z34" s="15"/>
      <c r="AC34" s="15"/>
      <c r="AE34" s="15"/>
      <c r="AF34" s="15"/>
      <c r="AG34" s="15"/>
      <c r="AH34" s="15"/>
      <c r="AI34" s="15"/>
      <c r="AJ34" s="15"/>
      <c r="AK34" s="15"/>
      <c r="AL34" s="319"/>
      <c r="AM34" s="278"/>
      <c r="AN34" s="319"/>
      <c r="AO34" s="329"/>
      <c r="AP34" s="319"/>
    </row>
    <row r="35" spans="1:42">
      <c r="A35" s="214"/>
      <c r="B35" s="214"/>
      <c r="C35" s="316" t="s">
        <v>642</v>
      </c>
      <c r="D35" s="325">
        <v>3.5</v>
      </c>
      <c r="E35" s="463"/>
      <c r="F35" s="279"/>
      <c r="G35" s="279"/>
      <c r="H35" s="322"/>
      <c r="I35" s="322"/>
      <c r="J35" s="322"/>
      <c r="K35" s="279"/>
      <c r="L35" s="322"/>
      <c r="M35" s="322"/>
      <c r="N35" s="322"/>
      <c r="O35" s="322"/>
      <c r="P35" s="22"/>
      <c r="Q35" s="22"/>
      <c r="R35" s="295"/>
      <c r="S35" s="22"/>
      <c r="T35" s="22"/>
      <c r="U35" s="22"/>
      <c r="V35" s="22"/>
      <c r="X35" s="15"/>
      <c r="Y35" s="15"/>
      <c r="Z35" s="15"/>
      <c r="AC35" s="15"/>
      <c r="AE35" s="15"/>
      <c r="AF35" s="15"/>
      <c r="AG35" s="15"/>
      <c r="AH35" s="15"/>
      <c r="AI35" s="15"/>
      <c r="AJ35" s="15"/>
      <c r="AK35" s="15"/>
      <c r="AL35" s="319"/>
      <c r="AM35" s="278"/>
      <c r="AN35" s="319"/>
      <c r="AO35" s="329"/>
      <c r="AP35" s="319"/>
    </row>
    <row r="36" spans="1:42">
      <c r="A36" s="214"/>
      <c r="B36" s="214"/>
      <c r="C36" s="316" t="s">
        <v>862</v>
      </c>
      <c r="D36" s="325">
        <v>3.19</v>
      </c>
      <c r="E36" s="463"/>
      <c r="F36" s="279"/>
      <c r="G36" s="279"/>
      <c r="H36" s="322"/>
      <c r="I36" s="322"/>
      <c r="J36" s="322"/>
      <c r="K36" s="279"/>
      <c r="L36" s="322"/>
      <c r="M36" s="322"/>
      <c r="N36" s="322"/>
      <c r="O36" s="322"/>
      <c r="P36" s="22"/>
      <c r="Q36" s="22"/>
      <c r="R36" s="295"/>
      <c r="S36" s="22"/>
      <c r="T36" s="22"/>
      <c r="U36" s="22"/>
      <c r="V36" s="22"/>
      <c r="X36" s="15"/>
      <c r="Y36" s="15"/>
      <c r="Z36" s="15"/>
      <c r="AC36" s="15"/>
      <c r="AE36" s="15"/>
      <c r="AF36" s="15"/>
      <c r="AG36" s="15"/>
      <c r="AH36" s="15"/>
      <c r="AI36" s="15"/>
      <c r="AJ36" s="15"/>
      <c r="AK36" s="15"/>
      <c r="AL36" s="319"/>
      <c r="AM36" s="278"/>
      <c r="AN36" s="319"/>
      <c r="AO36" s="329"/>
      <c r="AP36" s="319"/>
    </row>
    <row r="37" spans="1:42">
      <c r="A37" s="214"/>
      <c r="B37" s="214"/>
      <c r="C37" s="316" t="s">
        <v>863</v>
      </c>
      <c r="D37" s="325">
        <v>3.03</v>
      </c>
      <c r="E37" s="463"/>
      <c r="F37" s="279"/>
      <c r="G37" s="279"/>
      <c r="H37" s="322"/>
      <c r="I37" s="322"/>
      <c r="J37" s="322"/>
      <c r="K37" s="279"/>
      <c r="L37" s="322"/>
      <c r="M37" s="322"/>
      <c r="N37" s="322"/>
      <c r="O37" s="322"/>
      <c r="P37" s="22"/>
      <c r="Q37" s="22"/>
      <c r="R37" s="295"/>
      <c r="S37" s="22"/>
      <c r="T37" s="22"/>
      <c r="U37" s="22"/>
      <c r="V37" s="22"/>
      <c r="X37" s="15"/>
      <c r="Y37" s="15"/>
      <c r="Z37" s="15"/>
      <c r="AC37" s="15"/>
      <c r="AE37" s="15"/>
      <c r="AF37" s="15"/>
      <c r="AG37" s="15"/>
      <c r="AH37" s="15"/>
      <c r="AI37" s="15"/>
      <c r="AJ37" s="15"/>
      <c r="AK37" s="15"/>
      <c r="AL37" s="319"/>
      <c r="AM37" s="278"/>
      <c r="AN37" s="319"/>
      <c r="AO37" s="329"/>
      <c r="AP37" s="319"/>
    </row>
    <row r="38" spans="1:42">
      <c r="A38" s="214"/>
      <c r="B38" s="214"/>
      <c r="C38" s="316" t="s">
        <v>864</v>
      </c>
      <c r="D38" s="325">
        <v>2.71</v>
      </c>
      <c r="E38" s="463"/>
      <c r="F38" s="279"/>
      <c r="G38" s="279"/>
      <c r="H38" s="322"/>
      <c r="I38" s="322"/>
      <c r="J38" s="322"/>
      <c r="K38" s="279"/>
      <c r="L38" s="322"/>
      <c r="M38" s="322"/>
      <c r="N38" s="322"/>
      <c r="O38" s="322"/>
      <c r="P38" s="22"/>
      <c r="Q38" s="22"/>
      <c r="R38" s="295"/>
      <c r="S38" s="22"/>
      <c r="T38" s="22"/>
      <c r="U38" s="22"/>
      <c r="V38" s="22"/>
      <c r="X38" s="15"/>
      <c r="Y38" s="15"/>
      <c r="Z38" s="15"/>
      <c r="AC38" s="15"/>
      <c r="AE38" s="15"/>
      <c r="AF38" s="15"/>
      <c r="AG38" s="15"/>
      <c r="AH38" s="15"/>
      <c r="AI38" s="15"/>
      <c r="AJ38" s="15"/>
      <c r="AK38" s="15"/>
      <c r="AL38" s="319"/>
      <c r="AM38" s="278"/>
      <c r="AN38" s="319"/>
      <c r="AO38" s="329"/>
      <c r="AP38" s="319"/>
    </row>
    <row r="39" spans="1:42">
      <c r="A39" s="214"/>
      <c r="B39" s="214"/>
      <c r="C39" s="316" t="s">
        <v>876</v>
      </c>
      <c r="D39" s="325">
        <v>2.48</v>
      </c>
      <c r="E39" s="463"/>
      <c r="F39" s="279"/>
      <c r="G39" s="279"/>
      <c r="H39" s="322"/>
      <c r="I39" s="322"/>
      <c r="J39" s="322"/>
      <c r="K39" s="279"/>
      <c r="L39" s="322"/>
      <c r="M39" s="322"/>
      <c r="N39" s="322"/>
      <c r="O39" s="322"/>
      <c r="P39" s="22"/>
      <c r="Q39" s="22"/>
      <c r="R39" s="295"/>
      <c r="S39" s="22"/>
      <c r="T39" s="22"/>
      <c r="U39" s="22"/>
      <c r="V39" s="22"/>
      <c r="X39" s="15"/>
      <c r="Y39" s="15"/>
      <c r="Z39" s="15"/>
      <c r="AC39" s="15"/>
      <c r="AE39" s="15"/>
      <c r="AF39" s="15"/>
      <c r="AG39" s="15"/>
      <c r="AH39" s="15"/>
      <c r="AI39" s="15"/>
      <c r="AJ39" s="15"/>
      <c r="AK39" s="15"/>
      <c r="AL39" s="319"/>
      <c r="AM39" s="278"/>
      <c r="AN39" s="319"/>
      <c r="AO39" s="329"/>
      <c r="AP39" s="319"/>
    </row>
    <row r="40" spans="1:42">
      <c r="A40" s="214"/>
      <c r="B40" s="214"/>
      <c r="C40" s="462"/>
      <c r="D40" s="322"/>
      <c r="E40" s="463"/>
      <c r="F40" s="279"/>
      <c r="G40" s="279"/>
      <c r="H40" s="322"/>
      <c r="I40" s="322"/>
      <c r="J40" s="322"/>
      <c r="K40" s="279"/>
      <c r="L40" s="322"/>
      <c r="M40" s="322"/>
      <c r="N40" s="322"/>
      <c r="O40" s="322"/>
      <c r="P40" s="22"/>
      <c r="Q40" s="22"/>
      <c r="R40" s="295"/>
      <c r="S40" s="22"/>
      <c r="T40" s="22"/>
      <c r="U40" s="22"/>
      <c r="V40" s="22"/>
      <c r="X40" s="15"/>
      <c r="Y40" s="15"/>
      <c r="Z40" s="15"/>
      <c r="AC40" s="15"/>
      <c r="AE40" s="15"/>
      <c r="AF40" s="15"/>
      <c r="AG40" s="15"/>
      <c r="AH40" s="15"/>
      <c r="AI40" s="15"/>
      <c r="AJ40" s="15"/>
      <c r="AK40" s="15"/>
      <c r="AL40" s="319"/>
      <c r="AM40" s="278"/>
      <c r="AN40" s="319"/>
      <c r="AO40" s="329"/>
      <c r="AP40" s="319"/>
    </row>
    <row r="41" spans="1:42">
      <c r="A41" s="214"/>
      <c r="B41" s="214"/>
      <c r="C41" s="462" t="s">
        <v>1569</v>
      </c>
      <c r="D41" s="322"/>
      <c r="E41" s="463">
        <v>181113.33333333334</v>
      </c>
      <c r="F41" s="279"/>
      <c r="G41" s="279">
        <v>27.866666666666667</v>
      </c>
      <c r="H41" s="322"/>
      <c r="I41" s="279">
        <v>712.84133333333318</v>
      </c>
      <c r="J41" s="322"/>
      <c r="K41" s="279">
        <f>I41</f>
        <v>712.84133333333318</v>
      </c>
      <c r="L41" s="279"/>
      <c r="M41" s="279">
        <v>0</v>
      </c>
      <c r="N41" s="279"/>
      <c r="O41" s="279">
        <f>K41-M41</f>
        <v>712.84133333333318</v>
      </c>
      <c r="P41" s="22"/>
      <c r="Q41" s="22"/>
      <c r="R41" s="295"/>
      <c r="S41" s="22"/>
      <c r="T41" s="22"/>
      <c r="U41" s="22"/>
      <c r="V41" s="22"/>
      <c r="W41" s="22"/>
      <c r="X41" s="15"/>
      <c r="Y41" s="15"/>
      <c r="Z41" s="15"/>
      <c r="AC41" s="15"/>
      <c r="AE41" s="15"/>
      <c r="AF41" s="15"/>
      <c r="AG41" s="15"/>
      <c r="AH41" s="15"/>
      <c r="AI41" s="15"/>
      <c r="AJ41" s="15"/>
      <c r="AK41" s="15"/>
      <c r="AL41" s="319"/>
      <c r="AM41" s="278"/>
      <c r="AN41" s="319"/>
      <c r="AO41" s="329"/>
      <c r="AP41" s="319"/>
    </row>
    <row r="42" spans="1:42">
      <c r="A42" s="214"/>
      <c r="B42" s="214"/>
      <c r="C42" s="462" t="s">
        <v>1570</v>
      </c>
      <c r="D42" s="322"/>
      <c r="E42" s="463">
        <v>388509.8666666667</v>
      </c>
      <c r="F42" s="279"/>
      <c r="G42" s="279">
        <v>83.866666666666646</v>
      </c>
      <c r="H42" s="322"/>
      <c r="I42" s="279">
        <v>4191.3319999999985</v>
      </c>
      <c r="J42" s="322"/>
      <c r="K42" s="279">
        <f>I42</f>
        <v>4191.3319999999985</v>
      </c>
      <c r="L42" s="279"/>
      <c r="M42" s="279">
        <v>0</v>
      </c>
      <c r="N42" s="279"/>
      <c r="O42" s="279">
        <f>K42-M42</f>
        <v>4191.3319999999985</v>
      </c>
      <c r="P42" s="22"/>
      <c r="Q42" s="22"/>
      <c r="R42" s="295"/>
      <c r="S42" s="22"/>
      <c r="T42" s="22"/>
      <c r="U42" s="22"/>
      <c r="V42" s="22"/>
      <c r="W42" s="22"/>
      <c r="X42" s="22" t="s">
        <v>501</v>
      </c>
      <c r="Y42" s="15"/>
      <c r="Z42" s="15"/>
      <c r="AC42" s="15"/>
      <c r="AE42" s="15"/>
      <c r="AF42" s="15"/>
      <c r="AG42" s="15"/>
      <c r="AH42" s="15"/>
      <c r="AI42" s="15"/>
      <c r="AJ42" s="15"/>
      <c r="AK42" s="15"/>
      <c r="AL42" s="319"/>
      <c r="AM42" s="278"/>
      <c r="AN42" s="319"/>
      <c r="AO42" s="329"/>
      <c r="AP42" s="319"/>
    </row>
    <row r="43" spans="1:42">
      <c r="A43" s="214"/>
      <c r="B43" s="214"/>
      <c r="C43" s="462" t="s">
        <v>1571</v>
      </c>
      <c r="D43" s="322"/>
      <c r="E43" s="463">
        <v>49973.333333333336</v>
      </c>
      <c r="F43" s="279"/>
      <c r="G43" s="279">
        <v>3.8</v>
      </c>
      <c r="H43" s="322"/>
      <c r="I43" s="279">
        <v>148.43733333333333</v>
      </c>
      <c r="J43" s="322"/>
      <c r="K43" s="279">
        <f>I43</f>
        <v>148.43733333333333</v>
      </c>
      <c r="L43" s="279"/>
      <c r="M43" s="279">
        <v>0</v>
      </c>
      <c r="N43" s="279"/>
      <c r="O43" s="279">
        <f>K43-M43</f>
        <v>148.43733333333333</v>
      </c>
      <c r="P43" s="22"/>
      <c r="Q43" s="22" t="s">
        <v>669</v>
      </c>
      <c r="R43" s="295"/>
      <c r="S43" s="22"/>
      <c r="T43" s="22"/>
      <c r="U43" s="22"/>
      <c r="V43" s="22"/>
      <c r="W43" s="22"/>
      <c r="X43" s="22" t="s">
        <v>924</v>
      </c>
      <c r="Y43" s="462"/>
      <c r="Z43" s="322"/>
      <c r="AA43" s="463"/>
      <c r="AB43" s="279"/>
      <c r="AC43" s="279"/>
      <c r="AD43" s="322"/>
      <c r="AE43" s="279"/>
      <c r="AF43" s="279"/>
      <c r="AG43" s="279"/>
      <c r="AH43" s="279"/>
      <c r="AI43" s="279"/>
      <c r="AJ43" s="322"/>
      <c r="AK43" s="279"/>
      <c r="AL43" s="319"/>
      <c r="AM43" s="278"/>
      <c r="AN43" s="319"/>
      <c r="AO43" s="329"/>
      <c r="AP43" s="319"/>
    </row>
    <row r="44" spans="1:42">
      <c r="A44" s="214"/>
      <c r="B44" s="214"/>
      <c r="C44" s="462" t="s">
        <v>1572</v>
      </c>
      <c r="D44" s="322"/>
      <c r="E44" s="463">
        <v>3786.6666666666665</v>
      </c>
      <c r="F44" s="279"/>
      <c r="G44" s="279">
        <v>1.2666666666666666</v>
      </c>
      <c r="H44" s="322"/>
      <c r="I44" s="279">
        <v>25.700666666666667</v>
      </c>
      <c r="J44" s="322"/>
      <c r="K44" s="279">
        <f>I44</f>
        <v>25.700666666666667</v>
      </c>
      <c r="L44" s="279"/>
      <c r="M44" s="279">
        <v>0</v>
      </c>
      <c r="N44" s="279"/>
      <c r="O44" s="279">
        <f>K44-M44</f>
        <v>25.700666666666667</v>
      </c>
      <c r="P44" s="22"/>
      <c r="Q44" s="732">
        <f>(SUM(E41:E44))/(SUM(G41:G44))</f>
        <v>5337.1849315068503</v>
      </c>
      <c r="R44" s="295"/>
      <c r="S44" s="22"/>
      <c r="T44" s="22"/>
      <c r="U44" s="22"/>
      <c r="V44" s="22"/>
      <c r="W44" s="22"/>
      <c r="X44" s="732">
        <f>SUM(G41:G44)/12</f>
        <v>9.7333333333333325</v>
      </c>
      <c r="Y44" s="462"/>
      <c r="Z44" s="322"/>
      <c r="AA44" s="463"/>
      <c r="AB44" s="279"/>
      <c r="AC44" s="279"/>
      <c r="AD44" s="322"/>
      <c r="AE44" s="279"/>
      <c r="AF44" s="279"/>
      <c r="AG44" s="279"/>
      <c r="AH44" s="279"/>
      <c r="AI44" s="279"/>
      <c r="AJ44" s="322"/>
      <c r="AK44" s="279"/>
      <c r="AL44" s="319"/>
      <c r="AM44" s="278"/>
      <c r="AN44" s="319"/>
      <c r="AO44" s="329"/>
      <c r="AP44" s="319"/>
    </row>
    <row r="45" spans="1:42" ht="15.75" thickBot="1">
      <c r="A45" s="214"/>
      <c r="B45" s="214"/>
      <c r="C45" s="462"/>
      <c r="D45" s="322"/>
      <c r="E45" s="735">
        <f>SUM(E41:E44)</f>
        <v>623383.20000000007</v>
      </c>
      <c r="F45" s="279"/>
      <c r="G45" s="385">
        <f>SUM(G41:G44)</f>
        <v>116.79999999999998</v>
      </c>
      <c r="H45" s="322"/>
      <c r="I45" s="386">
        <f>SUM(I41:I44)</f>
        <v>5078.3113333333313</v>
      </c>
      <c r="J45" s="322"/>
      <c r="K45" s="386">
        <f>SUM(K41:K44)</f>
        <v>5078.3113333333313</v>
      </c>
      <c r="L45" s="279"/>
      <c r="M45" s="386">
        <f>SUM(M41:M44)</f>
        <v>0</v>
      </c>
      <c r="N45" s="322"/>
      <c r="O45" s="386">
        <f>SUM(O41:O44)</f>
        <v>5078.3113333333313</v>
      </c>
      <c r="P45" s="22"/>
      <c r="Q45" s="22"/>
      <c r="R45" s="295"/>
      <c r="S45" s="22"/>
      <c r="T45" s="22"/>
      <c r="U45" s="22"/>
      <c r="V45" s="22"/>
      <c r="W45" s="22"/>
      <c r="X45" s="214"/>
      <c r="Y45" s="462"/>
      <c r="Z45" s="322"/>
      <c r="AA45" s="463"/>
      <c r="AB45" s="279"/>
      <c r="AC45" s="279"/>
      <c r="AD45" s="322"/>
      <c r="AE45" s="279"/>
      <c r="AF45" s="279"/>
      <c r="AG45" s="279"/>
      <c r="AH45" s="279"/>
      <c r="AI45" s="279"/>
      <c r="AJ45" s="322"/>
      <c r="AK45" s="279"/>
      <c r="AL45" s="319"/>
      <c r="AM45" s="278"/>
      <c r="AN45" s="319"/>
      <c r="AO45" s="329"/>
      <c r="AP45" s="319"/>
    </row>
    <row r="46" spans="1:42" ht="15.75" thickTop="1">
      <c r="A46" s="214"/>
      <c r="B46" s="214"/>
      <c r="C46" s="462"/>
      <c r="D46" s="322"/>
      <c r="E46" s="463"/>
      <c r="F46" s="279"/>
      <c r="G46" s="279"/>
      <c r="H46" s="322"/>
      <c r="I46" s="279"/>
      <c r="J46" s="322"/>
      <c r="K46" s="279"/>
      <c r="L46" s="279"/>
      <c r="M46" s="279"/>
      <c r="N46" s="322"/>
      <c r="O46" s="322"/>
      <c r="P46" s="22"/>
      <c r="Q46" s="22"/>
      <c r="R46" s="295"/>
      <c r="S46" s="22"/>
      <c r="T46" s="22"/>
      <c r="U46" s="22"/>
      <c r="V46" s="22"/>
      <c r="W46" s="22"/>
      <c r="X46" s="214"/>
      <c r="Y46" s="462"/>
      <c r="Z46" s="322"/>
      <c r="AA46" s="463"/>
      <c r="AB46" s="279"/>
      <c r="AC46" s="279"/>
      <c r="AD46" s="322"/>
      <c r="AE46" s="279"/>
      <c r="AF46" s="279"/>
      <c r="AG46" s="279"/>
      <c r="AH46" s="279"/>
      <c r="AI46" s="279"/>
      <c r="AJ46" s="322"/>
      <c r="AK46" s="279"/>
      <c r="AL46" s="319"/>
      <c r="AM46" s="278"/>
      <c r="AN46" s="319"/>
      <c r="AO46" s="329"/>
      <c r="AP46" s="319"/>
    </row>
    <row r="47" spans="1:42">
      <c r="A47" s="214"/>
      <c r="B47" s="214"/>
      <c r="C47" s="316" t="s">
        <v>802</v>
      </c>
      <c r="D47" s="323"/>
      <c r="E47" s="463"/>
      <c r="F47" s="279"/>
      <c r="G47" s="279"/>
      <c r="H47" s="322"/>
      <c r="I47" s="279"/>
      <c r="J47" s="322"/>
      <c r="K47" s="279"/>
      <c r="L47" s="279"/>
      <c r="M47" s="279"/>
      <c r="N47" s="322"/>
      <c r="O47" s="322"/>
      <c r="P47" s="22"/>
      <c r="R47" s="295"/>
      <c r="S47" s="22"/>
      <c r="T47" s="22"/>
      <c r="U47" s="22"/>
      <c r="V47" s="22"/>
      <c r="W47" s="22"/>
      <c r="X47" s="15"/>
      <c r="Y47" s="15"/>
      <c r="Z47" s="15"/>
      <c r="AC47" s="15"/>
      <c r="AE47" s="15"/>
      <c r="AF47" s="15"/>
      <c r="AG47" s="15"/>
      <c r="AH47" s="15"/>
      <c r="AI47" s="15"/>
      <c r="AJ47" s="15"/>
      <c r="AK47" s="15"/>
      <c r="AL47" s="319"/>
      <c r="AM47" s="278"/>
      <c r="AN47" s="319"/>
      <c r="AO47" s="329"/>
      <c r="AP47" s="319"/>
    </row>
    <row r="48" spans="1:42">
      <c r="A48" s="214"/>
      <c r="B48" s="214"/>
      <c r="C48" s="316" t="s">
        <v>803</v>
      </c>
      <c r="D48" s="324">
        <v>20.29</v>
      </c>
      <c r="E48" s="463"/>
      <c r="F48" s="279"/>
      <c r="G48" s="279"/>
      <c r="H48" s="322"/>
      <c r="I48" s="279"/>
      <c r="J48" s="322"/>
      <c r="K48" s="279"/>
      <c r="L48" s="279"/>
      <c r="M48" s="279"/>
      <c r="N48" s="322"/>
      <c r="O48" s="322"/>
      <c r="P48" s="22"/>
      <c r="R48" s="295"/>
      <c r="S48" s="22"/>
      <c r="T48" s="22"/>
      <c r="U48" s="22"/>
      <c r="V48" s="22"/>
      <c r="W48" s="22"/>
      <c r="X48" s="15"/>
      <c r="Y48" s="15"/>
      <c r="Z48" s="15"/>
      <c r="AC48" s="15"/>
      <c r="AE48" s="15"/>
      <c r="AF48" s="15"/>
      <c r="AG48" s="15"/>
      <c r="AH48" s="15"/>
      <c r="AI48" s="15"/>
      <c r="AJ48" s="15"/>
      <c r="AK48" s="15"/>
      <c r="AL48" s="319"/>
      <c r="AM48" s="278"/>
      <c r="AN48" s="319"/>
      <c r="AO48" s="329"/>
      <c r="AP48" s="319"/>
    </row>
    <row r="49" spans="1:42">
      <c r="A49" s="214"/>
      <c r="B49" s="214"/>
      <c r="C49" s="316" t="s">
        <v>804</v>
      </c>
      <c r="D49" s="325">
        <v>2.71</v>
      </c>
      <c r="E49" s="463"/>
      <c r="F49" s="279"/>
      <c r="G49" s="279"/>
      <c r="H49" s="322"/>
      <c r="I49" s="279"/>
      <c r="J49" s="322"/>
      <c r="K49" s="279"/>
      <c r="L49" s="279"/>
      <c r="M49" s="279"/>
      <c r="N49" s="322"/>
      <c r="O49" s="322"/>
      <c r="P49" s="22"/>
      <c r="R49" s="295"/>
      <c r="S49" s="22"/>
      <c r="T49" s="22"/>
      <c r="U49" s="22"/>
      <c r="V49" s="22"/>
      <c r="W49" s="22"/>
      <c r="X49" s="15"/>
      <c r="Y49" s="15"/>
      <c r="Z49" s="15"/>
      <c r="AC49" s="15"/>
      <c r="AE49" s="15"/>
      <c r="AF49" s="15"/>
      <c r="AG49" s="15"/>
      <c r="AH49" s="15"/>
      <c r="AI49" s="15"/>
      <c r="AJ49" s="15"/>
      <c r="AK49" s="15"/>
      <c r="AL49" s="319"/>
      <c r="AM49" s="278"/>
      <c r="AN49" s="319"/>
      <c r="AO49" s="329"/>
      <c r="AP49" s="319"/>
    </row>
    <row r="50" spans="1:42">
      <c r="A50" s="214"/>
      <c r="B50" s="214"/>
      <c r="C50" s="316" t="s">
        <v>862</v>
      </c>
      <c r="D50" s="325">
        <v>2.4700000000000002</v>
      </c>
      <c r="E50" s="463"/>
      <c r="F50" s="279"/>
      <c r="G50" s="279"/>
      <c r="H50" s="322"/>
      <c r="I50" s="279"/>
      <c r="J50" s="322"/>
      <c r="K50" s="279"/>
      <c r="L50" s="279"/>
      <c r="M50" s="279"/>
      <c r="N50" s="322"/>
      <c r="O50" s="322"/>
      <c r="P50" s="22"/>
      <c r="Q50" s="22"/>
      <c r="R50" s="295"/>
      <c r="S50" s="22"/>
      <c r="T50" s="22"/>
      <c r="U50" s="22"/>
      <c r="V50" s="22"/>
      <c r="W50" s="22"/>
      <c r="X50" s="15"/>
      <c r="Y50" s="15"/>
      <c r="Z50" s="15"/>
      <c r="AC50" s="15"/>
      <c r="AE50" s="15"/>
      <c r="AF50" s="15"/>
      <c r="AG50" s="15"/>
      <c r="AH50" s="15"/>
      <c r="AI50" s="15"/>
      <c r="AJ50" s="15"/>
      <c r="AK50" s="15"/>
      <c r="AL50" s="319"/>
      <c r="AM50" s="278"/>
      <c r="AN50" s="319"/>
      <c r="AO50" s="329"/>
      <c r="AP50" s="319"/>
    </row>
    <row r="51" spans="1:42">
      <c r="A51" s="214"/>
      <c r="B51" s="214"/>
      <c r="C51" s="316" t="s">
        <v>863</v>
      </c>
      <c r="D51" s="325">
        <v>2.35</v>
      </c>
      <c r="E51" s="463"/>
      <c r="F51" s="279"/>
      <c r="G51" s="279"/>
      <c r="H51" s="322"/>
      <c r="I51" s="279"/>
      <c r="J51" s="322"/>
      <c r="K51" s="279"/>
      <c r="L51" s="279"/>
      <c r="M51" s="279"/>
      <c r="N51" s="322"/>
      <c r="O51" s="322"/>
      <c r="P51" s="22"/>
      <c r="Q51" s="22"/>
      <c r="R51" s="295"/>
      <c r="S51" s="22"/>
      <c r="T51" s="22"/>
      <c r="U51" s="22"/>
      <c r="V51" s="22"/>
      <c r="W51" s="22"/>
      <c r="X51" s="15"/>
      <c r="Y51" s="15"/>
      <c r="Z51" s="15"/>
      <c r="AC51" s="15"/>
      <c r="AE51" s="15"/>
      <c r="AF51" s="15"/>
      <c r="AG51" s="15"/>
      <c r="AH51" s="15"/>
      <c r="AI51" s="15"/>
      <c r="AJ51" s="15"/>
      <c r="AK51" s="15"/>
      <c r="AL51" s="319"/>
      <c r="AM51" s="319"/>
      <c r="AN51" s="319"/>
      <c r="AO51" s="319"/>
      <c r="AP51" s="319"/>
    </row>
    <row r="52" spans="1:42">
      <c r="A52" s="214"/>
      <c r="B52" s="214"/>
      <c r="C52" s="316" t="s">
        <v>864</v>
      </c>
      <c r="D52" s="325">
        <v>2.1</v>
      </c>
      <c r="E52" s="463"/>
      <c r="F52" s="279"/>
      <c r="G52" s="279"/>
      <c r="H52" s="322"/>
      <c r="I52" s="279"/>
      <c r="J52" s="322"/>
      <c r="K52" s="279"/>
      <c r="L52" s="279"/>
      <c r="M52" s="279"/>
      <c r="N52" s="322"/>
      <c r="O52" s="322"/>
      <c r="P52" s="22"/>
      <c r="R52" s="295"/>
      <c r="S52" s="22"/>
      <c r="T52" s="22"/>
      <c r="U52" s="22"/>
      <c r="V52" s="22"/>
      <c r="W52" s="22"/>
      <c r="X52" s="15"/>
      <c r="Y52" s="15"/>
      <c r="Z52" s="15"/>
      <c r="AC52" s="15"/>
      <c r="AE52" s="15"/>
      <c r="AF52" s="15"/>
      <c r="AG52" s="15"/>
      <c r="AH52" s="15"/>
      <c r="AI52" s="15"/>
      <c r="AJ52" s="15"/>
      <c r="AK52" s="15"/>
      <c r="AL52" s="278"/>
      <c r="AM52" s="329"/>
      <c r="AN52" s="274"/>
      <c r="AO52" s="329"/>
      <c r="AP52" s="278"/>
    </row>
    <row r="53" spans="1:42">
      <c r="A53" s="214"/>
      <c r="B53" s="214"/>
      <c r="C53" s="316" t="s">
        <v>876</v>
      </c>
      <c r="D53" s="325">
        <v>1.92</v>
      </c>
      <c r="E53" s="463"/>
      <c r="F53" s="279"/>
      <c r="G53" s="279"/>
      <c r="H53" s="322"/>
      <c r="I53" s="279"/>
      <c r="J53" s="322"/>
      <c r="K53" s="279"/>
      <c r="L53" s="279"/>
      <c r="M53" s="279"/>
      <c r="N53" s="322"/>
      <c r="O53" s="322"/>
      <c r="P53" s="22"/>
      <c r="Q53" s="736"/>
      <c r="R53" s="295"/>
      <c r="S53" s="22"/>
      <c r="T53" s="22"/>
      <c r="U53" s="22"/>
      <c r="V53" s="22"/>
      <c r="W53" s="22"/>
      <c r="X53" s="15"/>
      <c r="Y53" s="15"/>
      <c r="Z53" s="15"/>
      <c r="AC53" s="15"/>
      <c r="AE53" s="15"/>
      <c r="AF53" s="15"/>
      <c r="AG53" s="15"/>
      <c r="AH53" s="15"/>
      <c r="AI53" s="15"/>
      <c r="AJ53" s="15"/>
      <c r="AK53" s="15"/>
      <c r="AL53" s="278"/>
      <c r="AM53" s="329"/>
      <c r="AN53" s="274"/>
      <c r="AO53" s="329"/>
      <c r="AP53" s="278"/>
    </row>
    <row r="54" spans="1:42">
      <c r="A54" s="214"/>
      <c r="B54" s="214"/>
      <c r="C54" s="316"/>
      <c r="D54" s="325"/>
      <c r="E54" s="463"/>
      <c r="F54" s="279"/>
      <c r="G54" s="279"/>
      <c r="H54" s="322"/>
      <c r="I54" s="279"/>
      <c r="J54" s="322"/>
      <c r="K54" s="279"/>
      <c r="L54" s="279"/>
      <c r="M54" s="279"/>
      <c r="N54" s="322"/>
      <c r="O54" s="322"/>
      <c r="P54" s="22"/>
      <c r="Q54" s="736"/>
      <c r="R54" s="295"/>
      <c r="S54" s="22"/>
      <c r="T54" s="22"/>
      <c r="U54" s="22"/>
      <c r="V54" s="22"/>
      <c r="W54" s="22"/>
      <c r="X54" s="15"/>
      <c r="Y54" s="15"/>
      <c r="Z54" s="15"/>
      <c r="AC54" s="15"/>
      <c r="AE54" s="15"/>
      <c r="AF54" s="15"/>
      <c r="AG54" s="15"/>
      <c r="AH54" s="15"/>
      <c r="AI54" s="15"/>
      <c r="AJ54" s="15"/>
      <c r="AK54" s="15"/>
      <c r="AL54" s="278"/>
      <c r="AM54" s="329"/>
      <c r="AN54" s="274"/>
      <c r="AO54" s="329"/>
      <c r="AP54" s="278"/>
    </row>
    <row r="55" spans="1:42">
      <c r="A55" s="214"/>
      <c r="B55" s="214"/>
      <c r="C55" s="462" t="s">
        <v>1565</v>
      </c>
      <c r="D55" s="322"/>
      <c r="E55" s="463">
        <v>1370286.6666666667</v>
      </c>
      <c r="F55" s="279"/>
      <c r="G55" s="279">
        <v>228.13333333333333</v>
      </c>
      <c r="H55" s="322"/>
      <c r="I55" s="279">
        <v>7434.9786666666678</v>
      </c>
      <c r="J55" s="322"/>
      <c r="K55" s="279">
        <f>I55</f>
        <v>7434.9786666666678</v>
      </c>
      <c r="L55" s="279"/>
      <c r="M55" s="279">
        <v>0</v>
      </c>
      <c r="N55" s="279"/>
      <c r="O55" s="279">
        <f>K55-M55</f>
        <v>7434.9786666666678</v>
      </c>
      <c r="P55" s="22"/>
      <c r="Q55" s="736"/>
      <c r="R55" s="295"/>
      <c r="S55" s="22"/>
      <c r="T55" s="22"/>
      <c r="U55" s="22"/>
      <c r="V55" s="22"/>
      <c r="W55" s="22"/>
      <c r="X55" s="15"/>
      <c r="Y55" s="15"/>
      <c r="Z55" s="15"/>
      <c r="AC55" s="15"/>
      <c r="AE55" s="15"/>
      <c r="AF55" s="15"/>
      <c r="AG55" s="15"/>
      <c r="AH55" s="15"/>
      <c r="AI55" s="15"/>
      <c r="AJ55" s="15"/>
      <c r="AK55" s="15"/>
      <c r="AL55" s="278"/>
      <c r="AM55" s="329"/>
      <c r="AN55" s="274"/>
      <c r="AO55" s="329"/>
      <c r="AP55" s="278"/>
    </row>
    <row r="56" spans="1:42">
      <c r="A56" s="214"/>
      <c r="B56" s="214"/>
      <c r="C56" s="462" t="s">
        <v>1566</v>
      </c>
      <c r="D56" s="322"/>
      <c r="E56" s="463">
        <v>11187615.466666667</v>
      </c>
      <c r="F56" s="279"/>
      <c r="G56" s="279">
        <v>689.4000000000002</v>
      </c>
      <c r="H56" s="322"/>
      <c r="I56" s="279">
        <v>45539.926000000036</v>
      </c>
      <c r="J56" s="322"/>
      <c r="K56" s="279">
        <f>I56</f>
        <v>45539.926000000036</v>
      </c>
      <c r="L56" s="279"/>
      <c r="M56" s="279">
        <v>0</v>
      </c>
      <c r="N56" s="279"/>
      <c r="O56" s="279">
        <f>K56-M56</f>
        <v>45539.926000000036</v>
      </c>
      <c r="P56" s="22"/>
      <c r="Q56" s="736"/>
      <c r="R56" s="295"/>
      <c r="S56" s="22"/>
      <c r="T56" s="22"/>
      <c r="U56" s="22"/>
      <c r="V56" s="22"/>
      <c r="W56" s="22"/>
      <c r="X56" s="15"/>
      <c r="Y56" s="15"/>
      <c r="Z56" s="15"/>
      <c r="AC56" s="15"/>
      <c r="AE56" s="15"/>
      <c r="AF56" s="15"/>
      <c r="AG56" s="15"/>
      <c r="AH56" s="15"/>
      <c r="AI56" s="15"/>
      <c r="AJ56" s="15"/>
      <c r="AK56" s="15"/>
      <c r="AL56" s="278"/>
      <c r="AM56" s="329"/>
      <c r="AN56" s="274"/>
      <c r="AO56" s="329"/>
      <c r="AP56" s="278"/>
    </row>
    <row r="57" spans="1:42">
      <c r="A57" s="214"/>
      <c r="B57" s="214"/>
      <c r="C57" s="462" t="s">
        <v>1567</v>
      </c>
      <c r="D57" s="322"/>
      <c r="E57" s="463">
        <v>300626.66666666669</v>
      </c>
      <c r="F57" s="279"/>
      <c r="G57" s="279">
        <v>32.200000000000003</v>
      </c>
      <c r="H57" s="322"/>
      <c r="I57" s="279">
        <v>1267.4559999999999</v>
      </c>
      <c r="J57" s="322"/>
      <c r="K57" s="279">
        <f>I57</f>
        <v>1267.4559999999999</v>
      </c>
      <c r="L57" s="279"/>
      <c r="M57" s="279">
        <v>0</v>
      </c>
      <c r="N57" s="279"/>
      <c r="O57" s="279">
        <f>K57-M57</f>
        <v>1267.4559999999999</v>
      </c>
      <c r="P57" s="22"/>
      <c r="Q57" s="736"/>
      <c r="R57" s="295"/>
      <c r="S57" s="22"/>
      <c r="T57" s="22"/>
      <c r="U57" s="22"/>
      <c r="V57" s="22"/>
      <c r="W57" s="22"/>
      <c r="X57" s="15"/>
      <c r="Y57" s="15"/>
      <c r="Z57" s="15"/>
      <c r="AC57" s="15"/>
      <c r="AE57" s="15"/>
      <c r="AF57" s="15"/>
      <c r="AG57" s="15"/>
      <c r="AH57" s="15"/>
      <c r="AI57" s="15"/>
      <c r="AJ57" s="15"/>
      <c r="AK57" s="15"/>
      <c r="AL57" s="278"/>
      <c r="AM57" s="329"/>
      <c r="AN57" s="274"/>
      <c r="AO57" s="329"/>
      <c r="AP57" s="278"/>
    </row>
    <row r="58" spans="1:42">
      <c r="A58" s="214"/>
      <c r="B58" s="214"/>
      <c r="C58" s="462" t="s">
        <v>1568</v>
      </c>
      <c r="D58" s="322"/>
      <c r="E58" s="463">
        <v>29213.333333333332</v>
      </c>
      <c r="F58" s="279"/>
      <c r="G58" s="279">
        <v>10.733333333333334</v>
      </c>
      <c r="H58" s="322"/>
      <c r="I58" s="279">
        <v>280.99866666666668</v>
      </c>
      <c r="J58" s="322"/>
      <c r="K58" s="279">
        <f>I58</f>
        <v>280.99866666666668</v>
      </c>
      <c r="L58" s="279"/>
      <c r="M58" s="279">
        <v>0</v>
      </c>
      <c r="N58" s="279"/>
      <c r="O58" s="279">
        <f>K58-M58</f>
        <v>280.99866666666668</v>
      </c>
      <c r="P58" s="22"/>
      <c r="Q58" s="736"/>
      <c r="R58" s="295"/>
      <c r="S58" s="22"/>
      <c r="T58" s="22"/>
      <c r="U58" s="22"/>
      <c r="V58" s="22"/>
      <c r="W58" s="22"/>
      <c r="X58" s="15"/>
      <c r="Y58" s="15"/>
      <c r="Z58" s="15"/>
      <c r="AC58" s="15"/>
      <c r="AE58" s="15"/>
      <c r="AF58" s="15"/>
      <c r="AG58" s="15"/>
      <c r="AH58" s="15"/>
      <c r="AI58" s="15"/>
      <c r="AJ58" s="15"/>
      <c r="AK58" s="15"/>
      <c r="AL58" s="278"/>
      <c r="AM58" s="329"/>
      <c r="AN58" s="274"/>
      <c r="AO58" s="329"/>
      <c r="AP58" s="278"/>
    </row>
    <row r="59" spans="1:42" ht="15.75" thickBot="1">
      <c r="A59" s="214"/>
      <c r="B59" s="214"/>
      <c r="C59" s="462"/>
      <c r="D59" s="322"/>
      <c r="E59" s="735">
        <f>SUM(E55:E58)</f>
        <v>12887742.133333333</v>
      </c>
      <c r="F59" s="279"/>
      <c r="G59" s="385">
        <f>SUM(G55:G58)</f>
        <v>960.46666666666692</v>
      </c>
      <c r="H59" s="322"/>
      <c r="I59" s="386">
        <f>SUM(I55:I58)</f>
        <v>54523.35933333337</v>
      </c>
      <c r="J59" s="322"/>
      <c r="K59" s="386">
        <f>SUM(K55:K58)</f>
        <v>54523.35933333337</v>
      </c>
      <c r="L59" s="279"/>
      <c r="M59" s="386">
        <f>SUM(M55:M58)</f>
        <v>0</v>
      </c>
      <c r="N59" s="322"/>
      <c r="O59" s="386">
        <f>SUM(O55:O58)</f>
        <v>54523.35933333337</v>
      </c>
      <c r="P59" s="22"/>
      <c r="Q59" s="736"/>
      <c r="R59" s="295"/>
      <c r="S59" s="22"/>
      <c r="T59" s="22"/>
      <c r="U59" s="22"/>
      <c r="V59" s="22"/>
      <c r="W59" s="22"/>
      <c r="X59" s="15"/>
      <c r="Y59" s="15"/>
      <c r="Z59" s="15"/>
      <c r="AC59" s="15"/>
      <c r="AE59" s="15"/>
      <c r="AF59" s="15"/>
      <c r="AG59" s="15"/>
      <c r="AH59" s="15"/>
      <c r="AI59" s="15"/>
      <c r="AJ59" s="15"/>
      <c r="AK59" s="15"/>
      <c r="AL59" s="278"/>
      <c r="AM59" s="329"/>
      <c r="AN59" s="274"/>
      <c r="AO59" s="329"/>
      <c r="AP59" s="278"/>
    </row>
    <row r="60" spans="1:42" ht="15.75" thickTop="1">
      <c r="A60" s="214"/>
      <c r="B60" s="214"/>
      <c r="C60" s="462"/>
      <c r="D60" s="322"/>
      <c r="E60" s="463"/>
      <c r="F60" s="279"/>
      <c r="G60" s="279"/>
      <c r="H60" s="322"/>
      <c r="I60" s="279"/>
      <c r="J60" s="322"/>
      <c r="K60" s="279"/>
      <c r="L60" s="279"/>
      <c r="M60" s="279"/>
      <c r="N60" s="322"/>
      <c r="O60" s="322"/>
      <c r="P60" s="22"/>
      <c r="Q60" s="736"/>
      <c r="R60" s="295"/>
      <c r="S60" s="22"/>
      <c r="T60" s="22"/>
      <c r="U60" s="22"/>
      <c r="V60" s="22"/>
      <c r="W60" s="22"/>
      <c r="X60" s="15"/>
      <c r="Y60" s="15"/>
      <c r="Z60" s="15"/>
      <c r="AC60" s="15"/>
      <c r="AE60" s="15"/>
      <c r="AF60" s="15"/>
      <c r="AG60" s="15"/>
      <c r="AH60" s="15"/>
      <c r="AI60" s="15"/>
      <c r="AJ60" s="15"/>
      <c r="AK60" s="15"/>
      <c r="AL60" s="278"/>
      <c r="AM60" s="329"/>
      <c r="AN60" s="274"/>
      <c r="AO60" s="329"/>
      <c r="AP60" s="278"/>
    </row>
    <row r="61" spans="1:42">
      <c r="A61" s="214"/>
      <c r="B61" s="214"/>
      <c r="C61" s="316" t="s">
        <v>802</v>
      </c>
      <c r="D61" s="323"/>
      <c r="E61" s="463"/>
      <c r="F61" s="279"/>
      <c r="G61" s="279"/>
      <c r="H61" s="322"/>
      <c r="I61" s="279"/>
      <c r="J61" s="322"/>
      <c r="K61" s="279"/>
      <c r="L61" s="279"/>
      <c r="M61" s="279"/>
      <c r="N61" s="322"/>
      <c r="O61" s="322"/>
      <c r="P61" s="22"/>
      <c r="Q61" s="736"/>
      <c r="R61" s="295"/>
      <c r="S61" s="22"/>
      <c r="T61" s="22"/>
      <c r="U61" s="22"/>
      <c r="V61" s="22"/>
      <c r="W61" s="22"/>
      <c r="X61" s="15"/>
      <c r="Y61" s="15"/>
      <c r="Z61" s="15"/>
      <c r="AC61" s="15"/>
      <c r="AE61" s="15"/>
      <c r="AF61" s="15"/>
      <c r="AG61" s="15"/>
      <c r="AH61" s="15"/>
      <c r="AI61" s="15"/>
      <c r="AJ61" s="15"/>
      <c r="AK61" s="15"/>
      <c r="AL61" s="278"/>
      <c r="AM61" s="329"/>
      <c r="AN61" s="274"/>
      <c r="AO61" s="329"/>
      <c r="AP61" s="278"/>
    </row>
    <row r="62" spans="1:42">
      <c r="A62" s="214"/>
      <c r="B62" s="214"/>
      <c r="C62" s="316" t="s">
        <v>803</v>
      </c>
      <c r="D62" s="324">
        <v>26.18</v>
      </c>
      <c r="E62" s="463"/>
      <c r="F62" s="279"/>
      <c r="G62" s="279"/>
      <c r="H62" s="322"/>
      <c r="I62" s="279"/>
      <c r="J62" s="322"/>
      <c r="K62" s="279"/>
      <c r="L62" s="279"/>
      <c r="M62" s="279"/>
      <c r="N62" s="322"/>
      <c r="O62" s="322"/>
      <c r="P62" s="22"/>
      <c r="Q62" s="736"/>
      <c r="R62" s="295"/>
      <c r="S62" s="22"/>
      <c r="T62" s="22"/>
      <c r="U62" s="22"/>
      <c r="V62" s="22"/>
      <c r="W62" s="22"/>
      <c r="X62" s="15"/>
      <c r="Y62" s="15"/>
      <c r="Z62" s="15"/>
      <c r="AC62" s="15"/>
      <c r="AE62" s="15"/>
      <c r="AF62" s="15"/>
      <c r="AG62" s="15"/>
      <c r="AH62" s="15"/>
      <c r="AI62" s="15"/>
      <c r="AJ62" s="15"/>
      <c r="AK62" s="15"/>
      <c r="AL62" s="278"/>
      <c r="AM62" s="329"/>
      <c r="AN62" s="274"/>
      <c r="AO62" s="329"/>
      <c r="AP62" s="278"/>
    </row>
    <row r="63" spans="1:42">
      <c r="A63" s="214"/>
      <c r="B63" s="214"/>
      <c r="C63" s="316" t="s">
        <v>804</v>
      </c>
      <c r="D63" s="325">
        <v>3.5</v>
      </c>
      <c r="E63" s="463"/>
      <c r="F63" s="279"/>
      <c r="G63" s="279"/>
      <c r="H63" s="322"/>
      <c r="I63" s="279"/>
      <c r="J63" s="322"/>
      <c r="K63" s="279"/>
      <c r="L63" s="279"/>
      <c r="M63" s="279"/>
      <c r="N63" s="322"/>
      <c r="O63" s="322"/>
      <c r="P63" s="22"/>
      <c r="Q63" s="736"/>
      <c r="R63" s="295"/>
      <c r="S63" s="22"/>
      <c r="T63" s="22"/>
      <c r="U63" s="22"/>
      <c r="V63" s="22"/>
      <c r="W63" s="22"/>
      <c r="X63" s="15"/>
      <c r="Y63" s="15"/>
      <c r="Z63" s="15"/>
      <c r="AC63" s="15"/>
      <c r="AE63" s="15"/>
      <c r="AF63" s="15"/>
      <c r="AG63" s="15"/>
      <c r="AH63" s="15"/>
      <c r="AI63" s="15"/>
      <c r="AJ63" s="15"/>
      <c r="AK63" s="15"/>
      <c r="AL63" s="278"/>
      <c r="AM63" s="329"/>
      <c r="AN63" s="274"/>
      <c r="AO63" s="329"/>
      <c r="AP63" s="278"/>
    </row>
    <row r="64" spans="1:42">
      <c r="A64" s="214"/>
      <c r="B64" s="214"/>
      <c r="C64" s="316" t="s">
        <v>862</v>
      </c>
      <c r="D64" s="325">
        <v>3.19</v>
      </c>
      <c r="E64" s="463"/>
      <c r="F64" s="279"/>
      <c r="G64" s="279"/>
      <c r="H64" s="322"/>
      <c r="I64" s="279"/>
      <c r="J64" s="322"/>
      <c r="K64" s="279"/>
      <c r="L64" s="279"/>
      <c r="M64" s="279"/>
      <c r="N64" s="322"/>
      <c r="O64" s="322"/>
      <c r="P64" s="22"/>
      <c r="Q64" s="736"/>
      <c r="R64" s="295"/>
      <c r="S64" s="22"/>
      <c r="T64" s="22"/>
      <c r="U64" s="22"/>
      <c r="V64" s="22"/>
      <c r="W64" s="22"/>
      <c r="X64" s="15"/>
      <c r="Y64" s="15"/>
      <c r="Z64" s="15"/>
      <c r="AC64" s="15"/>
      <c r="AE64" s="15"/>
      <c r="AF64" s="15"/>
      <c r="AG64" s="15"/>
      <c r="AH64" s="15"/>
      <c r="AI64" s="15"/>
      <c r="AJ64" s="15"/>
      <c r="AK64" s="15"/>
      <c r="AL64" s="278"/>
      <c r="AM64" s="329"/>
      <c r="AN64" s="274"/>
      <c r="AO64" s="329"/>
      <c r="AP64" s="278"/>
    </row>
    <row r="65" spans="1:42">
      <c r="A65" s="214"/>
      <c r="B65" s="214"/>
      <c r="C65" s="316" t="s">
        <v>863</v>
      </c>
      <c r="D65" s="325">
        <v>3.03</v>
      </c>
      <c r="E65" s="463"/>
      <c r="F65" s="279"/>
      <c r="G65" s="279"/>
      <c r="H65" s="322"/>
      <c r="I65" s="279"/>
      <c r="J65" s="322"/>
      <c r="K65" s="279"/>
      <c r="L65" s="279"/>
      <c r="M65" s="279"/>
      <c r="N65" s="322"/>
      <c r="O65" s="322"/>
      <c r="P65" s="22"/>
      <c r="Q65" s="736"/>
      <c r="R65" s="295"/>
      <c r="S65" s="22"/>
      <c r="T65" s="22"/>
      <c r="U65" s="22"/>
      <c r="V65" s="22"/>
      <c r="W65" s="22"/>
      <c r="X65" s="15"/>
      <c r="Y65" s="15"/>
      <c r="Z65" s="15"/>
      <c r="AC65" s="15"/>
      <c r="AE65" s="15"/>
      <c r="AF65" s="15"/>
      <c r="AG65" s="15"/>
      <c r="AH65" s="15"/>
      <c r="AI65" s="15"/>
      <c r="AJ65" s="15"/>
      <c r="AK65" s="15"/>
      <c r="AL65" s="278"/>
      <c r="AM65" s="329"/>
      <c r="AN65" s="274"/>
      <c r="AO65" s="329"/>
      <c r="AP65" s="278"/>
    </row>
    <row r="66" spans="1:42">
      <c r="A66" s="214"/>
      <c r="B66" s="214"/>
      <c r="C66" s="316" t="s">
        <v>864</v>
      </c>
      <c r="D66" s="325">
        <v>2.71</v>
      </c>
      <c r="E66" s="463"/>
      <c r="F66" s="279"/>
      <c r="G66" s="279"/>
      <c r="H66" s="322"/>
      <c r="I66" s="279"/>
      <c r="J66" s="322"/>
      <c r="K66" s="279"/>
      <c r="L66" s="279"/>
      <c r="M66" s="279"/>
      <c r="N66" s="322"/>
      <c r="O66" s="322"/>
      <c r="P66" s="22"/>
      <c r="Q66" s="736"/>
      <c r="R66" s="295"/>
      <c r="S66" s="22"/>
      <c r="T66" s="22"/>
      <c r="U66" s="22"/>
      <c r="V66" s="22"/>
      <c r="W66" s="22"/>
      <c r="X66" s="15"/>
      <c r="Y66" s="15"/>
      <c r="Z66" s="15"/>
      <c r="AC66" s="15"/>
      <c r="AE66" s="15"/>
      <c r="AF66" s="15"/>
      <c r="AG66" s="15"/>
      <c r="AH66" s="15"/>
      <c r="AI66" s="15"/>
      <c r="AJ66" s="15"/>
      <c r="AK66" s="15"/>
      <c r="AL66" s="278"/>
      <c r="AM66" s="329"/>
      <c r="AN66" s="274"/>
      <c r="AO66" s="329"/>
      <c r="AP66" s="278"/>
    </row>
    <row r="67" spans="1:42">
      <c r="A67" s="214"/>
      <c r="B67" s="214"/>
      <c r="C67" s="316" t="s">
        <v>876</v>
      </c>
      <c r="D67" s="325">
        <v>2.48</v>
      </c>
      <c r="E67" s="463"/>
      <c r="F67" s="279"/>
      <c r="G67" s="279"/>
      <c r="H67" s="322"/>
      <c r="I67" s="279"/>
      <c r="J67" s="322"/>
      <c r="K67" s="279"/>
      <c r="L67" s="279"/>
      <c r="M67" s="279"/>
      <c r="N67" s="322"/>
      <c r="O67" s="322"/>
      <c r="P67" s="22"/>
      <c r="Q67" s="736"/>
      <c r="R67" s="295"/>
      <c r="S67" s="22"/>
      <c r="T67" s="22"/>
      <c r="U67" s="22"/>
      <c r="V67" s="22"/>
      <c r="W67" s="22"/>
      <c r="X67" s="15"/>
      <c r="Y67" s="15"/>
      <c r="Z67" s="15"/>
      <c r="AC67" s="15"/>
      <c r="AE67" s="15"/>
      <c r="AF67" s="15"/>
      <c r="AG67" s="15"/>
      <c r="AH67" s="15"/>
      <c r="AI67" s="15"/>
      <c r="AJ67" s="15"/>
      <c r="AK67" s="15"/>
      <c r="AL67" s="278"/>
      <c r="AM67" s="329"/>
      <c r="AN67" s="274"/>
      <c r="AO67" s="329"/>
      <c r="AP67" s="278"/>
    </row>
    <row r="68" spans="1:42">
      <c r="A68" s="214"/>
      <c r="B68" s="214"/>
      <c r="C68" s="462"/>
      <c r="D68" s="322"/>
      <c r="E68" s="463"/>
      <c r="F68" s="279"/>
      <c r="G68" s="279"/>
      <c r="H68" s="322"/>
      <c r="I68" s="279"/>
      <c r="J68" s="322"/>
      <c r="K68" s="279"/>
      <c r="L68" s="279"/>
      <c r="M68" s="279"/>
      <c r="N68" s="322"/>
      <c r="O68" s="322"/>
      <c r="P68" s="22"/>
      <c r="Q68" s="736"/>
      <c r="R68" s="295"/>
      <c r="S68" s="22"/>
      <c r="T68" s="22"/>
      <c r="U68" s="22"/>
      <c r="V68" s="22"/>
      <c r="W68" s="22"/>
      <c r="X68" s="15"/>
      <c r="Y68" s="15"/>
      <c r="Z68" s="15"/>
      <c r="AC68" s="15"/>
      <c r="AE68" s="15"/>
      <c r="AF68" s="15"/>
      <c r="AG68" s="15"/>
      <c r="AH68" s="15"/>
      <c r="AI68" s="15"/>
      <c r="AJ68" s="15"/>
      <c r="AK68" s="15"/>
      <c r="AL68" s="278"/>
      <c r="AM68" s="329"/>
      <c r="AN68" s="274"/>
      <c r="AO68" s="329"/>
      <c r="AP68" s="278"/>
    </row>
    <row r="69" spans="1:42">
      <c r="A69" s="214"/>
      <c r="B69" s="214"/>
      <c r="C69" s="462" t="s">
        <v>1573</v>
      </c>
      <c r="D69" s="322"/>
      <c r="E69" s="463">
        <v>1028506.6666666666</v>
      </c>
      <c r="F69" s="279"/>
      <c r="G69" s="279">
        <v>20.266666666666669</v>
      </c>
      <c r="H69" s="322"/>
      <c r="I69" s="279">
        <v>2608.8093333333331</v>
      </c>
      <c r="J69" s="322"/>
      <c r="K69" s="279">
        <f>I69</f>
        <v>2608.8093333333331</v>
      </c>
      <c r="L69" s="279"/>
      <c r="M69" s="279">
        <v>0</v>
      </c>
      <c r="N69" s="279"/>
      <c r="O69" s="318">
        <f>K69-M69</f>
        <v>2608.8093333333331</v>
      </c>
      <c r="Q69" s="22"/>
      <c r="R69" s="295"/>
      <c r="S69" s="22"/>
      <c r="T69" s="22"/>
      <c r="U69" s="22"/>
      <c r="V69" s="22"/>
      <c r="W69" s="22"/>
      <c r="X69" s="22" t="s">
        <v>501</v>
      </c>
      <c r="Y69" s="15"/>
      <c r="Z69" s="15"/>
      <c r="AC69" s="15"/>
      <c r="AE69" s="15"/>
      <c r="AF69" s="15"/>
      <c r="AG69" s="15"/>
      <c r="AH69" s="15"/>
      <c r="AI69" s="15"/>
      <c r="AJ69" s="15"/>
      <c r="AK69" s="15"/>
      <c r="AL69" s="319"/>
      <c r="AM69" s="319"/>
      <c r="AN69" s="319"/>
      <c r="AO69" s="319"/>
      <c r="AP69" s="319"/>
    </row>
    <row r="70" spans="1:42">
      <c r="A70" s="214"/>
      <c r="B70" s="214"/>
      <c r="C70" s="462" t="s">
        <v>1574</v>
      </c>
      <c r="D70" s="322"/>
      <c r="E70" s="463">
        <v>265786.66666666669</v>
      </c>
      <c r="F70" s="279"/>
      <c r="G70" s="279">
        <v>6.333333333333333</v>
      </c>
      <c r="H70" s="322"/>
      <c r="I70" s="279">
        <v>692.56133333333332</v>
      </c>
      <c r="J70" s="322"/>
      <c r="K70" s="279">
        <f>I70</f>
        <v>692.56133333333332</v>
      </c>
      <c r="L70" s="279"/>
      <c r="M70" s="279">
        <v>0</v>
      </c>
      <c r="N70" s="279"/>
      <c r="O70" s="318">
        <f>K70-M70</f>
        <v>692.56133333333332</v>
      </c>
      <c r="Q70" s="22" t="s">
        <v>669</v>
      </c>
      <c r="R70" s="295"/>
      <c r="S70" s="22"/>
      <c r="T70" s="22"/>
      <c r="U70" s="22"/>
      <c r="V70" s="22"/>
      <c r="W70" s="22"/>
      <c r="X70" s="22" t="s">
        <v>924</v>
      </c>
      <c r="Y70" s="15"/>
      <c r="Z70" s="15"/>
      <c r="AC70" s="15"/>
      <c r="AE70" s="15"/>
      <c r="AF70" s="15"/>
      <c r="AG70" s="15"/>
      <c r="AH70" s="15"/>
      <c r="AI70" s="15"/>
      <c r="AJ70" s="15"/>
      <c r="AK70" s="15"/>
      <c r="AL70" s="319"/>
      <c r="AM70" s="319"/>
      <c r="AN70" s="319"/>
      <c r="AO70" s="319"/>
      <c r="AP70" s="319"/>
    </row>
    <row r="71" spans="1:42">
      <c r="A71" s="214"/>
      <c r="B71" s="214"/>
      <c r="C71" s="462" t="s">
        <v>1575</v>
      </c>
      <c r="D71" s="322"/>
      <c r="E71" s="463">
        <v>109533.33333333333</v>
      </c>
      <c r="F71" s="279"/>
      <c r="G71" s="279">
        <v>2.5333333333333332</v>
      </c>
      <c r="H71" s="322"/>
      <c r="I71" s="279">
        <v>279.07266666666663</v>
      </c>
      <c r="J71" s="322"/>
      <c r="K71" s="279">
        <f>I71</f>
        <v>279.07266666666663</v>
      </c>
      <c r="L71" s="279"/>
      <c r="M71" s="279">
        <v>0</v>
      </c>
      <c r="N71" s="279"/>
      <c r="O71" s="318">
        <f>K71-M71</f>
        <v>279.07266666666663</v>
      </c>
      <c r="Q71" s="732">
        <f>(SUM(E69:E71))/(SUM(G69:G71))</f>
        <v>48186.270022883291</v>
      </c>
      <c r="R71" s="295"/>
      <c r="S71" s="22"/>
      <c r="T71" s="22"/>
      <c r="U71" s="22"/>
      <c r="V71" s="22"/>
      <c r="W71" s="22"/>
      <c r="X71" s="732">
        <f>SUM(G69:G71)/12</f>
        <v>2.4277777777777776</v>
      </c>
      <c r="Y71" s="15"/>
      <c r="Z71" s="15"/>
      <c r="AC71" s="15"/>
      <c r="AE71" s="15"/>
      <c r="AF71" s="15"/>
      <c r="AG71" s="15"/>
      <c r="AH71" s="15"/>
      <c r="AI71" s="15"/>
      <c r="AJ71" s="15"/>
      <c r="AK71" s="15"/>
      <c r="AL71" s="319"/>
      <c r="AM71" s="319"/>
      <c r="AN71" s="319"/>
      <c r="AO71" s="319"/>
      <c r="AP71" s="319"/>
    </row>
    <row r="72" spans="1:42" ht="15.75" thickBot="1">
      <c r="A72" s="214"/>
      <c r="B72" s="214"/>
      <c r="C72" s="462"/>
      <c r="D72" s="322"/>
      <c r="E72" s="735">
        <f>SUM(E69:E71)</f>
        <v>1403826.6666666665</v>
      </c>
      <c r="F72" s="279"/>
      <c r="G72" s="385">
        <f>SUM(G69:G71)</f>
        <v>29.133333333333333</v>
      </c>
      <c r="H72" s="322"/>
      <c r="I72" s="386">
        <f>SUM(I69:I71)</f>
        <v>3580.4433333333332</v>
      </c>
      <c r="J72" s="322"/>
      <c r="K72" s="386">
        <f>SUM(K69:K71)</f>
        <v>3580.4433333333332</v>
      </c>
      <c r="L72" s="279"/>
      <c r="M72" s="386">
        <f>SUM(M69:M71)</f>
        <v>0</v>
      </c>
      <c r="N72" s="322"/>
      <c r="O72" s="386">
        <f>SUM(O69:O71)</f>
        <v>3580.4433333333332</v>
      </c>
      <c r="X72" s="15"/>
      <c r="Y72" s="15"/>
      <c r="Z72" s="15"/>
      <c r="AC72" s="15"/>
      <c r="AE72" s="15"/>
      <c r="AF72" s="15"/>
      <c r="AG72" s="15"/>
      <c r="AH72" s="15"/>
      <c r="AI72" s="15"/>
      <c r="AJ72" s="15"/>
      <c r="AK72" s="15"/>
      <c r="AL72" s="319"/>
      <c r="AM72" s="319"/>
      <c r="AN72" s="319"/>
      <c r="AO72" s="319"/>
      <c r="AP72" s="319"/>
    </row>
    <row r="73" spans="1:42" ht="15.75" thickTop="1">
      <c r="A73" s="214"/>
      <c r="B73" s="214"/>
      <c r="C73" s="462"/>
      <c r="D73" s="322"/>
      <c r="E73" s="463"/>
      <c r="F73" s="279"/>
      <c r="G73" s="279"/>
      <c r="H73" s="322"/>
      <c r="I73" s="279"/>
      <c r="J73" s="322"/>
      <c r="K73" s="279"/>
      <c r="L73" s="279"/>
      <c r="M73" s="279"/>
      <c r="N73" s="322"/>
      <c r="O73" s="322"/>
      <c r="X73" s="15"/>
      <c r="Y73" s="15"/>
      <c r="Z73" s="15"/>
      <c r="AC73" s="15"/>
      <c r="AE73" s="15"/>
      <c r="AF73" s="15"/>
      <c r="AG73" s="15"/>
      <c r="AH73" s="15"/>
      <c r="AI73" s="15"/>
      <c r="AJ73" s="15"/>
      <c r="AK73" s="15"/>
      <c r="AL73" s="319"/>
      <c r="AM73" s="319"/>
      <c r="AN73" s="319"/>
      <c r="AO73" s="319"/>
      <c r="AP73" s="319"/>
    </row>
    <row r="74" spans="1:42">
      <c r="A74" s="214"/>
      <c r="B74" s="214"/>
      <c r="C74" s="316" t="s">
        <v>866</v>
      </c>
      <c r="D74" s="323"/>
      <c r="E74" s="463"/>
      <c r="F74" s="279"/>
      <c r="G74" s="279"/>
      <c r="H74" s="322"/>
      <c r="I74" s="279"/>
      <c r="J74" s="322"/>
      <c r="K74" s="279"/>
      <c r="L74" s="279"/>
      <c r="M74" s="279"/>
      <c r="N74" s="322"/>
      <c r="O74" s="322"/>
      <c r="X74" s="15"/>
      <c r="Y74" s="15"/>
      <c r="Z74" s="15"/>
      <c r="AC74" s="15"/>
      <c r="AE74" s="15"/>
      <c r="AF74" s="15"/>
      <c r="AG74" s="15"/>
      <c r="AH74" s="15"/>
      <c r="AI74" s="15"/>
      <c r="AJ74" s="15"/>
      <c r="AK74" s="15"/>
      <c r="AL74" s="319"/>
      <c r="AM74" s="319"/>
      <c r="AN74" s="319"/>
      <c r="AO74" s="319"/>
      <c r="AP74" s="319"/>
    </row>
    <row r="75" spans="1:42">
      <c r="A75" s="214"/>
      <c r="B75" s="214"/>
      <c r="C75" s="316" t="s">
        <v>867</v>
      </c>
      <c r="D75" s="324">
        <v>38.54</v>
      </c>
      <c r="E75" s="463"/>
      <c r="F75" s="279"/>
      <c r="G75" s="279"/>
      <c r="H75" s="322"/>
      <c r="I75" s="279"/>
      <c r="J75" s="322"/>
      <c r="K75" s="279"/>
      <c r="L75" s="279"/>
      <c r="M75" s="279"/>
      <c r="N75" s="322"/>
      <c r="O75" s="322"/>
      <c r="X75" s="15"/>
      <c r="Y75" s="15"/>
      <c r="Z75" s="15"/>
      <c r="AC75" s="15"/>
      <c r="AE75" s="15"/>
      <c r="AF75" s="15"/>
      <c r="AG75" s="15"/>
      <c r="AH75" s="15"/>
      <c r="AI75" s="15"/>
      <c r="AJ75" s="15"/>
      <c r="AK75" s="15"/>
      <c r="AL75" s="278"/>
      <c r="AM75" s="278"/>
      <c r="AN75" s="319"/>
      <c r="AO75" s="319"/>
      <c r="AP75" s="319"/>
    </row>
    <row r="76" spans="1:42">
      <c r="A76" s="214"/>
      <c r="B76" s="214"/>
      <c r="C76" s="316" t="s">
        <v>643</v>
      </c>
      <c r="D76" s="325">
        <v>2.4700000000000002</v>
      </c>
      <c r="E76" s="463"/>
      <c r="F76" s="279"/>
      <c r="G76" s="279"/>
      <c r="H76" s="322"/>
      <c r="I76" s="279"/>
      <c r="J76" s="322"/>
      <c r="K76" s="279"/>
      <c r="L76" s="279"/>
      <c r="M76" s="279"/>
      <c r="N76" s="322"/>
      <c r="O76" s="322"/>
      <c r="X76" s="15"/>
      <c r="Y76" s="15"/>
      <c r="Z76" s="15"/>
      <c r="AC76" s="15"/>
      <c r="AE76" s="15"/>
      <c r="AF76" s="15"/>
      <c r="AG76" s="15"/>
      <c r="AH76" s="15"/>
      <c r="AI76" s="15"/>
      <c r="AJ76" s="15"/>
      <c r="AK76" s="15"/>
      <c r="AL76" s="319"/>
      <c r="AM76" s="319"/>
      <c r="AN76" s="319"/>
      <c r="AO76" s="319"/>
      <c r="AP76" s="319"/>
    </row>
    <row r="77" spans="1:42">
      <c r="A77" s="214"/>
      <c r="B77" s="214"/>
      <c r="C77" s="316" t="s">
        <v>863</v>
      </c>
      <c r="D77" s="325">
        <v>2.35</v>
      </c>
      <c r="E77" s="463"/>
      <c r="F77" s="279"/>
      <c r="G77" s="279"/>
      <c r="H77" s="322"/>
      <c r="I77" s="279"/>
      <c r="J77" s="322"/>
      <c r="K77" s="279"/>
      <c r="L77" s="279"/>
      <c r="M77" s="279"/>
      <c r="N77" s="322"/>
      <c r="O77" s="322"/>
      <c r="X77" s="15"/>
      <c r="Y77" s="15"/>
      <c r="Z77" s="15"/>
      <c r="AC77" s="15"/>
      <c r="AE77" s="15"/>
      <c r="AF77" s="15"/>
      <c r="AG77" s="15"/>
      <c r="AH77" s="15"/>
      <c r="AI77" s="15"/>
      <c r="AJ77" s="15"/>
      <c r="AK77" s="15"/>
      <c r="AL77" s="319"/>
      <c r="AM77" s="319"/>
      <c r="AN77" s="319"/>
      <c r="AO77" s="319"/>
      <c r="AP77" s="319"/>
    </row>
    <row r="78" spans="1:42">
      <c r="A78" s="214"/>
      <c r="B78" s="214"/>
      <c r="C78" s="316" t="s">
        <v>864</v>
      </c>
      <c r="D78" s="325">
        <v>2.1</v>
      </c>
      <c r="E78" s="463"/>
      <c r="F78" s="279"/>
      <c r="G78" s="279"/>
      <c r="H78" s="322"/>
      <c r="I78" s="279"/>
      <c r="J78" s="322"/>
      <c r="K78" s="279"/>
      <c r="L78" s="279"/>
      <c r="M78" s="279"/>
      <c r="N78" s="322"/>
      <c r="O78" s="322"/>
      <c r="X78" s="15"/>
      <c r="Y78" s="15"/>
      <c r="Z78" s="15"/>
      <c r="AC78" s="15"/>
      <c r="AE78" s="15"/>
      <c r="AF78" s="15"/>
      <c r="AG78" s="15"/>
      <c r="AH78" s="15"/>
      <c r="AI78" s="15"/>
      <c r="AJ78" s="15"/>
      <c r="AK78" s="15"/>
      <c r="AL78" s="278"/>
      <c r="AM78" s="278"/>
      <c r="AN78" s="278"/>
      <c r="AO78" s="329"/>
      <c r="AP78" s="278"/>
    </row>
    <row r="79" spans="1:42">
      <c r="A79" s="214"/>
      <c r="B79" s="214"/>
      <c r="C79" s="316" t="s">
        <v>876</v>
      </c>
      <c r="D79" s="325">
        <v>1.92</v>
      </c>
      <c r="E79" s="463"/>
      <c r="F79" s="279"/>
      <c r="G79" s="279"/>
      <c r="H79" s="322"/>
      <c r="I79" s="279"/>
      <c r="J79" s="322"/>
      <c r="K79" s="279"/>
      <c r="L79" s="279"/>
      <c r="M79" s="279"/>
      <c r="N79" s="322"/>
      <c r="O79" s="322"/>
      <c r="X79" s="15"/>
      <c r="Y79" s="15"/>
      <c r="Z79" s="15"/>
      <c r="AC79" s="15"/>
      <c r="AE79" s="15"/>
      <c r="AF79" s="15"/>
      <c r="AG79" s="15"/>
      <c r="AH79" s="15"/>
      <c r="AI79" s="15"/>
      <c r="AJ79" s="15"/>
      <c r="AK79" s="15"/>
      <c r="AL79" s="278"/>
      <c r="AM79" s="278"/>
      <c r="AN79" s="278"/>
      <c r="AO79" s="329"/>
      <c r="AP79" s="278"/>
    </row>
    <row r="80" spans="1:42">
      <c r="A80" s="214"/>
      <c r="B80" s="214"/>
      <c r="C80" s="316"/>
      <c r="D80" s="325"/>
      <c r="E80" s="463"/>
      <c r="F80" s="279"/>
      <c r="G80" s="279"/>
      <c r="H80" s="322"/>
      <c r="I80" s="279"/>
      <c r="J80" s="322"/>
      <c r="K80" s="279"/>
      <c r="L80" s="279"/>
      <c r="M80" s="279"/>
      <c r="N80" s="322"/>
      <c r="O80" s="322"/>
      <c r="X80" s="15"/>
      <c r="Y80" s="15"/>
      <c r="Z80" s="15"/>
      <c r="AC80" s="15"/>
      <c r="AE80" s="15"/>
      <c r="AF80" s="15"/>
      <c r="AG80" s="15"/>
      <c r="AH80" s="15"/>
      <c r="AI80" s="15"/>
      <c r="AJ80" s="15"/>
      <c r="AK80" s="15"/>
      <c r="AL80" s="278"/>
      <c r="AM80" s="278"/>
      <c r="AN80" s="278"/>
      <c r="AO80" s="329"/>
      <c r="AP80" s="278"/>
    </row>
    <row r="81" spans="1:42">
      <c r="A81" s="214"/>
      <c r="B81" s="214"/>
      <c r="C81" s="462" t="s">
        <v>1576</v>
      </c>
      <c r="D81" s="322"/>
      <c r="E81" s="463">
        <v>10339093.333333334</v>
      </c>
      <c r="F81" s="279"/>
      <c r="G81" s="279">
        <v>169.73333333333335</v>
      </c>
      <c r="H81" s="322"/>
      <c r="I81" s="279">
        <v>32801.537333333341</v>
      </c>
      <c r="J81" s="322"/>
      <c r="K81" s="279">
        <f>I81</f>
        <v>32801.537333333341</v>
      </c>
      <c r="L81" s="279"/>
      <c r="M81" s="279">
        <v>0</v>
      </c>
      <c r="N81" s="279"/>
      <c r="O81" s="318">
        <f>K81-M81</f>
        <v>32801.537333333341</v>
      </c>
      <c r="Q81" s="22"/>
      <c r="R81" s="295"/>
      <c r="S81" s="22"/>
      <c r="T81" s="22"/>
      <c r="U81" s="22"/>
      <c r="V81" s="22"/>
      <c r="W81" s="22"/>
      <c r="X81" s="22" t="s">
        <v>501</v>
      </c>
      <c r="Y81" s="15"/>
      <c r="Z81" s="15"/>
      <c r="AC81" s="15"/>
      <c r="AE81" s="15"/>
      <c r="AF81" s="15"/>
      <c r="AG81" s="15"/>
      <c r="AH81" s="15"/>
      <c r="AI81" s="15"/>
      <c r="AJ81" s="15"/>
      <c r="AK81" s="15"/>
      <c r="AL81" s="319"/>
      <c r="AM81" s="319"/>
      <c r="AN81" s="319"/>
      <c r="AO81" s="319"/>
      <c r="AP81" s="319"/>
    </row>
    <row r="82" spans="1:42">
      <c r="A82" s="214"/>
      <c r="B82" s="214"/>
      <c r="C82" s="462" t="s">
        <v>1577</v>
      </c>
      <c r="D82" s="322"/>
      <c r="E82" s="463">
        <v>4032013.3333333335</v>
      </c>
      <c r="F82" s="279"/>
      <c r="G82" s="279">
        <v>53.666666666666671</v>
      </c>
      <c r="H82" s="322"/>
      <c r="I82" s="279">
        <v>12206.176666666663</v>
      </c>
      <c r="J82" s="322"/>
      <c r="K82" s="279">
        <f>I82</f>
        <v>12206.176666666663</v>
      </c>
      <c r="L82" s="279"/>
      <c r="M82" s="279">
        <v>0</v>
      </c>
      <c r="N82" s="279"/>
      <c r="O82" s="318">
        <f>K82-M82</f>
        <v>12206.176666666663</v>
      </c>
      <c r="Q82" s="22" t="s">
        <v>669</v>
      </c>
      <c r="R82" s="295"/>
      <c r="S82" s="22"/>
      <c r="T82" s="22"/>
      <c r="U82" s="22"/>
      <c r="V82" s="22"/>
      <c r="W82" s="22"/>
      <c r="X82" s="22" t="s">
        <v>924</v>
      </c>
      <c r="Y82" s="15"/>
      <c r="Z82" s="15"/>
      <c r="AC82" s="15"/>
      <c r="AE82" s="15"/>
      <c r="AF82" s="15"/>
      <c r="AG82" s="15"/>
      <c r="AH82" s="15"/>
      <c r="AI82" s="15"/>
      <c r="AJ82" s="15"/>
      <c r="AK82" s="15"/>
      <c r="AL82" s="319"/>
      <c r="AM82" s="319"/>
      <c r="AN82" s="319"/>
      <c r="AO82" s="319"/>
      <c r="AP82" s="319"/>
    </row>
    <row r="83" spans="1:42">
      <c r="A83" s="214"/>
      <c r="B83" s="214"/>
      <c r="C83" s="462" t="s">
        <v>1578</v>
      </c>
      <c r="D83" s="322"/>
      <c r="E83" s="463">
        <v>1270666.6666666665</v>
      </c>
      <c r="F83" s="279"/>
      <c r="G83" s="279">
        <v>21.466666666666665</v>
      </c>
      <c r="H83" s="322"/>
      <c r="I83" s="279">
        <v>4440.6966666666667</v>
      </c>
      <c r="J83" s="322"/>
      <c r="K83" s="279">
        <f>I83</f>
        <v>4440.6966666666667</v>
      </c>
      <c r="L83" s="279"/>
      <c r="M83" s="279">
        <v>0</v>
      </c>
      <c r="N83" s="279"/>
      <c r="O83" s="318">
        <f>K83-M83</f>
        <v>4440.6966666666667</v>
      </c>
      <c r="Q83" s="732">
        <f>(SUM(E81:E83))/(SUM(G81:G83))</f>
        <v>63878.736727470729</v>
      </c>
      <c r="R83" s="295"/>
      <c r="S83" s="22"/>
      <c r="T83" s="22"/>
      <c r="U83" s="22"/>
      <c r="V83" s="22"/>
      <c r="W83" s="22"/>
      <c r="X83" s="732">
        <f>SUM(G81:G83)/12</f>
        <v>20.405555555555559</v>
      </c>
      <c r="Y83" s="15"/>
      <c r="Z83" s="15"/>
      <c r="AC83" s="15"/>
      <c r="AE83" s="15"/>
      <c r="AF83" s="15"/>
      <c r="AG83" s="15"/>
      <c r="AH83" s="15"/>
      <c r="AI83" s="15"/>
      <c r="AJ83" s="15"/>
      <c r="AK83" s="15"/>
      <c r="AL83" s="319"/>
      <c r="AM83" s="319"/>
      <c r="AN83" s="319"/>
      <c r="AO83" s="319"/>
      <c r="AP83" s="319"/>
    </row>
    <row r="84" spans="1:42" ht="15.75" thickBot="1">
      <c r="A84" s="214"/>
      <c r="B84" s="214"/>
      <c r="C84" s="462"/>
      <c r="D84" s="322"/>
      <c r="E84" s="735">
        <f>SUM(E81:E83)</f>
        <v>15641773.333333334</v>
      </c>
      <c r="F84" s="279"/>
      <c r="G84" s="385">
        <f>SUM(G81:G83)</f>
        <v>244.8666666666667</v>
      </c>
      <c r="H84" s="322"/>
      <c r="I84" s="386">
        <f>SUM(I81:I83)</f>
        <v>49448.410666666678</v>
      </c>
      <c r="J84" s="322"/>
      <c r="K84" s="386">
        <f>SUM(K81:K83)</f>
        <v>49448.410666666678</v>
      </c>
      <c r="L84" s="279"/>
      <c r="M84" s="386">
        <f>SUM(M81:M83)</f>
        <v>0</v>
      </c>
      <c r="N84" s="322"/>
      <c r="O84" s="386">
        <f>SUM(O81:O83)</f>
        <v>49448.410666666678</v>
      </c>
      <c r="X84" s="15"/>
      <c r="Y84" s="15"/>
      <c r="Z84" s="15"/>
      <c r="AC84" s="15"/>
      <c r="AE84" s="15"/>
      <c r="AF84" s="15"/>
      <c r="AG84" s="15"/>
      <c r="AH84" s="15"/>
      <c r="AI84" s="15"/>
      <c r="AJ84" s="15"/>
      <c r="AK84" s="15"/>
      <c r="AL84" s="319"/>
      <c r="AM84" s="319"/>
      <c r="AN84" s="319"/>
      <c r="AO84" s="319"/>
      <c r="AP84" s="319"/>
    </row>
    <row r="85" spans="1:42" ht="15.75" thickTop="1">
      <c r="A85" s="214"/>
      <c r="B85" s="214"/>
      <c r="C85" s="462"/>
      <c r="D85" s="322"/>
      <c r="E85" s="463"/>
      <c r="F85" s="279"/>
      <c r="G85" s="279"/>
      <c r="H85" s="322"/>
      <c r="I85" s="279"/>
      <c r="J85" s="322"/>
      <c r="K85" s="279"/>
      <c r="L85" s="279"/>
      <c r="M85" s="279"/>
      <c r="N85" s="322"/>
      <c r="O85" s="322"/>
      <c r="X85" s="15"/>
      <c r="Y85" s="15"/>
      <c r="Z85" s="15"/>
      <c r="AC85" s="15"/>
      <c r="AE85" s="15"/>
      <c r="AF85" s="15"/>
      <c r="AG85" s="15"/>
      <c r="AH85" s="15"/>
      <c r="AI85" s="15"/>
      <c r="AJ85" s="15"/>
      <c r="AK85" s="15"/>
      <c r="AL85" s="319"/>
      <c r="AM85" s="319"/>
      <c r="AN85" s="319"/>
      <c r="AO85" s="319"/>
      <c r="AP85" s="319"/>
    </row>
    <row r="86" spans="1:42">
      <c r="A86" s="214"/>
      <c r="B86" s="214"/>
      <c r="C86" s="316" t="s">
        <v>866</v>
      </c>
      <c r="D86" s="323"/>
      <c r="E86" s="463"/>
      <c r="F86" s="279"/>
      <c r="G86" s="279"/>
      <c r="H86" s="322"/>
      <c r="I86" s="279"/>
      <c r="J86" s="322"/>
      <c r="K86" s="279"/>
      <c r="L86" s="279"/>
      <c r="M86" s="279"/>
      <c r="N86" s="322"/>
      <c r="O86" s="322"/>
      <c r="X86" s="15"/>
      <c r="Y86" s="15"/>
      <c r="Z86" s="15"/>
      <c r="AC86" s="15"/>
      <c r="AE86" s="15"/>
      <c r="AF86" s="15"/>
      <c r="AG86" s="15"/>
      <c r="AH86" s="15"/>
      <c r="AI86" s="15"/>
      <c r="AJ86" s="15"/>
      <c r="AK86" s="15"/>
      <c r="AL86" s="319"/>
      <c r="AM86" s="319"/>
      <c r="AN86" s="319"/>
      <c r="AO86" s="319"/>
      <c r="AP86" s="319"/>
    </row>
    <row r="87" spans="1:42">
      <c r="A87" s="214"/>
      <c r="B87" s="214"/>
      <c r="C87" s="316" t="s">
        <v>867</v>
      </c>
      <c r="D87" s="324">
        <v>49.72</v>
      </c>
      <c r="E87" s="463"/>
      <c r="F87" s="279"/>
      <c r="G87" s="279"/>
      <c r="H87" s="322"/>
      <c r="I87" s="279"/>
      <c r="J87" s="322"/>
      <c r="K87" s="279"/>
      <c r="L87" s="279"/>
      <c r="M87" s="279"/>
      <c r="N87" s="322"/>
      <c r="O87" s="322"/>
      <c r="X87" s="15"/>
      <c r="Y87" s="15"/>
      <c r="Z87" s="15"/>
      <c r="AC87" s="15"/>
      <c r="AE87" s="15"/>
      <c r="AF87" s="15"/>
      <c r="AG87" s="15"/>
      <c r="AH87" s="15"/>
      <c r="AI87" s="15"/>
      <c r="AJ87" s="15"/>
      <c r="AK87" s="15"/>
      <c r="AL87" s="278"/>
      <c r="AM87" s="278"/>
      <c r="AN87" s="319"/>
      <c r="AO87" s="319"/>
      <c r="AP87" s="319"/>
    </row>
    <row r="88" spans="1:42">
      <c r="A88" s="214"/>
      <c r="B88" s="214"/>
      <c r="C88" s="316" t="s">
        <v>643</v>
      </c>
      <c r="D88" s="325">
        <v>3.19</v>
      </c>
      <c r="E88" s="463"/>
      <c r="F88" s="279"/>
      <c r="G88" s="279"/>
      <c r="H88" s="322"/>
      <c r="I88" s="279"/>
      <c r="J88" s="322"/>
      <c r="K88" s="279"/>
      <c r="L88" s="279"/>
      <c r="M88" s="279"/>
      <c r="N88" s="322"/>
      <c r="O88" s="322"/>
      <c r="X88" s="15"/>
      <c r="Y88" s="15"/>
      <c r="Z88" s="15"/>
      <c r="AC88" s="15"/>
      <c r="AE88" s="15"/>
      <c r="AF88" s="15"/>
      <c r="AG88" s="15"/>
      <c r="AH88" s="15"/>
      <c r="AI88" s="15"/>
      <c r="AJ88" s="15"/>
      <c r="AK88" s="15"/>
      <c r="AL88" s="319"/>
      <c r="AM88" s="319"/>
      <c r="AN88" s="319"/>
      <c r="AO88" s="319"/>
      <c r="AP88" s="319"/>
    </row>
    <row r="89" spans="1:42">
      <c r="A89" s="214"/>
      <c r="B89" s="214"/>
      <c r="C89" s="316" t="s">
        <v>863</v>
      </c>
      <c r="D89" s="325">
        <v>3.03</v>
      </c>
      <c r="E89" s="463"/>
      <c r="F89" s="279"/>
      <c r="G89" s="279"/>
      <c r="H89" s="322"/>
      <c r="I89" s="279"/>
      <c r="J89" s="322"/>
      <c r="K89" s="279"/>
      <c r="L89" s="279"/>
      <c r="M89" s="279"/>
      <c r="N89" s="322"/>
      <c r="O89" s="322"/>
      <c r="X89" s="15"/>
      <c r="Y89" s="15"/>
      <c r="Z89" s="15"/>
      <c r="AC89" s="15"/>
      <c r="AE89" s="15"/>
      <c r="AF89" s="15"/>
      <c r="AG89" s="15"/>
      <c r="AH89" s="15"/>
      <c r="AI89" s="15"/>
      <c r="AJ89" s="15"/>
      <c r="AK89" s="15"/>
      <c r="AL89" s="319"/>
      <c r="AM89" s="319"/>
      <c r="AN89" s="319"/>
      <c r="AO89" s="319"/>
      <c r="AP89" s="319"/>
    </row>
    <row r="90" spans="1:42">
      <c r="A90" s="214"/>
      <c r="B90" s="214"/>
      <c r="C90" s="316" t="s">
        <v>864</v>
      </c>
      <c r="D90" s="325">
        <v>2.71</v>
      </c>
      <c r="E90" s="463"/>
      <c r="F90" s="279"/>
      <c r="G90" s="279"/>
      <c r="H90" s="322"/>
      <c r="I90" s="279"/>
      <c r="J90" s="322"/>
      <c r="K90" s="279"/>
      <c r="L90" s="279"/>
      <c r="M90" s="279"/>
      <c r="N90" s="322"/>
      <c r="O90" s="322"/>
      <c r="X90" s="15"/>
      <c r="Y90" s="15"/>
      <c r="Z90" s="15"/>
      <c r="AC90" s="15"/>
      <c r="AE90" s="15"/>
      <c r="AF90" s="15"/>
      <c r="AG90" s="15"/>
      <c r="AH90" s="15"/>
      <c r="AI90" s="15"/>
      <c r="AJ90" s="15"/>
      <c r="AK90" s="15"/>
      <c r="AL90" s="278"/>
      <c r="AM90" s="278"/>
      <c r="AN90" s="278"/>
      <c r="AO90" s="329"/>
      <c r="AP90" s="278"/>
    </row>
    <row r="91" spans="1:42">
      <c r="A91" s="214"/>
      <c r="B91" s="214"/>
      <c r="C91" s="316" t="s">
        <v>876</v>
      </c>
      <c r="D91" s="325">
        <v>2.48</v>
      </c>
      <c r="E91" s="463"/>
      <c r="F91" s="279"/>
      <c r="G91" s="279"/>
      <c r="H91" s="322"/>
      <c r="I91" s="279"/>
      <c r="J91" s="322"/>
      <c r="K91" s="279"/>
      <c r="L91" s="279"/>
      <c r="M91" s="279"/>
      <c r="N91" s="322"/>
      <c r="O91" s="322"/>
      <c r="X91" s="15"/>
      <c r="Y91" s="15"/>
      <c r="Z91" s="15"/>
      <c r="AC91" s="15"/>
      <c r="AE91" s="15"/>
      <c r="AF91" s="15"/>
      <c r="AG91" s="15"/>
      <c r="AH91" s="15"/>
      <c r="AI91" s="15"/>
      <c r="AJ91" s="15"/>
      <c r="AK91" s="15"/>
      <c r="AL91" s="278"/>
      <c r="AM91" s="278"/>
      <c r="AN91" s="278"/>
      <c r="AO91" s="329"/>
      <c r="AP91" s="278"/>
    </row>
    <row r="92" spans="1:42">
      <c r="A92" s="214"/>
      <c r="B92" s="214"/>
      <c r="C92" s="730"/>
      <c r="D92" s="321"/>
      <c r="E92" s="463"/>
      <c r="F92" s="279"/>
      <c r="G92" s="279"/>
      <c r="H92" s="322"/>
      <c r="I92" s="279"/>
      <c r="J92" s="322"/>
      <c r="K92" s="279"/>
      <c r="L92" s="279"/>
      <c r="M92" s="279"/>
      <c r="N92" s="322"/>
      <c r="O92" s="322"/>
      <c r="X92" s="15"/>
      <c r="Y92" s="15"/>
      <c r="Z92" s="15"/>
      <c r="AC92" s="15"/>
      <c r="AE92" s="15"/>
      <c r="AF92" s="15"/>
      <c r="AG92" s="15"/>
      <c r="AH92" s="15"/>
      <c r="AI92" s="15"/>
      <c r="AJ92" s="15"/>
      <c r="AK92" s="15"/>
      <c r="AL92" s="278"/>
      <c r="AM92" s="278"/>
      <c r="AN92" s="278"/>
      <c r="AO92" s="329"/>
      <c r="AP92" s="278"/>
    </row>
    <row r="93" spans="1:42">
      <c r="A93" s="214"/>
      <c r="B93" s="214"/>
      <c r="C93" s="462" t="s">
        <v>1580</v>
      </c>
      <c r="D93" s="322"/>
      <c r="E93" s="463">
        <v>2289900</v>
      </c>
      <c r="F93" s="279"/>
      <c r="G93" s="279">
        <v>37.999999999999986</v>
      </c>
      <c r="H93" s="322"/>
      <c r="I93" s="279">
        <v>5885.0400000000009</v>
      </c>
      <c r="J93" s="322"/>
      <c r="K93" s="279">
        <f>I93</f>
        <v>5885.0400000000009</v>
      </c>
      <c r="L93" s="279"/>
      <c r="M93" s="279">
        <v>0</v>
      </c>
      <c r="N93" s="279"/>
      <c r="O93" s="279">
        <f>K93-M93</f>
        <v>5885.0400000000009</v>
      </c>
      <c r="Q93" s="22"/>
      <c r="R93" s="295"/>
      <c r="S93" s="22"/>
      <c r="T93" s="22"/>
      <c r="U93" s="22"/>
      <c r="V93" s="22"/>
      <c r="W93" s="22"/>
      <c r="X93" s="22" t="s">
        <v>501</v>
      </c>
      <c r="Y93" s="462"/>
      <c r="Z93" s="322"/>
      <c r="AA93" s="463"/>
      <c r="AB93" s="279"/>
      <c r="AC93" s="279"/>
      <c r="AD93" s="322"/>
      <c r="AE93" s="279"/>
      <c r="AF93" s="318"/>
      <c r="AG93" s="279"/>
      <c r="AH93" s="279"/>
      <c r="AI93" s="279"/>
      <c r="AJ93" s="322"/>
      <c r="AK93" s="279"/>
      <c r="AL93" s="278"/>
      <c r="AM93" s="278"/>
      <c r="AN93" s="278"/>
      <c r="AO93" s="329"/>
      <c r="AP93" s="278"/>
    </row>
    <row r="94" spans="1:42">
      <c r="A94" s="214"/>
      <c r="B94" s="214"/>
      <c r="C94" s="462" t="s">
        <v>1581</v>
      </c>
      <c r="D94" s="322"/>
      <c r="E94" s="463">
        <v>840173.33333333337</v>
      </c>
      <c r="F94" s="279"/>
      <c r="G94" s="279">
        <v>20.266666666666662</v>
      </c>
      <c r="H94" s="322"/>
      <c r="I94" s="279">
        <v>2427.2899999999995</v>
      </c>
      <c r="J94" s="322"/>
      <c r="K94" s="279">
        <f>I94</f>
        <v>2427.2899999999995</v>
      </c>
      <c r="L94" s="279"/>
      <c r="M94" s="279">
        <v>0</v>
      </c>
      <c r="N94" s="279"/>
      <c r="O94" s="279">
        <f>K94-M94</f>
        <v>2427.2899999999995</v>
      </c>
      <c r="Q94" s="22" t="s">
        <v>669</v>
      </c>
      <c r="R94" s="295"/>
      <c r="S94" s="22"/>
      <c r="T94" s="22"/>
      <c r="U94" s="22"/>
      <c r="V94" s="22"/>
      <c r="W94" s="22"/>
      <c r="X94" s="22" t="s">
        <v>924</v>
      </c>
      <c r="Y94" s="462"/>
      <c r="Z94" s="322"/>
      <c r="AA94" s="463"/>
      <c r="AB94" s="279"/>
      <c r="AC94" s="279"/>
      <c r="AD94" s="322"/>
      <c r="AE94" s="279"/>
      <c r="AF94" s="318"/>
      <c r="AG94" s="279"/>
      <c r="AH94" s="279"/>
      <c r="AI94" s="279"/>
      <c r="AJ94" s="322"/>
      <c r="AK94" s="279"/>
      <c r="AL94" s="278"/>
      <c r="AM94" s="278"/>
      <c r="AN94" s="278"/>
      <c r="AO94" s="329"/>
      <c r="AP94" s="278"/>
    </row>
    <row r="95" spans="1:42">
      <c r="A95" s="214"/>
      <c r="B95" s="214"/>
      <c r="C95" s="462" t="s">
        <v>1582</v>
      </c>
      <c r="D95" s="322"/>
      <c r="E95" s="463">
        <v>73360</v>
      </c>
      <c r="F95" s="279"/>
      <c r="G95" s="279">
        <v>5.0666666666666664</v>
      </c>
      <c r="H95" s="322"/>
      <c r="I95" s="279">
        <v>434.06</v>
      </c>
      <c r="J95" s="322"/>
      <c r="K95" s="279">
        <f>I95</f>
        <v>434.06</v>
      </c>
      <c r="L95" s="279"/>
      <c r="M95" s="279">
        <v>0</v>
      </c>
      <c r="N95" s="279"/>
      <c r="O95" s="279">
        <f>K95-M95</f>
        <v>434.06</v>
      </c>
      <c r="Q95" s="732">
        <f>(SUM(E93:E95))/(SUM(G93:G95))</f>
        <v>50580.526315789488</v>
      </c>
      <c r="R95" s="295"/>
      <c r="S95" s="22"/>
      <c r="T95" s="22"/>
      <c r="U95" s="22"/>
      <c r="V95" s="22"/>
      <c r="W95" s="22"/>
      <c r="X95" s="732">
        <f>SUM(G93:G95)/12</f>
        <v>5.2777777777777759</v>
      </c>
      <c r="Y95" s="462"/>
      <c r="Z95" s="322"/>
      <c r="AA95" s="463"/>
      <c r="AB95" s="279"/>
      <c r="AC95" s="279"/>
      <c r="AD95" s="322"/>
      <c r="AE95" s="279"/>
      <c r="AF95" s="318"/>
      <c r="AG95" s="279"/>
      <c r="AH95" s="279"/>
      <c r="AI95" s="279"/>
      <c r="AJ95" s="322"/>
      <c r="AK95" s="279"/>
      <c r="AL95" s="278"/>
      <c r="AM95" s="278"/>
      <c r="AN95" s="278"/>
      <c r="AO95" s="329"/>
      <c r="AP95" s="278"/>
    </row>
    <row r="96" spans="1:42" ht="15.75" thickBot="1">
      <c r="A96" s="214"/>
      <c r="B96" s="214"/>
      <c r="C96" s="462"/>
      <c r="D96" s="322"/>
      <c r="E96" s="735">
        <f>SUM(E93:E95)</f>
        <v>3203433.3333333335</v>
      </c>
      <c r="F96" s="279"/>
      <c r="G96" s="385">
        <f>SUM(G93:G95)</f>
        <v>63.333333333333314</v>
      </c>
      <c r="H96" s="322"/>
      <c r="I96" s="386">
        <f>SUM(I93:I95)</f>
        <v>8746.39</v>
      </c>
      <c r="J96" s="322"/>
      <c r="K96" s="386">
        <f>SUM(K93:K95)</f>
        <v>8746.39</v>
      </c>
      <c r="L96" s="279"/>
      <c r="M96" s="386">
        <f>SUM(M93:M95)</f>
        <v>0</v>
      </c>
      <c r="N96" s="322"/>
      <c r="O96" s="386">
        <f>SUM(O93:O95)</f>
        <v>8746.39</v>
      </c>
      <c r="X96" s="214"/>
      <c r="Y96" s="462"/>
      <c r="Z96" s="322"/>
      <c r="AA96" s="463"/>
      <c r="AB96" s="279"/>
      <c r="AC96" s="279"/>
      <c r="AD96" s="322"/>
      <c r="AE96" s="279"/>
      <c r="AF96" s="318"/>
      <c r="AG96" s="279"/>
      <c r="AH96" s="279"/>
      <c r="AI96" s="279"/>
      <c r="AJ96" s="322"/>
      <c r="AK96" s="279"/>
      <c r="AL96" s="278"/>
      <c r="AM96" s="278"/>
      <c r="AN96" s="278"/>
      <c r="AO96" s="329"/>
      <c r="AP96" s="278"/>
    </row>
    <row r="97" spans="1:42" ht="15.75" thickTop="1">
      <c r="A97" s="214"/>
      <c r="B97" s="214"/>
      <c r="C97" s="462"/>
      <c r="D97" s="322"/>
      <c r="E97" s="463"/>
      <c r="F97" s="279"/>
      <c r="G97" s="279"/>
      <c r="H97" s="322"/>
      <c r="I97" s="279"/>
      <c r="J97" s="322"/>
      <c r="K97" s="318"/>
      <c r="L97" s="279"/>
      <c r="M97" s="279"/>
      <c r="N97" s="322"/>
      <c r="O97" s="322"/>
      <c r="X97" s="214"/>
      <c r="Y97" s="462"/>
      <c r="Z97" s="322"/>
      <c r="AA97" s="463"/>
      <c r="AB97" s="279"/>
      <c r="AC97" s="279"/>
      <c r="AD97" s="322"/>
      <c r="AE97" s="279"/>
      <c r="AF97" s="318"/>
      <c r="AG97" s="279"/>
      <c r="AH97" s="279"/>
      <c r="AI97" s="279"/>
      <c r="AJ97" s="322"/>
      <c r="AK97" s="279"/>
      <c r="AL97" s="278"/>
      <c r="AM97" s="278"/>
      <c r="AN97" s="278"/>
      <c r="AO97" s="329"/>
      <c r="AP97" s="278"/>
    </row>
    <row r="98" spans="1:42">
      <c r="A98" s="214"/>
      <c r="B98" s="214"/>
      <c r="C98" s="316" t="s">
        <v>868</v>
      </c>
      <c r="D98" s="323"/>
      <c r="E98" s="463"/>
      <c r="F98" s="279"/>
      <c r="G98" s="279"/>
      <c r="H98" s="322"/>
      <c r="I98" s="279"/>
      <c r="J98" s="322"/>
      <c r="K98" s="279"/>
      <c r="L98" s="279"/>
      <c r="M98" s="279"/>
      <c r="N98" s="322"/>
      <c r="O98" s="322"/>
      <c r="X98" s="214"/>
      <c r="Y98" s="462"/>
      <c r="Z98" s="322"/>
      <c r="AA98" s="463"/>
      <c r="AB98" s="279"/>
      <c r="AC98" s="279"/>
      <c r="AD98" s="322"/>
      <c r="AE98" s="279"/>
      <c r="AF98" s="318"/>
      <c r="AG98" s="279"/>
      <c r="AH98" s="279"/>
      <c r="AI98" s="279"/>
      <c r="AJ98" s="322"/>
      <c r="AK98" s="279"/>
      <c r="AL98" s="278"/>
      <c r="AM98" s="278"/>
      <c r="AN98" s="278"/>
      <c r="AO98" s="329"/>
      <c r="AP98" s="278"/>
    </row>
    <row r="99" spans="1:42">
      <c r="A99" s="214"/>
      <c r="B99" s="214"/>
      <c r="C99" s="316" t="s">
        <v>812</v>
      </c>
      <c r="D99" s="324">
        <v>59.29</v>
      </c>
      <c r="E99" s="463"/>
      <c r="F99" s="279"/>
      <c r="G99" s="279"/>
      <c r="H99" s="322"/>
      <c r="I99" s="279"/>
      <c r="J99" s="322"/>
      <c r="K99" s="279"/>
      <c r="L99" s="279"/>
      <c r="M99" s="279"/>
      <c r="N99" s="322"/>
      <c r="O99" s="322"/>
      <c r="X99" s="214"/>
      <c r="Y99" s="462"/>
      <c r="Z99" s="322"/>
      <c r="AA99" s="463"/>
      <c r="AB99" s="279"/>
      <c r="AC99" s="279"/>
      <c r="AD99" s="322"/>
      <c r="AE99" s="279"/>
      <c r="AF99" s="318"/>
      <c r="AG99" s="279"/>
      <c r="AH99" s="279"/>
      <c r="AI99" s="279"/>
      <c r="AJ99" s="322"/>
      <c r="AK99" s="279"/>
      <c r="AL99" s="278"/>
      <c r="AM99" s="278"/>
      <c r="AN99" s="278"/>
      <c r="AO99" s="329"/>
      <c r="AP99" s="278"/>
    </row>
    <row r="100" spans="1:42">
      <c r="A100" s="214"/>
      <c r="B100" s="214"/>
      <c r="C100" s="316" t="s">
        <v>813</v>
      </c>
      <c r="D100" s="325">
        <v>2.4700000000000002</v>
      </c>
      <c r="E100" s="463"/>
      <c r="F100" s="279"/>
      <c r="G100" s="279"/>
      <c r="H100" s="322"/>
      <c r="I100" s="279"/>
      <c r="J100" s="322"/>
      <c r="K100" s="279"/>
      <c r="L100" s="279"/>
      <c r="M100" s="279"/>
      <c r="N100" s="322"/>
      <c r="O100" s="322"/>
      <c r="X100" s="214"/>
      <c r="Y100" s="462"/>
      <c r="Z100" s="322"/>
      <c r="AA100" s="463"/>
      <c r="AB100" s="279"/>
      <c r="AC100" s="279"/>
      <c r="AD100" s="322"/>
      <c r="AE100" s="279"/>
      <c r="AF100" s="318"/>
      <c r="AG100" s="279"/>
      <c r="AH100" s="279"/>
      <c r="AI100" s="279"/>
      <c r="AJ100" s="322"/>
      <c r="AK100" s="279"/>
      <c r="AL100" s="278"/>
      <c r="AM100" s="278"/>
      <c r="AN100" s="278"/>
      <c r="AO100" s="329"/>
      <c r="AP100" s="278"/>
    </row>
    <row r="101" spans="1:42">
      <c r="A101" s="214"/>
      <c r="B101" s="214"/>
      <c r="C101" s="316" t="s">
        <v>863</v>
      </c>
      <c r="D101" s="325">
        <v>2.35</v>
      </c>
      <c r="E101" s="463"/>
      <c r="F101" s="279"/>
      <c r="G101" s="279"/>
      <c r="H101" s="322"/>
      <c r="I101" s="279"/>
      <c r="J101" s="322"/>
      <c r="K101" s="279"/>
      <c r="L101" s="279"/>
      <c r="M101" s="279"/>
      <c r="N101" s="322"/>
      <c r="O101" s="322"/>
      <c r="X101" s="214"/>
      <c r="Y101" s="462"/>
      <c r="Z101" s="322"/>
      <c r="AA101" s="463"/>
      <c r="AB101" s="279"/>
      <c r="AC101" s="279"/>
      <c r="AD101" s="322"/>
      <c r="AE101" s="279"/>
      <c r="AF101" s="318"/>
      <c r="AG101" s="279"/>
      <c r="AH101" s="279"/>
      <c r="AI101" s="279"/>
      <c r="AJ101" s="322"/>
      <c r="AK101" s="279"/>
      <c r="AL101" s="278"/>
      <c r="AM101" s="278"/>
      <c r="AN101" s="278"/>
      <c r="AO101" s="329"/>
      <c r="AP101" s="278"/>
    </row>
    <row r="102" spans="1:42">
      <c r="A102" s="214"/>
      <c r="B102" s="214"/>
      <c r="C102" s="316" t="s">
        <v>864</v>
      </c>
      <c r="D102" s="325">
        <v>2.1</v>
      </c>
      <c r="E102" s="463"/>
      <c r="F102" s="279"/>
      <c r="G102" s="279"/>
      <c r="H102" s="322"/>
      <c r="I102" s="279"/>
      <c r="J102" s="322"/>
      <c r="K102" s="279"/>
      <c r="L102" s="279"/>
      <c r="M102" s="279"/>
      <c r="N102" s="322"/>
      <c r="O102" s="322"/>
      <c r="AL102" s="278"/>
      <c r="AM102" s="278"/>
      <c r="AN102" s="278"/>
      <c r="AO102" s="329"/>
      <c r="AP102" s="278"/>
    </row>
    <row r="103" spans="1:42">
      <c r="A103" s="214"/>
      <c r="B103" s="214"/>
      <c r="C103" s="316" t="s">
        <v>876</v>
      </c>
      <c r="D103" s="325">
        <v>1.92</v>
      </c>
      <c r="E103" s="463"/>
      <c r="F103" s="279"/>
      <c r="G103" s="279"/>
      <c r="H103" s="322"/>
      <c r="I103" s="279"/>
      <c r="J103" s="322"/>
      <c r="K103" s="279"/>
      <c r="L103" s="279"/>
      <c r="M103" s="279"/>
      <c r="N103" s="322"/>
      <c r="O103" s="322"/>
      <c r="AL103" s="278"/>
      <c r="AM103" s="278"/>
      <c r="AN103" s="278"/>
      <c r="AO103" s="329"/>
      <c r="AP103" s="278"/>
    </row>
    <row r="104" spans="1:42">
      <c r="A104" s="214"/>
      <c r="B104" s="214"/>
      <c r="C104" s="462"/>
      <c r="D104" s="322"/>
      <c r="E104" s="463"/>
      <c r="F104" s="279"/>
      <c r="G104" s="279"/>
      <c r="H104" s="322"/>
      <c r="I104" s="279"/>
      <c r="J104" s="322"/>
      <c r="K104" s="279"/>
      <c r="L104" s="279"/>
      <c r="M104" s="279"/>
      <c r="N104" s="322"/>
      <c r="O104" s="322"/>
      <c r="AL104" s="274"/>
      <c r="AM104" s="274"/>
      <c r="AN104" s="278"/>
      <c r="AO104" s="278"/>
      <c r="AP104" s="278"/>
    </row>
    <row r="105" spans="1:42">
      <c r="A105" s="214"/>
      <c r="B105" s="214"/>
      <c r="C105" s="462" t="s">
        <v>1586</v>
      </c>
      <c r="D105" s="322"/>
      <c r="E105" s="463">
        <v>20025000</v>
      </c>
      <c r="F105" s="279"/>
      <c r="G105" s="279">
        <v>298.99999999999994</v>
      </c>
      <c r="H105" s="322"/>
      <c r="I105" s="279">
        <v>64625.796000000068</v>
      </c>
      <c r="J105" s="322"/>
      <c r="K105" s="279">
        <f>I105</f>
        <v>64625.796000000068</v>
      </c>
      <c r="L105" s="279"/>
      <c r="M105" s="279">
        <v>0</v>
      </c>
      <c r="N105" s="279"/>
      <c r="O105" s="279">
        <f>K105-M105</f>
        <v>64625.796000000068</v>
      </c>
      <c r="Q105" s="22"/>
      <c r="R105" s="295"/>
      <c r="S105" s="22"/>
      <c r="T105" s="22"/>
      <c r="U105" s="22"/>
      <c r="V105" s="22"/>
      <c r="W105" s="22"/>
      <c r="X105" s="22" t="s">
        <v>501</v>
      </c>
      <c r="Y105" s="462"/>
      <c r="Z105" s="322"/>
      <c r="AA105" s="463"/>
      <c r="AB105" s="279"/>
      <c r="AC105" s="279"/>
      <c r="AD105" s="322"/>
      <c r="AE105" s="279"/>
      <c r="AF105" s="318"/>
      <c r="AG105" s="279"/>
      <c r="AH105" s="279"/>
      <c r="AI105" s="279"/>
      <c r="AJ105" s="322"/>
      <c r="AK105" s="279"/>
      <c r="AL105" s="278"/>
      <c r="AM105" s="278"/>
      <c r="AN105" s="278"/>
      <c r="AO105" s="329"/>
      <c r="AP105" s="278"/>
    </row>
    <row r="106" spans="1:42">
      <c r="A106" s="214"/>
      <c r="B106" s="214"/>
      <c r="C106" s="462" t="s">
        <v>1587</v>
      </c>
      <c r="D106" s="322"/>
      <c r="E106" s="463">
        <v>7131226.666666666</v>
      </c>
      <c r="F106" s="279"/>
      <c r="G106" s="279">
        <v>171.73333333333326</v>
      </c>
      <c r="H106" s="322"/>
      <c r="I106" s="279">
        <v>27039.197333333323</v>
      </c>
      <c r="J106" s="322"/>
      <c r="K106" s="279">
        <f>I106</f>
        <v>27039.197333333323</v>
      </c>
      <c r="L106" s="279"/>
      <c r="M106" s="279">
        <v>0</v>
      </c>
      <c r="N106" s="279"/>
      <c r="O106" s="279">
        <f>K106-M106</f>
        <v>27039.197333333323</v>
      </c>
      <c r="Q106" s="22" t="s">
        <v>669</v>
      </c>
      <c r="R106" s="295"/>
      <c r="S106" s="22"/>
      <c r="T106" s="22"/>
      <c r="U106" s="22"/>
      <c r="V106" s="22"/>
      <c r="W106" s="22"/>
      <c r="X106" s="22" t="s">
        <v>924</v>
      </c>
      <c r="Y106" s="462"/>
      <c r="Z106" s="322"/>
      <c r="AA106" s="463"/>
      <c r="AB106" s="279"/>
      <c r="AC106" s="279"/>
      <c r="AD106" s="322"/>
      <c r="AE106" s="279"/>
      <c r="AF106" s="318"/>
      <c r="AG106" s="279"/>
      <c r="AH106" s="279"/>
      <c r="AI106" s="279"/>
      <c r="AJ106" s="322"/>
      <c r="AK106" s="279"/>
      <c r="AL106" s="278"/>
      <c r="AM106" s="278"/>
      <c r="AN106" s="278"/>
      <c r="AO106" s="329"/>
      <c r="AP106" s="278"/>
    </row>
    <row r="107" spans="1:42">
      <c r="A107" s="214"/>
      <c r="B107" s="214"/>
      <c r="C107" s="462" t="s">
        <v>1588</v>
      </c>
      <c r="D107" s="322"/>
      <c r="E107" s="463">
        <v>3202240</v>
      </c>
      <c r="F107" s="279"/>
      <c r="G107" s="279">
        <v>43.933333333333337</v>
      </c>
      <c r="H107" s="322"/>
      <c r="I107" s="279">
        <v>10512.294</v>
      </c>
      <c r="J107" s="322"/>
      <c r="K107" s="279">
        <f>I107</f>
        <v>10512.294</v>
      </c>
      <c r="L107" s="279"/>
      <c r="M107" s="279">
        <v>0</v>
      </c>
      <c r="N107" s="279"/>
      <c r="O107" s="279">
        <f>K107-M107</f>
        <v>10512.294</v>
      </c>
      <c r="Q107" s="732">
        <f>(SUM(E105:E107))/(SUM(G105:G107))</f>
        <v>58986.658031088096</v>
      </c>
      <c r="R107" s="295"/>
      <c r="S107" s="22"/>
      <c r="T107" s="22"/>
      <c r="U107" s="22"/>
      <c r="V107" s="22"/>
      <c r="W107" s="22"/>
      <c r="X107" s="732">
        <f>SUM(G105:G107)/12</f>
        <v>42.888888888888879</v>
      </c>
      <c r="Y107" s="462"/>
      <c r="Z107" s="322"/>
      <c r="AA107" s="463"/>
      <c r="AB107" s="279"/>
      <c r="AC107" s="279"/>
      <c r="AD107" s="322"/>
      <c r="AE107" s="279"/>
      <c r="AF107" s="318"/>
      <c r="AG107" s="279"/>
      <c r="AH107" s="279"/>
      <c r="AI107" s="279"/>
      <c r="AJ107" s="322"/>
      <c r="AK107" s="279"/>
      <c r="AL107" s="278"/>
      <c r="AM107" s="278"/>
      <c r="AN107" s="278"/>
      <c r="AO107" s="329"/>
      <c r="AP107" s="278"/>
    </row>
    <row r="108" spans="1:42" ht="15.75" thickBot="1">
      <c r="A108" s="214"/>
      <c r="B108" s="214"/>
      <c r="C108" s="462"/>
      <c r="D108" s="322"/>
      <c r="E108" s="735">
        <f>SUM(E105:E107)</f>
        <v>30358466.666666664</v>
      </c>
      <c r="F108" s="279"/>
      <c r="G108" s="385">
        <f>SUM(G105:G107)</f>
        <v>514.66666666666652</v>
      </c>
      <c r="H108" s="322"/>
      <c r="I108" s="386">
        <f>SUM(I105:I107)</f>
        <v>102177.28733333338</v>
      </c>
      <c r="J108" s="322"/>
      <c r="K108" s="386">
        <f>SUM(K105:K107)</f>
        <v>102177.28733333338</v>
      </c>
      <c r="L108" s="279"/>
      <c r="M108" s="386">
        <f>SUM(M105:M107)</f>
        <v>0</v>
      </c>
      <c r="N108" s="322"/>
      <c r="O108" s="386">
        <f>SUM(O105:O107)</f>
        <v>102177.28733333338</v>
      </c>
      <c r="X108" s="214"/>
      <c r="Y108" s="462"/>
      <c r="Z108" s="322"/>
      <c r="AA108" s="463"/>
      <c r="AB108" s="279"/>
      <c r="AC108" s="279"/>
      <c r="AD108" s="322"/>
      <c r="AE108" s="279"/>
      <c r="AF108" s="318"/>
      <c r="AG108" s="279"/>
      <c r="AH108" s="279"/>
      <c r="AI108" s="279"/>
      <c r="AJ108" s="322"/>
      <c r="AK108" s="279"/>
      <c r="AL108" s="278"/>
      <c r="AM108" s="278"/>
      <c r="AN108" s="278"/>
      <c r="AO108" s="329"/>
      <c r="AP108" s="278"/>
    </row>
    <row r="109" spans="1:42" ht="15.75" thickTop="1">
      <c r="A109" s="214"/>
      <c r="B109" s="214"/>
      <c r="C109" s="462"/>
      <c r="D109" s="322"/>
      <c r="E109" s="463"/>
      <c r="F109" s="279"/>
      <c r="G109" s="279"/>
      <c r="H109" s="322"/>
      <c r="I109" s="279"/>
      <c r="J109" s="322"/>
      <c r="K109" s="318"/>
      <c r="L109" s="279"/>
      <c r="M109" s="279"/>
      <c r="N109" s="322"/>
      <c r="O109" s="322"/>
      <c r="X109" s="214"/>
      <c r="Y109" s="462"/>
      <c r="Z109" s="322"/>
      <c r="AA109" s="463"/>
      <c r="AB109" s="279"/>
      <c r="AC109" s="279"/>
      <c r="AD109" s="322"/>
      <c r="AE109" s="279"/>
      <c r="AF109" s="318"/>
      <c r="AG109" s="279"/>
      <c r="AH109" s="279"/>
      <c r="AI109" s="279"/>
      <c r="AJ109" s="322"/>
      <c r="AK109" s="279"/>
      <c r="AL109" s="278"/>
      <c r="AM109" s="278"/>
      <c r="AN109" s="278"/>
      <c r="AO109" s="329"/>
      <c r="AP109" s="278"/>
    </row>
    <row r="110" spans="1:42">
      <c r="A110" s="214"/>
      <c r="B110" s="214"/>
      <c r="C110" s="316" t="s">
        <v>868</v>
      </c>
      <c r="D110" s="323"/>
      <c r="E110" s="463"/>
      <c r="F110" s="279"/>
      <c r="G110" s="279"/>
      <c r="H110" s="322"/>
      <c r="I110" s="279"/>
      <c r="J110" s="322"/>
      <c r="K110" s="279"/>
      <c r="L110" s="279"/>
      <c r="M110" s="279"/>
      <c r="N110" s="322"/>
      <c r="O110" s="322"/>
      <c r="X110" s="214"/>
      <c r="Y110" s="462"/>
      <c r="Z110" s="322"/>
      <c r="AA110" s="463"/>
      <c r="AB110" s="279"/>
      <c r="AC110" s="279"/>
      <c r="AD110" s="322"/>
      <c r="AE110" s="279"/>
      <c r="AF110" s="318"/>
      <c r="AG110" s="279"/>
      <c r="AH110" s="279"/>
      <c r="AI110" s="279"/>
      <c r="AJ110" s="322"/>
      <c r="AK110" s="279"/>
      <c r="AL110" s="278"/>
      <c r="AM110" s="278"/>
      <c r="AN110" s="278"/>
      <c r="AO110" s="329"/>
      <c r="AP110" s="278"/>
    </row>
    <row r="111" spans="1:42">
      <c r="A111" s="214"/>
      <c r="B111" s="214"/>
      <c r="C111" s="316" t="s">
        <v>812</v>
      </c>
      <c r="D111" s="324">
        <v>76.489999999999995</v>
      </c>
      <c r="E111" s="463"/>
      <c r="F111" s="279"/>
      <c r="G111" s="279"/>
      <c r="H111" s="322"/>
      <c r="I111" s="279"/>
      <c r="J111" s="322"/>
      <c r="K111" s="279"/>
      <c r="L111" s="279"/>
      <c r="M111" s="279"/>
      <c r="N111" s="322"/>
      <c r="O111" s="322"/>
      <c r="X111" s="214"/>
      <c r="Y111" s="462"/>
      <c r="Z111" s="322"/>
      <c r="AA111" s="463"/>
      <c r="AB111" s="279"/>
      <c r="AC111" s="279"/>
      <c r="AD111" s="322"/>
      <c r="AE111" s="279"/>
      <c r="AF111" s="318"/>
      <c r="AG111" s="279"/>
      <c r="AH111" s="279"/>
      <c r="AI111" s="279"/>
      <c r="AJ111" s="322"/>
      <c r="AK111" s="279"/>
      <c r="AL111" s="278"/>
      <c r="AM111" s="278"/>
      <c r="AN111" s="278"/>
      <c r="AO111" s="329"/>
      <c r="AP111" s="278"/>
    </row>
    <row r="112" spans="1:42">
      <c r="A112" s="214"/>
      <c r="B112" s="214"/>
      <c r="C112" s="316" t="s">
        <v>813</v>
      </c>
      <c r="D112" s="325">
        <v>3.19</v>
      </c>
      <c r="E112" s="463"/>
      <c r="F112" s="279"/>
      <c r="G112" s="279"/>
      <c r="H112" s="322"/>
      <c r="I112" s="279"/>
      <c r="J112" s="322"/>
      <c r="K112" s="279"/>
      <c r="L112" s="279"/>
      <c r="M112" s="279"/>
      <c r="N112" s="322"/>
      <c r="O112" s="322"/>
      <c r="X112" s="214"/>
      <c r="Y112" s="462"/>
      <c r="Z112" s="322"/>
      <c r="AA112" s="463"/>
      <c r="AB112" s="279"/>
      <c r="AC112" s="279"/>
      <c r="AD112" s="322"/>
      <c r="AE112" s="279"/>
      <c r="AF112" s="318"/>
      <c r="AG112" s="279"/>
      <c r="AH112" s="279"/>
      <c r="AI112" s="279"/>
      <c r="AJ112" s="322"/>
      <c r="AK112" s="279"/>
      <c r="AL112" s="278"/>
      <c r="AM112" s="278"/>
      <c r="AN112" s="278"/>
      <c r="AO112" s="329"/>
      <c r="AP112" s="278"/>
    </row>
    <row r="113" spans="1:42">
      <c r="A113" s="214"/>
      <c r="B113" s="214"/>
      <c r="C113" s="316" t="s">
        <v>863</v>
      </c>
      <c r="D113" s="325">
        <v>3.03</v>
      </c>
      <c r="E113" s="463"/>
      <c r="F113" s="279"/>
      <c r="G113" s="279"/>
      <c r="H113" s="322"/>
      <c r="I113" s="279"/>
      <c r="J113" s="322"/>
      <c r="K113" s="279"/>
      <c r="L113" s="279"/>
      <c r="M113" s="279"/>
      <c r="N113" s="322"/>
      <c r="O113" s="322"/>
      <c r="X113" s="214"/>
      <c r="Y113" s="462"/>
      <c r="Z113" s="322"/>
      <c r="AA113" s="463"/>
      <c r="AB113" s="279"/>
      <c r="AC113" s="279"/>
      <c r="AD113" s="322"/>
      <c r="AE113" s="279"/>
      <c r="AF113" s="318"/>
      <c r="AG113" s="279"/>
      <c r="AH113" s="279"/>
      <c r="AI113" s="279"/>
      <c r="AJ113" s="322"/>
      <c r="AK113" s="279"/>
      <c r="AL113" s="278"/>
      <c r="AM113" s="278"/>
      <c r="AN113" s="278"/>
      <c r="AO113" s="329"/>
      <c r="AP113" s="278"/>
    </row>
    <row r="114" spans="1:42">
      <c r="A114" s="214"/>
      <c r="B114" s="214"/>
      <c r="C114" s="316" t="s">
        <v>864</v>
      </c>
      <c r="D114" s="325">
        <v>2.71</v>
      </c>
      <c r="E114" s="463"/>
      <c r="F114" s="279"/>
      <c r="G114" s="279"/>
      <c r="H114" s="322"/>
      <c r="I114" s="279"/>
      <c r="J114" s="322"/>
      <c r="K114" s="279"/>
      <c r="L114" s="279"/>
      <c r="M114" s="279"/>
      <c r="N114" s="322"/>
      <c r="O114" s="322"/>
      <c r="AL114" s="278"/>
      <c r="AM114" s="278"/>
      <c r="AN114" s="278"/>
      <c r="AO114" s="329"/>
      <c r="AP114" s="278"/>
    </row>
    <row r="115" spans="1:42">
      <c r="A115" s="214"/>
      <c r="B115" s="214"/>
      <c r="C115" s="316" t="s">
        <v>876</v>
      </c>
      <c r="D115" s="325">
        <v>2.48</v>
      </c>
      <c r="E115" s="463"/>
      <c r="F115" s="279"/>
      <c r="G115" s="279"/>
      <c r="H115" s="322"/>
      <c r="I115" s="279"/>
      <c r="J115" s="322"/>
      <c r="K115" s="279"/>
      <c r="L115" s="279"/>
      <c r="M115" s="279"/>
      <c r="N115" s="322"/>
      <c r="O115" s="322"/>
      <c r="AL115" s="278"/>
      <c r="AM115" s="278"/>
      <c r="AN115" s="278"/>
      <c r="AO115" s="329"/>
      <c r="AP115" s="278"/>
    </row>
    <row r="116" spans="1:42">
      <c r="A116" s="214"/>
      <c r="B116" s="214"/>
      <c r="C116" s="462"/>
      <c r="D116" s="322"/>
      <c r="E116" s="463"/>
      <c r="F116" s="279"/>
      <c r="G116" s="279"/>
      <c r="H116" s="322"/>
      <c r="I116" s="318"/>
      <c r="J116" s="322"/>
      <c r="K116" s="279"/>
      <c r="L116" s="279"/>
      <c r="M116" s="318"/>
      <c r="N116" s="322"/>
      <c r="O116" s="322"/>
      <c r="AL116" s="278"/>
      <c r="AM116" s="278"/>
      <c r="AN116" s="278"/>
      <c r="AO116" s="329"/>
      <c r="AP116" s="278"/>
    </row>
    <row r="117" spans="1:42">
      <c r="A117" s="214"/>
      <c r="B117" s="214"/>
      <c r="C117" s="462" t="s">
        <v>1583</v>
      </c>
      <c r="D117" s="322"/>
      <c r="E117" s="463">
        <v>391795.53333333333</v>
      </c>
      <c r="F117" s="279"/>
      <c r="G117" s="279">
        <v>3.8</v>
      </c>
      <c r="H117" s="322"/>
      <c r="I117" s="279">
        <v>1014.8620000000001</v>
      </c>
      <c r="J117" s="322"/>
      <c r="K117" s="279">
        <f>I117</f>
        <v>1014.8620000000001</v>
      </c>
      <c r="L117" s="279"/>
      <c r="M117" s="279">
        <v>0</v>
      </c>
      <c r="N117" s="279"/>
      <c r="O117" s="279">
        <f>K117-M117</f>
        <v>1014.8620000000001</v>
      </c>
      <c r="AL117" s="319"/>
      <c r="AM117" s="278"/>
      <c r="AN117" s="319"/>
      <c r="AO117" s="329"/>
      <c r="AP117" s="319"/>
    </row>
    <row r="118" spans="1:42">
      <c r="A118" s="214"/>
      <c r="B118" s="214"/>
      <c r="C118" s="462" t="s">
        <v>1584</v>
      </c>
      <c r="D118" s="322"/>
      <c r="E118" s="463">
        <v>404663.93333333335</v>
      </c>
      <c r="F118" s="279"/>
      <c r="G118" s="279">
        <v>5.0666666666666664</v>
      </c>
      <c r="H118" s="322"/>
      <c r="I118" s="279">
        <v>1293.6879999999999</v>
      </c>
      <c r="J118" s="322"/>
      <c r="K118" s="279">
        <f>I118</f>
        <v>1293.6879999999999</v>
      </c>
      <c r="L118" s="279"/>
      <c r="M118" s="279">
        <v>0</v>
      </c>
      <c r="N118" s="279"/>
      <c r="O118" s="279">
        <f>K118-M118</f>
        <v>1293.6879999999999</v>
      </c>
      <c r="AL118" s="319"/>
      <c r="AM118" s="278"/>
      <c r="AN118" s="319"/>
      <c r="AO118" s="329"/>
      <c r="AP118" s="319"/>
    </row>
    <row r="119" spans="1:42" ht="15.75" thickBot="1">
      <c r="A119" s="214"/>
      <c r="B119" s="214"/>
      <c r="C119" s="462" t="s">
        <v>1585</v>
      </c>
      <c r="D119" s="322"/>
      <c r="E119" s="463">
        <v>1931826.6666666667</v>
      </c>
      <c r="F119" s="279"/>
      <c r="G119" s="279">
        <v>1.2666666666666666</v>
      </c>
      <c r="H119" s="322"/>
      <c r="I119" s="279">
        <v>3760.1860000000001</v>
      </c>
      <c r="J119" s="322"/>
      <c r="K119" s="279">
        <f>I119</f>
        <v>3760.1860000000001</v>
      </c>
      <c r="L119" s="279"/>
      <c r="M119" s="279">
        <v>0</v>
      </c>
      <c r="N119" s="279"/>
      <c r="O119" s="279">
        <f>K119-M119</f>
        <v>3760.1860000000001</v>
      </c>
      <c r="Q119" s="22" t="s">
        <v>669</v>
      </c>
      <c r="R119" s="295"/>
      <c r="S119" s="22"/>
      <c r="T119" s="22"/>
      <c r="U119" s="22"/>
      <c r="V119" s="22"/>
      <c r="W119" s="22"/>
      <c r="X119" s="22" t="s">
        <v>924</v>
      </c>
      <c r="AL119" s="319"/>
      <c r="AM119" s="278"/>
      <c r="AN119" s="319"/>
      <c r="AO119" s="329"/>
      <c r="AP119" s="319"/>
    </row>
    <row r="120" spans="1:42" ht="15.75" thickBot="1">
      <c r="A120" s="214"/>
      <c r="B120" s="214"/>
      <c r="C120" s="462"/>
      <c r="D120" s="322"/>
      <c r="E120" s="735">
        <f>SUM(E117:E119)</f>
        <v>2728286.1333333333</v>
      </c>
      <c r="F120" s="279"/>
      <c r="G120" s="385">
        <f>SUM(G117:G119)</f>
        <v>10.133333333333333</v>
      </c>
      <c r="H120" s="322"/>
      <c r="I120" s="386">
        <f>SUM(I117:I119)</f>
        <v>6068.7360000000008</v>
      </c>
      <c r="J120" s="322"/>
      <c r="K120" s="386">
        <f>SUM(K117:K119)</f>
        <v>6068.7360000000008</v>
      </c>
      <c r="L120" s="279"/>
      <c r="M120" s="386">
        <f>SUM(M117:M119)</f>
        <v>0</v>
      </c>
      <c r="N120" s="322"/>
      <c r="O120" s="386">
        <f>SUM(O117:O119)</f>
        <v>6068.7360000000008</v>
      </c>
      <c r="Q120" s="737">
        <f>SUM(E117:E119)/SUM(G117:G119)</f>
        <v>269238.76315789472</v>
      </c>
      <c r="AL120" s="319"/>
      <c r="AM120" s="278"/>
      <c r="AN120" s="319"/>
      <c r="AO120" s="319"/>
      <c r="AP120" s="319"/>
    </row>
    <row r="121" spans="1:42" ht="15.75" thickTop="1">
      <c r="A121" s="214"/>
      <c r="B121" s="214"/>
      <c r="C121" s="462"/>
      <c r="D121" s="322"/>
      <c r="E121" s="463"/>
      <c r="F121" s="279"/>
      <c r="G121" s="279"/>
      <c r="H121" s="322"/>
      <c r="I121" s="279"/>
      <c r="J121" s="322"/>
      <c r="K121" s="279"/>
      <c r="L121" s="279"/>
      <c r="M121" s="279"/>
      <c r="N121" s="322"/>
      <c r="O121" s="322"/>
      <c r="AL121" s="319"/>
      <c r="AM121" s="278"/>
      <c r="AN121" s="319"/>
      <c r="AO121" s="319"/>
      <c r="AP121" s="319"/>
    </row>
    <row r="122" spans="1:42">
      <c r="A122" s="214"/>
      <c r="B122" s="214"/>
      <c r="C122" s="316" t="s">
        <v>584</v>
      </c>
      <c r="D122" s="323"/>
      <c r="E122" s="463"/>
      <c r="F122" s="279"/>
      <c r="G122" s="279"/>
      <c r="H122" s="322"/>
      <c r="I122" s="279"/>
      <c r="J122" s="322"/>
      <c r="K122" s="279"/>
      <c r="L122" s="279"/>
      <c r="M122" s="279"/>
      <c r="N122" s="322"/>
      <c r="O122" s="322"/>
      <c r="AL122" s="319"/>
      <c r="AM122" s="278"/>
      <c r="AN122" s="319"/>
      <c r="AO122" s="319"/>
      <c r="AP122" s="319"/>
    </row>
    <row r="123" spans="1:42">
      <c r="A123" s="214"/>
      <c r="B123" s="214"/>
      <c r="C123" s="316" t="s">
        <v>585</v>
      </c>
      <c r="D123" s="324">
        <v>165.57</v>
      </c>
      <c r="E123" s="463"/>
      <c r="F123" s="279"/>
      <c r="G123" s="279"/>
      <c r="H123" s="322"/>
      <c r="I123" s="279"/>
      <c r="J123" s="322"/>
      <c r="K123" s="279"/>
      <c r="L123" s="279"/>
      <c r="M123" s="279"/>
      <c r="N123" s="322"/>
      <c r="O123" s="322"/>
      <c r="AL123" s="319"/>
      <c r="AM123" s="278"/>
      <c r="AN123" s="319"/>
      <c r="AO123" s="319"/>
      <c r="AP123" s="319"/>
    </row>
    <row r="124" spans="1:42">
      <c r="A124" s="214"/>
      <c r="B124" s="214"/>
      <c r="C124" s="316" t="s">
        <v>586</v>
      </c>
      <c r="D124" s="325">
        <v>2.1</v>
      </c>
      <c r="E124" s="463"/>
      <c r="F124" s="279"/>
      <c r="G124" s="279"/>
      <c r="H124" s="322"/>
      <c r="I124" s="279"/>
      <c r="J124" s="322"/>
      <c r="K124" s="279"/>
      <c r="L124" s="279"/>
      <c r="M124" s="279"/>
      <c r="N124" s="322"/>
      <c r="O124" s="322"/>
      <c r="AL124" s="319"/>
      <c r="AM124" s="319"/>
      <c r="AN124" s="319"/>
      <c r="AO124" s="319"/>
      <c r="AP124" s="319"/>
    </row>
    <row r="125" spans="1:42">
      <c r="A125" s="214"/>
      <c r="B125" s="214"/>
      <c r="C125" s="316" t="s">
        <v>876</v>
      </c>
      <c r="D125" s="325">
        <v>1.92</v>
      </c>
      <c r="E125" s="463"/>
      <c r="F125" s="279"/>
      <c r="G125" s="279"/>
      <c r="H125" s="322"/>
      <c r="I125" s="279"/>
      <c r="J125" s="322"/>
      <c r="K125" s="279"/>
      <c r="L125" s="279"/>
      <c r="M125" s="279"/>
      <c r="N125" s="322"/>
      <c r="O125" s="322"/>
      <c r="AL125" s="319"/>
      <c r="AM125" s="319"/>
      <c r="AN125" s="319"/>
      <c r="AO125" s="319"/>
      <c r="AP125" s="319"/>
    </row>
    <row r="126" spans="1:42">
      <c r="A126" s="214"/>
      <c r="B126" s="214"/>
      <c r="C126" s="316"/>
      <c r="D126" s="325"/>
      <c r="E126" s="463"/>
      <c r="F126" s="279"/>
      <c r="G126" s="279"/>
      <c r="H126" s="322"/>
      <c r="I126" s="279"/>
      <c r="J126" s="322"/>
      <c r="K126" s="279"/>
      <c r="L126" s="279"/>
      <c r="M126" s="279"/>
      <c r="N126" s="322"/>
      <c r="O126" s="322"/>
      <c r="AL126" s="319"/>
      <c r="AM126" s="319"/>
      <c r="AN126" s="319"/>
      <c r="AO126" s="319"/>
      <c r="AP126" s="319"/>
    </row>
    <row r="127" spans="1:42">
      <c r="A127" s="214"/>
      <c r="B127" s="214"/>
      <c r="C127" s="462" t="s">
        <v>1589</v>
      </c>
      <c r="D127" s="325"/>
      <c r="E127" s="463">
        <v>4031404.4666666668</v>
      </c>
      <c r="F127" s="279"/>
      <c r="G127" s="279">
        <v>33.200000000000003</v>
      </c>
      <c r="H127" s="322"/>
      <c r="I127" s="279">
        <v>13081.152000000002</v>
      </c>
      <c r="J127" s="322"/>
      <c r="K127" s="279">
        <f>I127</f>
        <v>13081.152000000002</v>
      </c>
      <c r="L127" s="279"/>
      <c r="M127" s="279">
        <v>0</v>
      </c>
      <c r="N127" s="322"/>
      <c r="O127" s="322">
        <f>K127</f>
        <v>13081.152000000002</v>
      </c>
      <c r="AL127" s="319"/>
      <c r="AM127" s="319"/>
      <c r="AN127" s="319"/>
      <c r="AO127" s="319"/>
      <c r="AP127" s="319"/>
    </row>
    <row r="128" spans="1:42">
      <c r="A128" s="214"/>
      <c r="B128" s="214"/>
      <c r="C128" s="462" t="s">
        <v>1590</v>
      </c>
      <c r="D128" s="325"/>
      <c r="E128" s="463">
        <v>3454136.0666666664</v>
      </c>
      <c r="F128" s="279"/>
      <c r="G128" s="279">
        <v>42.933333333333337</v>
      </c>
      <c r="H128" s="322"/>
      <c r="I128" s="279">
        <v>15038.442000000006</v>
      </c>
      <c r="J128" s="322"/>
      <c r="K128" s="279">
        <f>I128</f>
        <v>15038.442000000006</v>
      </c>
      <c r="L128" s="279"/>
      <c r="M128" s="279">
        <v>0</v>
      </c>
      <c r="N128" s="322"/>
      <c r="O128" s="322">
        <f>K128</f>
        <v>15038.442000000006</v>
      </c>
      <c r="AL128" s="319"/>
      <c r="AM128" s="319"/>
      <c r="AN128" s="319"/>
      <c r="AO128" s="319"/>
      <c r="AP128" s="319"/>
    </row>
    <row r="129" spans="1:42">
      <c r="A129" s="214"/>
      <c r="B129" s="214"/>
      <c r="C129" s="462" t="s">
        <v>1591</v>
      </c>
      <c r="D129" s="325"/>
      <c r="E129" s="463">
        <v>6874173.333333334</v>
      </c>
      <c r="F129" s="279"/>
      <c r="G129" s="279">
        <v>10.733333333333333</v>
      </c>
      <c r="H129" s="322"/>
      <c r="I129" s="279">
        <v>17607.765333333336</v>
      </c>
      <c r="J129" s="322"/>
      <c r="K129" s="279">
        <f>I129</f>
        <v>17607.765333333336</v>
      </c>
      <c r="L129" s="279"/>
      <c r="M129" s="279">
        <v>0</v>
      </c>
      <c r="N129" s="322"/>
      <c r="O129" s="322">
        <f>K129</f>
        <v>17607.765333333336</v>
      </c>
      <c r="AL129" s="319"/>
      <c r="AM129" s="319"/>
      <c r="AN129" s="319"/>
      <c r="AO129" s="319"/>
      <c r="AP129" s="319"/>
    </row>
    <row r="130" spans="1:42" ht="15.75" thickBot="1">
      <c r="A130" s="214"/>
      <c r="B130" s="214"/>
      <c r="C130" s="316"/>
      <c r="D130" s="325"/>
      <c r="E130" s="735">
        <f>SUM(E127:E129)</f>
        <v>14359713.866666667</v>
      </c>
      <c r="F130" s="279"/>
      <c r="G130" s="385">
        <f>SUM(G127:G129)</f>
        <v>86.866666666666674</v>
      </c>
      <c r="H130" s="322"/>
      <c r="I130" s="386">
        <f>SUM(I127:I129)</f>
        <v>45727.359333333341</v>
      </c>
      <c r="J130" s="322"/>
      <c r="K130" s="386">
        <f>SUM(K127:K129)</f>
        <v>45727.359333333341</v>
      </c>
      <c r="L130" s="279"/>
      <c r="M130" s="386">
        <v>0</v>
      </c>
      <c r="N130" s="322"/>
      <c r="O130" s="386">
        <f>SUM(O127:O129)</f>
        <v>45727.359333333341</v>
      </c>
      <c r="AL130" s="319"/>
      <c r="AM130" s="319"/>
      <c r="AN130" s="319"/>
      <c r="AO130" s="319"/>
      <c r="AP130" s="319"/>
    </row>
    <row r="131" spans="1:42" ht="15.75" thickTop="1">
      <c r="A131" s="214"/>
      <c r="B131" s="214"/>
      <c r="C131" s="316"/>
      <c r="D131" s="325"/>
      <c r="E131" s="463"/>
      <c r="F131" s="279"/>
      <c r="G131" s="279"/>
      <c r="H131" s="322"/>
      <c r="I131" s="279"/>
      <c r="J131" s="322"/>
      <c r="K131" s="279"/>
      <c r="L131" s="279"/>
      <c r="M131" s="279"/>
      <c r="N131" s="322"/>
      <c r="O131" s="322"/>
      <c r="AL131" s="319"/>
      <c r="AM131" s="319"/>
      <c r="AN131" s="319"/>
      <c r="AO131" s="319"/>
      <c r="AP131" s="319"/>
    </row>
    <row r="132" spans="1:42">
      <c r="A132" s="214"/>
      <c r="B132" s="214"/>
      <c r="C132" s="316" t="s">
        <v>584</v>
      </c>
      <c r="D132" s="325"/>
      <c r="E132" s="463"/>
      <c r="F132" s="279"/>
      <c r="G132" s="279"/>
      <c r="H132" s="322"/>
      <c r="I132" s="279"/>
      <c r="J132" s="322"/>
      <c r="K132" s="279"/>
      <c r="L132" s="279"/>
      <c r="M132" s="279"/>
      <c r="N132" s="322"/>
      <c r="O132" s="322"/>
      <c r="AL132" s="319"/>
      <c r="AM132" s="319"/>
      <c r="AN132" s="319"/>
      <c r="AO132" s="319"/>
      <c r="AP132" s="319"/>
    </row>
    <row r="133" spans="1:42">
      <c r="A133" s="214"/>
      <c r="B133" s="214"/>
      <c r="C133" s="316" t="s">
        <v>585</v>
      </c>
      <c r="D133" s="325">
        <v>213.6</v>
      </c>
      <c r="E133" s="463"/>
      <c r="F133" s="279"/>
      <c r="G133" s="279"/>
      <c r="H133" s="322"/>
      <c r="I133" s="279"/>
      <c r="J133" s="322"/>
      <c r="K133" s="279"/>
      <c r="L133" s="279"/>
      <c r="M133" s="279"/>
      <c r="N133" s="322"/>
      <c r="O133" s="322"/>
      <c r="AL133" s="319"/>
      <c r="AM133" s="319"/>
      <c r="AN133" s="319"/>
      <c r="AO133" s="319"/>
      <c r="AP133" s="319"/>
    </row>
    <row r="134" spans="1:42">
      <c r="A134" s="214"/>
      <c r="B134" s="214"/>
      <c r="C134" s="316" t="s">
        <v>586</v>
      </c>
      <c r="D134" s="325">
        <v>2.71</v>
      </c>
      <c r="E134" s="463"/>
      <c r="F134" s="279"/>
      <c r="G134" s="279"/>
      <c r="H134" s="322"/>
      <c r="I134" s="279"/>
      <c r="J134" s="322"/>
      <c r="K134" s="279"/>
      <c r="L134" s="279"/>
      <c r="M134" s="279"/>
      <c r="N134" s="322"/>
      <c r="O134" s="322"/>
      <c r="AL134" s="319"/>
      <c r="AM134" s="319"/>
      <c r="AN134" s="319"/>
      <c r="AO134" s="319"/>
      <c r="AP134" s="319"/>
    </row>
    <row r="135" spans="1:42">
      <c r="A135" s="214"/>
      <c r="B135" s="214"/>
      <c r="C135" s="316" t="s">
        <v>876</v>
      </c>
      <c r="D135" s="325">
        <v>2.48</v>
      </c>
      <c r="E135" s="463"/>
      <c r="F135" s="279"/>
      <c r="G135" s="279"/>
      <c r="H135" s="322"/>
      <c r="I135" s="279"/>
      <c r="J135" s="322"/>
      <c r="K135" s="279"/>
      <c r="L135" s="279"/>
      <c r="M135" s="279"/>
      <c r="N135" s="322"/>
      <c r="O135" s="322"/>
      <c r="AL135" s="319"/>
      <c r="AM135" s="319"/>
      <c r="AN135" s="319"/>
      <c r="AO135" s="319"/>
      <c r="AP135" s="319"/>
    </row>
    <row r="136" spans="1:42">
      <c r="A136" s="214"/>
      <c r="B136" s="214"/>
      <c r="C136" s="462"/>
      <c r="D136" s="322"/>
      <c r="E136" s="463"/>
      <c r="F136" s="279"/>
      <c r="G136" s="279"/>
      <c r="H136" s="322"/>
      <c r="I136" s="279"/>
      <c r="J136" s="322"/>
      <c r="K136" s="279"/>
      <c r="L136" s="279"/>
      <c r="M136" s="279"/>
      <c r="N136" s="322"/>
      <c r="O136" s="322"/>
      <c r="X136" s="214"/>
      <c r="Y136" s="462"/>
      <c r="Z136" s="322"/>
      <c r="AA136" s="463"/>
      <c r="AB136" s="279"/>
      <c r="AC136" s="279"/>
      <c r="AD136" s="322"/>
      <c r="AE136" s="318"/>
      <c r="AF136" s="279"/>
      <c r="AG136" s="318"/>
      <c r="AH136" s="279"/>
      <c r="AI136" s="318"/>
      <c r="AJ136" s="318"/>
      <c r="AK136" s="318"/>
      <c r="AL136" s="319"/>
      <c r="AM136" s="319"/>
      <c r="AN136" s="319"/>
      <c r="AO136" s="319"/>
      <c r="AP136" s="319"/>
    </row>
    <row r="137" spans="1:42">
      <c r="A137" s="214"/>
      <c r="B137" s="214"/>
      <c r="C137" s="462"/>
      <c r="D137" s="322"/>
      <c r="E137" s="463"/>
      <c r="F137" s="279"/>
      <c r="G137" s="279"/>
      <c r="H137" s="322"/>
      <c r="I137" s="279"/>
      <c r="J137" s="322"/>
      <c r="K137" s="279"/>
      <c r="L137" s="279"/>
      <c r="M137" s="279"/>
      <c r="N137" s="322"/>
      <c r="O137" s="322"/>
      <c r="X137" s="214"/>
      <c r="Y137" s="462"/>
      <c r="Z137" s="322"/>
      <c r="AA137" s="463"/>
      <c r="AB137" s="279"/>
      <c r="AC137" s="279"/>
      <c r="AD137" s="322"/>
      <c r="AE137" s="318"/>
      <c r="AF137" s="279"/>
      <c r="AG137" s="318"/>
      <c r="AH137" s="279"/>
      <c r="AI137" s="318"/>
      <c r="AJ137" s="318"/>
      <c r="AK137" s="318"/>
      <c r="AL137" s="319"/>
      <c r="AM137" s="319"/>
      <c r="AN137" s="319"/>
      <c r="AO137" s="319"/>
      <c r="AP137" s="319"/>
    </row>
    <row r="138" spans="1:42">
      <c r="A138" s="214"/>
      <c r="B138" s="214"/>
      <c r="C138" s="462" t="s">
        <v>1595</v>
      </c>
      <c r="D138" s="738"/>
      <c r="E138" s="463">
        <v>143960</v>
      </c>
      <c r="F138" s="279"/>
      <c r="G138" s="279">
        <v>1.2666666666666666</v>
      </c>
      <c r="H138" s="322"/>
      <c r="I138" s="318">
        <v>377.55400000000003</v>
      </c>
      <c r="J138" s="322"/>
      <c r="K138" s="318">
        <f>I138</f>
        <v>377.55400000000003</v>
      </c>
      <c r="L138" s="279"/>
      <c r="M138" s="318">
        <v>0</v>
      </c>
      <c r="N138" s="322"/>
      <c r="O138" s="318">
        <f>K138-M138</f>
        <v>377.55400000000003</v>
      </c>
      <c r="Q138" s="22"/>
      <c r="R138" s="295"/>
      <c r="S138" s="22"/>
      <c r="T138" s="22"/>
      <c r="U138" s="22"/>
      <c r="V138" s="22"/>
      <c r="W138" s="22"/>
      <c r="X138" s="22" t="s">
        <v>501</v>
      </c>
      <c r="Y138" s="462"/>
      <c r="Z138" s="322"/>
      <c r="AA138" s="463"/>
      <c r="AB138" s="279"/>
      <c r="AC138" s="279"/>
      <c r="AD138" s="322"/>
      <c r="AE138" s="318"/>
      <c r="AF138" s="279"/>
      <c r="AG138" s="318"/>
      <c r="AH138" s="279"/>
      <c r="AI138" s="318"/>
      <c r="AJ138" s="318"/>
      <c r="AK138" s="318"/>
      <c r="AL138" s="319"/>
      <c r="AM138" s="319"/>
      <c r="AN138" s="319"/>
      <c r="AO138" s="319"/>
      <c r="AP138" s="319"/>
    </row>
    <row r="139" spans="1:42">
      <c r="A139" s="214"/>
      <c r="B139" s="214"/>
      <c r="C139" s="462" t="s">
        <v>1596</v>
      </c>
      <c r="D139" s="322"/>
      <c r="E139" s="463">
        <v>36866.666666666664</v>
      </c>
      <c r="F139" s="279"/>
      <c r="G139" s="279">
        <v>1.2666666666666666</v>
      </c>
      <c r="H139" s="322"/>
      <c r="I139" s="318">
        <v>377.55400000000003</v>
      </c>
      <c r="J139" s="322"/>
      <c r="K139" s="279">
        <f>I139</f>
        <v>377.55400000000003</v>
      </c>
      <c r="L139" s="279"/>
      <c r="M139" s="279">
        <v>0</v>
      </c>
      <c r="N139" s="279"/>
      <c r="O139" s="279">
        <f>K139-M139</f>
        <v>377.55400000000003</v>
      </c>
      <c r="Q139" s="22" t="s">
        <v>669</v>
      </c>
      <c r="R139" s="295"/>
      <c r="S139" s="22"/>
      <c r="T139" s="22"/>
      <c r="U139" s="22"/>
      <c r="V139" s="22"/>
      <c r="W139" s="22"/>
      <c r="X139" s="22" t="s">
        <v>924</v>
      </c>
      <c r="Y139" s="462"/>
      <c r="Z139" s="322"/>
      <c r="AA139" s="463"/>
      <c r="AB139" s="279"/>
      <c r="AC139" s="279"/>
      <c r="AD139" s="322"/>
      <c r="AE139" s="318"/>
      <c r="AF139" s="279"/>
      <c r="AG139" s="318"/>
      <c r="AH139" s="279"/>
      <c r="AI139" s="318"/>
      <c r="AJ139" s="318"/>
      <c r="AK139" s="318"/>
      <c r="AL139" s="319"/>
      <c r="AM139" s="319"/>
      <c r="AN139" s="319"/>
      <c r="AO139" s="319"/>
      <c r="AP139" s="319"/>
    </row>
    <row r="140" spans="1:42">
      <c r="A140" s="214"/>
      <c r="B140" s="214"/>
      <c r="C140" s="462" t="s">
        <v>1597</v>
      </c>
      <c r="D140" s="322"/>
      <c r="E140" s="463">
        <v>112733.33333333333</v>
      </c>
      <c r="F140" s="279"/>
      <c r="G140" s="279">
        <v>1.2666666666666666</v>
      </c>
      <c r="H140" s="322"/>
      <c r="I140" s="318">
        <v>360.65800000000002</v>
      </c>
      <c r="J140" s="322"/>
      <c r="K140" s="279">
        <f>I140</f>
        <v>360.65800000000002</v>
      </c>
      <c r="L140" s="279"/>
      <c r="M140" s="279">
        <v>0</v>
      </c>
      <c r="N140" s="279"/>
      <c r="O140" s="279">
        <f>K140-M140</f>
        <v>360.65800000000002</v>
      </c>
      <c r="Q140" s="732">
        <f>SUM(E138:E140)/SUM(G138:G140)</f>
        <v>77252.631578947374</v>
      </c>
      <c r="R140" s="295"/>
      <c r="S140" s="22"/>
      <c r="T140" s="22"/>
      <c r="U140" s="22"/>
      <c r="V140" s="22"/>
      <c r="W140" s="22"/>
      <c r="X140" s="732">
        <f>SUM(G138:G140)/12</f>
        <v>0.31666666666666665</v>
      </c>
      <c r="Y140" s="462"/>
      <c r="Z140" s="322"/>
      <c r="AA140" s="463"/>
      <c r="AB140" s="279"/>
      <c r="AC140" s="279"/>
      <c r="AD140" s="322"/>
      <c r="AE140" s="318"/>
      <c r="AF140" s="279"/>
      <c r="AG140" s="318"/>
      <c r="AH140" s="279"/>
      <c r="AI140" s="318"/>
      <c r="AJ140" s="318"/>
      <c r="AK140" s="318"/>
      <c r="AL140" s="319"/>
      <c r="AM140" s="319"/>
      <c r="AN140" s="319"/>
      <c r="AO140" s="319"/>
      <c r="AP140" s="319"/>
    </row>
    <row r="141" spans="1:42" ht="15.75" thickBot="1">
      <c r="A141" s="214"/>
      <c r="B141" s="214"/>
      <c r="C141" s="462"/>
      <c r="D141" s="322"/>
      <c r="E141" s="735">
        <f>SUM(E138:E140)</f>
        <v>293560</v>
      </c>
      <c r="F141" s="279"/>
      <c r="G141" s="385">
        <f>SUM(G138:G140)</f>
        <v>3.8</v>
      </c>
      <c r="H141" s="322"/>
      <c r="I141" s="386">
        <f>SUM(I138:I140)</f>
        <v>1115.7660000000001</v>
      </c>
      <c r="J141" s="322"/>
      <c r="K141" s="386">
        <f>SUM(K138:K140)</f>
        <v>1115.7660000000001</v>
      </c>
      <c r="L141" s="279"/>
      <c r="M141" s="386">
        <f>SUM(M138:M140)</f>
        <v>0</v>
      </c>
      <c r="N141" s="322"/>
      <c r="O141" s="386">
        <f>SUM(O138:O140)</f>
        <v>1115.7660000000001</v>
      </c>
      <c r="X141" s="214"/>
      <c r="Y141" s="462"/>
      <c r="Z141" s="322"/>
      <c r="AA141" s="463"/>
      <c r="AB141" s="279"/>
      <c r="AC141" s="279"/>
      <c r="AD141" s="322"/>
      <c r="AE141" s="318"/>
      <c r="AF141" s="279"/>
      <c r="AG141" s="318"/>
      <c r="AH141" s="279"/>
      <c r="AI141" s="318"/>
      <c r="AJ141" s="318"/>
      <c r="AK141" s="318"/>
      <c r="AL141" s="319"/>
      <c r="AM141" s="319"/>
      <c r="AN141" s="319"/>
      <c r="AO141" s="319"/>
      <c r="AP141" s="319"/>
    </row>
    <row r="142" spans="1:42" ht="15.75" thickTop="1">
      <c r="A142" s="214"/>
      <c r="B142" s="214"/>
      <c r="C142" s="462"/>
      <c r="D142" s="322"/>
      <c r="E142" s="463"/>
      <c r="F142" s="279"/>
      <c r="G142" s="279"/>
      <c r="H142" s="322"/>
      <c r="I142" s="279"/>
      <c r="J142" s="322"/>
      <c r="K142" s="279"/>
      <c r="L142" s="279"/>
      <c r="M142" s="279"/>
      <c r="N142" s="322"/>
      <c r="O142" s="322"/>
      <c r="X142" s="214"/>
      <c r="Y142" s="462"/>
      <c r="Z142" s="322"/>
      <c r="AA142" s="463"/>
      <c r="AB142" s="279"/>
      <c r="AC142" s="279"/>
      <c r="AD142" s="322"/>
      <c r="AE142" s="318"/>
      <c r="AF142" s="279"/>
      <c r="AG142" s="318"/>
      <c r="AH142" s="279"/>
      <c r="AI142" s="318"/>
      <c r="AJ142" s="318"/>
      <c r="AK142" s="318"/>
      <c r="AL142" s="319"/>
      <c r="AM142" s="319"/>
      <c r="AN142" s="319"/>
      <c r="AO142" s="319"/>
      <c r="AP142" s="319"/>
    </row>
    <row r="143" spans="1:42">
      <c r="A143" s="214"/>
      <c r="B143" s="214"/>
      <c r="C143" s="316" t="s">
        <v>877</v>
      </c>
      <c r="D143" s="323"/>
      <c r="E143" s="463"/>
      <c r="F143" s="279"/>
      <c r="G143" s="279"/>
      <c r="H143" s="322"/>
      <c r="I143" s="279"/>
      <c r="J143" s="322"/>
      <c r="K143" s="279"/>
      <c r="L143" s="279"/>
      <c r="M143" s="279"/>
      <c r="N143" s="322"/>
      <c r="O143" s="322"/>
      <c r="X143" s="214"/>
      <c r="Y143" s="462"/>
      <c r="Z143" s="322"/>
      <c r="AA143" s="463"/>
      <c r="AB143" s="279"/>
      <c r="AC143" s="279"/>
      <c r="AD143" s="322"/>
      <c r="AE143" s="318"/>
      <c r="AF143" s="279"/>
      <c r="AG143" s="318"/>
      <c r="AH143" s="279"/>
      <c r="AI143" s="318"/>
      <c r="AJ143" s="318"/>
      <c r="AK143" s="318"/>
      <c r="AL143" s="319"/>
      <c r="AM143" s="319"/>
      <c r="AN143" s="319"/>
      <c r="AO143" s="319"/>
      <c r="AP143" s="319"/>
    </row>
    <row r="144" spans="1:42">
      <c r="A144" s="214"/>
      <c r="B144" s="214"/>
      <c r="C144" s="316" t="s">
        <v>878</v>
      </c>
      <c r="D144" s="324">
        <v>284.73</v>
      </c>
      <c r="E144" s="463"/>
      <c r="F144" s="279"/>
      <c r="G144" s="279"/>
      <c r="H144" s="322"/>
      <c r="I144" s="279"/>
      <c r="J144" s="322"/>
      <c r="K144" s="279"/>
      <c r="L144" s="279"/>
      <c r="M144" s="279"/>
      <c r="N144" s="322"/>
      <c r="O144" s="322"/>
      <c r="X144" s="214"/>
      <c r="Y144" s="462"/>
      <c r="Z144" s="322"/>
      <c r="AA144" s="463"/>
      <c r="AB144" s="279"/>
      <c r="AC144" s="279"/>
      <c r="AD144" s="322"/>
      <c r="AE144" s="318"/>
      <c r="AF144" s="279"/>
      <c r="AG144" s="318"/>
      <c r="AH144" s="279"/>
      <c r="AI144" s="318"/>
      <c r="AJ144" s="318"/>
      <c r="AK144" s="318"/>
      <c r="AL144" s="319"/>
      <c r="AM144" s="319"/>
      <c r="AN144" s="319"/>
      <c r="AO144" s="319"/>
      <c r="AP144" s="319"/>
    </row>
    <row r="145" spans="1:42">
      <c r="A145" s="214"/>
      <c r="B145" s="214"/>
      <c r="C145" s="316" t="s">
        <v>879</v>
      </c>
      <c r="D145" s="325">
        <v>1.92</v>
      </c>
      <c r="E145" s="463"/>
      <c r="F145" s="279"/>
      <c r="G145" s="279"/>
      <c r="H145" s="322"/>
      <c r="I145" s="279"/>
      <c r="J145" s="322"/>
      <c r="K145" s="279"/>
      <c r="L145" s="279"/>
      <c r="M145" s="279"/>
      <c r="N145" s="322"/>
      <c r="O145" s="322"/>
      <c r="X145" s="214"/>
      <c r="Y145" s="462"/>
      <c r="Z145" s="322"/>
      <c r="AA145" s="463"/>
      <c r="AB145" s="279"/>
      <c r="AC145" s="279"/>
      <c r="AD145" s="322"/>
      <c r="AE145" s="318"/>
      <c r="AF145" s="279"/>
      <c r="AG145" s="318"/>
      <c r="AH145" s="279"/>
      <c r="AI145" s="318"/>
      <c r="AJ145" s="318"/>
      <c r="AK145" s="318"/>
      <c r="AL145" s="319"/>
      <c r="AM145" s="319"/>
      <c r="AN145" s="319"/>
      <c r="AO145" s="319"/>
      <c r="AP145" s="319"/>
    </row>
    <row r="146" spans="1:42">
      <c r="A146" s="214"/>
      <c r="B146" s="214"/>
      <c r="C146" s="316"/>
      <c r="D146" s="325"/>
      <c r="E146" s="463"/>
      <c r="F146" s="279"/>
      <c r="G146" s="279"/>
      <c r="H146" s="322"/>
      <c r="I146" s="279"/>
      <c r="J146" s="322"/>
      <c r="K146" s="279"/>
      <c r="L146" s="279"/>
      <c r="M146" s="279"/>
      <c r="N146" s="322"/>
      <c r="O146" s="322"/>
      <c r="X146" s="214"/>
      <c r="Y146" s="462"/>
      <c r="Z146" s="322"/>
      <c r="AA146" s="463"/>
      <c r="AB146" s="279"/>
      <c r="AC146" s="279"/>
      <c r="AD146" s="322"/>
      <c r="AE146" s="318"/>
      <c r="AF146" s="279"/>
      <c r="AG146" s="318"/>
      <c r="AH146" s="279"/>
      <c r="AI146" s="318"/>
      <c r="AJ146" s="318"/>
      <c r="AK146" s="318"/>
      <c r="AL146" s="319"/>
      <c r="AM146" s="319"/>
      <c r="AN146" s="319"/>
      <c r="AO146" s="319"/>
      <c r="AP146" s="319"/>
    </row>
    <row r="147" spans="1:42">
      <c r="A147" s="214"/>
      <c r="B147" s="214"/>
      <c r="C147" s="462" t="s">
        <v>1592</v>
      </c>
      <c r="D147" s="738"/>
      <c r="E147" s="463">
        <v>1745040</v>
      </c>
      <c r="F147" s="279"/>
      <c r="G147" s="279">
        <v>10.733333333333334</v>
      </c>
      <c r="H147" s="322"/>
      <c r="I147" s="318">
        <v>4942.6113333333324</v>
      </c>
      <c r="J147" s="322"/>
      <c r="K147" s="318">
        <f>I147</f>
        <v>4942.6113333333324</v>
      </c>
      <c r="L147" s="279"/>
      <c r="M147" s="318">
        <v>0</v>
      </c>
      <c r="N147" s="322"/>
      <c r="O147" s="318">
        <f>K147-M147</f>
        <v>4942.6113333333324</v>
      </c>
      <c r="Q147" s="22"/>
      <c r="X147" s="214"/>
      <c r="Y147" s="462"/>
      <c r="Z147" s="322"/>
      <c r="AA147" s="463"/>
      <c r="AB147" s="279"/>
      <c r="AC147" s="279"/>
      <c r="AD147" s="322"/>
      <c r="AE147" s="318"/>
      <c r="AF147" s="279"/>
      <c r="AG147" s="318"/>
      <c r="AH147" s="279"/>
      <c r="AI147" s="318"/>
      <c r="AJ147" s="318"/>
      <c r="AK147" s="318"/>
      <c r="AL147" s="319"/>
      <c r="AM147" s="319"/>
      <c r="AN147" s="319"/>
      <c r="AO147" s="319"/>
      <c r="AP147" s="319"/>
    </row>
    <row r="148" spans="1:42">
      <c r="A148" s="214"/>
      <c r="B148" s="214"/>
      <c r="C148" s="462" t="s">
        <v>1593</v>
      </c>
      <c r="D148" s="322"/>
      <c r="E148" s="463">
        <v>311133.33333333337</v>
      </c>
      <c r="F148" s="279"/>
      <c r="G148" s="279">
        <v>10.733333333333334</v>
      </c>
      <c r="H148" s="322"/>
      <c r="I148" s="318">
        <v>3942.6753333333327</v>
      </c>
      <c r="J148" s="322"/>
      <c r="K148" s="279">
        <f>I148</f>
        <v>3942.6753333333327</v>
      </c>
      <c r="L148" s="279"/>
      <c r="M148" s="279">
        <v>0</v>
      </c>
      <c r="N148" s="279"/>
      <c r="O148" s="279">
        <f>K148-M148</f>
        <v>3942.6753333333327</v>
      </c>
      <c r="Q148" s="22" t="s">
        <v>669</v>
      </c>
      <c r="X148" s="214"/>
      <c r="Y148" s="462"/>
      <c r="Z148" s="322"/>
      <c r="AA148" s="463"/>
      <c r="AB148" s="279"/>
      <c r="AC148" s="279"/>
      <c r="AD148" s="322"/>
      <c r="AE148" s="318"/>
      <c r="AF148" s="279"/>
      <c r="AG148" s="318"/>
      <c r="AH148" s="279"/>
      <c r="AI148" s="318"/>
      <c r="AJ148" s="318"/>
      <c r="AK148" s="318"/>
      <c r="AL148" s="319"/>
      <c r="AM148" s="319"/>
      <c r="AN148" s="319"/>
      <c r="AO148" s="319"/>
      <c r="AP148" s="319"/>
    </row>
    <row r="149" spans="1:42">
      <c r="A149" s="214"/>
      <c r="B149" s="214"/>
      <c r="C149" s="462" t="s">
        <v>1594</v>
      </c>
      <c r="D149" s="322"/>
      <c r="E149" s="463">
        <v>1064266.6666666665</v>
      </c>
      <c r="F149" s="279"/>
      <c r="G149" s="279">
        <v>10.733333333333334</v>
      </c>
      <c r="H149" s="322"/>
      <c r="I149" s="318">
        <v>4942.6113333333324</v>
      </c>
      <c r="J149" s="322"/>
      <c r="K149" s="279">
        <f>I149</f>
        <v>4942.6113333333324</v>
      </c>
      <c r="L149" s="279"/>
      <c r="M149" s="279">
        <v>0</v>
      </c>
      <c r="N149" s="279"/>
      <c r="O149" s="279">
        <f>K149-M149</f>
        <v>4942.6113333333324</v>
      </c>
      <c r="Q149" s="732">
        <f>SUM(E147:E149)/SUM(G147:G149)</f>
        <v>96908.074534161482</v>
      </c>
      <c r="X149" s="214"/>
      <c r="Y149" s="462"/>
      <c r="Z149" s="322"/>
      <c r="AA149" s="463"/>
      <c r="AB149" s="279"/>
      <c r="AC149" s="279"/>
      <c r="AD149" s="322"/>
      <c r="AE149" s="318"/>
      <c r="AF149" s="279"/>
      <c r="AG149" s="318"/>
      <c r="AH149" s="279"/>
      <c r="AI149" s="318"/>
      <c r="AJ149" s="318"/>
      <c r="AK149" s="318"/>
      <c r="AL149" s="319"/>
      <c r="AM149" s="319"/>
      <c r="AN149" s="319"/>
      <c r="AO149" s="319"/>
      <c r="AP149" s="319"/>
    </row>
    <row r="150" spans="1:42" ht="15.75" thickBot="1">
      <c r="A150" s="214"/>
      <c r="B150" s="214"/>
      <c r="C150" s="462"/>
      <c r="D150" s="322"/>
      <c r="E150" s="735">
        <f>SUM(E147:E149)</f>
        <v>3120440</v>
      </c>
      <c r="F150" s="279"/>
      <c r="G150" s="385">
        <f>SUM(G147:G149)</f>
        <v>32.200000000000003</v>
      </c>
      <c r="H150" s="322"/>
      <c r="I150" s="386">
        <f>SUM(I147:I149)</f>
        <v>13827.897999999997</v>
      </c>
      <c r="J150" s="322"/>
      <c r="K150" s="386">
        <f>SUM(K147:K149)</f>
        <v>13827.897999999997</v>
      </c>
      <c r="L150" s="279"/>
      <c r="M150" s="386">
        <f>SUM(M147:M149)</f>
        <v>0</v>
      </c>
      <c r="N150" s="322"/>
      <c r="O150" s="386">
        <f>SUM(O147:O149)</f>
        <v>13827.897999999997</v>
      </c>
      <c r="X150" s="214"/>
      <c r="Y150" s="462"/>
      <c r="Z150" s="322"/>
      <c r="AA150" s="463"/>
      <c r="AB150" s="279"/>
      <c r="AC150" s="279"/>
      <c r="AD150" s="322"/>
      <c r="AE150" s="318"/>
      <c r="AF150" s="279"/>
      <c r="AG150" s="318"/>
      <c r="AH150" s="279"/>
      <c r="AI150" s="318"/>
      <c r="AJ150" s="318"/>
      <c r="AK150" s="318"/>
      <c r="AL150" s="319"/>
      <c r="AM150" s="319"/>
      <c r="AN150" s="319"/>
      <c r="AO150" s="319"/>
      <c r="AP150" s="319"/>
    </row>
    <row r="151" spans="1:42" ht="15.75" thickTop="1">
      <c r="A151" s="214"/>
      <c r="B151" s="214"/>
      <c r="C151" s="462"/>
      <c r="D151" s="322"/>
      <c r="E151" s="463"/>
      <c r="F151" s="279"/>
      <c r="G151" s="279"/>
      <c r="H151" s="322"/>
      <c r="I151" s="279"/>
      <c r="J151" s="322"/>
      <c r="K151" s="279"/>
      <c r="L151" s="279"/>
      <c r="M151" s="279"/>
      <c r="N151" s="322"/>
      <c r="O151" s="322"/>
      <c r="X151" s="214"/>
      <c r="Y151" s="462"/>
      <c r="Z151" s="322"/>
      <c r="AA151" s="463"/>
      <c r="AB151" s="279"/>
      <c r="AC151" s="279"/>
      <c r="AD151" s="322"/>
      <c r="AE151" s="318"/>
      <c r="AF151" s="279"/>
      <c r="AG151" s="318"/>
      <c r="AH151" s="279"/>
      <c r="AI151" s="318"/>
      <c r="AJ151" s="318"/>
      <c r="AK151" s="318"/>
      <c r="AL151" s="319"/>
      <c r="AM151" s="319"/>
      <c r="AN151" s="319"/>
      <c r="AO151" s="319"/>
      <c r="AP151" s="319"/>
    </row>
    <row r="152" spans="1:42">
      <c r="A152" s="214"/>
      <c r="B152" s="214"/>
      <c r="C152" s="316" t="s">
        <v>877</v>
      </c>
      <c r="D152" s="323"/>
      <c r="E152" s="463"/>
      <c r="F152" s="279"/>
      <c r="G152" s="279"/>
      <c r="H152" s="322"/>
      <c r="I152" s="279"/>
      <c r="J152" s="322"/>
      <c r="K152" s="279"/>
      <c r="L152" s="279"/>
      <c r="M152" s="279"/>
      <c r="N152" s="322"/>
      <c r="O152" s="322"/>
      <c r="X152" s="214"/>
      <c r="Y152" s="462"/>
      <c r="Z152" s="322"/>
      <c r="AA152" s="463"/>
      <c r="AB152" s="279"/>
      <c r="AC152" s="279"/>
      <c r="AD152" s="322"/>
      <c r="AE152" s="318"/>
      <c r="AF152" s="279"/>
      <c r="AG152" s="318"/>
      <c r="AH152" s="279"/>
      <c r="AI152" s="318"/>
      <c r="AJ152" s="318"/>
      <c r="AK152" s="318"/>
      <c r="AL152" s="319"/>
      <c r="AM152" s="319"/>
      <c r="AN152" s="319"/>
      <c r="AO152" s="319"/>
      <c r="AP152" s="319"/>
    </row>
    <row r="153" spans="1:42">
      <c r="A153" s="214"/>
      <c r="B153" s="214"/>
      <c r="C153" s="316" t="s">
        <v>878</v>
      </c>
      <c r="D153" s="324">
        <v>367.33</v>
      </c>
      <c r="E153" s="463"/>
      <c r="F153" s="279"/>
      <c r="G153" s="279"/>
      <c r="H153" s="322"/>
      <c r="I153" s="279"/>
      <c r="J153" s="322"/>
      <c r="K153" s="279"/>
      <c r="L153" s="279"/>
      <c r="M153" s="279"/>
      <c r="N153" s="322"/>
      <c r="O153" s="322"/>
      <c r="X153" s="214"/>
      <c r="Y153" s="462"/>
      <c r="Z153" s="322"/>
      <c r="AA153" s="463"/>
      <c r="AB153" s="279"/>
      <c r="AC153" s="279"/>
      <c r="AD153" s="322"/>
      <c r="AE153" s="318"/>
      <c r="AF153" s="279"/>
      <c r="AG153" s="318"/>
      <c r="AH153" s="279"/>
      <c r="AI153" s="318"/>
      <c r="AJ153" s="318"/>
      <c r="AK153" s="318"/>
      <c r="AL153" s="319"/>
      <c r="AM153" s="319"/>
      <c r="AN153" s="319"/>
      <c r="AO153" s="319"/>
      <c r="AP153" s="319"/>
    </row>
    <row r="154" spans="1:42">
      <c r="A154" s="214"/>
      <c r="B154" s="214"/>
      <c r="C154" s="316" t="s">
        <v>879</v>
      </c>
      <c r="D154" s="325">
        <v>2.48</v>
      </c>
      <c r="E154" s="463"/>
      <c r="F154" s="279"/>
      <c r="G154" s="279"/>
      <c r="H154" s="322"/>
      <c r="I154" s="279"/>
      <c r="J154" s="322"/>
      <c r="K154" s="279"/>
      <c r="L154" s="279"/>
      <c r="M154" s="279"/>
      <c r="N154" s="322"/>
      <c r="O154" s="322"/>
      <c r="X154" s="214"/>
      <c r="Y154" s="462"/>
      <c r="Z154" s="322"/>
      <c r="AA154" s="463"/>
      <c r="AB154" s="279"/>
      <c r="AC154" s="279"/>
      <c r="AD154" s="322"/>
      <c r="AE154" s="318"/>
      <c r="AF154" s="279"/>
      <c r="AG154" s="318"/>
      <c r="AH154" s="279"/>
      <c r="AI154" s="318"/>
      <c r="AJ154" s="318"/>
      <c r="AK154" s="318"/>
      <c r="AL154" s="319"/>
      <c r="AM154" s="319"/>
      <c r="AN154" s="319"/>
      <c r="AO154" s="319"/>
      <c r="AP154" s="319"/>
    </row>
    <row r="155" spans="1:42">
      <c r="A155" s="214"/>
      <c r="B155" s="214"/>
      <c r="C155" s="316"/>
      <c r="D155" s="325"/>
      <c r="E155" s="463"/>
      <c r="F155" s="279"/>
      <c r="G155" s="279"/>
      <c r="H155" s="322"/>
      <c r="I155" s="279"/>
      <c r="J155" s="322"/>
      <c r="K155" s="279"/>
      <c r="L155" s="279"/>
      <c r="M155" s="279"/>
      <c r="N155" s="322"/>
      <c r="O155" s="322"/>
      <c r="R155" s="295"/>
      <c r="S155" s="22"/>
      <c r="T155" s="22"/>
      <c r="U155" s="22"/>
      <c r="V155" s="22"/>
      <c r="W155" s="22"/>
      <c r="X155" s="22" t="s">
        <v>501</v>
      </c>
      <c r="Y155" s="462"/>
      <c r="Z155" s="322"/>
      <c r="AA155" s="463"/>
      <c r="AB155" s="279"/>
      <c r="AC155" s="279"/>
      <c r="AD155" s="322"/>
      <c r="AE155" s="318"/>
      <c r="AF155" s="279"/>
      <c r="AG155" s="318"/>
      <c r="AH155" s="279"/>
      <c r="AI155" s="318"/>
      <c r="AJ155" s="318"/>
      <c r="AK155" s="318"/>
      <c r="AL155" s="319"/>
      <c r="AM155" s="319"/>
      <c r="AN155" s="319"/>
      <c r="AO155" s="319"/>
      <c r="AP155" s="319"/>
    </row>
    <row r="156" spans="1:42">
      <c r="A156" s="214"/>
      <c r="B156" s="214"/>
      <c r="C156" s="462" t="s">
        <v>1598</v>
      </c>
      <c r="D156" s="322"/>
      <c r="E156" s="463">
        <v>175440</v>
      </c>
      <c r="F156" s="279"/>
      <c r="G156" s="279">
        <v>2.5333333333333332</v>
      </c>
      <c r="H156" s="322"/>
      <c r="I156" s="318">
        <v>1470.3719999999998</v>
      </c>
      <c r="J156" s="322"/>
      <c r="K156" s="318">
        <f>I156</f>
        <v>1470.3719999999998</v>
      </c>
      <c r="L156" s="318"/>
      <c r="M156" s="318">
        <v>0</v>
      </c>
      <c r="N156" s="318"/>
      <c r="O156" s="318">
        <f>K156-M156</f>
        <v>1470.3719999999998</v>
      </c>
      <c r="Q156" s="22" t="s">
        <v>669</v>
      </c>
      <c r="R156" s="295"/>
      <c r="S156" s="22"/>
      <c r="T156" s="22"/>
      <c r="U156" s="22"/>
      <c r="V156" s="22"/>
      <c r="W156" s="22"/>
      <c r="X156" s="22" t="s">
        <v>924</v>
      </c>
      <c r="Y156" s="462"/>
      <c r="Z156" s="322"/>
      <c r="AA156" s="463"/>
      <c r="AB156" s="279"/>
      <c r="AC156" s="279"/>
      <c r="AD156" s="322"/>
      <c r="AE156" s="318"/>
      <c r="AF156" s="279"/>
      <c r="AG156" s="318"/>
      <c r="AH156" s="279"/>
      <c r="AI156" s="318"/>
      <c r="AJ156" s="318"/>
      <c r="AK156" s="318"/>
      <c r="AL156" s="319"/>
      <c r="AM156" s="278"/>
      <c r="AN156" s="319"/>
      <c r="AO156" s="319"/>
      <c r="AP156" s="319"/>
    </row>
    <row r="157" spans="1:42">
      <c r="A157" s="214"/>
      <c r="B157" s="214"/>
      <c r="C157" s="462" t="s">
        <v>1599</v>
      </c>
      <c r="D157" s="322"/>
      <c r="E157" s="463">
        <v>3330600</v>
      </c>
      <c r="F157" s="279"/>
      <c r="G157" s="279">
        <v>1.2666666666666666</v>
      </c>
      <c r="H157" s="322"/>
      <c r="I157" s="279">
        <v>6447.3139999999994</v>
      </c>
      <c r="J157" s="322"/>
      <c r="K157" s="279">
        <f>I157</f>
        <v>6447.3139999999994</v>
      </c>
      <c r="L157" s="279"/>
      <c r="M157" s="279">
        <v>0</v>
      </c>
      <c r="N157" s="325"/>
      <c r="O157" s="279">
        <f>K157-M157</f>
        <v>6447.3139999999994</v>
      </c>
      <c r="Q157" s="732">
        <f>(SUM(E156:E157))/(SUM(G156:G157))</f>
        <v>922642.10526315798</v>
      </c>
      <c r="R157" s="295"/>
      <c r="S157" s="22"/>
      <c r="T157" s="22"/>
      <c r="U157" s="22"/>
      <c r="V157" s="22"/>
      <c r="W157" s="22"/>
      <c r="X157" s="732">
        <f>SUM(G164:G165)/12</f>
        <v>2.6833333333333336</v>
      </c>
      <c r="Y157" s="462"/>
      <c r="Z157" s="322"/>
      <c r="AA157" s="463"/>
      <c r="AB157" s="279"/>
      <c r="AC157" s="279"/>
      <c r="AD157" s="322"/>
      <c r="AE157" s="318"/>
      <c r="AF157" s="279"/>
      <c r="AG157" s="318"/>
      <c r="AH157" s="279"/>
      <c r="AI157" s="318"/>
      <c r="AJ157" s="318"/>
      <c r="AK157" s="318"/>
      <c r="AL157" s="319"/>
      <c r="AM157" s="319"/>
      <c r="AN157" s="319"/>
      <c r="AO157" s="319"/>
      <c r="AP157" s="319"/>
    </row>
    <row r="158" spans="1:42" ht="15.75" thickBot="1">
      <c r="A158" s="214"/>
      <c r="B158" s="214"/>
      <c r="C158" s="462"/>
      <c r="D158" s="322"/>
      <c r="E158" s="735">
        <f>SUM(E156:E157)</f>
        <v>3506040</v>
      </c>
      <c r="F158" s="279"/>
      <c r="G158" s="385">
        <f>SUM(G156:G157)</f>
        <v>3.8</v>
      </c>
      <c r="H158" s="322"/>
      <c r="I158" s="386">
        <f>SUM(I156:I157)</f>
        <v>7917.6859999999997</v>
      </c>
      <c r="J158" s="322"/>
      <c r="K158" s="386">
        <f>SUM(K156:K157)</f>
        <v>7917.6859999999997</v>
      </c>
      <c r="L158" s="279"/>
      <c r="M158" s="386">
        <f>SUM(M156:M157)</f>
        <v>0</v>
      </c>
      <c r="N158" s="322"/>
      <c r="O158" s="386">
        <f>SUM(O156:O157)</f>
        <v>7917.6859999999997</v>
      </c>
      <c r="X158" s="214"/>
      <c r="Y158" s="462"/>
      <c r="Z158" s="322"/>
      <c r="AA158" s="463"/>
      <c r="AB158" s="279"/>
      <c r="AC158" s="279"/>
      <c r="AD158" s="322"/>
      <c r="AE158" s="318"/>
      <c r="AF158" s="279"/>
      <c r="AG158" s="318"/>
      <c r="AH158" s="279"/>
      <c r="AI158" s="318"/>
      <c r="AJ158" s="318"/>
      <c r="AK158" s="318"/>
      <c r="AL158" s="319"/>
      <c r="AM158" s="319"/>
      <c r="AN158" s="319"/>
      <c r="AO158" s="319"/>
      <c r="AP158" s="319"/>
    </row>
    <row r="159" spans="1:42" ht="15.75" thickTop="1">
      <c r="A159" s="214"/>
      <c r="B159" s="214"/>
      <c r="C159" s="462"/>
      <c r="D159" s="322"/>
      <c r="E159" s="463"/>
      <c r="F159" s="279"/>
      <c r="G159" s="279"/>
      <c r="H159" s="322"/>
      <c r="I159" s="279"/>
      <c r="J159" s="322"/>
      <c r="K159" s="279"/>
      <c r="L159" s="279"/>
      <c r="M159" s="279"/>
      <c r="N159" s="322"/>
      <c r="O159" s="322"/>
      <c r="X159" s="214"/>
      <c r="Y159" s="462"/>
      <c r="Z159" s="322"/>
      <c r="AA159" s="463"/>
      <c r="AB159" s="279"/>
      <c r="AC159" s="279"/>
      <c r="AD159" s="322"/>
      <c r="AE159" s="318"/>
      <c r="AF159" s="279"/>
      <c r="AG159" s="318"/>
      <c r="AH159" s="279"/>
      <c r="AI159" s="318"/>
      <c r="AJ159" s="318"/>
      <c r="AK159" s="318"/>
      <c r="AL159" s="319"/>
      <c r="AM159" s="319"/>
      <c r="AN159" s="319"/>
      <c r="AO159" s="319"/>
      <c r="AP159" s="319"/>
    </row>
    <row r="160" spans="1:42">
      <c r="A160" s="214"/>
      <c r="B160" s="214"/>
      <c r="C160" s="316" t="s">
        <v>587</v>
      </c>
      <c r="D160" s="323"/>
      <c r="E160" s="463"/>
      <c r="F160" s="279"/>
      <c r="G160" s="279"/>
      <c r="H160" s="322"/>
      <c r="I160" s="279"/>
      <c r="J160" s="322"/>
      <c r="K160" s="279"/>
      <c r="L160" s="279"/>
      <c r="M160" s="279"/>
      <c r="N160" s="322"/>
      <c r="O160" s="322"/>
      <c r="X160" s="214"/>
      <c r="Y160" s="462"/>
      <c r="Z160" s="322"/>
      <c r="AA160" s="463"/>
      <c r="AB160" s="279"/>
      <c r="AC160" s="279"/>
      <c r="AD160" s="322"/>
      <c r="AE160" s="318"/>
      <c r="AF160" s="279"/>
      <c r="AG160" s="318"/>
      <c r="AH160" s="279"/>
      <c r="AI160" s="318"/>
      <c r="AJ160" s="318"/>
      <c r="AK160" s="318"/>
      <c r="AL160" s="319"/>
      <c r="AM160" s="319"/>
      <c r="AN160" s="319"/>
      <c r="AO160" s="319"/>
      <c r="AP160" s="319"/>
    </row>
    <row r="161" spans="1:42">
      <c r="A161" s="214"/>
      <c r="B161" s="214"/>
      <c r="C161" s="316" t="s">
        <v>588</v>
      </c>
      <c r="D161" s="324">
        <v>580.41</v>
      </c>
      <c r="E161" s="463"/>
      <c r="F161" s="279"/>
      <c r="G161" s="279"/>
      <c r="H161" s="322"/>
      <c r="I161" s="279"/>
      <c r="J161" s="322"/>
      <c r="K161" s="279"/>
      <c r="L161" s="279"/>
      <c r="M161" s="279"/>
      <c r="N161" s="322"/>
      <c r="O161" s="322"/>
      <c r="X161" s="214"/>
      <c r="Y161" s="462"/>
      <c r="Z161" s="322"/>
      <c r="AA161" s="463"/>
      <c r="AB161" s="279"/>
      <c r="AC161" s="279"/>
      <c r="AD161" s="322"/>
      <c r="AE161" s="318"/>
      <c r="AF161" s="279"/>
      <c r="AG161" s="318"/>
      <c r="AH161" s="279"/>
      <c r="AI161" s="318"/>
      <c r="AJ161" s="318"/>
      <c r="AK161" s="318"/>
      <c r="AL161" s="319"/>
      <c r="AM161" s="319"/>
      <c r="AN161" s="319"/>
      <c r="AO161" s="319"/>
      <c r="AP161" s="319"/>
    </row>
    <row r="162" spans="1:42">
      <c r="A162" s="214"/>
      <c r="B162" s="214"/>
      <c r="C162" s="462" t="s">
        <v>875</v>
      </c>
      <c r="D162" s="325">
        <v>1.92</v>
      </c>
      <c r="E162" s="463"/>
      <c r="F162" s="279"/>
      <c r="G162" s="279"/>
      <c r="H162" s="322"/>
      <c r="I162" s="279"/>
      <c r="J162" s="322"/>
      <c r="K162" s="279"/>
      <c r="L162" s="279"/>
      <c r="M162" s="279"/>
      <c r="N162" s="322"/>
      <c r="O162" s="322"/>
      <c r="X162" s="214"/>
      <c r="Y162" s="462"/>
      <c r="Z162" s="322"/>
      <c r="AA162" s="463"/>
      <c r="AB162" s="279"/>
      <c r="AC162" s="279"/>
      <c r="AD162" s="322"/>
      <c r="AE162" s="318"/>
      <c r="AF162" s="279"/>
      <c r="AG162" s="318"/>
      <c r="AH162" s="279"/>
      <c r="AI162" s="318"/>
      <c r="AJ162" s="318"/>
      <c r="AK162" s="318"/>
      <c r="AL162" s="319"/>
      <c r="AM162" s="319"/>
      <c r="AN162" s="319"/>
      <c r="AO162" s="319"/>
      <c r="AP162" s="319"/>
    </row>
    <row r="163" spans="1:42">
      <c r="A163" s="214"/>
      <c r="B163" s="214"/>
      <c r="C163" s="462"/>
      <c r="D163" s="322"/>
      <c r="E163" s="463"/>
      <c r="F163" s="279"/>
      <c r="G163" s="279"/>
      <c r="H163" s="322"/>
      <c r="I163" s="279"/>
      <c r="J163" s="322"/>
      <c r="K163" s="279"/>
      <c r="L163" s="279"/>
      <c r="M163" s="279"/>
      <c r="N163" s="322"/>
      <c r="O163" s="322"/>
      <c r="Q163" s="22"/>
      <c r="X163" s="214"/>
      <c r="Y163" s="462"/>
      <c r="Z163" s="322"/>
      <c r="AA163" s="463"/>
      <c r="AB163" s="279"/>
      <c r="AC163" s="279"/>
      <c r="AD163" s="322"/>
      <c r="AE163" s="318"/>
      <c r="AF163" s="279"/>
      <c r="AG163" s="318"/>
      <c r="AH163" s="279"/>
      <c r="AI163" s="318"/>
      <c r="AJ163" s="318"/>
      <c r="AK163" s="318"/>
      <c r="AL163" s="319"/>
      <c r="AM163" s="319"/>
      <c r="AN163" s="319"/>
      <c r="AO163" s="319"/>
      <c r="AP163" s="319"/>
    </row>
    <row r="164" spans="1:42">
      <c r="A164" s="214"/>
      <c r="B164" s="214"/>
      <c r="C164" s="462" t="s">
        <v>1600</v>
      </c>
      <c r="D164" s="322"/>
      <c r="E164" s="463">
        <v>1489960</v>
      </c>
      <c r="F164" s="279"/>
      <c r="G164" s="279">
        <v>21.466666666666669</v>
      </c>
      <c r="H164" s="322"/>
      <c r="I164" s="318">
        <v>16074.025333333338</v>
      </c>
      <c r="J164" s="322"/>
      <c r="K164" s="318">
        <f>I164</f>
        <v>16074.025333333338</v>
      </c>
      <c r="L164" s="318"/>
      <c r="M164" s="318">
        <v>0</v>
      </c>
      <c r="N164" s="318"/>
      <c r="O164" s="318">
        <f>K164-M164</f>
        <v>16074.025333333338</v>
      </c>
      <c r="Q164" s="22" t="s">
        <v>669</v>
      </c>
      <c r="X164" s="214"/>
      <c r="Y164" s="462"/>
      <c r="Z164" s="322"/>
      <c r="AA164" s="463"/>
      <c r="AB164" s="279"/>
      <c r="AC164" s="279"/>
      <c r="AD164" s="322"/>
      <c r="AE164" s="318"/>
      <c r="AF164" s="279"/>
      <c r="AG164" s="318"/>
      <c r="AH164" s="279"/>
      <c r="AI164" s="318"/>
      <c r="AJ164" s="318"/>
      <c r="AK164" s="318"/>
      <c r="AL164" s="319"/>
      <c r="AM164" s="278"/>
      <c r="AN164" s="319"/>
      <c r="AO164" s="329"/>
      <c r="AP164" s="319"/>
    </row>
    <row r="165" spans="1:42" s="22" customFormat="1">
      <c r="A165" s="214"/>
      <c r="B165" s="214"/>
      <c r="C165" s="462" t="s">
        <v>1601</v>
      </c>
      <c r="D165" s="322"/>
      <c r="E165" s="463">
        <v>24244000</v>
      </c>
      <c r="F165" s="279"/>
      <c r="G165" s="279">
        <v>10.733333333333333</v>
      </c>
      <c r="H165" s="322"/>
      <c r="I165" s="279">
        <v>60684.767333333337</v>
      </c>
      <c r="J165" s="322"/>
      <c r="K165" s="279">
        <f>I165</f>
        <v>60684.767333333337</v>
      </c>
      <c r="L165" s="279"/>
      <c r="M165" s="279">
        <v>0</v>
      </c>
      <c r="N165" s="325"/>
      <c r="O165" s="279">
        <f>K165-M165</f>
        <v>60684.767333333337</v>
      </c>
      <c r="P165" s="15"/>
      <c r="Q165" s="732">
        <f>(SUM(E164:E165))/(SUM(G164:G165))</f>
        <v>799191.30434782605</v>
      </c>
      <c r="R165" s="295"/>
      <c r="X165" s="276"/>
      <c r="Y165" s="464"/>
      <c r="Z165" s="329"/>
      <c r="AA165" s="465"/>
      <c r="AB165" s="278"/>
      <c r="AC165" s="278"/>
      <c r="AD165" s="329"/>
      <c r="AE165" s="319"/>
      <c r="AF165" s="278"/>
      <c r="AG165" s="319"/>
      <c r="AH165" s="278"/>
      <c r="AI165" s="319"/>
      <c r="AJ165" s="319"/>
      <c r="AK165" s="319"/>
      <c r="AL165" s="319"/>
      <c r="AM165" s="319"/>
      <c r="AN165" s="319"/>
      <c r="AO165" s="319"/>
      <c r="AP165" s="319"/>
    </row>
    <row r="166" spans="1:42" s="22" customFormat="1" ht="15.75" thickBot="1">
      <c r="A166" s="214"/>
      <c r="B166" s="214"/>
      <c r="C166" s="462"/>
      <c r="D166" s="322"/>
      <c r="E166" s="735">
        <f>SUM(E164:E165)</f>
        <v>25733960</v>
      </c>
      <c r="F166" s="279"/>
      <c r="G166" s="385">
        <f>SUM(G164:G165)</f>
        <v>32.200000000000003</v>
      </c>
      <c r="H166" s="322"/>
      <c r="I166" s="386">
        <f>SUM(I164:I165)</f>
        <v>76758.792666666675</v>
      </c>
      <c r="J166" s="322"/>
      <c r="K166" s="386">
        <f>SUM(K164:K165)</f>
        <v>76758.792666666675</v>
      </c>
      <c r="L166" s="279"/>
      <c r="M166" s="386">
        <f>SUM(M164:M165)</f>
        <v>0</v>
      </c>
      <c r="N166" s="322"/>
      <c r="O166" s="386">
        <f>SUM(O164:O165)</f>
        <v>76758.792666666675</v>
      </c>
      <c r="P166" s="15"/>
      <c r="Q166" s="15"/>
      <c r="R166" s="295"/>
      <c r="X166" s="276"/>
      <c r="Y166" s="464"/>
      <c r="Z166" s="329"/>
      <c r="AA166" s="465"/>
      <c r="AB166" s="278"/>
      <c r="AC166" s="278"/>
      <c r="AD166" s="329"/>
      <c r="AE166" s="319"/>
      <c r="AF166" s="278"/>
      <c r="AG166" s="319"/>
      <c r="AH166" s="278"/>
      <c r="AI166" s="319"/>
      <c r="AJ166" s="319"/>
      <c r="AK166" s="319"/>
      <c r="AL166" s="319"/>
      <c r="AM166" s="319"/>
      <c r="AN166" s="319"/>
      <c r="AO166" s="319"/>
      <c r="AP166" s="319"/>
    </row>
    <row r="167" spans="1:42" s="22" customFormat="1" ht="15.75" thickTop="1">
      <c r="A167" s="214"/>
      <c r="B167" s="214"/>
      <c r="C167" s="462"/>
      <c r="D167" s="322"/>
      <c r="E167" s="463"/>
      <c r="F167" s="279"/>
      <c r="G167" s="279"/>
      <c r="H167" s="322"/>
      <c r="I167" s="279"/>
      <c r="J167" s="322"/>
      <c r="K167" s="279"/>
      <c r="L167" s="279"/>
      <c r="M167" s="279"/>
      <c r="N167" s="322"/>
      <c r="O167" s="322"/>
      <c r="P167" s="15"/>
      <c r="Q167" s="15"/>
      <c r="R167" s="295"/>
      <c r="X167" s="276"/>
      <c r="Y167" s="464"/>
      <c r="Z167" s="329"/>
      <c r="AA167" s="465"/>
      <c r="AB167" s="278"/>
      <c r="AC167" s="278"/>
      <c r="AD167" s="329"/>
      <c r="AE167" s="319"/>
      <c r="AF167" s="278"/>
      <c r="AG167" s="319"/>
      <c r="AH167" s="278"/>
      <c r="AI167" s="319"/>
      <c r="AJ167" s="319"/>
      <c r="AK167" s="319"/>
      <c r="AL167" s="319"/>
      <c r="AM167" s="319"/>
      <c r="AN167" s="319"/>
      <c r="AO167" s="319"/>
      <c r="AP167" s="319"/>
    </row>
    <row r="168" spans="1:42" s="22" customFormat="1">
      <c r="A168" s="214"/>
      <c r="B168" s="214"/>
      <c r="C168" s="316" t="s">
        <v>587</v>
      </c>
      <c r="D168" s="323"/>
      <c r="E168" s="463"/>
      <c r="F168" s="279"/>
      <c r="G168" s="279"/>
      <c r="H168" s="322"/>
      <c r="I168" s="279"/>
      <c r="J168" s="322"/>
      <c r="K168" s="279"/>
      <c r="L168" s="279"/>
      <c r="M168" s="279"/>
      <c r="N168" s="322"/>
      <c r="O168" s="322"/>
      <c r="P168" s="15"/>
      <c r="Q168" s="15"/>
      <c r="R168" s="295"/>
      <c r="X168" s="276"/>
      <c r="Y168" s="464"/>
      <c r="Z168" s="329"/>
      <c r="AA168" s="465"/>
      <c r="AB168" s="278"/>
      <c r="AC168" s="278"/>
      <c r="AD168" s="329"/>
      <c r="AE168" s="319"/>
      <c r="AF168" s="278"/>
      <c r="AG168" s="319"/>
      <c r="AH168" s="278"/>
      <c r="AI168" s="319"/>
      <c r="AJ168" s="319"/>
      <c r="AK168" s="319"/>
      <c r="AL168" s="319"/>
      <c r="AM168" s="319"/>
      <c r="AN168" s="319"/>
      <c r="AO168" s="319"/>
      <c r="AP168" s="319"/>
    </row>
    <row r="169" spans="1:42" s="22" customFormat="1">
      <c r="A169" s="214"/>
      <c r="B169" s="214"/>
      <c r="C169" s="316" t="s">
        <v>588</v>
      </c>
      <c r="D169" s="324">
        <v>748.79</v>
      </c>
      <c r="E169" s="463"/>
      <c r="F169" s="279"/>
      <c r="G169" s="279"/>
      <c r="H169" s="322"/>
      <c r="I169" s="279"/>
      <c r="J169" s="322"/>
      <c r="K169" s="279"/>
      <c r="L169" s="279"/>
      <c r="M169" s="279"/>
      <c r="N169" s="322"/>
      <c r="O169" s="322"/>
      <c r="P169" s="15"/>
      <c r="Q169" s="15"/>
      <c r="R169" s="295"/>
      <c r="X169" s="276"/>
      <c r="Y169" s="464"/>
      <c r="Z169" s="329"/>
      <c r="AA169" s="465"/>
      <c r="AB169" s="278"/>
      <c r="AC169" s="278"/>
      <c r="AD169" s="329"/>
      <c r="AE169" s="319"/>
      <c r="AF169" s="278"/>
      <c r="AG169" s="319"/>
      <c r="AH169" s="278"/>
      <c r="AI169" s="319"/>
      <c r="AJ169" s="319"/>
      <c r="AK169" s="319"/>
      <c r="AL169" s="319"/>
      <c r="AM169" s="319"/>
      <c r="AN169" s="319"/>
      <c r="AO169" s="319"/>
      <c r="AP169" s="319"/>
    </row>
    <row r="170" spans="1:42" s="22" customFormat="1">
      <c r="A170" s="214"/>
      <c r="B170" s="214"/>
      <c r="C170" s="462" t="s">
        <v>875</v>
      </c>
      <c r="D170" s="325">
        <v>2.48</v>
      </c>
      <c r="E170" s="463"/>
      <c r="F170" s="279"/>
      <c r="G170" s="279"/>
      <c r="H170" s="322"/>
      <c r="I170" s="279"/>
      <c r="J170" s="322"/>
      <c r="K170" s="279"/>
      <c r="L170" s="279"/>
      <c r="M170" s="279"/>
      <c r="N170" s="322"/>
      <c r="O170" s="322"/>
      <c r="P170" s="15"/>
      <c r="Q170" s="15"/>
      <c r="R170" s="295"/>
      <c r="X170" s="276"/>
      <c r="Y170" s="464"/>
      <c r="Z170" s="329"/>
      <c r="AA170" s="465"/>
      <c r="AB170" s="278"/>
      <c r="AC170" s="278"/>
      <c r="AD170" s="329"/>
      <c r="AE170" s="319"/>
      <c r="AF170" s="278"/>
      <c r="AG170" s="319"/>
      <c r="AH170" s="278"/>
      <c r="AI170" s="319"/>
      <c r="AJ170" s="319"/>
      <c r="AK170" s="319"/>
      <c r="AL170" s="319"/>
      <c r="AM170" s="319"/>
      <c r="AN170" s="319"/>
      <c r="AO170" s="319"/>
      <c r="AP170" s="319"/>
    </row>
    <row r="171" spans="1:42" s="22" customFormat="1">
      <c r="A171" s="214"/>
      <c r="B171" s="214"/>
      <c r="C171" s="462"/>
      <c r="D171" s="322"/>
      <c r="E171" s="463"/>
      <c r="F171" s="279"/>
      <c r="G171" s="279"/>
      <c r="H171" s="322"/>
      <c r="I171" s="279"/>
      <c r="J171" s="322"/>
      <c r="K171" s="279"/>
      <c r="L171" s="279"/>
      <c r="M171" s="279"/>
      <c r="N171" s="322"/>
      <c r="O171" s="322"/>
      <c r="P171" s="15"/>
      <c r="Q171" s="15"/>
      <c r="R171" s="295"/>
      <c r="X171" s="276"/>
      <c r="Y171" s="464"/>
      <c r="Z171" s="329"/>
      <c r="AA171" s="465"/>
      <c r="AB171" s="278"/>
      <c r="AC171" s="278"/>
      <c r="AD171" s="329"/>
      <c r="AE171" s="319"/>
      <c r="AF171" s="278"/>
      <c r="AG171" s="319"/>
      <c r="AH171" s="278"/>
      <c r="AI171" s="319"/>
      <c r="AJ171" s="319"/>
      <c r="AK171" s="319"/>
      <c r="AL171" s="319"/>
      <c r="AM171" s="319"/>
      <c r="AN171" s="319"/>
      <c r="AO171" s="319"/>
      <c r="AP171" s="319"/>
    </row>
    <row r="172" spans="1:42" s="22" customFormat="1">
      <c r="A172" s="214"/>
      <c r="B172" s="214"/>
      <c r="C172" s="462"/>
      <c r="D172" s="322"/>
      <c r="E172" s="463"/>
      <c r="F172" s="279"/>
      <c r="G172" s="279"/>
      <c r="H172" s="322"/>
      <c r="I172" s="279"/>
      <c r="J172" s="322"/>
      <c r="K172" s="279"/>
      <c r="L172" s="279"/>
      <c r="M172" s="279"/>
      <c r="N172" s="322"/>
      <c r="O172" s="322"/>
      <c r="P172" s="15"/>
      <c r="Q172" s="15"/>
      <c r="R172" s="295"/>
      <c r="X172" s="276"/>
      <c r="Y172" s="464"/>
      <c r="Z172" s="329"/>
      <c r="AA172" s="465"/>
      <c r="AB172" s="278"/>
      <c r="AC172" s="278"/>
      <c r="AD172" s="329"/>
      <c r="AE172" s="319"/>
      <c r="AF172" s="278"/>
      <c r="AG172" s="319"/>
      <c r="AH172" s="278"/>
      <c r="AI172" s="319"/>
      <c r="AJ172" s="319"/>
      <c r="AK172" s="319"/>
      <c r="AL172" s="319"/>
      <c r="AM172" s="319"/>
      <c r="AN172" s="319"/>
      <c r="AO172" s="319"/>
      <c r="AP172" s="319"/>
    </row>
    <row r="173" spans="1:42" s="22" customFormat="1">
      <c r="A173" s="214"/>
      <c r="B173" s="214"/>
      <c r="C173" s="462"/>
      <c r="D173" s="324"/>
      <c r="E173" s="463"/>
      <c r="F173" s="279"/>
      <c r="G173" s="279"/>
      <c r="H173" s="322"/>
      <c r="I173" s="318"/>
      <c r="J173" s="322"/>
      <c r="K173" s="318"/>
      <c r="L173" s="279"/>
      <c r="M173" s="318"/>
      <c r="N173" s="318"/>
      <c r="O173" s="318"/>
      <c r="R173" s="295"/>
      <c r="X173" s="276"/>
      <c r="Y173" s="464"/>
      <c r="Z173" s="329"/>
      <c r="AA173" s="465"/>
      <c r="AB173" s="278"/>
      <c r="AC173" s="278"/>
      <c r="AD173" s="329"/>
      <c r="AE173" s="319"/>
      <c r="AF173" s="278"/>
      <c r="AG173" s="319"/>
      <c r="AH173" s="278"/>
      <c r="AI173" s="319"/>
      <c r="AJ173" s="319"/>
      <c r="AK173" s="319"/>
      <c r="AL173" s="319"/>
      <c r="AM173" s="319"/>
      <c r="AN173" s="319"/>
      <c r="AO173" s="319"/>
      <c r="AP173" s="319"/>
    </row>
    <row r="174" spans="1:42" s="22" customFormat="1">
      <c r="A174" s="214"/>
      <c r="B174" s="214"/>
      <c r="C174" s="462"/>
      <c r="D174" s="324"/>
      <c r="E174" s="463"/>
      <c r="F174" s="279"/>
      <c r="G174" s="279"/>
      <c r="H174" s="322"/>
      <c r="I174" s="318"/>
      <c r="J174" s="322"/>
      <c r="K174" s="318"/>
      <c r="L174" s="279"/>
      <c r="M174" s="318"/>
      <c r="N174" s="318"/>
      <c r="O174" s="318"/>
      <c r="R174" s="295"/>
      <c r="X174" s="276"/>
      <c r="Y174" s="464"/>
      <c r="Z174" s="329"/>
      <c r="AA174" s="465"/>
      <c r="AB174" s="278"/>
      <c r="AC174" s="278"/>
      <c r="AD174" s="329"/>
      <c r="AE174" s="319"/>
      <c r="AF174" s="278"/>
      <c r="AG174" s="319"/>
      <c r="AH174" s="278"/>
      <c r="AI174" s="319"/>
      <c r="AJ174" s="319"/>
      <c r="AK174" s="319"/>
      <c r="AL174" s="319"/>
      <c r="AM174" s="319"/>
      <c r="AN174" s="319"/>
      <c r="AO174" s="319"/>
      <c r="AP174" s="319"/>
    </row>
    <row r="175" spans="1:42" s="22" customFormat="1">
      <c r="A175" s="214">
        <v>16037</v>
      </c>
      <c r="B175" s="214">
        <v>170</v>
      </c>
      <c r="C175" s="462" t="s">
        <v>1135</v>
      </c>
      <c r="D175" s="324">
        <v>15</v>
      </c>
      <c r="E175" s="463">
        <v>0</v>
      </c>
      <c r="F175" s="279"/>
      <c r="G175" s="279">
        <f>99+23</f>
        <v>122</v>
      </c>
      <c r="H175" s="322"/>
      <c r="I175" s="318">
        <v>1485</v>
      </c>
      <c r="J175" s="322"/>
      <c r="K175" s="318">
        <f>I175</f>
        <v>1485</v>
      </c>
      <c r="L175" s="279"/>
      <c r="M175" s="318">
        <v>0</v>
      </c>
      <c r="N175" s="322"/>
      <c r="O175" s="318">
        <f>K175-M175</f>
        <v>1485</v>
      </c>
      <c r="R175" s="295"/>
      <c r="X175" s="276"/>
      <c r="Y175" s="464"/>
      <c r="Z175" s="329"/>
      <c r="AA175" s="465"/>
      <c r="AB175" s="278"/>
      <c r="AC175" s="278"/>
      <c r="AD175" s="329"/>
      <c r="AE175" s="319"/>
      <c r="AF175" s="278"/>
      <c r="AG175" s="319"/>
      <c r="AH175" s="278"/>
      <c r="AI175" s="319"/>
      <c r="AJ175" s="319"/>
      <c r="AK175" s="319"/>
      <c r="AL175" s="319"/>
      <c r="AM175" s="319"/>
      <c r="AN175" s="319"/>
      <c r="AO175" s="319"/>
      <c r="AP175" s="319"/>
    </row>
    <row r="176" spans="1:42" s="22" customFormat="1">
      <c r="A176" s="214"/>
      <c r="B176" s="214"/>
      <c r="C176" s="462"/>
      <c r="D176" s="324"/>
      <c r="E176" s="463"/>
      <c r="F176" s="279"/>
      <c r="G176" s="279"/>
      <c r="H176" s="322"/>
      <c r="I176" s="318"/>
      <c r="J176" s="322"/>
      <c r="K176" s="318"/>
      <c r="L176" s="279"/>
      <c r="M176" s="318"/>
      <c r="N176" s="322"/>
      <c r="O176" s="318"/>
      <c r="R176" s="295"/>
      <c r="X176" s="276"/>
      <c r="Y176" s="464"/>
      <c r="Z176" s="329"/>
      <c r="AA176" s="465"/>
      <c r="AB176" s="278"/>
      <c r="AC176" s="278"/>
      <c r="AD176" s="329"/>
      <c r="AE176" s="319"/>
      <c r="AF176" s="278"/>
      <c r="AG176" s="319"/>
      <c r="AH176" s="278"/>
      <c r="AI176" s="319"/>
      <c r="AJ176" s="319"/>
      <c r="AK176" s="319"/>
      <c r="AL176" s="319"/>
      <c r="AM176" s="319"/>
      <c r="AN176" s="319"/>
      <c r="AO176" s="319"/>
      <c r="AP176" s="319"/>
    </row>
    <row r="177" spans="1:42" s="22" customFormat="1">
      <c r="A177" s="214">
        <v>16037</v>
      </c>
      <c r="B177" s="214">
        <v>171</v>
      </c>
      <c r="C177" s="462" t="s">
        <v>1135</v>
      </c>
      <c r="D177" s="324">
        <v>15</v>
      </c>
      <c r="E177" s="463">
        <v>0</v>
      </c>
      <c r="F177" s="279"/>
      <c r="G177" s="279">
        <v>22</v>
      </c>
      <c r="H177" s="322"/>
      <c r="I177" s="318">
        <v>330</v>
      </c>
      <c r="J177" s="322"/>
      <c r="K177" s="318">
        <f>I177</f>
        <v>330</v>
      </c>
      <c r="L177" s="279"/>
      <c r="M177" s="318">
        <v>0</v>
      </c>
      <c r="N177" s="318"/>
      <c r="O177" s="318">
        <f>K177-M177</f>
        <v>330</v>
      </c>
      <c r="R177" s="295"/>
      <c r="X177" s="276"/>
      <c r="Y177" s="330"/>
      <c r="Z177" s="328"/>
      <c r="AA177" s="465"/>
      <c r="AB177" s="278"/>
      <c r="AC177" s="278"/>
      <c r="AD177" s="329"/>
      <c r="AE177" s="319"/>
      <c r="AF177" s="329"/>
      <c r="AG177" s="278"/>
      <c r="AH177" s="329"/>
      <c r="AI177" s="329"/>
      <c r="AJ177" s="329"/>
      <c r="AK177" s="329"/>
      <c r="AL177" s="319"/>
      <c r="AM177" s="319"/>
      <c r="AN177" s="319"/>
      <c r="AO177" s="319"/>
      <c r="AP177" s="319"/>
    </row>
    <row r="178" spans="1:42" s="22" customFormat="1">
      <c r="A178" s="214"/>
      <c r="B178" s="214"/>
      <c r="C178" s="462"/>
      <c r="D178" s="324"/>
      <c r="E178" s="463"/>
      <c r="F178" s="279"/>
      <c r="G178" s="279"/>
      <c r="H178" s="322"/>
      <c r="I178" s="318"/>
      <c r="J178" s="322"/>
      <c r="K178" s="318"/>
      <c r="L178" s="279"/>
      <c r="M178" s="318"/>
      <c r="N178" s="318"/>
      <c r="O178" s="318"/>
      <c r="R178" s="295"/>
      <c r="X178" s="276"/>
      <c r="Y178" s="330"/>
      <c r="Z178" s="328"/>
      <c r="AA178" s="465"/>
      <c r="AB178" s="278"/>
      <c r="AC178" s="278"/>
      <c r="AD178" s="329"/>
      <c r="AE178" s="319"/>
      <c r="AF178" s="329"/>
      <c r="AG178" s="278"/>
      <c r="AH178" s="329"/>
      <c r="AI178" s="329"/>
      <c r="AJ178" s="329"/>
      <c r="AK178" s="329"/>
      <c r="AL178" s="319"/>
      <c r="AM178" s="319"/>
      <c r="AN178" s="319"/>
      <c r="AO178" s="319"/>
      <c r="AP178" s="319"/>
    </row>
    <row r="179" spans="1:42" s="22" customFormat="1">
      <c r="A179" s="214">
        <v>16037</v>
      </c>
      <c r="B179" s="214">
        <v>172</v>
      </c>
      <c r="C179" s="462" t="s">
        <v>1135</v>
      </c>
      <c r="D179" s="324">
        <v>15</v>
      </c>
      <c r="E179" s="463">
        <v>0</v>
      </c>
      <c r="F179" s="279"/>
      <c r="G179" s="279">
        <v>88</v>
      </c>
      <c r="H179" s="322"/>
      <c r="I179" s="318">
        <v>1320</v>
      </c>
      <c r="J179" s="322"/>
      <c r="K179" s="318">
        <f>I179</f>
        <v>1320</v>
      </c>
      <c r="L179" s="279"/>
      <c r="M179" s="318">
        <v>0</v>
      </c>
      <c r="N179" s="318"/>
      <c r="O179" s="318">
        <f>K179-M179</f>
        <v>1320</v>
      </c>
      <c r="R179" s="295"/>
      <c r="X179" s="276"/>
      <c r="Y179" s="330"/>
      <c r="Z179" s="328"/>
      <c r="AA179" s="465"/>
      <c r="AB179" s="278"/>
      <c r="AC179" s="278"/>
      <c r="AD179" s="329"/>
      <c r="AE179" s="319"/>
      <c r="AF179" s="329"/>
      <c r="AG179" s="278"/>
      <c r="AH179" s="329"/>
      <c r="AI179" s="329"/>
      <c r="AJ179" s="329"/>
      <c r="AK179" s="329"/>
      <c r="AL179" s="319"/>
      <c r="AM179" s="319"/>
      <c r="AN179" s="319"/>
      <c r="AO179" s="319"/>
      <c r="AP179" s="319"/>
    </row>
    <row r="180" spans="1:42" s="22" customFormat="1">
      <c r="A180" s="214"/>
      <c r="B180" s="214"/>
      <c r="C180" s="462"/>
      <c r="D180" s="324"/>
      <c r="E180" s="463"/>
      <c r="F180" s="279"/>
      <c r="G180" s="279"/>
      <c r="H180" s="322"/>
      <c r="I180" s="318"/>
      <c r="J180" s="322"/>
      <c r="K180" s="318"/>
      <c r="L180" s="279"/>
      <c r="M180" s="318"/>
      <c r="N180" s="318"/>
      <c r="O180" s="318"/>
      <c r="R180" s="295"/>
      <c r="X180" s="276"/>
      <c r="Y180" s="330"/>
      <c r="Z180" s="328"/>
      <c r="AA180" s="465"/>
      <c r="AB180" s="278"/>
      <c r="AC180" s="278"/>
      <c r="AD180" s="329"/>
      <c r="AE180" s="319"/>
      <c r="AF180" s="329"/>
      <c r="AG180" s="278"/>
      <c r="AH180" s="329"/>
      <c r="AI180" s="329"/>
      <c r="AJ180" s="329"/>
      <c r="AK180" s="329"/>
      <c r="AL180" s="319"/>
      <c r="AM180" s="319"/>
      <c r="AN180" s="319"/>
      <c r="AO180" s="319"/>
      <c r="AP180" s="319"/>
    </row>
    <row r="181" spans="1:42" s="22" customFormat="1">
      <c r="A181" s="214">
        <v>16037</v>
      </c>
      <c r="B181" s="214">
        <v>173</v>
      </c>
      <c r="C181" s="462" t="s">
        <v>1135</v>
      </c>
      <c r="D181" s="324">
        <v>15</v>
      </c>
      <c r="E181" s="463">
        <v>0</v>
      </c>
      <c r="F181" s="279"/>
      <c r="G181" s="279">
        <v>33</v>
      </c>
      <c r="H181" s="322"/>
      <c r="I181" s="318">
        <v>495</v>
      </c>
      <c r="J181" s="322"/>
      <c r="K181" s="318">
        <f>I181</f>
        <v>495</v>
      </c>
      <c r="L181" s="279"/>
      <c r="M181" s="318">
        <v>0</v>
      </c>
      <c r="N181" s="318"/>
      <c r="O181" s="318">
        <f>K181-M181</f>
        <v>495</v>
      </c>
      <c r="R181" s="295"/>
      <c r="X181" s="276"/>
      <c r="Y181" s="330"/>
      <c r="Z181" s="328"/>
      <c r="AA181" s="465"/>
      <c r="AB181" s="278"/>
      <c r="AC181" s="278"/>
      <c r="AD181" s="329"/>
      <c r="AE181" s="278"/>
      <c r="AF181" s="319"/>
      <c r="AG181" s="278"/>
      <c r="AH181" s="278"/>
      <c r="AI181" s="278"/>
      <c r="AJ181" s="329"/>
      <c r="AK181" s="329"/>
      <c r="AL181" s="319"/>
      <c r="AM181" s="319"/>
      <c r="AN181" s="319"/>
      <c r="AO181" s="319"/>
      <c r="AP181" s="319"/>
    </row>
    <row r="182" spans="1:42" s="22" customFormat="1" ht="16.5" customHeight="1">
      <c r="A182" s="214"/>
      <c r="B182" s="214"/>
      <c r="C182" s="462"/>
      <c r="D182" s="324"/>
      <c r="E182" s="463"/>
      <c r="F182" s="279"/>
      <c r="G182" s="279"/>
      <c r="H182" s="322"/>
      <c r="I182" s="318"/>
      <c r="J182" s="322"/>
      <c r="K182" s="318"/>
      <c r="L182" s="279"/>
      <c r="M182" s="318"/>
      <c r="N182" s="318"/>
      <c r="O182" s="318"/>
      <c r="R182" s="295"/>
      <c r="X182" s="276"/>
      <c r="Y182" s="330"/>
      <c r="Z182" s="328"/>
      <c r="AA182" s="465"/>
      <c r="AB182" s="278"/>
      <c r="AC182" s="278"/>
      <c r="AD182" s="329"/>
      <c r="AE182" s="278"/>
      <c r="AF182" s="319"/>
      <c r="AG182" s="278"/>
      <c r="AH182" s="278"/>
      <c r="AI182" s="278"/>
      <c r="AJ182" s="329"/>
      <c r="AK182" s="329"/>
      <c r="AL182" s="319"/>
      <c r="AM182" s="319"/>
      <c r="AN182" s="319"/>
      <c r="AO182" s="319"/>
      <c r="AP182" s="319"/>
    </row>
    <row r="183" spans="1:42" s="22" customFormat="1">
      <c r="A183" s="214">
        <v>16039</v>
      </c>
      <c r="B183" s="214">
        <v>170</v>
      </c>
      <c r="C183" s="462" t="s">
        <v>3</v>
      </c>
      <c r="D183" s="324">
        <v>15</v>
      </c>
      <c r="E183" s="463">
        <v>0</v>
      </c>
      <c r="F183" s="279"/>
      <c r="G183" s="279">
        <f>22+5</f>
        <v>27</v>
      </c>
      <c r="H183" s="322"/>
      <c r="I183" s="318">
        <v>330</v>
      </c>
      <c r="J183" s="322"/>
      <c r="K183" s="318">
        <f>I183</f>
        <v>330</v>
      </c>
      <c r="L183" s="279"/>
      <c r="M183" s="318">
        <v>0</v>
      </c>
      <c r="N183" s="318"/>
      <c r="O183" s="318">
        <f>K183-M183</f>
        <v>330</v>
      </c>
      <c r="R183" s="295"/>
      <c r="X183" s="276"/>
      <c r="Y183" s="330"/>
      <c r="Z183" s="328"/>
      <c r="AA183" s="465"/>
      <c r="AB183" s="278"/>
      <c r="AC183" s="278"/>
      <c r="AD183" s="329"/>
      <c r="AE183" s="278"/>
      <c r="AF183" s="319"/>
      <c r="AG183" s="278"/>
      <c r="AH183" s="278"/>
      <c r="AI183" s="278"/>
      <c r="AJ183" s="329"/>
      <c r="AK183" s="329"/>
      <c r="AL183" s="319"/>
      <c r="AM183" s="319"/>
      <c r="AN183" s="319"/>
      <c r="AO183" s="319"/>
      <c r="AP183" s="319"/>
    </row>
    <row r="184" spans="1:42" s="22" customFormat="1">
      <c r="A184" s="214"/>
      <c r="B184" s="214"/>
      <c r="C184" s="462"/>
      <c r="D184" s="324"/>
      <c r="E184" s="463"/>
      <c r="F184" s="279"/>
      <c r="G184" s="279"/>
      <c r="H184" s="322"/>
      <c r="I184" s="318"/>
      <c r="J184" s="322"/>
      <c r="K184" s="318"/>
      <c r="L184" s="279"/>
      <c r="M184" s="318"/>
      <c r="N184" s="318"/>
      <c r="O184" s="318"/>
      <c r="R184" s="295"/>
      <c r="X184" s="276"/>
      <c r="Y184" s="330"/>
      <c r="Z184" s="328"/>
      <c r="AA184" s="465"/>
      <c r="AB184" s="278"/>
      <c r="AC184" s="278"/>
      <c r="AD184" s="329"/>
      <c r="AE184" s="278"/>
      <c r="AF184" s="319"/>
      <c r="AG184" s="278"/>
      <c r="AH184" s="278"/>
      <c r="AI184" s="278"/>
      <c r="AJ184" s="329"/>
      <c r="AK184" s="329"/>
      <c r="AL184" s="319"/>
      <c r="AM184" s="319"/>
      <c r="AN184" s="319"/>
      <c r="AO184" s="319"/>
      <c r="AP184" s="319"/>
    </row>
    <row r="185" spans="1:42" s="22" customFormat="1">
      <c r="A185" s="214">
        <v>16039</v>
      </c>
      <c r="B185" s="214">
        <v>171</v>
      </c>
      <c r="C185" s="462" t="s">
        <v>3</v>
      </c>
      <c r="D185" s="324">
        <v>15</v>
      </c>
      <c r="E185" s="463">
        <v>0</v>
      </c>
      <c r="F185" s="279"/>
      <c r="G185" s="279">
        <v>11</v>
      </c>
      <c r="H185" s="322"/>
      <c r="I185" s="324">
        <v>165</v>
      </c>
      <c r="J185" s="322"/>
      <c r="K185" s="324">
        <f>I185</f>
        <v>165</v>
      </c>
      <c r="L185" s="324"/>
      <c r="M185" s="324">
        <v>0</v>
      </c>
      <c r="N185" s="324"/>
      <c r="O185" s="324">
        <f>K185-M185</f>
        <v>165</v>
      </c>
      <c r="R185" s="295"/>
      <c r="X185" s="276"/>
      <c r="Y185" s="330"/>
      <c r="Z185" s="328"/>
      <c r="AA185" s="465"/>
      <c r="AB185" s="278"/>
      <c r="AC185" s="278"/>
      <c r="AD185" s="329"/>
      <c r="AE185" s="319"/>
      <c r="AF185" s="278"/>
      <c r="AG185" s="319"/>
      <c r="AH185" s="278"/>
      <c r="AI185" s="278"/>
      <c r="AJ185" s="329"/>
      <c r="AK185" s="329"/>
      <c r="AL185" s="278"/>
      <c r="AM185" s="319"/>
      <c r="AN185" s="278"/>
      <c r="AO185" s="319"/>
      <c r="AP185" s="278"/>
    </row>
    <row r="186" spans="1:42" s="22" customFormat="1">
      <c r="A186" s="214"/>
      <c r="B186" s="214"/>
      <c r="C186" s="462"/>
      <c r="D186" s="324"/>
      <c r="E186" s="463"/>
      <c r="F186" s="279"/>
      <c r="G186" s="279"/>
      <c r="H186" s="322"/>
      <c r="I186" s="324"/>
      <c r="J186" s="322"/>
      <c r="K186" s="324"/>
      <c r="L186" s="324"/>
      <c r="M186" s="324"/>
      <c r="N186" s="324"/>
      <c r="O186" s="324"/>
      <c r="R186" s="295"/>
      <c r="X186" s="276"/>
      <c r="Y186" s="330"/>
      <c r="Z186" s="328"/>
      <c r="AA186" s="465"/>
      <c r="AB186" s="278"/>
      <c r="AC186" s="278"/>
      <c r="AD186" s="329"/>
      <c r="AE186" s="319"/>
      <c r="AF186" s="278"/>
      <c r="AG186" s="319"/>
      <c r="AH186" s="278"/>
      <c r="AI186" s="278"/>
      <c r="AJ186" s="329"/>
      <c r="AK186" s="329"/>
      <c r="AL186" s="278"/>
      <c r="AM186" s="319"/>
      <c r="AN186" s="278"/>
      <c r="AO186" s="319"/>
      <c r="AP186" s="278"/>
    </row>
    <row r="187" spans="1:42" s="22" customFormat="1">
      <c r="A187" s="214">
        <v>16040</v>
      </c>
      <c r="B187" s="214">
        <v>171</v>
      </c>
      <c r="C187" s="462" t="s">
        <v>969</v>
      </c>
      <c r="D187" s="324">
        <v>30</v>
      </c>
      <c r="E187" s="463">
        <v>0</v>
      </c>
      <c r="F187" s="279"/>
      <c r="G187" s="279">
        <v>22</v>
      </c>
      <c r="H187" s="322"/>
      <c r="I187" s="324">
        <v>660</v>
      </c>
      <c r="J187" s="322"/>
      <c r="K187" s="324">
        <f>I187</f>
        <v>660</v>
      </c>
      <c r="L187" s="324"/>
      <c r="M187" s="324">
        <v>0</v>
      </c>
      <c r="N187" s="324"/>
      <c r="O187" s="324">
        <f>K187-M187</f>
        <v>660</v>
      </c>
      <c r="R187" s="295"/>
      <c r="X187" s="276"/>
      <c r="Y187" s="330"/>
      <c r="Z187" s="328"/>
      <c r="AA187" s="465"/>
      <c r="AB187" s="278"/>
      <c r="AC187" s="278"/>
      <c r="AD187" s="329"/>
      <c r="AE187" s="319"/>
      <c r="AF187" s="278"/>
      <c r="AG187" s="319"/>
      <c r="AH187" s="278"/>
      <c r="AI187" s="278"/>
      <c r="AJ187" s="329"/>
      <c r="AK187" s="329"/>
      <c r="AL187" s="278"/>
      <c r="AM187" s="319"/>
      <c r="AN187" s="278"/>
      <c r="AO187" s="319"/>
      <c r="AP187" s="278"/>
    </row>
    <row r="188" spans="1:42" s="22" customFormat="1">
      <c r="A188" s="214"/>
      <c r="B188" s="214"/>
      <c r="C188" s="462"/>
      <c r="D188" s="324"/>
      <c r="E188" s="463"/>
      <c r="F188" s="279"/>
      <c r="G188" s="279"/>
      <c r="H188" s="322"/>
      <c r="I188" s="324"/>
      <c r="J188" s="322"/>
      <c r="K188" s="324"/>
      <c r="L188" s="324"/>
      <c r="M188" s="324"/>
      <c r="N188" s="324"/>
      <c r="O188" s="324"/>
      <c r="R188" s="295"/>
      <c r="X188" s="276"/>
      <c r="Y188" s="330"/>
      <c r="Z188" s="328"/>
      <c r="AA188" s="465"/>
      <c r="AB188" s="278"/>
      <c r="AC188" s="278"/>
      <c r="AD188" s="329"/>
      <c r="AE188" s="319"/>
      <c r="AF188" s="278"/>
      <c r="AG188" s="319"/>
      <c r="AH188" s="278"/>
      <c r="AI188" s="278"/>
      <c r="AJ188" s="329"/>
      <c r="AK188" s="329"/>
      <c r="AL188" s="278"/>
      <c r="AM188" s="319"/>
      <c r="AN188" s="278"/>
      <c r="AO188" s="319"/>
      <c r="AP188" s="278"/>
    </row>
    <row r="189" spans="1:42" s="22" customFormat="1">
      <c r="A189" s="214">
        <v>16040</v>
      </c>
      <c r="B189" s="214">
        <v>173</v>
      </c>
      <c r="C189" s="462" t="s">
        <v>969</v>
      </c>
      <c r="D189" s="324">
        <v>30</v>
      </c>
      <c r="E189" s="463">
        <v>0</v>
      </c>
      <c r="F189" s="279"/>
      <c r="G189" s="279">
        <v>11</v>
      </c>
      <c r="H189" s="322"/>
      <c r="I189" s="324">
        <v>330</v>
      </c>
      <c r="J189" s="322"/>
      <c r="K189" s="324">
        <f>I189</f>
        <v>330</v>
      </c>
      <c r="L189" s="324"/>
      <c r="M189" s="324">
        <v>0</v>
      </c>
      <c r="N189" s="324"/>
      <c r="O189" s="324">
        <f>K189-M189</f>
        <v>330</v>
      </c>
      <c r="R189" s="295"/>
      <c r="X189" s="276"/>
      <c r="Y189" s="330"/>
      <c r="Z189" s="328"/>
      <c r="AA189" s="465"/>
      <c r="AB189" s="278"/>
      <c r="AC189" s="278"/>
      <c r="AD189" s="329"/>
      <c r="AE189" s="319"/>
      <c r="AF189" s="329"/>
      <c r="AG189" s="278"/>
      <c r="AH189" s="329"/>
      <c r="AI189" s="329"/>
      <c r="AJ189" s="329"/>
      <c r="AK189" s="329"/>
      <c r="AL189" s="278"/>
      <c r="AM189" s="319"/>
      <c r="AN189" s="278"/>
      <c r="AO189" s="319"/>
      <c r="AP189" s="278"/>
    </row>
    <row r="190" spans="1:42" s="22" customFormat="1">
      <c r="A190" s="214"/>
      <c r="B190" s="214"/>
      <c r="C190" s="462"/>
      <c r="D190" s="324"/>
      <c r="E190" s="463"/>
      <c r="F190" s="279"/>
      <c r="G190" s="279"/>
      <c r="H190" s="322"/>
      <c r="I190" s="324"/>
      <c r="J190" s="322"/>
      <c r="K190" s="324"/>
      <c r="L190" s="324"/>
      <c r="M190" s="324"/>
      <c r="N190" s="324"/>
      <c r="O190" s="324"/>
      <c r="R190" s="295"/>
      <c r="X190" s="276"/>
      <c r="Y190" s="330"/>
      <c r="Z190" s="328"/>
      <c r="AA190" s="465"/>
      <c r="AB190" s="278"/>
      <c r="AC190" s="278"/>
      <c r="AD190" s="329"/>
      <c r="AE190" s="319"/>
      <c r="AF190" s="329"/>
      <c r="AG190" s="278"/>
      <c r="AH190" s="329"/>
      <c r="AI190" s="329"/>
      <c r="AJ190" s="329"/>
      <c r="AK190" s="329"/>
      <c r="AL190" s="278"/>
      <c r="AM190" s="319"/>
      <c r="AN190" s="278"/>
      <c r="AO190" s="319"/>
      <c r="AP190" s="278"/>
    </row>
    <row r="191" spans="1:42" s="22" customFormat="1">
      <c r="A191" s="214">
        <v>16050</v>
      </c>
      <c r="B191" s="214">
        <v>173</v>
      </c>
      <c r="C191" s="462" t="s">
        <v>512</v>
      </c>
      <c r="D191" s="324">
        <v>45</v>
      </c>
      <c r="E191" s="463">
        <v>0</v>
      </c>
      <c r="F191" s="279"/>
      <c r="G191" s="279">
        <v>11</v>
      </c>
      <c r="H191" s="322"/>
      <c r="I191" s="324">
        <v>495</v>
      </c>
      <c r="J191" s="322"/>
      <c r="K191" s="324">
        <f>I191</f>
        <v>495</v>
      </c>
      <c r="L191" s="324"/>
      <c r="M191" s="324">
        <v>0</v>
      </c>
      <c r="N191" s="324"/>
      <c r="O191" s="324">
        <f>K191-M191</f>
        <v>495</v>
      </c>
      <c r="R191" s="295"/>
      <c r="X191" s="276"/>
      <c r="Y191" s="330"/>
      <c r="Z191" s="328"/>
      <c r="AA191" s="465"/>
      <c r="AB191" s="278"/>
      <c r="AC191" s="278"/>
      <c r="AD191" s="329"/>
      <c r="AE191" s="319"/>
      <c r="AF191" s="329"/>
      <c r="AG191" s="278"/>
      <c r="AH191" s="329"/>
      <c r="AI191" s="329"/>
      <c r="AJ191" s="329"/>
      <c r="AK191" s="329"/>
      <c r="AL191" s="278"/>
      <c r="AM191" s="319"/>
      <c r="AN191" s="278"/>
      <c r="AO191" s="319"/>
      <c r="AP191" s="278"/>
    </row>
    <row r="192" spans="1:42" s="22" customFormat="1">
      <c r="A192" s="214"/>
      <c r="B192" s="214"/>
      <c r="C192" s="462"/>
      <c r="D192" s="324"/>
      <c r="E192" s="463"/>
      <c r="F192" s="279"/>
      <c r="G192" s="279"/>
      <c r="H192" s="322"/>
      <c r="I192" s="324"/>
      <c r="J192" s="322"/>
      <c r="K192" s="324"/>
      <c r="L192" s="324"/>
      <c r="M192" s="324"/>
      <c r="N192" s="324"/>
      <c r="O192" s="324"/>
      <c r="R192" s="295"/>
      <c r="X192" s="276"/>
      <c r="Y192" s="330"/>
      <c r="Z192" s="328"/>
      <c r="AA192" s="465"/>
      <c r="AB192" s="278"/>
      <c r="AC192" s="278"/>
      <c r="AD192" s="329"/>
      <c r="AE192" s="319"/>
      <c r="AF192" s="329"/>
      <c r="AG192" s="278"/>
      <c r="AH192" s="329"/>
      <c r="AI192" s="329"/>
      <c r="AJ192" s="329"/>
      <c r="AK192" s="329"/>
      <c r="AL192" s="278"/>
      <c r="AM192" s="319"/>
      <c r="AN192" s="278"/>
      <c r="AO192" s="319"/>
      <c r="AP192" s="278"/>
    </row>
    <row r="193" spans="1:42" s="22" customFormat="1">
      <c r="A193" s="214">
        <v>16055</v>
      </c>
      <c r="B193" s="214">
        <v>173</v>
      </c>
      <c r="C193" s="462" t="s">
        <v>512</v>
      </c>
      <c r="D193" s="324">
        <v>315</v>
      </c>
      <c r="E193" s="463">
        <v>0</v>
      </c>
      <c r="F193" s="279"/>
      <c r="G193" s="279">
        <v>11</v>
      </c>
      <c r="H193" s="322"/>
      <c r="I193" s="324">
        <v>3465</v>
      </c>
      <c r="J193" s="322"/>
      <c r="K193" s="324">
        <f>I193</f>
        <v>3465</v>
      </c>
      <c r="L193" s="324"/>
      <c r="M193" s="324">
        <v>0</v>
      </c>
      <c r="N193" s="324"/>
      <c r="O193" s="324">
        <f>K193-M193</f>
        <v>3465</v>
      </c>
      <c r="R193" s="295"/>
      <c r="X193" s="276"/>
      <c r="Y193" s="330"/>
      <c r="Z193" s="328"/>
      <c r="AA193" s="465"/>
      <c r="AB193" s="278"/>
      <c r="AC193" s="278"/>
      <c r="AD193" s="329"/>
      <c r="AE193" s="278"/>
      <c r="AF193" s="319"/>
      <c r="AG193" s="278"/>
      <c r="AH193" s="278"/>
      <c r="AI193" s="278"/>
      <c r="AJ193" s="329"/>
      <c r="AK193" s="329"/>
      <c r="AL193" s="278"/>
      <c r="AM193" s="319"/>
      <c r="AN193" s="278"/>
      <c r="AO193" s="319"/>
      <c r="AP193" s="278"/>
    </row>
    <row r="194" spans="1:42" s="22" customFormat="1">
      <c r="A194" s="214"/>
      <c r="B194" s="214"/>
      <c r="C194" s="462"/>
      <c r="D194" s="324"/>
      <c r="E194" s="463"/>
      <c r="F194" s="279"/>
      <c r="G194" s="279"/>
      <c r="H194" s="322"/>
      <c r="I194" s="279"/>
      <c r="J194" s="322"/>
      <c r="K194" s="279"/>
      <c r="L194" s="279"/>
      <c r="M194" s="279"/>
      <c r="N194" s="322"/>
      <c r="O194" s="279"/>
      <c r="R194" s="295"/>
      <c r="X194" s="276"/>
      <c r="Y194" s="330"/>
      <c r="Z194" s="328"/>
      <c r="AA194" s="465"/>
      <c r="AB194" s="278"/>
      <c r="AC194" s="278"/>
      <c r="AD194" s="329"/>
      <c r="AE194" s="278"/>
      <c r="AF194" s="319"/>
      <c r="AG194" s="278"/>
      <c r="AH194" s="278"/>
      <c r="AI194" s="278"/>
      <c r="AJ194" s="329"/>
      <c r="AK194" s="329"/>
      <c r="AL194" s="278"/>
      <c r="AM194" s="319"/>
      <c r="AN194" s="278"/>
      <c r="AO194" s="319"/>
      <c r="AP194" s="278"/>
    </row>
    <row r="195" spans="1:42" s="22" customFormat="1">
      <c r="A195" s="214">
        <v>16056</v>
      </c>
      <c r="B195" s="214">
        <v>171</v>
      </c>
      <c r="C195" s="462" t="s">
        <v>968</v>
      </c>
      <c r="D195" s="324">
        <v>30</v>
      </c>
      <c r="E195" s="463">
        <v>0</v>
      </c>
      <c r="F195" s="279"/>
      <c r="G195" s="279">
        <v>11</v>
      </c>
      <c r="H195" s="322"/>
      <c r="I195" s="318">
        <v>330</v>
      </c>
      <c r="J195" s="322"/>
      <c r="K195" s="318">
        <f>I195</f>
        <v>330</v>
      </c>
      <c r="L195" s="318"/>
      <c r="M195" s="318">
        <v>0</v>
      </c>
      <c r="N195" s="318"/>
      <c r="O195" s="318">
        <f>K195-M195</f>
        <v>330</v>
      </c>
      <c r="R195" s="295"/>
      <c r="X195" s="276"/>
      <c r="Y195" s="330"/>
      <c r="Z195" s="328"/>
      <c r="AA195" s="465"/>
      <c r="AB195" s="278"/>
      <c r="AC195" s="278"/>
      <c r="AD195" s="329"/>
      <c r="AE195" s="278"/>
      <c r="AF195" s="319"/>
      <c r="AG195" s="278"/>
      <c r="AH195" s="278"/>
      <c r="AI195" s="278"/>
      <c r="AJ195" s="329"/>
      <c r="AK195" s="329"/>
      <c r="AL195" s="278"/>
      <c r="AM195" s="319"/>
      <c r="AN195" s="278"/>
      <c r="AO195" s="319"/>
      <c r="AP195" s="278"/>
    </row>
    <row r="196" spans="1:42" s="22" customFormat="1">
      <c r="A196" s="214"/>
      <c r="B196" s="214"/>
      <c r="C196" s="462"/>
      <c r="D196" s="324"/>
      <c r="E196" s="463"/>
      <c r="F196" s="279"/>
      <c r="G196" s="279"/>
      <c r="H196" s="322"/>
      <c r="I196" s="318"/>
      <c r="J196" s="322"/>
      <c r="K196" s="318"/>
      <c r="L196" s="318"/>
      <c r="M196" s="318"/>
      <c r="N196" s="318"/>
      <c r="O196" s="318"/>
      <c r="R196" s="295"/>
      <c r="X196" s="276"/>
      <c r="Y196" s="330"/>
      <c r="Z196" s="328"/>
      <c r="AA196" s="465"/>
      <c r="AB196" s="278"/>
      <c r="AC196" s="278"/>
      <c r="AD196" s="329"/>
      <c r="AE196" s="278"/>
      <c r="AF196" s="319"/>
      <c r="AG196" s="278"/>
      <c r="AH196" s="278"/>
      <c r="AI196" s="278"/>
      <c r="AJ196" s="329"/>
      <c r="AK196" s="329"/>
      <c r="AL196" s="278"/>
      <c r="AM196" s="319"/>
      <c r="AN196" s="278"/>
      <c r="AO196" s="319"/>
      <c r="AP196" s="278"/>
    </row>
    <row r="197" spans="1:42" s="22" customFormat="1">
      <c r="A197" s="214">
        <v>16056</v>
      </c>
      <c r="B197" s="214">
        <v>173</v>
      </c>
      <c r="C197" s="462" t="s">
        <v>968</v>
      </c>
      <c r="D197" s="324">
        <v>30</v>
      </c>
      <c r="E197" s="463">
        <v>0</v>
      </c>
      <c r="F197" s="279"/>
      <c r="G197" s="279">
        <v>11</v>
      </c>
      <c r="H197" s="322"/>
      <c r="I197" s="318">
        <v>330</v>
      </c>
      <c r="J197" s="322"/>
      <c r="K197" s="318">
        <f>I197</f>
        <v>330</v>
      </c>
      <c r="L197" s="318"/>
      <c r="M197" s="318">
        <v>0</v>
      </c>
      <c r="N197" s="318"/>
      <c r="O197" s="318">
        <f>K197-M197</f>
        <v>330</v>
      </c>
      <c r="R197" s="295"/>
      <c r="X197" s="276"/>
      <c r="Y197" s="330"/>
      <c r="Z197" s="328"/>
      <c r="AA197" s="465"/>
      <c r="AB197" s="278"/>
      <c r="AC197" s="278"/>
      <c r="AD197" s="329"/>
      <c r="AE197" s="319"/>
      <c r="AF197" s="319"/>
      <c r="AG197" s="319"/>
      <c r="AH197" s="278"/>
      <c r="AI197" s="278"/>
      <c r="AJ197" s="329"/>
      <c r="AK197" s="329"/>
      <c r="AL197" s="278"/>
      <c r="AM197" s="319"/>
      <c r="AN197" s="278"/>
      <c r="AO197" s="278"/>
      <c r="AP197" s="278"/>
    </row>
    <row r="198" spans="1:42" s="22" customFormat="1">
      <c r="A198" s="214"/>
      <c r="B198" s="214"/>
      <c r="C198" s="462"/>
      <c r="D198" s="324"/>
      <c r="E198" s="463"/>
      <c r="F198" s="279"/>
      <c r="G198" s="279"/>
      <c r="H198" s="322"/>
      <c r="I198" s="318"/>
      <c r="J198" s="322"/>
      <c r="K198" s="318"/>
      <c r="L198" s="318"/>
      <c r="M198" s="318"/>
      <c r="N198" s="318"/>
      <c r="O198" s="318"/>
      <c r="R198" s="295"/>
      <c r="X198" s="276"/>
      <c r="Y198" s="330"/>
      <c r="Z198" s="328"/>
      <c r="AA198" s="465"/>
      <c r="AB198" s="278"/>
      <c r="AC198" s="278"/>
      <c r="AD198" s="329"/>
      <c r="AE198" s="319"/>
      <c r="AF198" s="319"/>
      <c r="AG198" s="319"/>
      <c r="AH198" s="278"/>
      <c r="AI198" s="278"/>
      <c r="AJ198" s="329"/>
      <c r="AK198" s="329"/>
      <c r="AL198" s="278"/>
      <c r="AM198" s="319"/>
      <c r="AN198" s="278"/>
      <c r="AO198" s="278"/>
      <c r="AP198" s="278"/>
    </row>
    <row r="199" spans="1:42" s="22" customFormat="1">
      <c r="A199" s="214">
        <v>16058</v>
      </c>
      <c r="B199" s="214">
        <v>172</v>
      </c>
      <c r="C199" s="462" t="s">
        <v>968</v>
      </c>
      <c r="D199" s="324">
        <v>105</v>
      </c>
      <c r="E199" s="463">
        <v>0</v>
      </c>
      <c r="F199" s="279"/>
      <c r="G199" s="279">
        <v>11</v>
      </c>
      <c r="H199" s="322"/>
      <c r="I199" s="318">
        <v>1155</v>
      </c>
      <c r="J199" s="322"/>
      <c r="K199" s="318">
        <f>I199</f>
        <v>1155</v>
      </c>
      <c r="L199" s="318"/>
      <c r="M199" s="318">
        <v>0</v>
      </c>
      <c r="N199" s="318"/>
      <c r="O199" s="318">
        <f>K199-M199</f>
        <v>1155</v>
      </c>
      <c r="R199" s="295"/>
      <c r="X199" s="276"/>
      <c r="Y199" s="330"/>
      <c r="Z199" s="328"/>
      <c r="AA199" s="465"/>
      <c r="AB199" s="278"/>
      <c r="AC199" s="278"/>
      <c r="AD199" s="329"/>
      <c r="AE199" s="319"/>
      <c r="AF199" s="319"/>
      <c r="AG199" s="319"/>
      <c r="AH199" s="278"/>
      <c r="AI199" s="278"/>
      <c r="AJ199" s="329"/>
      <c r="AK199" s="329"/>
      <c r="AL199" s="278"/>
      <c r="AM199" s="319"/>
      <c r="AN199" s="278"/>
      <c r="AO199" s="278"/>
      <c r="AP199" s="278"/>
    </row>
    <row r="200" spans="1:42" s="22" customFormat="1">
      <c r="A200" s="214"/>
      <c r="B200" s="214"/>
      <c r="C200" s="462"/>
      <c r="D200" s="324"/>
      <c r="E200" s="463"/>
      <c r="F200" s="279"/>
      <c r="G200" s="279"/>
      <c r="H200" s="322"/>
      <c r="I200" s="318"/>
      <c r="J200" s="322"/>
      <c r="K200" s="318"/>
      <c r="L200" s="318"/>
      <c r="M200" s="318"/>
      <c r="N200" s="318"/>
      <c r="O200" s="318"/>
      <c r="R200" s="295"/>
      <c r="X200" s="276"/>
      <c r="Y200" s="330"/>
      <c r="Z200" s="328"/>
      <c r="AA200" s="465"/>
      <c r="AB200" s="278"/>
      <c r="AC200" s="278"/>
      <c r="AD200" s="329"/>
      <c r="AE200" s="319"/>
      <c r="AF200" s="319"/>
      <c r="AG200" s="319"/>
      <c r="AH200" s="278"/>
      <c r="AI200" s="278"/>
      <c r="AJ200" s="329"/>
      <c r="AK200" s="329"/>
      <c r="AL200" s="278"/>
      <c r="AM200" s="319"/>
      <c r="AN200" s="278"/>
      <c r="AO200" s="278"/>
      <c r="AP200" s="278"/>
    </row>
    <row r="201" spans="1:42" s="22" customFormat="1">
      <c r="A201" s="214">
        <v>16060</v>
      </c>
      <c r="B201" s="214">
        <v>173</v>
      </c>
      <c r="C201" s="462" t="s">
        <v>969</v>
      </c>
      <c r="D201" s="324">
        <v>45</v>
      </c>
      <c r="E201" s="463">
        <v>0</v>
      </c>
      <c r="F201" s="279"/>
      <c r="G201" s="279">
        <v>11</v>
      </c>
      <c r="H201" s="322"/>
      <c r="I201" s="324">
        <v>495</v>
      </c>
      <c r="J201" s="322"/>
      <c r="K201" s="324">
        <f>I201</f>
        <v>495</v>
      </c>
      <c r="L201" s="324"/>
      <c r="M201" s="324">
        <v>0</v>
      </c>
      <c r="N201" s="324"/>
      <c r="O201" s="324">
        <f>K201-M201</f>
        <v>495</v>
      </c>
      <c r="R201" s="295"/>
      <c r="X201" s="276"/>
      <c r="Y201" s="330"/>
      <c r="Z201" s="328"/>
      <c r="AA201" s="465"/>
      <c r="AB201" s="278"/>
      <c r="AC201" s="278"/>
      <c r="AD201" s="329"/>
      <c r="AE201" s="319"/>
      <c r="AF201" s="278"/>
      <c r="AG201" s="319"/>
      <c r="AH201" s="278"/>
      <c r="AI201" s="278"/>
      <c r="AJ201" s="329"/>
      <c r="AK201" s="329"/>
      <c r="AL201" s="278"/>
      <c r="AM201" s="319"/>
      <c r="AN201" s="278"/>
      <c r="AO201" s="319"/>
      <c r="AP201" s="278"/>
    </row>
    <row r="202" spans="1:42" s="22" customFormat="1">
      <c r="A202" s="214"/>
      <c r="B202" s="214"/>
      <c r="C202" s="462"/>
      <c r="D202" s="324"/>
      <c r="E202" s="463"/>
      <c r="F202" s="279"/>
      <c r="G202" s="279"/>
      <c r="H202" s="322"/>
      <c r="I202" s="324"/>
      <c r="J202" s="322"/>
      <c r="K202" s="324"/>
      <c r="L202" s="324"/>
      <c r="M202" s="324"/>
      <c r="N202" s="324"/>
      <c r="O202" s="324"/>
      <c r="R202" s="295"/>
      <c r="X202" s="276"/>
      <c r="Y202" s="330"/>
      <c r="Z202" s="328"/>
      <c r="AA202" s="465"/>
      <c r="AB202" s="278"/>
      <c r="AC202" s="278"/>
      <c r="AD202" s="329"/>
      <c r="AE202" s="319"/>
      <c r="AF202" s="278"/>
      <c r="AG202" s="319"/>
      <c r="AH202" s="278"/>
      <c r="AI202" s="278"/>
      <c r="AJ202" s="329"/>
      <c r="AK202" s="329"/>
      <c r="AL202" s="278"/>
      <c r="AM202" s="319"/>
      <c r="AN202" s="278"/>
      <c r="AO202" s="319"/>
      <c r="AP202" s="278"/>
    </row>
    <row r="203" spans="1:42" s="22" customFormat="1">
      <c r="A203" s="214">
        <v>16070</v>
      </c>
      <c r="B203" s="214">
        <v>172</v>
      </c>
      <c r="C203" s="462" t="s">
        <v>969</v>
      </c>
      <c r="D203" s="324">
        <v>60</v>
      </c>
      <c r="E203" s="463">
        <v>0</v>
      </c>
      <c r="F203" s="279"/>
      <c r="G203" s="279">
        <v>11</v>
      </c>
      <c r="H203" s="322"/>
      <c r="I203" s="324">
        <v>660</v>
      </c>
      <c r="J203" s="322"/>
      <c r="K203" s="324">
        <f>I203</f>
        <v>660</v>
      </c>
      <c r="L203" s="324"/>
      <c r="M203" s="324">
        <v>0</v>
      </c>
      <c r="N203" s="324"/>
      <c r="O203" s="324">
        <f>K203-M203</f>
        <v>660</v>
      </c>
      <c r="R203" s="295"/>
      <c r="X203" s="276"/>
      <c r="Y203" s="330"/>
      <c r="Z203" s="328"/>
      <c r="AA203" s="465"/>
      <c r="AB203" s="278"/>
      <c r="AC203" s="278"/>
      <c r="AD203" s="329"/>
      <c r="AE203" s="319"/>
      <c r="AF203" s="329"/>
      <c r="AG203" s="278"/>
      <c r="AH203" s="329"/>
      <c r="AI203" s="329"/>
      <c r="AJ203" s="329"/>
      <c r="AK203" s="329"/>
      <c r="AL203" s="278"/>
      <c r="AM203" s="278"/>
      <c r="AN203" s="278"/>
      <c r="AO203" s="278"/>
      <c r="AP203" s="278"/>
    </row>
    <row r="204" spans="1:42" s="22" customFormat="1">
      <c r="A204" s="214"/>
      <c r="B204" s="214"/>
      <c r="C204" s="462"/>
      <c r="D204" s="324"/>
      <c r="E204" s="463"/>
      <c r="F204" s="279"/>
      <c r="G204" s="279"/>
      <c r="H204" s="322"/>
      <c r="I204" s="324"/>
      <c r="J204" s="322"/>
      <c r="K204" s="324"/>
      <c r="L204" s="324"/>
      <c r="M204" s="324"/>
      <c r="N204" s="324"/>
      <c r="O204" s="324"/>
      <c r="R204" s="295"/>
      <c r="X204" s="276"/>
      <c r="Y204" s="330"/>
      <c r="Z204" s="328"/>
      <c r="AA204" s="465"/>
      <c r="AB204" s="278"/>
      <c r="AC204" s="278"/>
      <c r="AD204" s="329"/>
      <c r="AE204" s="278"/>
      <c r="AF204" s="278"/>
      <c r="AG204" s="278"/>
      <c r="AH204" s="278"/>
      <c r="AI204" s="278"/>
      <c r="AJ204" s="329"/>
      <c r="AK204" s="329"/>
      <c r="AL204" s="319"/>
      <c r="AM204" s="319"/>
      <c r="AN204" s="319"/>
      <c r="AO204" s="319"/>
      <c r="AP204" s="319"/>
    </row>
    <row r="205" spans="1:42" s="22" customFormat="1">
      <c r="A205" s="214">
        <v>16088</v>
      </c>
      <c r="B205" s="214">
        <v>170</v>
      </c>
      <c r="C205" s="462" t="s">
        <v>4</v>
      </c>
      <c r="D205" s="324">
        <v>60</v>
      </c>
      <c r="E205" s="463">
        <v>0</v>
      </c>
      <c r="F205" s="279"/>
      <c r="G205" s="279">
        <v>11</v>
      </c>
      <c r="H205" s="322"/>
      <c r="I205" s="324">
        <v>660</v>
      </c>
      <c r="J205" s="322"/>
      <c r="K205" s="324">
        <f>I205</f>
        <v>660</v>
      </c>
      <c r="L205" s="324"/>
      <c r="M205" s="324">
        <v>0</v>
      </c>
      <c r="N205" s="324"/>
      <c r="O205" s="324">
        <f>K205-M205</f>
        <v>660</v>
      </c>
      <c r="R205" s="295"/>
      <c r="X205" s="276"/>
      <c r="Y205" s="330"/>
      <c r="Z205" s="328"/>
      <c r="AA205" s="465"/>
      <c r="AB205" s="278"/>
      <c r="AC205" s="278"/>
      <c r="AD205" s="329"/>
      <c r="AE205" s="278"/>
      <c r="AF205" s="278"/>
      <c r="AG205" s="278"/>
      <c r="AH205" s="278"/>
      <c r="AI205" s="278"/>
      <c r="AJ205" s="329"/>
      <c r="AK205" s="329"/>
      <c r="AL205" s="278"/>
      <c r="AM205" s="319"/>
      <c r="AN205" s="278"/>
      <c r="AO205" s="278"/>
      <c r="AP205" s="278"/>
    </row>
    <row r="206" spans="1:42" s="22" customFormat="1">
      <c r="A206" s="214"/>
      <c r="B206" s="214"/>
      <c r="C206" s="462"/>
      <c r="D206" s="324"/>
      <c r="E206" s="463"/>
      <c r="F206" s="279"/>
      <c r="G206" s="279"/>
      <c r="H206" s="322"/>
      <c r="I206" s="324"/>
      <c r="J206" s="322"/>
      <c r="K206" s="324"/>
      <c r="L206" s="324"/>
      <c r="M206" s="324"/>
      <c r="N206" s="324"/>
      <c r="O206" s="324"/>
      <c r="R206" s="295"/>
      <c r="X206" s="276"/>
      <c r="Y206" s="330"/>
      <c r="Z206" s="328"/>
      <c r="AA206" s="465"/>
      <c r="AB206" s="278"/>
      <c r="AC206" s="278"/>
      <c r="AD206" s="329"/>
      <c r="AE206" s="278"/>
      <c r="AF206" s="278"/>
      <c r="AG206" s="278"/>
      <c r="AH206" s="278"/>
      <c r="AI206" s="278"/>
      <c r="AJ206" s="329"/>
      <c r="AK206" s="329"/>
      <c r="AL206" s="278"/>
      <c r="AM206" s="319"/>
      <c r="AN206" s="278"/>
      <c r="AO206" s="319"/>
      <c r="AP206" s="278"/>
    </row>
    <row r="207" spans="1:42" s="22" customFormat="1">
      <c r="A207" s="214">
        <v>16089</v>
      </c>
      <c r="B207" s="214">
        <v>171</v>
      </c>
      <c r="C207" s="48" t="s">
        <v>4</v>
      </c>
      <c r="D207" s="324">
        <v>75</v>
      </c>
      <c r="E207" s="325">
        <v>0</v>
      </c>
      <c r="F207" s="49"/>
      <c r="G207" s="49">
        <v>11</v>
      </c>
      <c r="H207" s="49"/>
      <c r="I207" s="324">
        <v>825</v>
      </c>
      <c r="J207" s="322"/>
      <c r="K207" s="324">
        <f>I207</f>
        <v>825</v>
      </c>
      <c r="L207" s="324"/>
      <c r="M207" s="324">
        <v>0</v>
      </c>
      <c r="N207" s="324"/>
      <c r="O207" s="324">
        <f>K207-M207</f>
        <v>825</v>
      </c>
      <c r="R207" s="295"/>
      <c r="X207" s="276"/>
      <c r="Y207" s="330"/>
      <c r="Z207" s="328"/>
      <c r="AA207" s="465"/>
      <c r="AB207" s="278"/>
      <c r="AC207" s="278"/>
      <c r="AD207" s="329"/>
      <c r="AE207" s="278"/>
      <c r="AF207" s="278"/>
      <c r="AG207" s="278"/>
      <c r="AH207" s="278"/>
      <c r="AI207" s="278"/>
      <c r="AJ207" s="329"/>
      <c r="AK207" s="329"/>
      <c r="AL207" s="319"/>
      <c r="AM207" s="319"/>
      <c r="AN207" s="319"/>
      <c r="AO207" s="319"/>
      <c r="AP207" s="319"/>
    </row>
    <row r="208" spans="1:42">
      <c r="A208" s="214"/>
      <c r="B208" s="214"/>
      <c r="C208" s="48"/>
      <c r="D208" s="324"/>
      <c r="E208" s="325"/>
      <c r="F208" s="49"/>
      <c r="G208" s="49"/>
      <c r="H208" s="49"/>
      <c r="I208" s="324"/>
      <c r="J208" s="322"/>
      <c r="K208" s="324"/>
      <c r="L208" s="324"/>
      <c r="M208" s="324"/>
      <c r="N208" s="324"/>
      <c r="O208" s="324"/>
      <c r="P208" s="22"/>
      <c r="Q208" s="22"/>
      <c r="AC208" s="276"/>
      <c r="AD208" s="464"/>
      <c r="AE208" s="329"/>
      <c r="AF208" s="465"/>
      <c r="AG208" s="278"/>
      <c r="AH208" s="465"/>
      <c r="AI208" s="329"/>
      <c r="AJ208" s="739"/>
      <c r="AK208" s="278"/>
      <c r="AL208" s="739"/>
      <c r="AM208" s="278"/>
      <c r="AN208" s="739"/>
      <c r="AO208" s="329"/>
      <c r="AP208" s="739"/>
    </row>
    <row r="209" spans="1:42">
      <c r="A209" s="214">
        <v>16098</v>
      </c>
      <c r="B209" s="214"/>
      <c r="C209" s="462" t="s">
        <v>5</v>
      </c>
      <c r="D209" s="324">
        <v>3.33</v>
      </c>
      <c r="E209" s="463">
        <v>0</v>
      </c>
      <c r="F209" s="279"/>
      <c r="G209" s="279">
        <v>11</v>
      </c>
      <c r="H209" s="322"/>
      <c r="I209" s="318">
        <v>10076</v>
      </c>
      <c r="J209" s="322"/>
      <c r="K209" s="318">
        <f>I209</f>
        <v>10076</v>
      </c>
      <c r="L209" s="318"/>
      <c r="M209" s="318">
        <v>0</v>
      </c>
      <c r="N209" s="318"/>
      <c r="O209" s="318">
        <f>K209-M209</f>
        <v>10076</v>
      </c>
      <c r="P209" s="22"/>
      <c r="Q209" s="22"/>
      <c r="AC209" s="276"/>
      <c r="AD209" s="330"/>
      <c r="AE209" s="328"/>
      <c r="AF209" s="465"/>
      <c r="AG209" s="278"/>
      <c r="AH209" s="278"/>
      <c r="AI209" s="329"/>
      <c r="AJ209" s="319"/>
      <c r="AK209" s="278"/>
      <c r="AL209" s="319"/>
      <c r="AM209" s="278"/>
      <c r="AN209" s="278"/>
      <c r="AO209" s="329"/>
      <c r="AP209" s="329"/>
    </row>
    <row r="210" spans="1:42">
      <c r="A210" s="214"/>
      <c r="B210" s="214"/>
      <c r="C210" s="462"/>
      <c r="D210" s="324"/>
      <c r="E210" s="463"/>
      <c r="F210" s="279"/>
      <c r="G210" s="279"/>
      <c r="H210" s="322"/>
      <c r="I210" s="279"/>
      <c r="J210" s="322"/>
      <c r="K210" s="279"/>
      <c r="L210" s="279"/>
      <c r="M210" s="279"/>
      <c r="N210" s="279"/>
      <c r="O210" s="279"/>
      <c r="P210" s="22"/>
      <c r="Q210" s="22"/>
      <c r="AC210" s="276"/>
      <c r="AD210" s="330"/>
      <c r="AE210" s="328"/>
      <c r="AF210" s="278"/>
      <c r="AG210" s="278"/>
      <c r="AH210" s="278"/>
      <c r="AI210" s="278"/>
      <c r="AJ210" s="278"/>
      <c r="AK210" s="278"/>
      <c r="AL210" s="278"/>
      <c r="AM210" s="319"/>
      <c r="AN210" s="319"/>
      <c r="AO210" s="319"/>
      <c r="AP210" s="319"/>
    </row>
    <row r="211" spans="1:42">
      <c r="A211" s="214"/>
      <c r="B211" s="214"/>
      <c r="C211" s="462" t="s">
        <v>32</v>
      </c>
      <c r="D211" s="324"/>
      <c r="E211" s="463"/>
      <c r="F211" s="279"/>
      <c r="G211" s="279">
        <f>SUM(G173:G209)</f>
        <v>446</v>
      </c>
      <c r="H211" s="322"/>
      <c r="I211" s="318">
        <v>164758.01999999999</v>
      </c>
      <c r="J211" s="322"/>
      <c r="K211" s="318">
        <f>I211</f>
        <v>164758.01999999999</v>
      </c>
      <c r="L211" s="279"/>
      <c r="M211" s="318">
        <v>0</v>
      </c>
      <c r="N211" s="279"/>
      <c r="O211" s="318">
        <f>K211-M211</f>
        <v>164758.01999999999</v>
      </c>
      <c r="P211" s="22"/>
      <c r="Q211" s="22"/>
      <c r="AC211" s="740"/>
      <c r="AD211" s="740"/>
      <c r="AE211" s="326"/>
      <c r="AF211" s="741"/>
      <c r="AG211" s="326"/>
      <c r="AH211" s="326"/>
      <c r="AI211" s="326"/>
      <c r="AJ211" s="326"/>
      <c r="AK211" s="326"/>
      <c r="AL211" s="326"/>
      <c r="AM211" s="326"/>
      <c r="AN211" s="326"/>
      <c r="AO211" s="326"/>
      <c r="AP211" s="320"/>
    </row>
    <row r="212" spans="1:42">
      <c r="A212" s="276"/>
      <c r="B212" s="276"/>
      <c r="C212" s="464"/>
      <c r="D212" s="329"/>
      <c r="E212" s="465"/>
      <c r="F212" s="278"/>
      <c r="G212" s="278">
        <v>99</v>
      </c>
      <c r="H212" s="329"/>
      <c r="I212" s="278"/>
      <c r="J212" s="322"/>
      <c r="K212" s="278"/>
      <c r="L212" s="278"/>
      <c r="M212" s="278"/>
      <c r="N212" s="329"/>
      <c r="O212" s="329"/>
      <c r="P212" s="22"/>
      <c r="Q212" s="22"/>
      <c r="AC212" s="740"/>
      <c r="AD212" s="740"/>
      <c r="AE212" s="326"/>
      <c r="AF212" s="741"/>
      <c r="AG212" s="326"/>
      <c r="AH212" s="326"/>
      <c r="AI212" s="326"/>
      <c r="AJ212" s="326"/>
      <c r="AK212" s="326"/>
      <c r="AL212" s="326"/>
      <c r="AM212" s="326"/>
      <c r="AN212" s="326"/>
      <c r="AO212" s="326"/>
      <c r="AP212" s="326"/>
    </row>
    <row r="213" spans="1:42">
      <c r="A213" s="276"/>
      <c r="B213" s="276"/>
      <c r="C213" s="464"/>
      <c r="D213" s="22"/>
      <c r="E213" s="727"/>
      <c r="F213" s="727"/>
      <c r="G213" s="727">
        <f>SUM(G211:G212)</f>
        <v>545</v>
      </c>
      <c r="H213" s="727"/>
      <c r="I213" s="275">
        <f>G213/11</f>
        <v>49.545454545454547</v>
      </c>
      <c r="J213" s="322"/>
      <c r="K213" s="275">
        <f>I213*12</f>
        <v>594.5454545454545</v>
      </c>
      <c r="L213" s="275"/>
      <c r="M213" s="275"/>
      <c r="N213" s="275"/>
      <c r="O213" s="275"/>
      <c r="P213" s="22"/>
      <c r="Q213" s="22"/>
      <c r="AC213" s="276"/>
      <c r="AD213" s="330"/>
      <c r="AE213" s="328"/>
      <c r="AF213" s="465"/>
      <c r="AG213" s="278"/>
      <c r="AH213" s="278"/>
      <c r="AI213" s="329"/>
      <c r="AJ213" s="319"/>
      <c r="AK213" s="278"/>
      <c r="AL213" s="319"/>
      <c r="AM213" s="278"/>
      <c r="AN213" s="278"/>
      <c r="AO213" s="329"/>
      <c r="AP213" s="329"/>
    </row>
    <row r="214" spans="1:42">
      <c r="A214" s="332" t="s">
        <v>990</v>
      </c>
      <c r="B214" s="332"/>
      <c r="C214" s="330"/>
      <c r="D214" s="327"/>
      <c r="E214" s="465"/>
      <c r="F214" s="278"/>
      <c r="G214" s="278"/>
      <c r="H214" s="329"/>
      <c r="I214" s="278"/>
      <c r="J214" s="322"/>
      <c r="K214" s="278"/>
      <c r="L214" s="278"/>
      <c r="M214" s="278"/>
      <c r="N214" s="329"/>
      <c r="O214" s="329"/>
      <c r="P214" s="22"/>
      <c r="Q214" s="22"/>
      <c r="AC214" s="276"/>
      <c r="AD214" s="276"/>
      <c r="AE214" s="327"/>
      <c r="AF214" s="278"/>
      <c r="AG214" s="278"/>
      <c r="AH214" s="278"/>
      <c r="AI214" s="278"/>
      <c r="AJ214" s="278"/>
      <c r="AK214" s="278"/>
      <c r="AL214" s="278"/>
      <c r="AM214" s="319"/>
      <c r="AN214" s="319"/>
      <c r="AO214" s="319"/>
      <c r="AP214" s="319"/>
    </row>
    <row r="215" spans="1:42">
      <c r="A215" s="276"/>
      <c r="B215" s="276"/>
      <c r="C215" s="330"/>
      <c r="D215" s="328"/>
      <c r="E215" s="465"/>
      <c r="F215" s="278"/>
      <c r="G215" s="278"/>
      <c r="H215" s="329"/>
      <c r="I215" s="278"/>
      <c r="J215" s="322"/>
      <c r="K215" s="278"/>
      <c r="L215" s="278"/>
      <c r="M215" s="278"/>
      <c r="N215" s="329"/>
      <c r="O215" s="329"/>
      <c r="P215" s="22"/>
      <c r="Q215" s="22"/>
      <c r="AC215" s="740"/>
      <c r="AD215" s="740"/>
      <c r="AE215" s="326"/>
      <c r="AF215" s="741"/>
      <c r="AG215" s="326"/>
      <c r="AH215" s="326"/>
      <c r="AI215" s="326"/>
      <c r="AJ215" s="326"/>
      <c r="AK215" s="326"/>
      <c r="AL215" s="326"/>
      <c r="AM215" s="326"/>
      <c r="AN215" s="326"/>
      <c r="AO215" s="326"/>
      <c r="AP215" s="326"/>
    </row>
    <row r="216" spans="1:42">
      <c r="A216" s="214"/>
      <c r="B216" s="214"/>
      <c r="C216" s="462" t="s">
        <v>1557</v>
      </c>
      <c r="D216" s="323"/>
      <c r="E216" s="279">
        <v>67800</v>
      </c>
      <c r="F216" s="279"/>
      <c r="G216" s="279">
        <v>22.799999999999997</v>
      </c>
      <c r="H216" s="279"/>
      <c r="I216" s="325">
        <v>462.74733333333336</v>
      </c>
      <c r="J216" s="322"/>
      <c r="K216" s="325">
        <f t="shared" ref="K216:K221" si="0">I216</f>
        <v>462.74733333333336</v>
      </c>
      <c r="L216" s="325"/>
      <c r="M216" s="325">
        <v>0</v>
      </c>
      <c r="N216" s="325"/>
      <c r="O216" s="279">
        <f t="shared" ref="O216:O221" si="1">K216-M216</f>
        <v>462.74733333333336</v>
      </c>
      <c r="Q216" s="22"/>
      <c r="AC216" s="276"/>
      <c r="AD216" s="330"/>
      <c r="AE216" s="328"/>
      <c r="AF216" s="465"/>
      <c r="AG216" s="278"/>
      <c r="AH216" s="278"/>
      <c r="AI216" s="329"/>
      <c r="AJ216" s="278"/>
      <c r="AK216" s="278"/>
      <c r="AL216" s="278"/>
      <c r="AM216" s="278"/>
      <c r="AN216" s="278"/>
      <c r="AO216" s="329"/>
      <c r="AP216" s="329"/>
    </row>
    <row r="217" spans="1:42">
      <c r="A217" s="276"/>
      <c r="B217" s="276"/>
      <c r="C217" s="462" t="s">
        <v>1558</v>
      </c>
      <c r="D217" s="323"/>
      <c r="E217" s="279">
        <v>24613.333333333332</v>
      </c>
      <c r="F217" s="279"/>
      <c r="G217" s="279">
        <v>5.0666666666666664</v>
      </c>
      <c r="H217" s="279"/>
      <c r="I217" s="325">
        <v>150.29066666666665</v>
      </c>
      <c r="J217" s="322"/>
      <c r="K217" s="325">
        <f t="shared" si="0"/>
        <v>150.29066666666665</v>
      </c>
      <c r="L217" s="325"/>
      <c r="M217" s="325">
        <v>0</v>
      </c>
      <c r="N217" s="325"/>
      <c r="O217" s="279">
        <f t="shared" si="1"/>
        <v>150.29066666666665</v>
      </c>
      <c r="Q217" s="22"/>
      <c r="AC217" s="276"/>
      <c r="AD217" s="330"/>
      <c r="AE217" s="328"/>
      <c r="AF217" s="465"/>
      <c r="AG217" s="278"/>
      <c r="AH217" s="278"/>
      <c r="AI217" s="329"/>
      <c r="AJ217" s="278"/>
      <c r="AK217" s="278"/>
      <c r="AL217" s="278"/>
      <c r="AM217" s="278"/>
      <c r="AN217" s="278"/>
      <c r="AO217" s="329"/>
      <c r="AP217" s="329"/>
    </row>
    <row r="218" spans="1:42">
      <c r="A218" s="276"/>
      <c r="B218" s="276"/>
      <c r="C218" s="462" t="s">
        <v>1559</v>
      </c>
      <c r="D218" s="323"/>
      <c r="E218" s="279">
        <v>1400</v>
      </c>
      <c r="F218" s="279"/>
      <c r="G218" s="279">
        <v>2.5333333333333332</v>
      </c>
      <c r="H218" s="279"/>
      <c r="I218" s="325">
        <v>22.850666666666665</v>
      </c>
      <c r="J218" s="322"/>
      <c r="K218" s="325">
        <f t="shared" si="0"/>
        <v>22.850666666666665</v>
      </c>
      <c r="L218" s="325"/>
      <c r="M218" s="325">
        <v>0</v>
      </c>
      <c r="N218" s="325"/>
      <c r="O218" s="279">
        <f t="shared" si="1"/>
        <v>22.850666666666665</v>
      </c>
      <c r="Q218" s="22"/>
      <c r="AC218" s="276"/>
      <c r="AD218" s="330"/>
      <c r="AE218" s="328"/>
      <c r="AF218" s="465"/>
      <c r="AG218" s="278"/>
      <c r="AH218" s="278"/>
      <c r="AI218" s="329"/>
      <c r="AJ218" s="278"/>
      <c r="AK218" s="278"/>
      <c r="AL218" s="278"/>
      <c r="AM218" s="278"/>
      <c r="AN218" s="278"/>
      <c r="AO218" s="329"/>
      <c r="AP218" s="329"/>
    </row>
    <row r="219" spans="1:42">
      <c r="A219" s="214"/>
      <c r="B219" s="214"/>
      <c r="C219" s="462" t="s">
        <v>1602</v>
      </c>
      <c r="D219" s="323"/>
      <c r="E219" s="279">
        <v>1977632.5333333332</v>
      </c>
      <c r="F219" s="279"/>
      <c r="G219" s="279">
        <v>609.59999999999991</v>
      </c>
      <c r="H219" s="279"/>
      <c r="I219" s="325">
        <v>12885.351333333334</v>
      </c>
      <c r="J219" s="322"/>
      <c r="K219" s="325">
        <f t="shared" si="0"/>
        <v>12885.351333333334</v>
      </c>
      <c r="L219" s="325"/>
      <c r="M219" s="325">
        <v>0</v>
      </c>
      <c r="N219" s="325"/>
      <c r="O219" s="279">
        <f t="shared" si="1"/>
        <v>12885.351333333334</v>
      </c>
      <c r="Q219" s="22"/>
      <c r="AC219" s="276"/>
      <c r="AD219" s="330"/>
      <c r="AE219" s="328"/>
      <c r="AF219" s="465"/>
      <c r="AG219" s="278"/>
      <c r="AH219" s="278"/>
      <c r="AI219" s="329"/>
      <c r="AJ219" s="278"/>
      <c r="AK219" s="278"/>
      <c r="AL219" s="278"/>
      <c r="AM219" s="278"/>
      <c r="AN219" s="278"/>
      <c r="AO219" s="329"/>
      <c r="AP219" s="329"/>
    </row>
    <row r="220" spans="1:42">
      <c r="A220" s="214"/>
      <c r="B220" s="214"/>
      <c r="C220" s="462" t="s">
        <v>1603</v>
      </c>
      <c r="D220" s="323"/>
      <c r="E220" s="279">
        <v>202860</v>
      </c>
      <c r="F220" s="279"/>
      <c r="G220" s="279">
        <v>74.73333333333332</v>
      </c>
      <c r="H220" s="279"/>
      <c r="I220" s="325">
        <v>1452.550666666667</v>
      </c>
      <c r="J220" s="322"/>
      <c r="K220" s="325">
        <f t="shared" si="0"/>
        <v>1452.550666666667</v>
      </c>
      <c r="L220" s="325"/>
      <c r="M220" s="325">
        <v>0</v>
      </c>
      <c r="N220" s="325"/>
      <c r="O220" s="279">
        <f t="shared" si="1"/>
        <v>1452.550666666667</v>
      </c>
      <c r="Q220" s="22"/>
      <c r="AC220" s="276"/>
      <c r="AD220" s="330"/>
      <c r="AE220" s="328"/>
      <c r="AF220" s="465"/>
      <c r="AG220" s="278"/>
      <c r="AH220" s="278"/>
      <c r="AI220" s="329"/>
      <c r="AJ220" s="278"/>
      <c r="AK220" s="278"/>
      <c r="AL220" s="278"/>
      <c r="AM220" s="278"/>
      <c r="AN220" s="278"/>
      <c r="AO220" s="329"/>
      <c r="AP220" s="329"/>
    </row>
    <row r="221" spans="1:42">
      <c r="A221" s="214"/>
      <c r="B221" s="214"/>
      <c r="C221" s="462" t="s">
        <v>1604</v>
      </c>
      <c r="D221" s="323"/>
      <c r="E221" s="279">
        <v>22280</v>
      </c>
      <c r="F221" s="279"/>
      <c r="G221" s="279">
        <v>7.6</v>
      </c>
      <c r="H221" s="279"/>
      <c r="I221" s="325">
        <v>148.268</v>
      </c>
      <c r="J221" s="322"/>
      <c r="K221" s="325">
        <f t="shared" si="0"/>
        <v>148.268</v>
      </c>
      <c r="L221" s="325"/>
      <c r="M221" s="325">
        <v>0</v>
      </c>
      <c r="N221" s="325"/>
      <c r="O221" s="279">
        <f t="shared" si="1"/>
        <v>148.268</v>
      </c>
      <c r="Q221" s="22" t="s">
        <v>669</v>
      </c>
      <c r="AC221" s="276"/>
      <c r="AD221" s="464"/>
      <c r="AE221" s="329"/>
      <c r="AF221" s="465"/>
      <c r="AG221" s="278"/>
      <c r="AH221" s="278"/>
      <c r="AI221" s="329"/>
      <c r="AJ221" s="278"/>
      <c r="AK221" s="278"/>
      <c r="AL221" s="278"/>
      <c r="AM221" s="278"/>
      <c r="AN221" s="278"/>
      <c r="AO221" s="329"/>
      <c r="AP221" s="329"/>
    </row>
    <row r="222" spans="1:42" ht="15.75" thickBot="1">
      <c r="A222" s="214"/>
      <c r="B222" s="214"/>
      <c r="C222" s="214"/>
      <c r="D222" s="323"/>
      <c r="E222" s="385">
        <f>SUM(E216:E221)</f>
        <v>2296585.8666666662</v>
      </c>
      <c r="F222" s="279"/>
      <c r="G222" s="385">
        <f>SUM(G216:G221)</f>
        <v>722.33333333333326</v>
      </c>
      <c r="H222" s="279"/>
      <c r="I222" s="386">
        <f>SUM(I216:I221)</f>
        <v>15122.058666666668</v>
      </c>
      <c r="J222" s="322"/>
      <c r="K222" s="386">
        <f>SUM(K216:K221)</f>
        <v>15122.058666666668</v>
      </c>
      <c r="L222" s="319"/>
      <c r="M222" s="386">
        <f>SUM(M216:M221)</f>
        <v>0</v>
      </c>
      <c r="N222" s="278"/>
      <c r="O222" s="386">
        <f>SUM(O216:O221)</f>
        <v>15122.058666666668</v>
      </c>
      <c r="AC222" s="276"/>
      <c r="AD222" s="464"/>
      <c r="AE222" s="329"/>
      <c r="AF222" s="465"/>
      <c r="AG222" s="278"/>
      <c r="AH222" s="278"/>
      <c r="AI222" s="329"/>
      <c r="AJ222" s="278"/>
      <c r="AK222" s="278"/>
      <c r="AL222" s="278"/>
      <c r="AM222" s="278"/>
      <c r="AN222" s="278"/>
      <c r="AO222" s="329"/>
      <c r="AP222" s="329"/>
    </row>
    <row r="223" spans="1:42" ht="15.75" thickTop="1">
      <c r="A223" s="214"/>
      <c r="B223" s="214"/>
      <c r="C223" s="214"/>
      <c r="D223" s="323"/>
      <c r="E223" s="279"/>
      <c r="F223" s="279"/>
      <c r="G223" s="279"/>
      <c r="H223" s="279"/>
      <c r="I223" s="319"/>
      <c r="J223" s="322"/>
      <c r="K223" s="319"/>
      <c r="L223" s="319"/>
      <c r="M223" s="319"/>
      <c r="N223" s="278"/>
      <c r="O223" s="319"/>
      <c r="AC223" s="276"/>
      <c r="AD223" s="464"/>
      <c r="AE223" s="329"/>
      <c r="AF223" s="465"/>
      <c r="AG223" s="278"/>
      <c r="AH223" s="278"/>
      <c r="AI223" s="329"/>
      <c r="AJ223" s="278"/>
      <c r="AK223" s="278"/>
      <c r="AL223" s="278"/>
      <c r="AM223" s="278"/>
      <c r="AN223" s="278"/>
      <c r="AO223" s="329"/>
      <c r="AP223" s="329"/>
    </row>
    <row r="224" spans="1:42">
      <c r="A224" s="48"/>
      <c r="B224" s="48"/>
      <c r="C224" s="316" t="s">
        <v>971</v>
      </c>
      <c r="D224" s="323"/>
      <c r="E224" s="279"/>
      <c r="F224" s="279"/>
      <c r="G224" s="279"/>
      <c r="H224" s="279"/>
      <c r="I224" s="278"/>
      <c r="J224" s="322"/>
      <c r="K224" s="278"/>
      <c r="L224" s="319"/>
      <c r="M224" s="278"/>
      <c r="N224" s="278"/>
      <c r="O224" s="320"/>
      <c r="AC224" s="276"/>
      <c r="AD224" s="464"/>
      <c r="AE224" s="329"/>
      <c r="AF224" s="465"/>
      <c r="AG224" s="278"/>
      <c r="AH224" s="278"/>
      <c r="AI224" s="329"/>
      <c r="AJ224" s="278"/>
      <c r="AK224" s="278"/>
      <c r="AL224" s="278"/>
      <c r="AM224" s="278"/>
      <c r="AN224" s="278"/>
      <c r="AO224" s="329"/>
      <c r="AP224" s="329"/>
    </row>
    <row r="225" spans="1:42">
      <c r="A225" s="48"/>
      <c r="B225" s="48"/>
      <c r="C225" s="316" t="s">
        <v>582</v>
      </c>
      <c r="D225" s="324">
        <v>9.02</v>
      </c>
      <c r="E225" s="279"/>
      <c r="F225" s="279"/>
      <c r="G225" s="279"/>
      <c r="H225" s="279"/>
      <c r="I225" s="278"/>
      <c r="J225" s="322"/>
      <c r="K225" s="278"/>
      <c r="L225" s="319"/>
      <c r="M225" s="278"/>
      <c r="N225" s="278"/>
      <c r="O225" s="278"/>
      <c r="AC225" s="51"/>
      <c r="AD225" s="330"/>
      <c r="AE225" s="328"/>
      <c r="AF225" s="278"/>
      <c r="AG225" s="278"/>
      <c r="AH225" s="278"/>
      <c r="AI225" s="278"/>
      <c r="AJ225" s="278"/>
      <c r="AK225" s="278"/>
      <c r="AL225" s="278"/>
      <c r="AM225" s="319"/>
      <c r="AN225" s="278"/>
      <c r="AO225" s="278"/>
      <c r="AP225" s="278"/>
    </row>
    <row r="226" spans="1:42">
      <c r="A226" s="48"/>
      <c r="B226" s="48"/>
      <c r="C226" s="316" t="s">
        <v>642</v>
      </c>
      <c r="D226" s="325">
        <v>5.1100000000000003</v>
      </c>
      <c r="E226" s="279"/>
      <c r="F226" s="279"/>
      <c r="G226" s="279"/>
      <c r="H226" s="279"/>
      <c r="I226" s="278"/>
      <c r="J226" s="322"/>
      <c r="K226" s="278"/>
      <c r="L226" s="319"/>
      <c r="M226" s="278"/>
      <c r="N226" s="278"/>
      <c r="O226" s="278"/>
      <c r="R226" s="295"/>
      <c r="S226" s="22"/>
      <c r="T226" s="22"/>
      <c r="U226" s="22"/>
      <c r="V226" s="22"/>
      <c r="W226" s="22"/>
      <c r="X226" s="22" t="s">
        <v>501</v>
      </c>
      <c r="AC226" s="331"/>
      <c r="AD226" s="51"/>
      <c r="AE226" s="274"/>
      <c r="AF226" s="278"/>
      <c r="AG226" s="278"/>
      <c r="AH226" s="278"/>
      <c r="AI226" s="278"/>
      <c r="AJ226" s="278"/>
      <c r="AK226" s="278"/>
      <c r="AL226" s="278"/>
      <c r="AM226" s="319"/>
      <c r="AN226" s="278"/>
      <c r="AO226" s="278"/>
      <c r="AP226" s="278"/>
    </row>
    <row r="227" spans="1:42">
      <c r="A227" s="48"/>
      <c r="B227" s="48"/>
      <c r="C227" s="316" t="s">
        <v>862</v>
      </c>
      <c r="D227" s="325">
        <v>4.6900000000000004</v>
      </c>
      <c r="E227" s="279"/>
      <c r="F227" s="279"/>
      <c r="G227" s="279"/>
      <c r="H227" s="279"/>
      <c r="I227" s="279"/>
      <c r="J227" s="322"/>
      <c r="K227" s="279"/>
      <c r="L227" s="318"/>
      <c r="M227" s="279"/>
      <c r="N227" s="279"/>
      <c r="O227" s="279"/>
      <c r="R227" s="295"/>
      <c r="S227" s="22"/>
      <c r="T227" s="22"/>
      <c r="U227" s="22"/>
      <c r="V227" s="22"/>
      <c r="W227" s="22"/>
      <c r="X227" s="22" t="s">
        <v>924</v>
      </c>
      <c r="AC227" s="276"/>
      <c r="AD227" s="330"/>
      <c r="AE227" s="328"/>
      <c r="AF227" s="278"/>
      <c r="AG227" s="278"/>
      <c r="AH227" s="278"/>
      <c r="AI227" s="278"/>
      <c r="AJ227" s="278"/>
      <c r="AK227" s="278"/>
      <c r="AL227" s="278"/>
      <c r="AM227" s="319"/>
      <c r="AN227" s="319"/>
      <c r="AO227" s="319"/>
      <c r="AP227" s="319"/>
    </row>
    <row r="228" spans="1:42">
      <c r="A228" s="48"/>
      <c r="B228" s="48"/>
      <c r="C228" s="316" t="s">
        <v>863</v>
      </c>
      <c r="D228" s="325">
        <v>4.2699999999999996</v>
      </c>
      <c r="E228" s="279"/>
      <c r="F228" s="279"/>
      <c r="G228" s="279"/>
      <c r="H228" s="279"/>
      <c r="I228" s="279"/>
      <c r="J228" s="322"/>
      <c r="K228" s="279"/>
      <c r="L228" s="318"/>
      <c r="M228" s="279"/>
      <c r="N228" s="279"/>
      <c r="O228" s="279"/>
      <c r="R228" s="295"/>
      <c r="S228" s="22"/>
      <c r="T228" s="22"/>
      <c r="U228" s="22"/>
      <c r="V228" s="22"/>
      <c r="W228" s="22"/>
      <c r="X228" s="732">
        <f>SUM(G249:G250)/12</f>
        <v>1.0555555555555556</v>
      </c>
      <c r="AC228" s="276"/>
      <c r="AD228" s="330"/>
      <c r="AE228" s="328"/>
      <c r="AF228" s="278"/>
      <c r="AG228" s="278"/>
      <c r="AH228" s="278"/>
      <c r="AI228" s="278"/>
      <c r="AJ228" s="319"/>
      <c r="AK228" s="319"/>
      <c r="AL228" s="319"/>
      <c r="AM228" s="319"/>
      <c r="AN228" s="319"/>
      <c r="AO228" s="319"/>
      <c r="AP228" s="319"/>
    </row>
    <row r="229" spans="1:42">
      <c r="A229" s="48"/>
      <c r="B229" s="48"/>
      <c r="C229" s="316" t="s">
        <v>864</v>
      </c>
      <c r="D229" s="325">
        <v>3.79</v>
      </c>
      <c r="E229" s="279"/>
      <c r="F229" s="279"/>
      <c r="G229" s="279"/>
      <c r="H229" s="279"/>
      <c r="I229" s="279"/>
      <c r="J229" s="322"/>
      <c r="K229" s="279"/>
      <c r="L229" s="318"/>
      <c r="M229" s="279"/>
      <c r="N229" s="279"/>
      <c r="O229" s="279"/>
      <c r="R229" s="295"/>
      <c r="S229" s="22"/>
      <c r="T229" s="22"/>
      <c r="U229" s="22"/>
      <c r="V229" s="22"/>
      <c r="W229" s="22"/>
      <c r="X229" s="22"/>
      <c r="AC229" s="276"/>
      <c r="AD229" s="330"/>
      <c r="AE229" s="328"/>
      <c r="AF229" s="278"/>
      <c r="AG229" s="278"/>
      <c r="AH229" s="278"/>
      <c r="AI229" s="278"/>
      <c r="AJ229" s="319"/>
      <c r="AK229" s="319"/>
      <c r="AL229" s="319"/>
      <c r="AM229" s="319"/>
      <c r="AN229" s="319"/>
      <c r="AO229" s="319"/>
      <c r="AP229" s="319"/>
    </row>
    <row r="230" spans="1:42">
      <c r="A230" s="48"/>
      <c r="B230" s="48"/>
      <c r="C230" s="316" t="s">
        <v>876</v>
      </c>
      <c r="D230" s="325">
        <v>3.31</v>
      </c>
      <c r="E230" s="279"/>
      <c r="F230" s="279"/>
      <c r="G230" s="279"/>
      <c r="H230" s="279"/>
      <c r="I230" s="279"/>
      <c r="J230" s="322"/>
      <c r="K230" s="279"/>
      <c r="L230" s="318"/>
      <c r="M230" s="279"/>
      <c r="N230" s="279"/>
      <c r="O230" s="279"/>
      <c r="R230" s="295"/>
      <c r="S230" s="22"/>
      <c r="T230" s="22"/>
      <c r="U230" s="22"/>
      <c r="V230" s="22"/>
      <c r="W230" s="22"/>
      <c r="X230" s="22"/>
      <c r="AC230" s="276"/>
      <c r="AD230" s="330"/>
      <c r="AE230" s="328"/>
      <c r="AF230" s="278"/>
      <c r="AG230" s="278"/>
      <c r="AH230" s="278"/>
      <c r="AI230" s="278"/>
      <c r="AJ230" s="319"/>
      <c r="AK230" s="319"/>
      <c r="AL230" s="319"/>
      <c r="AM230" s="319"/>
      <c r="AN230" s="319"/>
      <c r="AO230" s="319"/>
      <c r="AP230" s="319"/>
    </row>
    <row r="231" spans="1:42">
      <c r="A231" s="315"/>
      <c r="B231" s="315"/>
      <c r="C231" s="48"/>
      <c r="D231" s="49"/>
      <c r="E231" s="279"/>
      <c r="F231" s="279"/>
      <c r="G231" s="279"/>
      <c r="H231" s="279"/>
      <c r="I231" s="279"/>
      <c r="J231" s="322"/>
      <c r="K231" s="279"/>
      <c r="L231" s="318"/>
      <c r="M231" s="279"/>
      <c r="N231" s="279"/>
      <c r="O231" s="279"/>
      <c r="AC231" s="331"/>
      <c r="AD231" s="51"/>
      <c r="AE231" s="274"/>
      <c r="AF231" s="278"/>
      <c r="AG231" s="278"/>
      <c r="AH231" s="278"/>
      <c r="AI231" s="278"/>
      <c r="AJ231" s="278"/>
      <c r="AK231" s="278"/>
      <c r="AL231" s="278"/>
      <c r="AM231" s="319"/>
      <c r="AN231" s="278"/>
      <c r="AO231" s="278"/>
      <c r="AP231" s="278"/>
    </row>
    <row r="232" spans="1:42">
      <c r="A232" s="214"/>
      <c r="B232" s="214"/>
      <c r="C232" s="462" t="s">
        <v>1561</v>
      </c>
      <c r="D232" s="323"/>
      <c r="E232" s="279">
        <v>685700</v>
      </c>
      <c r="F232" s="279"/>
      <c r="G232" s="279">
        <v>214.19999999999996</v>
      </c>
      <c r="H232" s="279"/>
      <c r="I232" s="325">
        <v>5860.9953333333342</v>
      </c>
      <c r="J232" s="322"/>
      <c r="K232" s="325">
        <f t="shared" ref="K232:K237" si="2">I232</f>
        <v>5860.9953333333342</v>
      </c>
      <c r="L232" s="325"/>
      <c r="M232" s="325">
        <v>0</v>
      </c>
      <c r="N232" s="325"/>
      <c r="O232" s="279">
        <f t="shared" ref="O232:O237" si="3">K232-M232</f>
        <v>5860.9953333333342</v>
      </c>
      <c r="Q232" s="22"/>
      <c r="AC232" s="276"/>
      <c r="AD232" s="330"/>
      <c r="AE232" s="328"/>
      <c r="AF232" s="465"/>
      <c r="AG232" s="278"/>
      <c r="AH232" s="278"/>
      <c r="AI232" s="329"/>
      <c r="AJ232" s="278"/>
      <c r="AK232" s="278"/>
      <c r="AL232" s="278"/>
      <c r="AM232" s="278"/>
      <c r="AN232" s="278"/>
      <c r="AO232" s="329"/>
      <c r="AP232" s="329"/>
    </row>
    <row r="233" spans="1:42">
      <c r="A233" s="276"/>
      <c r="B233" s="276"/>
      <c r="C233" s="462" t="s">
        <v>1562</v>
      </c>
      <c r="D233" s="323"/>
      <c r="E233" s="279">
        <v>181186.66666666666</v>
      </c>
      <c r="F233" s="279"/>
      <c r="G233" s="279">
        <v>42.933333333333337</v>
      </c>
      <c r="H233" s="279"/>
      <c r="I233" s="325">
        <v>1478.6813333333332</v>
      </c>
      <c r="J233" s="322"/>
      <c r="K233" s="325">
        <f t="shared" si="2"/>
        <v>1478.6813333333332</v>
      </c>
      <c r="L233" s="325"/>
      <c r="M233" s="325">
        <v>0</v>
      </c>
      <c r="N233" s="325"/>
      <c r="O233" s="279">
        <f t="shared" si="3"/>
        <v>1478.6813333333332</v>
      </c>
      <c r="Q233" s="22"/>
      <c r="AC233" s="276"/>
      <c r="AD233" s="330"/>
      <c r="AE233" s="328"/>
      <c r="AF233" s="465"/>
      <c r="AG233" s="278"/>
      <c r="AH233" s="278"/>
      <c r="AI233" s="329"/>
      <c r="AJ233" s="278"/>
      <c r="AK233" s="278"/>
      <c r="AL233" s="278"/>
      <c r="AM233" s="278"/>
      <c r="AN233" s="278"/>
      <c r="AO233" s="329"/>
      <c r="AP233" s="329"/>
    </row>
    <row r="234" spans="1:42">
      <c r="A234" s="276"/>
      <c r="B234" s="276"/>
      <c r="C234" s="462" t="s">
        <v>1563</v>
      </c>
      <c r="D234" s="323"/>
      <c r="E234" s="279">
        <v>15000</v>
      </c>
      <c r="F234" s="279"/>
      <c r="G234" s="279">
        <v>22.466666666666669</v>
      </c>
      <c r="H234" s="279"/>
      <c r="I234" s="325">
        <v>261.512</v>
      </c>
      <c r="J234" s="322"/>
      <c r="K234" s="325">
        <f t="shared" si="2"/>
        <v>261.512</v>
      </c>
      <c r="L234" s="325"/>
      <c r="M234" s="325">
        <v>0</v>
      </c>
      <c r="N234" s="325"/>
      <c r="O234" s="279">
        <f t="shared" si="3"/>
        <v>261.512</v>
      </c>
      <c r="Q234" s="22"/>
      <c r="AC234" s="276"/>
      <c r="AD234" s="330"/>
      <c r="AE234" s="328"/>
      <c r="AF234" s="465"/>
      <c r="AG234" s="278"/>
      <c r="AH234" s="278"/>
      <c r="AI234" s="329"/>
      <c r="AJ234" s="278"/>
      <c r="AK234" s="278"/>
      <c r="AL234" s="278"/>
      <c r="AM234" s="278"/>
      <c r="AN234" s="278"/>
      <c r="AO234" s="329"/>
      <c r="AP234" s="329"/>
    </row>
    <row r="235" spans="1:42">
      <c r="A235" s="214"/>
      <c r="B235" s="214"/>
      <c r="C235" s="462" t="s">
        <v>1605</v>
      </c>
      <c r="D235" s="323"/>
      <c r="E235" s="279">
        <v>17525274.466666669</v>
      </c>
      <c r="F235" s="279"/>
      <c r="G235" s="279">
        <v>5166.4000000000015</v>
      </c>
      <c r="H235" s="279"/>
      <c r="I235" s="325">
        <v>145423.69666666657</v>
      </c>
      <c r="J235" s="322"/>
      <c r="K235" s="325">
        <f t="shared" si="2"/>
        <v>145423.69666666657</v>
      </c>
      <c r="L235" s="325"/>
      <c r="M235" s="325">
        <v>0</v>
      </c>
      <c r="N235" s="325"/>
      <c r="O235" s="279">
        <f t="shared" si="3"/>
        <v>145423.69666666657</v>
      </c>
      <c r="Q235" s="22"/>
      <c r="AC235" s="276"/>
      <c r="AD235" s="330"/>
      <c r="AE235" s="328"/>
      <c r="AF235" s="465"/>
      <c r="AG235" s="278"/>
      <c r="AH235" s="278"/>
      <c r="AI235" s="329"/>
      <c r="AJ235" s="278"/>
      <c r="AK235" s="278"/>
      <c r="AL235" s="278"/>
      <c r="AM235" s="278"/>
      <c r="AN235" s="278"/>
      <c r="AO235" s="329"/>
      <c r="AP235" s="329"/>
    </row>
    <row r="236" spans="1:42">
      <c r="A236" s="214"/>
      <c r="B236" s="214"/>
      <c r="C236" s="462" t="s">
        <v>1606</v>
      </c>
      <c r="D236" s="323"/>
      <c r="E236" s="279">
        <v>1971870</v>
      </c>
      <c r="F236" s="279"/>
      <c r="G236" s="279">
        <v>655.26666666666688</v>
      </c>
      <c r="H236" s="279"/>
      <c r="I236" s="325">
        <v>17461.170000000006</v>
      </c>
      <c r="J236" s="322"/>
      <c r="K236" s="325">
        <f t="shared" si="2"/>
        <v>17461.170000000006</v>
      </c>
      <c r="L236" s="325"/>
      <c r="M236" s="325">
        <v>0</v>
      </c>
      <c r="N236" s="325"/>
      <c r="O236" s="279">
        <f t="shared" si="3"/>
        <v>17461.170000000006</v>
      </c>
      <c r="Q236" s="22"/>
      <c r="AC236" s="276"/>
      <c r="AD236" s="330"/>
      <c r="AE236" s="328"/>
      <c r="AF236" s="465"/>
      <c r="AG236" s="278"/>
      <c r="AH236" s="278"/>
      <c r="AI236" s="329"/>
      <c r="AJ236" s="278"/>
      <c r="AK236" s="278"/>
      <c r="AL236" s="278"/>
      <c r="AM236" s="278"/>
      <c r="AN236" s="278"/>
      <c r="AO236" s="329"/>
      <c r="AP236" s="329"/>
    </row>
    <row r="237" spans="1:42">
      <c r="A237" s="214"/>
      <c r="B237" s="214"/>
      <c r="C237" s="462" t="s">
        <v>1607</v>
      </c>
      <c r="D237" s="323"/>
      <c r="E237" s="279">
        <v>114620</v>
      </c>
      <c r="F237" s="279"/>
      <c r="G237" s="279">
        <v>64.400000000000006</v>
      </c>
      <c r="H237" s="279"/>
      <c r="I237" s="325">
        <v>1220.1420000000001</v>
      </c>
      <c r="J237" s="322"/>
      <c r="K237" s="325">
        <f t="shared" si="2"/>
        <v>1220.1420000000001</v>
      </c>
      <c r="L237" s="325"/>
      <c r="M237" s="325">
        <v>0</v>
      </c>
      <c r="N237" s="325"/>
      <c r="O237" s="279">
        <f t="shared" si="3"/>
        <v>1220.1420000000001</v>
      </c>
      <c r="Q237" s="22" t="s">
        <v>669</v>
      </c>
      <c r="AC237" s="276"/>
      <c r="AD237" s="464"/>
      <c r="AE237" s="329"/>
      <c r="AF237" s="465"/>
      <c r="AG237" s="278"/>
      <c r="AH237" s="278"/>
      <c r="AI237" s="329"/>
      <c r="AJ237" s="278"/>
      <c r="AK237" s="278"/>
      <c r="AL237" s="278"/>
      <c r="AM237" s="278"/>
      <c r="AN237" s="278"/>
      <c r="AO237" s="329"/>
      <c r="AP237" s="329"/>
    </row>
    <row r="238" spans="1:42" ht="15.75" thickBot="1">
      <c r="A238" s="214"/>
      <c r="B238" s="214"/>
      <c r="C238" s="214"/>
      <c r="D238" s="323"/>
      <c r="E238" s="385">
        <f>SUM(E232:E237)</f>
        <v>20493651.133333337</v>
      </c>
      <c r="F238" s="279"/>
      <c r="G238" s="385">
        <f>SUM(G232:G237)</f>
        <v>6165.6666666666679</v>
      </c>
      <c r="H238" s="279"/>
      <c r="I238" s="386">
        <f>SUM(I232:I237)</f>
        <v>171706.19733333323</v>
      </c>
      <c r="J238" s="322"/>
      <c r="K238" s="386">
        <f>SUM(K232:K237)</f>
        <v>171706.19733333323</v>
      </c>
      <c r="L238" s="319"/>
      <c r="M238" s="386">
        <f>SUM(M232:M237)</f>
        <v>0</v>
      </c>
      <c r="N238" s="278"/>
      <c r="O238" s="386">
        <f>SUM(O232:O237)</f>
        <v>171706.19733333323</v>
      </c>
      <c r="AC238" s="276"/>
      <c r="AD238" s="464"/>
      <c r="AE238" s="329"/>
      <c r="AF238" s="465"/>
      <c r="AG238" s="278"/>
      <c r="AH238" s="278"/>
      <c r="AI238" s="329"/>
      <c r="AJ238" s="278"/>
      <c r="AK238" s="278"/>
      <c r="AL238" s="278"/>
      <c r="AM238" s="278"/>
      <c r="AN238" s="278"/>
      <c r="AO238" s="329"/>
      <c r="AP238" s="329"/>
    </row>
    <row r="239" spans="1:42" ht="15.75" thickTop="1">
      <c r="A239" s="214"/>
      <c r="B239" s="214"/>
      <c r="C239" s="214"/>
      <c r="D239" s="323"/>
      <c r="E239" s="279"/>
      <c r="F239" s="279"/>
      <c r="G239" s="279"/>
      <c r="H239" s="279"/>
      <c r="I239" s="319"/>
      <c r="J239" s="322"/>
      <c r="K239" s="319"/>
      <c r="L239" s="319"/>
      <c r="M239" s="319"/>
      <c r="N239" s="278"/>
      <c r="O239" s="319"/>
      <c r="AC239" s="276"/>
      <c r="AD239" s="464"/>
      <c r="AE239" s="329"/>
      <c r="AF239" s="465"/>
      <c r="AG239" s="278"/>
      <c r="AH239" s="278"/>
      <c r="AI239" s="329"/>
      <c r="AJ239" s="278"/>
      <c r="AK239" s="278"/>
      <c r="AL239" s="278"/>
      <c r="AM239" s="278"/>
      <c r="AN239" s="278"/>
      <c r="AO239" s="329"/>
      <c r="AP239" s="329"/>
    </row>
    <row r="240" spans="1:42">
      <c r="A240" s="48"/>
      <c r="B240" s="48"/>
      <c r="C240" s="316" t="s">
        <v>971</v>
      </c>
      <c r="D240" s="323"/>
      <c r="E240" s="279"/>
      <c r="F240" s="279"/>
      <c r="G240" s="279"/>
      <c r="H240" s="279"/>
      <c r="I240" s="278"/>
      <c r="J240" s="322"/>
      <c r="K240" s="278"/>
      <c r="L240" s="319"/>
      <c r="M240" s="278"/>
      <c r="N240" s="278"/>
      <c r="O240" s="320"/>
      <c r="AC240" s="276"/>
      <c r="AD240" s="464"/>
      <c r="AE240" s="329"/>
      <c r="AF240" s="465"/>
      <c r="AG240" s="278"/>
      <c r="AH240" s="278"/>
      <c r="AI240" s="329"/>
      <c r="AJ240" s="278"/>
      <c r="AK240" s="278"/>
      <c r="AL240" s="278"/>
      <c r="AM240" s="278"/>
      <c r="AN240" s="278"/>
      <c r="AO240" s="329"/>
      <c r="AP240" s="329"/>
    </row>
    <row r="241" spans="1:42">
      <c r="A241" s="48"/>
      <c r="B241" s="48"/>
      <c r="C241" s="316" t="s">
        <v>582</v>
      </c>
      <c r="D241" s="324">
        <v>11.64</v>
      </c>
      <c r="E241" s="279"/>
      <c r="F241" s="279"/>
      <c r="G241" s="279"/>
      <c r="H241" s="279"/>
      <c r="I241" s="278"/>
      <c r="J241" s="322"/>
      <c r="K241" s="278"/>
      <c r="L241" s="319"/>
      <c r="M241" s="278"/>
      <c r="N241" s="278"/>
      <c r="O241" s="278"/>
      <c r="AC241" s="51"/>
      <c r="AD241" s="330"/>
      <c r="AE241" s="328"/>
      <c r="AF241" s="278"/>
      <c r="AG241" s="278"/>
      <c r="AH241" s="278"/>
      <c r="AI241" s="278"/>
      <c r="AJ241" s="278"/>
      <c r="AK241" s="278"/>
      <c r="AL241" s="278"/>
      <c r="AM241" s="319"/>
      <c r="AN241" s="278"/>
      <c r="AO241" s="278"/>
      <c r="AP241" s="278"/>
    </row>
    <row r="242" spans="1:42">
      <c r="A242" s="48"/>
      <c r="B242" s="48"/>
      <c r="C242" s="316" t="s">
        <v>642</v>
      </c>
      <c r="D242" s="325">
        <v>6.59</v>
      </c>
      <c r="E242" s="279"/>
      <c r="F242" s="279"/>
      <c r="G242" s="279"/>
      <c r="H242" s="279"/>
      <c r="I242" s="278"/>
      <c r="J242" s="322"/>
      <c r="K242" s="278"/>
      <c r="L242" s="319"/>
      <c r="M242" s="278"/>
      <c r="N242" s="278"/>
      <c r="O242" s="278"/>
      <c r="R242" s="295"/>
      <c r="S242" s="22"/>
      <c r="T242" s="22"/>
      <c r="U242" s="22"/>
      <c r="V242" s="22"/>
      <c r="W242" s="22"/>
      <c r="X242" s="22" t="s">
        <v>501</v>
      </c>
      <c r="AC242" s="331"/>
      <c r="AD242" s="51"/>
      <c r="AE242" s="274"/>
      <c r="AF242" s="278"/>
      <c r="AG242" s="278"/>
      <c r="AH242" s="278"/>
      <c r="AI242" s="278"/>
      <c r="AJ242" s="278"/>
      <c r="AK242" s="278"/>
      <c r="AL242" s="278"/>
      <c r="AM242" s="319"/>
      <c r="AN242" s="278"/>
      <c r="AO242" s="278"/>
      <c r="AP242" s="278"/>
    </row>
    <row r="243" spans="1:42">
      <c r="A243" s="48"/>
      <c r="B243" s="48"/>
      <c r="C243" s="316" t="s">
        <v>862</v>
      </c>
      <c r="D243" s="325">
        <v>6.05</v>
      </c>
      <c r="E243" s="279"/>
      <c r="F243" s="279"/>
      <c r="G243" s="279"/>
      <c r="H243" s="279"/>
      <c r="I243" s="279"/>
      <c r="J243" s="322"/>
      <c r="K243" s="279"/>
      <c r="L243" s="318"/>
      <c r="M243" s="279"/>
      <c r="N243" s="279"/>
      <c r="O243" s="279"/>
      <c r="R243" s="295"/>
      <c r="S243" s="22"/>
      <c r="T243" s="22"/>
      <c r="U243" s="22"/>
      <c r="V243" s="22"/>
      <c r="W243" s="22"/>
      <c r="X243" s="22" t="s">
        <v>924</v>
      </c>
      <c r="AC243" s="276"/>
      <c r="AD243" s="330"/>
      <c r="AE243" s="328"/>
      <c r="AF243" s="278"/>
      <c r="AG243" s="278"/>
      <c r="AH243" s="278"/>
      <c r="AI243" s="278"/>
      <c r="AJ243" s="278"/>
      <c r="AK243" s="278"/>
      <c r="AL243" s="278"/>
      <c r="AM243" s="319"/>
      <c r="AN243" s="319"/>
      <c r="AO243" s="319"/>
      <c r="AP243" s="319"/>
    </row>
    <row r="244" spans="1:42">
      <c r="A244" s="48"/>
      <c r="B244" s="48"/>
      <c r="C244" s="316" t="s">
        <v>863</v>
      </c>
      <c r="D244" s="325">
        <v>5.51</v>
      </c>
      <c r="E244" s="279"/>
      <c r="F244" s="279"/>
      <c r="G244" s="279"/>
      <c r="H244" s="279"/>
      <c r="I244" s="279"/>
      <c r="J244" s="322"/>
      <c r="K244" s="279"/>
      <c r="L244" s="318"/>
      <c r="M244" s="279"/>
      <c r="N244" s="279"/>
      <c r="O244" s="279"/>
      <c r="R244" s="295"/>
      <c r="S244" s="22"/>
      <c r="T244" s="22"/>
      <c r="U244" s="22"/>
      <c r="V244" s="22"/>
      <c r="W244" s="22"/>
      <c r="X244" s="732">
        <f>SUM(G276:G278)/12</f>
        <v>0.42222222222222222</v>
      </c>
      <c r="AC244" s="276"/>
      <c r="AD244" s="330"/>
      <c r="AE244" s="328"/>
      <c r="AF244" s="278"/>
      <c r="AG244" s="278"/>
      <c r="AH244" s="278"/>
      <c r="AI244" s="278"/>
      <c r="AJ244" s="319"/>
      <c r="AK244" s="319"/>
      <c r="AL244" s="319"/>
      <c r="AM244" s="319"/>
      <c r="AN244" s="319"/>
      <c r="AO244" s="319"/>
      <c r="AP244" s="319"/>
    </row>
    <row r="245" spans="1:42">
      <c r="A245" s="48"/>
      <c r="B245" s="48"/>
      <c r="C245" s="316" t="s">
        <v>864</v>
      </c>
      <c r="D245" s="325">
        <v>4.8899999999999997</v>
      </c>
      <c r="E245" s="279"/>
      <c r="F245" s="279"/>
      <c r="G245" s="279"/>
      <c r="H245" s="279"/>
      <c r="I245" s="279"/>
      <c r="J245" s="322"/>
      <c r="K245" s="279"/>
      <c r="L245" s="318"/>
      <c r="M245" s="279"/>
      <c r="N245" s="279"/>
      <c r="O245" s="279"/>
      <c r="R245" s="295"/>
      <c r="S245" s="22"/>
      <c r="T245" s="22"/>
      <c r="U245" s="22"/>
      <c r="V245" s="22"/>
      <c r="W245" s="22"/>
      <c r="X245" s="22"/>
      <c r="AC245" s="276"/>
      <c r="AD245" s="330"/>
      <c r="AE245" s="328"/>
      <c r="AF245" s="278"/>
      <c r="AG245" s="278"/>
      <c r="AH245" s="278"/>
      <c r="AI245" s="278"/>
      <c r="AJ245" s="319"/>
      <c r="AK245" s="319"/>
      <c r="AL245" s="319"/>
      <c r="AM245" s="319"/>
      <c r="AN245" s="319"/>
      <c r="AO245" s="319"/>
      <c r="AP245" s="319"/>
    </row>
    <row r="246" spans="1:42">
      <c r="A246" s="48"/>
      <c r="B246" s="48"/>
      <c r="C246" s="316" t="s">
        <v>876</v>
      </c>
      <c r="D246" s="325">
        <v>4.2699999999999996</v>
      </c>
      <c r="E246" s="279"/>
      <c r="F246" s="279"/>
      <c r="G246" s="279"/>
      <c r="H246" s="279"/>
      <c r="I246" s="279"/>
      <c r="J246" s="322"/>
      <c r="K246" s="279"/>
      <c r="L246" s="318"/>
      <c r="M246" s="279"/>
      <c r="N246" s="279"/>
      <c r="O246" s="279"/>
      <c r="R246" s="295"/>
      <c r="S246" s="22"/>
      <c r="T246" s="22"/>
      <c r="U246" s="22"/>
      <c r="V246" s="22"/>
      <c r="W246" s="22"/>
      <c r="X246" s="22"/>
      <c r="AC246" s="276"/>
      <c r="AD246" s="330"/>
      <c r="AE246" s="328"/>
      <c r="AF246" s="278"/>
      <c r="AG246" s="278"/>
      <c r="AH246" s="278"/>
      <c r="AI246" s="278"/>
      <c r="AJ246" s="319"/>
      <c r="AK246" s="319"/>
      <c r="AL246" s="319"/>
      <c r="AM246" s="319"/>
      <c r="AN246" s="319"/>
      <c r="AO246" s="319"/>
      <c r="AP246" s="319"/>
    </row>
    <row r="247" spans="1:42">
      <c r="A247" s="315"/>
      <c r="B247" s="315"/>
      <c r="C247" s="48"/>
      <c r="D247" s="49"/>
      <c r="E247" s="279"/>
      <c r="F247" s="279"/>
      <c r="G247" s="279"/>
      <c r="H247" s="279"/>
      <c r="I247" s="279"/>
      <c r="J247" s="322"/>
      <c r="K247" s="279"/>
      <c r="L247" s="318"/>
      <c r="M247" s="279"/>
      <c r="N247" s="279"/>
      <c r="O247" s="279"/>
      <c r="AC247" s="331"/>
      <c r="AD247" s="51"/>
      <c r="AE247" s="274"/>
      <c r="AF247" s="278"/>
      <c r="AG247" s="278"/>
      <c r="AH247" s="278"/>
      <c r="AI247" s="278"/>
      <c r="AJ247" s="278"/>
      <c r="AK247" s="278"/>
      <c r="AL247" s="278"/>
      <c r="AM247" s="319"/>
      <c r="AN247" s="319"/>
      <c r="AO247" s="319"/>
      <c r="AP247" s="319"/>
    </row>
    <row r="248" spans="1:42">
      <c r="A248" s="315"/>
      <c r="B248" s="315"/>
      <c r="C248" s="462"/>
      <c r="D248" s="49"/>
      <c r="E248" s="279"/>
      <c r="F248" s="279"/>
      <c r="G248" s="279"/>
      <c r="H248" s="279"/>
      <c r="I248" s="279"/>
      <c r="J248" s="322"/>
      <c r="K248" s="279"/>
      <c r="L248" s="318"/>
      <c r="M248" s="279"/>
      <c r="N248" s="279"/>
      <c r="O248" s="279"/>
      <c r="AC248" s="331"/>
      <c r="AD248" s="51"/>
      <c r="AE248" s="274"/>
      <c r="AF248" s="278"/>
      <c r="AG248" s="278"/>
      <c r="AH248" s="278"/>
      <c r="AI248" s="278"/>
      <c r="AJ248" s="278"/>
      <c r="AK248" s="278"/>
      <c r="AL248" s="278"/>
      <c r="AM248" s="319"/>
      <c r="AN248" s="319"/>
      <c r="AO248" s="319"/>
      <c r="AP248" s="319"/>
    </row>
    <row r="249" spans="1:42">
      <c r="A249" s="214">
        <v>16244</v>
      </c>
      <c r="B249" s="214"/>
      <c r="C249" s="462" t="s">
        <v>1569</v>
      </c>
      <c r="D249" s="323"/>
      <c r="E249" s="279">
        <v>148573.33333333334</v>
      </c>
      <c r="F249" s="279"/>
      <c r="G249" s="279">
        <v>8.8666666666666671</v>
      </c>
      <c r="H249" s="279"/>
      <c r="I249" s="279">
        <v>787.54800000000012</v>
      </c>
      <c r="J249" s="322"/>
      <c r="K249" s="279">
        <f>I249</f>
        <v>787.54800000000012</v>
      </c>
      <c r="L249" s="279"/>
      <c r="M249" s="279">
        <v>0</v>
      </c>
      <c r="N249" s="279"/>
      <c r="O249" s="279">
        <f>K249-M249</f>
        <v>787.54800000000012</v>
      </c>
      <c r="Q249" s="22" t="s">
        <v>669</v>
      </c>
      <c r="AC249" s="276"/>
      <c r="AD249" s="330"/>
      <c r="AE249" s="328"/>
      <c r="AF249" s="278"/>
      <c r="AG249" s="278"/>
      <c r="AH249" s="278"/>
      <c r="AI249" s="278"/>
      <c r="AJ249" s="278"/>
      <c r="AK249" s="278"/>
      <c r="AL249" s="278"/>
      <c r="AM249" s="319"/>
      <c r="AN249" s="319"/>
      <c r="AO249" s="319"/>
      <c r="AP249" s="278"/>
    </row>
    <row r="250" spans="1:42">
      <c r="A250" s="214">
        <v>16247</v>
      </c>
      <c r="B250" s="214"/>
      <c r="C250" s="462" t="s">
        <v>1570</v>
      </c>
      <c r="D250" s="323"/>
      <c r="E250" s="279">
        <v>15620</v>
      </c>
      <c r="F250" s="279"/>
      <c r="G250" s="279">
        <v>3.8</v>
      </c>
      <c r="H250" s="279"/>
      <c r="I250" s="279">
        <v>134.45466666666664</v>
      </c>
      <c r="J250" s="322"/>
      <c r="K250" s="279">
        <f>I250</f>
        <v>134.45466666666664</v>
      </c>
      <c r="L250" s="279"/>
      <c r="M250" s="279">
        <v>0</v>
      </c>
      <c r="N250" s="279"/>
      <c r="O250" s="279">
        <f>K250-M250</f>
        <v>134.45466666666664</v>
      </c>
      <c r="Q250" s="732">
        <f>E252/G252</f>
        <v>11324.291497975708</v>
      </c>
      <c r="AC250" s="276"/>
      <c r="AD250" s="330"/>
      <c r="AE250" s="328"/>
      <c r="AF250" s="278"/>
      <c r="AG250" s="278"/>
      <c r="AH250" s="278"/>
      <c r="AI250" s="278"/>
      <c r="AJ250" s="278"/>
      <c r="AK250" s="278"/>
      <c r="AL250" s="278"/>
      <c r="AM250" s="319"/>
      <c r="AN250" s="319"/>
      <c r="AO250" s="319"/>
      <c r="AP250" s="278"/>
    </row>
    <row r="251" spans="1:42">
      <c r="A251" s="276">
        <v>16279</v>
      </c>
      <c r="B251" s="276"/>
      <c r="C251" s="462" t="s">
        <v>1571</v>
      </c>
      <c r="D251" s="323"/>
      <c r="E251" s="279">
        <v>22280</v>
      </c>
      <c r="F251" s="279"/>
      <c r="G251" s="279">
        <v>3.8</v>
      </c>
      <c r="H251" s="279"/>
      <c r="I251" s="279">
        <v>283.10666666666668</v>
      </c>
      <c r="J251" s="322"/>
      <c r="K251" s="325">
        <f>I251</f>
        <v>283.10666666666668</v>
      </c>
      <c r="L251" s="325"/>
      <c r="M251" s="325">
        <v>0</v>
      </c>
      <c r="N251" s="325"/>
      <c r="O251" s="279">
        <f>K251-M251</f>
        <v>283.10666666666668</v>
      </c>
      <c r="Q251" s="22"/>
      <c r="AC251" s="276"/>
      <c r="AD251" s="330"/>
      <c r="AE251" s="328"/>
      <c r="AF251" s="278"/>
      <c r="AG251" s="278"/>
      <c r="AH251" s="278"/>
      <c r="AI251" s="278"/>
      <c r="AJ251" s="278"/>
      <c r="AK251" s="278"/>
      <c r="AL251" s="278"/>
      <c r="AM251" s="319"/>
      <c r="AN251" s="319"/>
      <c r="AO251" s="319"/>
      <c r="AP251" s="319"/>
    </row>
    <row r="252" spans="1:42" ht="15.75" thickBot="1">
      <c r="A252" s="48"/>
      <c r="B252" s="48"/>
      <c r="C252" s="48"/>
      <c r="D252" s="49"/>
      <c r="E252" s="742">
        <f>SUM(E249:E251)</f>
        <v>186473.33333333334</v>
      </c>
      <c r="F252" s="49"/>
      <c r="G252" s="742">
        <f>SUM(G249:G251)</f>
        <v>16.466666666666669</v>
      </c>
      <c r="H252" s="49"/>
      <c r="I252" s="386">
        <f>SUM(I249:I251)</f>
        <v>1205.1093333333333</v>
      </c>
      <c r="J252" s="322"/>
      <c r="K252" s="386">
        <f>SUM(K249:K251)</f>
        <v>1205.1093333333333</v>
      </c>
      <c r="L252" s="274"/>
      <c r="M252" s="386">
        <f>SUM(M249:M250)</f>
        <v>0</v>
      </c>
      <c r="N252" s="274"/>
      <c r="O252" s="386">
        <f>SUM(O249:O251)</f>
        <v>1205.1093333333333</v>
      </c>
      <c r="AC252" s="276"/>
      <c r="AD252" s="330"/>
      <c r="AE252" s="328"/>
      <c r="AF252" s="278"/>
      <c r="AG252" s="278"/>
      <c r="AH252" s="278"/>
      <c r="AI252" s="278"/>
      <c r="AJ252" s="278"/>
      <c r="AK252" s="278"/>
      <c r="AL252" s="278"/>
      <c r="AM252" s="319"/>
      <c r="AN252" s="319"/>
      <c r="AO252" s="319"/>
      <c r="AP252" s="319"/>
    </row>
    <row r="253" spans="1:42" ht="15.75" thickTop="1">
      <c r="A253" s="214"/>
      <c r="B253" s="214"/>
      <c r="C253" s="316" t="s">
        <v>1133</v>
      </c>
      <c r="D253" s="323"/>
      <c r="E253" s="279"/>
      <c r="F253" s="279"/>
      <c r="G253" s="279"/>
      <c r="H253" s="279"/>
      <c r="I253" s="319"/>
      <c r="J253" s="322"/>
      <c r="K253" s="278"/>
      <c r="L253" s="319"/>
      <c r="M253" s="319"/>
      <c r="N253" s="319"/>
      <c r="O253" s="320"/>
      <c r="R253" s="295"/>
      <c r="S253" s="22"/>
      <c r="T253" s="22"/>
      <c r="U253" s="22"/>
      <c r="V253" s="22"/>
      <c r="W253" s="22"/>
      <c r="X253" s="22" t="s">
        <v>501</v>
      </c>
      <c r="AC253" s="276"/>
      <c r="AD253" s="330"/>
      <c r="AE253" s="328"/>
      <c r="AF253" s="278"/>
      <c r="AG253" s="278"/>
      <c r="AH253" s="278"/>
      <c r="AI253" s="278"/>
      <c r="AJ253" s="278"/>
      <c r="AK253" s="278"/>
      <c r="AL253" s="278"/>
      <c r="AM253" s="319"/>
      <c r="AN253" s="319"/>
      <c r="AO253" s="319"/>
      <c r="AP253" s="319"/>
    </row>
    <row r="254" spans="1:42">
      <c r="A254" s="214"/>
      <c r="B254" s="214"/>
      <c r="C254" s="316" t="s">
        <v>972</v>
      </c>
      <c r="D254" s="324">
        <v>30.99</v>
      </c>
      <c r="E254" s="279"/>
      <c r="F254" s="279"/>
      <c r="G254" s="279"/>
      <c r="H254" s="279"/>
      <c r="I254" s="319"/>
      <c r="J254" s="322"/>
      <c r="K254" s="278"/>
      <c r="L254" s="319"/>
      <c r="M254" s="319"/>
      <c r="N254" s="319"/>
      <c r="O254" s="319"/>
      <c r="R254" s="295"/>
      <c r="S254" s="22"/>
      <c r="T254" s="22"/>
      <c r="U254" s="22"/>
      <c r="V254" s="22"/>
      <c r="W254" s="22"/>
      <c r="X254" s="22" t="s">
        <v>924</v>
      </c>
      <c r="AC254" s="276"/>
      <c r="AD254" s="330"/>
      <c r="AE254" s="328"/>
      <c r="AF254" s="278"/>
      <c r="AG254" s="278"/>
      <c r="AH254" s="278"/>
      <c r="AI254" s="278"/>
      <c r="AJ254" s="278"/>
      <c r="AK254" s="278"/>
      <c r="AL254" s="278"/>
      <c r="AM254" s="319"/>
      <c r="AN254" s="319"/>
      <c r="AO254" s="319"/>
      <c r="AP254" s="319"/>
    </row>
    <row r="255" spans="1:42">
      <c r="A255" s="214"/>
      <c r="B255" s="214"/>
      <c r="C255" s="316" t="s">
        <v>973</v>
      </c>
      <c r="D255" s="325">
        <v>5.1100000000000003</v>
      </c>
      <c r="E255" s="279"/>
      <c r="F255" s="279"/>
      <c r="G255" s="279"/>
      <c r="H255" s="279"/>
      <c r="I255" s="319"/>
      <c r="J255" s="322"/>
      <c r="K255" s="278"/>
      <c r="L255" s="319"/>
      <c r="M255" s="319"/>
      <c r="N255" s="319"/>
      <c r="O255" s="319"/>
      <c r="R255" s="295"/>
      <c r="S255" s="22"/>
      <c r="T255" s="22"/>
      <c r="U255" s="22"/>
      <c r="V255" s="22"/>
      <c r="W255" s="22"/>
      <c r="X255" s="22"/>
      <c r="AC255" s="276"/>
      <c r="AD255" s="330"/>
      <c r="AE255" s="328"/>
      <c r="AF255" s="278"/>
      <c r="AG255" s="278"/>
      <c r="AH255" s="278"/>
      <c r="AI255" s="278"/>
      <c r="AJ255" s="278"/>
      <c r="AK255" s="278"/>
      <c r="AL255" s="278"/>
      <c r="AM255" s="319"/>
      <c r="AN255" s="319"/>
      <c r="AO255" s="319"/>
      <c r="AP255" s="319"/>
    </row>
    <row r="256" spans="1:42">
      <c r="A256" s="214"/>
      <c r="B256" s="214"/>
      <c r="C256" s="316" t="s">
        <v>862</v>
      </c>
      <c r="D256" s="325">
        <v>4.6900000000000004</v>
      </c>
      <c r="E256" s="279"/>
      <c r="F256" s="279"/>
      <c r="G256" s="279"/>
      <c r="H256" s="279"/>
      <c r="I256" s="319"/>
      <c r="J256" s="322"/>
      <c r="K256" s="278"/>
      <c r="L256" s="319"/>
      <c r="M256" s="319"/>
      <c r="N256" s="319"/>
      <c r="O256" s="319"/>
      <c r="R256" s="295"/>
      <c r="S256" s="22"/>
      <c r="T256" s="22"/>
      <c r="U256" s="22"/>
      <c r="V256" s="22"/>
      <c r="W256" s="22"/>
      <c r="X256" s="732">
        <f>SUM(G274:G275)/12</f>
        <v>0.42222222222222222</v>
      </c>
      <c r="AC256" s="276"/>
      <c r="AD256" s="330"/>
      <c r="AE256" s="328"/>
      <c r="AF256" s="278"/>
      <c r="AG256" s="278"/>
      <c r="AH256" s="278"/>
      <c r="AI256" s="278"/>
      <c r="AJ256" s="278"/>
      <c r="AK256" s="278"/>
      <c r="AL256" s="278"/>
      <c r="AM256" s="319"/>
      <c r="AN256" s="319"/>
      <c r="AO256" s="319"/>
      <c r="AP256" s="319"/>
    </row>
    <row r="257" spans="1:42">
      <c r="A257" s="214"/>
      <c r="B257" s="214"/>
      <c r="C257" s="316" t="s">
        <v>863</v>
      </c>
      <c r="D257" s="325">
        <v>4.2699999999999996</v>
      </c>
      <c r="E257" s="279"/>
      <c r="F257" s="279"/>
      <c r="G257" s="279"/>
      <c r="H257" s="279"/>
      <c r="I257" s="318"/>
      <c r="J257" s="322"/>
      <c r="K257" s="279"/>
      <c r="L257" s="318"/>
      <c r="M257" s="318"/>
      <c r="N257" s="318"/>
      <c r="O257" s="318"/>
      <c r="AC257" s="276"/>
      <c r="AD257" s="276"/>
      <c r="AE257" s="327"/>
      <c r="AF257" s="278"/>
      <c r="AG257" s="278"/>
      <c r="AH257" s="278"/>
      <c r="AI257" s="278"/>
      <c r="AJ257" s="278"/>
      <c r="AK257" s="278"/>
      <c r="AL257" s="278"/>
      <c r="AM257" s="319"/>
      <c r="AN257" s="319"/>
      <c r="AO257" s="319"/>
      <c r="AP257" s="319"/>
    </row>
    <row r="258" spans="1:42">
      <c r="A258" s="214"/>
      <c r="B258" s="214"/>
      <c r="C258" s="316" t="s">
        <v>864</v>
      </c>
      <c r="D258" s="325">
        <v>3.79</v>
      </c>
      <c r="E258" s="279"/>
      <c r="F258" s="279"/>
      <c r="G258" s="279"/>
      <c r="H258" s="279"/>
      <c r="I258" s="318"/>
      <c r="J258" s="322"/>
      <c r="K258" s="279"/>
      <c r="L258" s="318"/>
      <c r="M258" s="318"/>
      <c r="N258" s="318"/>
      <c r="O258" s="318"/>
      <c r="AC258" s="276"/>
      <c r="AD258" s="276"/>
      <c r="AE258" s="327"/>
      <c r="AF258" s="278"/>
      <c r="AG258" s="278"/>
      <c r="AH258" s="278"/>
      <c r="AI258" s="278"/>
      <c r="AJ258" s="278"/>
      <c r="AK258" s="278"/>
      <c r="AL258" s="278"/>
      <c r="AM258" s="319"/>
      <c r="AN258" s="319"/>
      <c r="AO258" s="319"/>
      <c r="AP258" s="319"/>
    </row>
    <row r="259" spans="1:42">
      <c r="A259" s="214"/>
      <c r="B259" s="214"/>
      <c r="C259" s="316" t="s">
        <v>876</v>
      </c>
      <c r="D259" s="325">
        <v>3.31</v>
      </c>
      <c r="E259" s="279"/>
      <c r="F259" s="279"/>
      <c r="G259" s="279"/>
      <c r="H259" s="279"/>
      <c r="I259" s="318"/>
      <c r="J259" s="322"/>
      <c r="K259" s="279"/>
      <c r="L259" s="318"/>
      <c r="M259" s="318"/>
      <c r="N259" s="318"/>
      <c r="O259" s="318"/>
      <c r="AC259" s="51"/>
      <c r="AD259" s="51"/>
      <c r="AE259" s="274"/>
      <c r="AF259" s="274"/>
      <c r="AG259" s="274"/>
      <c r="AH259" s="274"/>
      <c r="AI259" s="274"/>
      <c r="AJ259" s="274"/>
      <c r="AK259" s="274"/>
      <c r="AL259" s="319"/>
      <c r="AM259" s="274"/>
      <c r="AN259" s="319"/>
      <c r="AO259" s="274"/>
      <c r="AP259" s="319"/>
    </row>
    <row r="260" spans="1:42">
      <c r="A260" s="214"/>
      <c r="B260" s="214"/>
      <c r="C260" s="214"/>
      <c r="D260" s="323"/>
      <c r="E260" s="279"/>
      <c r="F260" s="279"/>
      <c r="G260" s="279"/>
      <c r="H260" s="279"/>
      <c r="I260" s="318"/>
      <c r="J260" s="322"/>
      <c r="K260" s="279"/>
      <c r="L260" s="318"/>
      <c r="M260" s="318"/>
      <c r="N260" s="318"/>
      <c r="O260" s="318"/>
      <c r="AC260" s="276"/>
      <c r="AD260" s="330"/>
      <c r="AE260" s="327"/>
      <c r="AF260" s="278"/>
      <c r="AG260" s="278"/>
      <c r="AH260" s="278"/>
      <c r="AI260" s="278"/>
      <c r="AJ260" s="278"/>
      <c r="AK260" s="278"/>
      <c r="AL260" s="278"/>
      <c r="AM260" s="319"/>
      <c r="AN260" s="319"/>
      <c r="AO260" s="319"/>
      <c r="AP260" s="320"/>
    </row>
    <row r="261" spans="1:42">
      <c r="A261" s="214">
        <v>16244</v>
      </c>
      <c r="B261" s="214"/>
      <c r="C261" s="462" t="s">
        <v>1565</v>
      </c>
      <c r="D261" s="323"/>
      <c r="E261" s="279">
        <v>1123926.6666666667</v>
      </c>
      <c r="F261" s="279"/>
      <c r="G261" s="279">
        <v>75.13333333333334</v>
      </c>
      <c r="H261" s="279"/>
      <c r="I261" s="279">
        <v>7772.6679999999997</v>
      </c>
      <c r="J261" s="322"/>
      <c r="K261" s="279">
        <f>I261</f>
        <v>7772.6679999999997</v>
      </c>
      <c r="L261" s="279"/>
      <c r="M261" s="279">
        <v>0</v>
      </c>
      <c r="N261" s="279"/>
      <c r="O261" s="279">
        <f>K261-M261</f>
        <v>7772.6679999999997</v>
      </c>
      <c r="Q261" s="22" t="s">
        <v>669</v>
      </c>
      <c r="AC261" s="276"/>
      <c r="AD261" s="330"/>
      <c r="AE261" s="328"/>
      <c r="AF261" s="278"/>
      <c r="AG261" s="278"/>
      <c r="AH261" s="278"/>
      <c r="AI261" s="278"/>
      <c r="AJ261" s="278"/>
      <c r="AK261" s="278"/>
      <c r="AL261" s="278"/>
      <c r="AM261" s="319"/>
      <c r="AN261" s="319"/>
      <c r="AO261" s="319"/>
      <c r="AP261" s="278"/>
    </row>
    <row r="262" spans="1:42">
      <c r="A262" s="214">
        <v>16247</v>
      </c>
      <c r="B262" s="214"/>
      <c r="C262" s="462" t="s">
        <v>1566</v>
      </c>
      <c r="D262" s="323"/>
      <c r="E262" s="279">
        <v>472080</v>
      </c>
      <c r="F262" s="279"/>
      <c r="G262" s="279">
        <v>32.200000000000003</v>
      </c>
      <c r="H262" s="279"/>
      <c r="I262" s="279">
        <v>3323.2786666666666</v>
      </c>
      <c r="J262" s="322"/>
      <c r="K262" s="279">
        <f>I262</f>
        <v>3323.2786666666666</v>
      </c>
      <c r="L262" s="279"/>
      <c r="M262" s="279">
        <v>0</v>
      </c>
      <c r="N262" s="279"/>
      <c r="O262" s="279">
        <f>K262-M262</f>
        <v>3323.2786666666666</v>
      </c>
      <c r="Q262" s="732">
        <f>E264/G264</f>
        <v>12616.005733397036</v>
      </c>
      <c r="AC262" s="276"/>
      <c r="AD262" s="330"/>
      <c r="AE262" s="328"/>
      <c r="AF262" s="278"/>
      <c r="AG262" s="278"/>
      <c r="AH262" s="278"/>
      <c r="AI262" s="278"/>
      <c r="AJ262" s="278"/>
      <c r="AK262" s="278"/>
      <c r="AL262" s="278"/>
      <c r="AM262" s="319"/>
      <c r="AN262" s="319"/>
      <c r="AO262" s="319"/>
      <c r="AP262" s="278"/>
    </row>
    <row r="263" spans="1:42">
      <c r="A263" s="276">
        <v>16279</v>
      </c>
      <c r="B263" s="276"/>
      <c r="C263" s="462" t="s">
        <v>1567</v>
      </c>
      <c r="D263" s="323"/>
      <c r="E263" s="279">
        <v>164346.66666666666</v>
      </c>
      <c r="F263" s="279"/>
      <c r="G263" s="279">
        <v>32.200000000000003</v>
      </c>
      <c r="H263" s="279"/>
      <c r="I263" s="1008">
        <v>1758.7926666666665</v>
      </c>
      <c r="J263" s="322"/>
      <c r="K263" s="325">
        <f>I263</f>
        <v>1758.7926666666665</v>
      </c>
      <c r="L263" s="325"/>
      <c r="M263" s="325">
        <v>0</v>
      </c>
      <c r="N263" s="325"/>
      <c r="O263" s="279">
        <f>K263-M263</f>
        <v>1758.7926666666665</v>
      </c>
      <c r="Q263" s="22"/>
      <c r="AC263" s="276"/>
      <c r="AD263" s="330"/>
      <c r="AE263" s="328"/>
      <c r="AF263" s="278"/>
      <c r="AG263" s="278"/>
      <c r="AH263" s="278"/>
      <c r="AI263" s="278"/>
      <c r="AJ263" s="278"/>
      <c r="AK263" s="278"/>
      <c r="AL263" s="278"/>
      <c r="AM263" s="319"/>
      <c r="AN263" s="319"/>
      <c r="AO263" s="319"/>
      <c r="AP263" s="319"/>
    </row>
    <row r="264" spans="1:42" ht="15.75" thickBot="1">
      <c r="A264" s="48"/>
      <c r="B264" s="48"/>
      <c r="C264" s="48"/>
      <c r="D264" s="49"/>
      <c r="E264" s="742">
        <f>SUM(E261:E263)</f>
        <v>1760353.3333333335</v>
      </c>
      <c r="F264" s="49"/>
      <c r="G264" s="742">
        <f>SUM(G261:G263)</f>
        <v>139.53333333333336</v>
      </c>
      <c r="H264" s="49"/>
      <c r="I264" s="386">
        <f>SUM(I261:I263)</f>
        <v>12854.739333333333</v>
      </c>
      <c r="J264" s="322"/>
      <c r="K264" s="386">
        <f>SUM(K261:K263)</f>
        <v>12854.739333333333</v>
      </c>
      <c r="L264" s="274"/>
      <c r="M264" s="386">
        <f>SUM(M261:M262)</f>
        <v>0</v>
      </c>
      <c r="N264" s="274"/>
      <c r="O264" s="386">
        <f>SUM(O261:O263)</f>
        <v>12854.739333333333</v>
      </c>
      <c r="AC264" s="276"/>
      <c r="AD264" s="330"/>
      <c r="AE264" s="328"/>
      <c r="AF264" s="278"/>
      <c r="AG264" s="278"/>
      <c r="AH264" s="278"/>
      <c r="AI264" s="278"/>
      <c r="AJ264" s="278"/>
      <c r="AK264" s="278"/>
      <c r="AL264" s="278"/>
      <c r="AM264" s="319"/>
      <c r="AN264" s="319"/>
      <c r="AO264" s="319"/>
      <c r="AP264" s="319"/>
    </row>
    <row r="265" spans="1:42" ht="15.75" thickTop="1">
      <c r="A265" s="214"/>
      <c r="B265" s="214"/>
      <c r="C265" s="316" t="s">
        <v>1133</v>
      </c>
      <c r="D265" s="323"/>
      <c r="E265" s="279"/>
      <c r="F265" s="279"/>
      <c r="G265" s="279"/>
      <c r="H265" s="279"/>
      <c r="I265" s="319"/>
      <c r="J265" s="322"/>
      <c r="K265" s="278"/>
      <c r="L265" s="319"/>
      <c r="M265" s="319"/>
      <c r="N265" s="319"/>
      <c r="O265" s="320"/>
      <c r="R265" s="295"/>
      <c r="S265" s="22"/>
      <c r="T265" s="22"/>
      <c r="U265" s="22"/>
      <c r="V265" s="22"/>
      <c r="W265" s="22"/>
      <c r="X265" s="22" t="s">
        <v>501</v>
      </c>
      <c r="AC265" s="276"/>
      <c r="AD265" s="330"/>
      <c r="AE265" s="328"/>
      <c r="AF265" s="278"/>
      <c r="AG265" s="278"/>
      <c r="AH265" s="278"/>
      <c r="AI265" s="278"/>
      <c r="AJ265" s="278"/>
      <c r="AK265" s="278"/>
      <c r="AL265" s="278"/>
      <c r="AM265" s="319"/>
      <c r="AN265" s="319"/>
      <c r="AO265" s="319"/>
      <c r="AP265" s="319"/>
    </row>
    <row r="266" spans="1:42">
      <c r="A266" s="214"/>
      <c r="B266" s="214"/>
      <c r="C266" s="316" t="s">
        <v>972</v>
      </c>
      <c r="D266" s="324">
        <v>39.979999999999997</v>
      </c>
      <c r="E266" s="279"/>
      <c r="F266" s="279"/>
      <c r="G266" s="279"/>
      <c r="H266" s="279"/>
      <c r="I266" s="319"/>
      <c r="J266" s="322"/>
      <c r="K266" s="278"/>
      <c r="L266" s="319"/>
      <c r="M266" s="319"/>
      <c r="N266" s="319"/>
      <c r="O266" s="319"/>
      <c r="R266" s="295"/>
      <c r="S266" s="22"/>
      <c r="T266" s="22"/>
      <c r="U266" s="22"/>
      <c r="V266" s="22"/>
      <c r="W266" s="22"/>
      <c r="X266" s="22" t="s">
        <v>924</v>
      </c>
      <c r="AC266" s="276"/>
      <c r="AD266" s="330"/>
      <c r="AE266" s="328"/>
      <c r="AF266" s="278"/>
      <c r="AG266" s="278"/>
      <c r="AH266" s="278"/>
      <c r="AI266" s="278"/>
      <c r="AJ266" s="278"/>
      <c r="AK266" s="278"/>
      <c r="AL266" s="278"/>
      <c r="AM266" s="319"/>
      <c r="AN266" s="319"/>
      <c r="AO266" s="319"/>
      <c r="AP266" s="319"/>
    </row>
    <row r="267" spans="1:42">
      <c r="A267" s="214"/>
      <c r="B267" s="214"/>
      <c r="C267" s="316" t="s">
        <v>973</v>
      </c>
      <c r="D267" s="325">
        <v>6.59</v>
      </c>
      <c r="E267" s="279"/>
      <c r="F267" s="279"/>
      <c r="G267" s="279"/>
      <c r="H267" s="279"/>
      <c r="I267" s="319"/>
      <c r="J267" s="322"/>
      <c r="K267" s="278"/>
      <c r="L267" s="319"/>
      <c r="M267" s="319"/>
      <c r="N267" s="319"/>
      <c r="O267" s="319"/>
      <c r="R267" s="295"/>
      <c r="S267" s="22"/>
      <c r="T267" s="22"/>
      <c r="U267" s="22"/>
      <c r="V267" s="22"/>
      <c r="W267" s="22"/>
      <c r="X267" s="22"/>
      <c r="AC267" s="276"/>
      <c r="AD267" s="330"/>
      <c r="AE267" s="328"/>
      <c r="AF267" s="278"/>
      <c r="AG267" s="278"/>
      <c r="AH267" s="278"/>
      <c r="AI267" s="278"/>
      <c r="AJ267" s="278"/>
      <c r="AK267" s="278"/>
      <c r="AL267" s="278"/>
      <c r="AM267" s="319"/>
      <c r="AN267" s="319"/>
      <c r="AO267" s="319"/>
      <c r="AP267" s="319"/>
    </row>
    <row r="268" spans="1:42">
      <c r="A268" s="214"/>
      <c r="B268" s="214"/>
      <c r="C268" s="316" t="s">
        <v>862</v>
      </c>
      <c r="D268" s="325">
        <v>6.05</v>
      </c>
      <c r="E268" s="279"/>
      <c r="F268" s="279"/>
      <c r="G268" s="279"/>
      <c r="H268" s="279"/>
      <c r="I268" s="319"/>
      <c r="J268" s="322"/>
      <c r="K268" s="278"/>
      <c r="L268" s="319"/>
      <c r="M268" s="319"/>
      <c r="N268" s="319"/>
      <c r="O268" s="319"/>
      <c r="R268" s="295"/>
      <c r="S268" s="22"/>
      <c r="T268" s="22"/>
      <c r="U268" s="22"/>
      <c r="V268" s="22"/>
      <c r="W268" s="22"/>
      <c r="X268" s="732">
        <f>SUM(G296:G296)/12</f>
        <v>0.10555555555555556</v>
      </c>
      <c r="AC268" s="276"/>
      <c r="AD268" s="330"/>
      <c r="AE268" s="328"/>
      <c r="AF268" s="278"/>
      <c r="AG268" s="278"/>
      <c r="AH268" s="278"/>
      <c r="AI268" s="278"/>
      <c r="AJ268" s="278"/>
      <c r="AK268" s="278"/>
      <c r="AL268" s="278"/>
      <c r="AM268" s="319"/>
      <c r="AN268" s="319"/>
      <c r="AO268" s="319"/>
      <c r="AP268" s="319"/>
    </row>
    <row r="269" spans="1:42">
      <c r="A269" s="214"/>
      <c r="B269" s="214"/>
      <c r="C269" s="316" t="s">
        <v>863</v>
      </c>
      <c r="D269" s="325">
        <v>5.51</v>
      </c>
      <c r="E269" s="279"/>
      <c r="F269" s="279"/>
      <c r="G269" s="279"/>
      <c r="H269" s="279"/>
      <c r="I269" s="318"/>
      <c r="J269" s="322"/>
      <c r="K269" s="279"/>
      <c r="L269" s="318"/>
      <c r="M269" s="318"/>
      <c r="N269" s="318"/>
      <c r="O269" s="318"/>
      <c r="AC269" s="276"/>
      <c r="AD269" s="276"/>
      <c r="AE269" s="327"/>
      <c r="AF269" s="278"/>
      <c r="AG269" s="278"/>
      <c r="AH269" s="278"/>
      <c r="AI269" s="278"/>
      <c r="AJ269" s="278"/>
      <c r="AK269" s="278"/>
      <c r="AL269" s="278"/>
      <c r="AM269" s="319"/>
      <c r="AN269" s="319"/>
      <c r="AO269" s="319"/>
      <c r="AP269" s="319"/>
    </row>
    <row r="270" spans="1:42">
      <c r="A270" s="214"/>
      <c r="B270" s="214"/>
      <c r="C270" s="316" t="s">
        <v>864</v>
      </c>
      <c r="D270" s="325">
        <v>4.8899999999999997</v>
      </c>
      <c r="E270" s="279"/>
      <c r="F270" s="279"/>
      <c r="G270" s="279"/>
      <c r="H270" s="279"/>
      <c r="I270" s="318"/>
      <c r="J270" s="322"/>
      <c r="K270" s="279"/>
      <c r="L270" s="318"/>
      <c r="M270" s="318"/>
      <c r="N270" s="318"/>
      <c r="O270" s="318"/>
      <c r="AC270" s="276"/>
      <c r="AD270" s="276"/>
      <c r="AE270" s="327"/>
      <c r="AF270" s="278"/>
      <c r="AG270" s="278"/>
      <c r="AH270" s="278"/>
      <c r="AI270" s="278"/>
      <c r="AJ270" s="278"/>
      <c r="AK270" s="278"/>
      <c r="AL270" s="278"/>
      <c r="AM270" s="319"/>
      <c r="AN270" s="319"/>
      <c r="AO270" s="319"/>
      <c r="AP270" s="319"/>
    </row>
    <row r="271" spans="1:42">
      <c r="A271" s="214"/>
      <c r="B271" s="214"/>
      <c r="C271" s="316" t="s">
        <v>876</v>
      </c>
      <c r="D271" s="325">
        <v>4.2699999999999996</v>
      </c>
      <c r="E271" s="279"/>
      <c r="F271" s="279"/>
      <c r="G271" s="279"/>
      <c r="H271" s="279"/>
      <c r="I271" s="318"/>
      <c r="J271" s="322"/>
      <c r="K271" s="279"/>
      <c r="L271" s="318"/>
      <c r="M271" s="318"/>
      <c r="N271" s="318"/>
      <c r="O271" s="318"/>
      <c r="AC271" s="51"/>
      <c r="AD271" s="51"/>
      <c r="AE271" s="274"/>
      <c r="AF271" s="274"/>
      <c r="AG271" s="274"/>
      <c r="AH271" s="274"/>
      <c r="AI271" s="274"/>
      <c r="AJ271" s="274"/>
      <c r="AK271" s="274"/>
      <c r="AL271" s="319"/>
      <c r="AM271" s="274"/>
      <c r="AN271" s="319"/>
      <c r="AO271" s="274"/>
      <c r="AP271" s="319"/>
    </row>
    <row r="272" spans="1:42">
      <c r="A272" s="214"/>
      <c r="B272" s="214"/>
      <c r="C272" s="316"/>
      <c r="D272" s="325"/>
      <c r="E272" s="279"/>
      <c r="F272" s="279"/>
      <c r="G272" s="279"/>
      <c r="H272" s="279"/>
      <c r="I272" s="318"/>
      <c r="J272" s="322"/>
      <c r="K272" s="279"/>
      <c r="L272" s="318"/>
      <c r="M272" s="318"/>
      <c r="N272" s="318"/>
      <c r="O272" s="318"/>
      <c r="AC272" s="51"/>
      <c r="AD272" s="51"/>
      <c r="AE272" s="274"/>
      <c r="AF272" s="274"/>
      <c r="AG272" s="274"/>
      <c r="AH272" s="274"/>
      <c r="AI272" s="274"/>
      <c r="AJ272" s="274"/>
      <c r="AK272" s="274"/>
      <c r="AL272" s="319"/>
      <c r="AM272" s="274"/>
      <c r="AN272" s="319"/>
      <c r="AO272" s="274"/>
      <c r="AP272" s="319"/>
    </row>
    <row r="273" spans="1:42">
      <c r="A273" s="214"/>
      <c r="B273" s="214"/>
      <c r="C273" s="462"/>
      <c r="D273" s="323"/>
      <c r="E273" s="279"/>
      <c r="F273" s="279"/>
      <c r="G273" s="279"/>
      <c r="H273" s="279"/>
      <c r="I273" s="318"/>
      <c r="J273" s="322"/>
      <c r="K273" s="279"/>
      <c r="L273" s="318"/>
      <c r="M273" s="318"/>
      <c r="N273" s="318"/>
      <c r="O273" s="318"/>
      <c r="Q273" s="22"/>
      <c r="AC273" s="276"/>
      <c r="AD273" s="330"/>
      <c r="AE273" s="328"/>
      <c r="AF273" s="278"/>
      <c r="AG273" s="278"/>
      <c r="AH273" s="278"/>
      <c r="AI273" s="278"/>
      <c r="AJ273" s="278"/>
      <c r="AK273" s="278"/>
      <c r="AL273" s="278"/>
      <c r="AM273" s="319"/>
      <c r="AN273" s="319"/>
      <c r="AO273" s="319"/>
      <c r="AP273" s="319"/>
    </row>
    <row r="274" spans="1:42">
      <c r="A274" s="214">
        <v>16238</v>
      </c>
      <c r="B274" s="214"/>
      <c r="C274" s="462" t="s">
        <v>1573</v>
      </c>
      <c r="D274" s="323"/>
      <c r="E274" s="279">
        <v>112220</v>
      </c>
      <c r="F274" s="279"/>
      <c r="G274" s="279">
        <v>2.5333333333333332</v>
      </c>
      <c r="H274" s="279"/>
      <c r="I274" s="318">
        <v>508.17533333333336</v>
      </c>
      <c r="J274" s="322"/>
      <c r="K274" s="318">
        <f>I274</f>
        <v>508.17533333333336</v>
      </c>
      <c r="L274" s="318"/>
      <c r="M274" s="318">
        <v>0</v>
      </c>
      <c r="N274" s="318"/>
      <c r="O274" s="318">
        <f>K274-M274</f>
        <v>508.17533333333336</v>
      </c>
      <c r="AC274" s="276"/>
      <c r="AD274" s="330"/>
      <c r="AE274" s="328"/>
      <c r="AF274" s="278"/>
      <c r="AG274" s="278"/>
      <c r="AH274" s="278"/>
      <c r="AI274" s="278"/>
      <c r="AJ274" s="278"/>
      <c r="AK274" s="278"/>
      <c r="AL274" s="278"/>
      <c r="AM274" s="319"/>
      <c r="AN274" s="319"/>
      <c r="AO274" s="319"/>
      <c r="AP274" s="319"/>
    </row>
    <row r="275" spans="1:42">
      <c r="A275" s="214">
        <v>16252</v>
      </c>
      <c r="B275" s="214"/>
      <c r="C275" s="462" t="s">
        <v>1574</v>
      </c>
      <c r="D275" s="323"/>
      <c r="E275" s="279">
        <v>145246.66666666666</v>
      </c>
      <c r="F275" s="279"/>
      <c r="G275" s="279">
        <v>2.5333333333333332</v>
      </c>
      <c r="H275" s="279"/>
      <c r="I275" s="325">
        <v>640.99199999999996</v>
      </c>
      <c r="J275" s="322"/>
      <c r="K275" s="325">
        <f>I275</f>
        <v>640.99199999999996</v>
      </c>
      <c r="L275" s="318"/>
      <c r="M275" s="325">
        <v>0</v>
      </c>
      <c r="N275" s="318"/>
      <c r="O275" s="279">
        <f>K275-M275</f>
        <v>640.99199999999996</v>
      </c>
      <c r="Q275" s="22" t="s">
        <v>669</v>
      </c>
      <c r="AC275" s="276"/>
      <c r="AD275" s="330"/>
      <c r="AE275" s="328"/>
      <c r="AF275" s="278"/>
      <c r="AG275" s="278"/>
      <c r="AH275" s="278"/>
      <c r="AI275" s="278"/>
      <c r="AJ275" s="278"/>
      <c r="AK275" s="278"/>
      <c r="AL275" s="278"/>
      <c r="AM275" s="319"/>
      <c r="AN275" s="319"/>
      <c r="AO275" s="319"/>
      <c r="AP275" s="319"/>
    </row>
    <row r="276" spans="1:42" ht="15.75" thickBot="1">
      <c r="A276" s="214"/>
      <c r="B276" s="214"/>
      <c r="C276" s="214"/>
      <c r="D276" s="323"/>
      <c r="E276" s="385">
        <f>SUM(E274:E275)</f>
        <v>257466.66666666666</v>
      </c>
      <c r="F276" s="279"/>
      <c r="G276" s="385">
        <f>SUM(G274:G275)</f>
        <v>5.0666666666666664</v>
      </c>
      <c r="H276" s="279"/>
      <c r="I276" s="386">
        <f>SUM(I274:I275)</f>
        <v>1149.1673333333333</v>
      </c>
      <c r="J276" s="322"/>
      <c r="K276" s="386">
        <f>SUM(K274:K275)</f>
        <v>1149.1673333333333</v>
      </c>
      <c r="L276" s="318"/>
      <c r="M276" s="386">
        <f>SUM(M274:M275)</f>
        <v>0</v>
      </c>
      <c r="N276" s="318"/>
      <c r="O276" s="386">
        <f>SUM(O274:O275)</f>
        <v>1149.1673333333333</v>
      </c>
      <c r="AC276" s="276"/>
      <c r="AD276" s="330"/>
      <c r="AE276" s="328"/>
      <c r="AF276" s="278"/>
      <c r="AG276" s="278"/>
      <c r="AH276" s="278"/>
      <c r="AI276" s="278"/>
      <c r="AJ276" s="278"/>
      <c r="AK276" s="278"/>
      <c r="AL276" s="278"/>
      <c r="AM276" s="319"/>
      <c r="AN276" s="319"/>
      <c r="AO276" s="319"/>
      <c r="AP276" s="319"/>
    </row>
    <row r="277" spans="1:42" ht="15.75" thickTop="1">
      <c r="A277" s="214"/>
      <c r="B277" s="214"/>
      <c r="C277" s="214"/>
      <c r="D277" s="323"/>
      <c r="E277" s="279"/>
      <c r="F277" s="279"/>
      <c r="G277" s="279"/>
      <c r="H277" s="279"/>
      <c r="I277" s="318"/>
      <c r="J277" s="322"/>
      <c r="K277" s="279"/>
      <c r="L277" s="318"/>
      <c r="M277" s="318"/>
      <c r="N277" s="318"/>
      <c r="O277" s="318"/>
      <c r="AC277" s="276"/>
      <c r="AD277" s="330"/>
      <c r="AE277" s="328"/>
      <c r="AF277" s="278"/>
      <c r="AG277" s="278"/>
      <c r="AH277" s="278"/>
      <c r="AI277" s="278"/>
      <c r="AJ277" s="278"/>
      <c r="AK277" s="278"/>
      <c r="AL277" s="278"/>
      <c r="AM277" s="319"/>
      <c r="AN277" s="319"/>
      <c r="AO277" s="319"/>
      <c r="AP277" s="319"/>
    </row>
    <row r="278" spans="1:42">
      <c r="A278" s="214"/>
      <c r="B278" s="214"/>
      <c r="C278" s="316" t="s">
        <v>974</v>
      </c>
      <c r="D278" s="323"/>
      <c r="E278" s="279"/>
      <c r="F278" s="279"/>
      <c r="G278" s="279"/>
      <c r="H278" s="279"/>
      <c r="I278" s="318"/>
      <c r="J278" s="322"/>
      <c r="K278" s="279"/>
      <c r="L278" s="318"/>
      <c r="M278" s="318"/>
      <c r="N278" s="318"/>
      <c r="O278" s="318"/>
      <c r="AC278" s="276"/>
      <c r="AD278" s="330"/>
      <c r="AE278" s="328"/>
      <c r="AF278" s="278"/>
      <c r="AG278" s="278"/>
      <c r="AH278" s="278"/>
      <c r="AI278" s="278"/>
      <c r="AJ278" s="278"/>
      <c r="AK278" s="278"/>
      <c r="AL278" s="278"/>
      <c r="AM278" s="319"/>
      <c r="AN278" s="319"/>
      <c r="AO278" s="319"/>
      <c r="AP278" s="319"/>
    </row>
    <row r="279" spans="1:42">
      <c r="A279" s="214"/>
      <c r="B279" s="214"/>
      <c r="C279" s="316" t="s">
        <v>975</v>
      </c>
      <c r="D279" s="324">
        <v>60.64</v>
      </c>
      <c r="E279" s="279"/>
      <c r="F279" s="279"/>
      <c r="G279" s="279"/>
      <c r="H279" s="279"/>
      <c r="I279" s="318"/>
      <c r="J279" s="322"/>
      <c r="K279" s="279"/>
      <c r="L279" s="318"/>
      <c r="M279" s="318"/>
      <c r="N279" s="318"/>
      <c r="O279" s="318"/>
      <c r="R279" s="295"/>
      <c r="S279" s="22"/>
      <c r="T279" s="22"/>
      <c r="U279" s="22"/>
      <c r="V279" s="22"/>
      <c r="W279" s="22"/>
      <c r="X279" s="22" t="s">
        <v>501</v>
      </c>
      <c r="AC279" s="276"/>
      <c r="AD279" s="330"/>
      <c r="AE279" s="328"/>
      <c r="AF279" s="278"/>
      <c r="AG279" s="278"/>
      <c r="AH279" s="278"/>
      <c r="AI279" s="278"/>
      <c r="AJ279" s="278"/>
      <c r="AK279" s="278"/>
      <c r="AL279" s="278"/>
      <c r="AM279" s="319"/>
      <c r="AN279" s="278"/>
      <c r="AO279" s="278"/>
      <c r="AP279" s="278"/>
    </row>
    <row r="280" spans="1:42">
      <c r="A280" s="214"/>
      <c r="B280" s="214"/>
      <c r="C280" s="316" t="s">
        <v>976</v>
      </c>
      <c r="D280" s="325">
        <v>4.6900000000000004</v>
      </c>
      <c r="E280" s="279"/>
      <c r="F280" s="279"/>
      <c r="G280" s="279"/>
      <c r="H280" s="279"/>
      <c r="I280" s="318"/>
      <c r="J280" s="322"/>
      <c r="K280" s="279"/>
      <c r="L280" s="318"/>
      <c r="M280" s="318"/>
      <c r="N280" s="318"/>
      <c r="O280" s="318"/>
      <c r="R280" s="295"/>
      <c r="S280" s="22"/>
      <c r="T280" s="22"/>
      <c r="U280" s="22"/>
      <c r="V280" s="22"/>
      <c r="W280" s="22"/>
      <c r="X280" s="22" t="s">
        <v>924</v>
      </c>
      <c r="AC280" s="276"/>
      <c r="AD280" s="276"/>
      <c r="AE280" s="327"/>
      <c r="AF280" s="278"/>
      <c r="AG280" s="278"/>
      <c r="AH280" s="278"/>
      <c r="AI280" s="278"/>
      <c r="AJ280" s="278"/>
      <c r="AK280" s="278"/>
      <c r="AL280" s="278"/>
      <c r="AM280" s="319"/>
      <c r="AN280" s="319"/>
      <c r="AO280" s="319"/>
      <c r="AP280" s="319"/>
    </row>
    <row r="281" spans="1:42">
      <c r="A281" s="214"/>
      <c r="B281" s="214"/>
      <c r="C281" s="316" t="s">
        <v>863</v>
      </c>
      <c r="D281" s="325">
        <v>4.2699999999999996</v>
      </c>
      <c r="E281" s="279"/>
      <c r="F281" s="279"/>
      <c r="G281" s="279"/>
      <c r="H281" s="279"/>
      <c r="I281" s="318"/>
      <c r="J281" s="322"/>
      <c r="K281" s="279"/>
      <c r="L281" s="318"/>
      <c r="M281" s="318"/>
      <c r="N281" s="318"/>
      <c r="O281" s="318"/>
      <c r="R281" s="295"/>
      <c r="S281" s="22"/>
      <c r="T281" s="22"/>
      <c r="U281" s="22"/>
      <c r="V281" s="22"/>
      <c r="W281" s="22"/>
      <c r="X281" s="732">
        <f>SUM(G296:G297)/12</f>
        <v>0.73888888888888893</v>
      </c>
      <c r="AC281" s="276"/>
      <c r="AD281" s="330"/>
      <c r="AE281" s="328"/>
      <c r="AF281" s="278"/>
      <c r="AG281" s="278"/>
      <c r="AH281" s="278"/>
      <c r="AI281" s="278"/>
      <c r="AJ281" s="278"/>
      <c r="AK281" s="278"/>
      <c r="AL281" s="278"/>
      <c r="AM281" s="319"/>
      <c r="AN281" s="319"/>
      <c r="AO281" s="319"/>
      <c r="AP281" s="319"/>
    </row>
    <row r="282" spans="1:42">
      <c r="A282" s="214"/>
      <c r="B282" s="214"/>
      <c r="C282" s="316" t="s">
        <v>864</v>
      </c>
      <c r="D282" s="325">
        <v>3.79</v>
      </c>
      <c r="E282" s="279"/>
      <c r="F282" s="279"/>
      <c r="G282" s="279"/>
      <c r="H282" s="279"/>
      <c r="I282" s="318"/>
      <c r="J282" s="322"/>
      <c r="K282" s="279"/>
      <c r="L282" s="318"/>
      <c r="M282" s="318"/>
      <c r="N282" s="318"/>
      <c r="O282" s="318"/>
      <c r="R282" s="295"/>
      <c r="S282" s="22"/>
      <c r="T282" s="22"/>
      <c r="U282" s="22"/>
      <c r="V282" s="22"/>
      <c r="W282" s="22"/>
      <c r="X282" s="22"/>
      <c r="AC282" s="276"/>
      <c r="AD282" s="330"/>
      <c r="AE282" s="328"/>
      <c r="AF282" s="278"/>
      <c r="AG282" s="278"/>
      <c r="AH282" s="278"/>
      <c r="AI282" s="278"/>
      <c r="AJ282" s="319"/>
      <c r="AK282" s="319"/>
      <c r="AL282" s="319"/>
      <c r="AM282" s="319"/>
      <c r="AN282" s="319"/>
      <c r="AO282" s="319"/>
      <c r="AP282" s="319"/>
    </row>
    <row r="283" spans="1:42">
      <c r="A283" s="214"/>
      <c r="B283" s="214"/>
      <c r="C283" s="316" t="s">
        <v>876</v>
      </c>
      <c r="D283" s="325">
        <v>3.31</v>
      </c>
      <c r="E283" s="279"/>
      <c r="F283" s="279"/>
      <c r="G283" s="279"/>
      <c r="H283" s="279"/>
      <c r="I283" s="318"/>
      <c r="J283" s="322"/>
      <c r="K283" s="279"/>
      <c r="L283" s="318"/>
      <c r="M283" s="318"/>
      <c r="N283" s="318"/>
      <c r="O283" s="318"/>
      <c r="R283" s="295"/>
      <c r="S283" s="22"/>
      <c r="T283" s="22"/>
      <c r="U283" s="22"/>
      <c r="V283" s="22"/>
      <c r="W283" s="22"/>
      <c r="X283" s="22"/>
      <c r="AC283" s="276"/>
      <c r="AD283" s="330"/>
      <c r="AE283" s="328"/>
      <c r="AF283" s="278"/>
      <c r="AG283" s="278"/>
      <c r="AH283" s="278"/>
      <c r="AI283" s="278"/>
      <c r="AJ283" s="319"/>
      <c r="AK283" s="319"/>
      <c r="AL283" s="319"/>
      <c r="AM283" s="319"/>
      <c r="AN283" s="319"/>
      <c r="AO283" s="319"/>
      <c r="AP283" s="319"/>
    </row>
    <row r="284" spans="1:42">
      <c r="A284" s="214"/>
      <c r="B284" s="214"/>
      <c r="C284" s="214"/>
      <c r="D284" s="323"/>
      <c r="E284" s="279"/>
      <c r="F284" s="279"/>
      <c r="G284" s="279"/>
      <c r="H284" s="279"/>
      <c r="I284" s="318"/>
      <c r="J284" s="322"/>
      <c r="K284" s="279"/>
      <c r="L284" s="318"/>
      <c r="M284" s="318"/>
      <c r="N284" s="318"/>
      <c r="O284" s="318"/>
      <c r="AC284" s="276"/>
      <c r="AD284" s="330"/>
      <c r="AE284" s="328"/>
      <c r="AF284" s="278"/>
      <c r="AG284" s="278"/>
      <c r="AH284" s="278"/>
      <c r="AI284" s="278"/>
      <c r="AJ284" s="278"/>
      <c r="AK284" s="278"/>
      <c r="AL284" s="278"/>
      <c r="AM284" s="319"/>
      <c r="AN284" s="278"/>
      <c r="AO284" s="278"/>
      <c r="AP284" s="278"/>
    </row>
    <row r="285" spans="1:42">
      <c r="A285" s="214">
        <v>16238</v>
      </c>
      <c r="B285" s="214"/>
      <c r="C285" s="462" t="s">
        <v>1576</v>
      </c>
      <c r="D285" s="323"/>
      <c r="E285" s="279">
        <v>1211480</v>
      </c>
      <c r="F285" s="279"/>
      <c r="G285" s="279">
        <v>21.466666666666669</v>
      </c>
      <c r="H285" s="279"/>
      <c r="I285" s="318">
        <v>6819.5119999999997</v>
      </c>
      <c r="J285" s="322"/>
      <c r="K285" s="318">
        <f>I285</f>
        <v>6819.5119999999997</v>
      </c>
      <c r="L285" s="318"/>
      <c r="M285" s="318">
        <v>0</v>
      </c>
      <c r="N285" s="318"/>
      <c r="O285" s="318">
        <f>K285-M285</f>
        <v>6819.5119999999997</v>
      </c>
      <c r="AC285" s="276"/>
      <c r="AD285" s="330"/>
      <c r="AE285" s="328"/>
      <c r="AF285" s="278"/>
      <c r="AG285" s="278"/>
      <c r="AH285" s="278"/>
      <c r="AI285" s="278"/>
      <c r="AJ285" s="278"/>
      <c r="AK285" s="278"/>
      <c r="AL285" s="278"/>
      <c r="AM285" s="319"/>
      <c r="AN285" s="319"/>
      <c r="AO285" s="319"/>
      <c r="AP285" s="319"/>
    </row>
    <row r="286" spans="1:42">
      <c r="A286" s="214">
        <v>16252</v>
      </c>
      <c r="B286" s="214"/>
      <c r="C286" s="462" t="s">
        <v>1577</v>
      </c>
      <c r="D286" s="323"/>
      <c r="E286" s="279">
        <v>1578753.3333333333</v>
      </c>
      <c r="F286" s="279"/>
      <c r="G286" s="279">
        <v>21.466666666666665</v>
      </c>
      <c r="H286" s="279"/>
      <c r="I286" s="318">
        <v>8967.9639999999999</v>
      </c>
      <c r="J286" s="322"/>
      <c r="K286" s="325">
        <f>I286</f>
        <v>8967.9639999999999</v>
      </c>
      <c r="L286" s="318"/>
      <c r="M286" s="325">
        <v>0</v>
      </c>
      <c r="N286" s="318"/>
      <c r="O286" s="279">
        <f>K286-M286</f>
        <v>8967.9639999999999</v>
      </c>
      <c r="Q286" s="22" t="s">
        <v>669</v>
      </c>
      <c r="AC286" s="276"/>
      <c r="AD286" s="330"/>
      <c r="AE286" s="328"/>
      <c r="AF286" s="278"/>
      <c r="AG286" s="278"/>
      <c r="AH286" s="278"/>
      <c r="AI286" s="278"/>
      <c r="AJ286" s="278"/>
      <c r="AK286" s="278"/>
      <c r="AL286" s="278"/>
      <c r="AM286" s="319"/>
      <c r="AN286" s="319"/>
      <c r="AO286" s="319"/>
      <c r="AP286" s="319"/>
    </row>
    <row r="287" spans="1:42" ht="15.75" thickBot="1">
      <c r="A287" s="214"/>
      <c r="B287" s="214"/>
      <c r="C287" s="214"/>
      <c r="D287" s="323"/>
      <c r="E287" s="385">
        <f>SUM(E285:E286)</f>
        <v>2790233.333333333</v>
      </c>
      <c r="F287" s="279"/>
      <c r="G287" s="385">
        <f>SUM(G285:G286)</f>
        <v>42.933333333333337</v>
      </c>
      <c r="H287" s="279"/>
      <c r="I287" s="386">
        <f>SUM(I285:I286)</f>
        <v>15787.475999999999</v>
      </c>
      <c r="J287" s="322"/>
      <c r="K287" s="386">
        <f>SUM(K285:K286)</f>
        <v>15787.475999999999</v>
      </c>
      <c r="L287" s="318"/>
      <c r="M287" s="386">
        <f>SUM(M285:M286)</f>
        <v>0</v>
      </c>
      <c r="N287" s="318"/>
      <c r="O287" s="386">
        <f>SUM(O285:O286)</f>
        <v>15787.475999999999</v>
      </c>
      <c r="AC287" s="276"/>
      <c r="AD287" s="330"/>
      <c r="AE287" s="328"/>
      <c r="AF287" s="278"/>
      <c r="AG287" s="278"/>
      <c r="AH287" s="278"/>
      <c r="AI287" s="278"/>
      <c r="AJ287" s="278"/>
      <c r="AK287" s="278"/>
      <c r="AL287" s="278"/>
      <c r="AM287" s="319"/>
      <c r="AN287" s="319"/>
      <c r="AO287" s="319"/>
      <c r="AP287" s="319"/>
    </row>
    <row r="288" spans="1:42" ht="15.75" thickTop="1">
      <c r="A288" s="214"/>
      <c r="B288" s="214"/>
      <c r="C288" s="214"/>
      <c r="D288" s="323"/>
      <c r="E288" s="279"/>
      <c r="F288" s="279"/>
      <c r="G288" s="279"/>
      <c r="H288" s="279"/>
      <c r="I288" s="318"/>
      <c r="J288" s="322"/>
      <c r="K288" s="279"/>
      <c r="L288" s="318"/>
      <c r="M288" s="318"/>
      <c r="N288" s="318"/>
      <c r="O288" s="318"/>
      <c r="AC288" s="276"/>
      <c r="AD288" s="330"/>
      <c r="AE288" s="328"/>
      <c r="AF288" s="278"/>
      <c r="AG288" s="278"/>
      <c r="AH288" s="278"/>
      <c r="AI288" s="278"/>
      <c r="AJ288" s="278"/>
      <c r="AK288" s="278"/>
      <c r="AL288" s="278"/>
      <c r="AM288" s="319"/>
      <c r="AN288" s="319"/>
      <c r="AO288" s="319"/>
      <c r="AP288" s="319"/>
    </row>
    <row r="289" spans="1:42">
      <c r="A289" s="214"/>
      <c r="B289" s="214"/>
      <c r="C289" s="316" t="s">
        <v>974</v>
      </c>
      <c r="D289" s="323"/>
      <c r="E289" s="279"/>
      <c r="F289" s="279"/>
      <c r="G289" s="279"/>
      <c r="H289" s="279"/>
      <c r="I289" s="318"/>
      <c r="J289" s="322"/>
      <c r="K289" s="279"/>
      <c r="L289" s="318"/>
      <c r="M289" s="318"/>
      <c r="N289" s="318"/>
      <c r="O289" s="318"/>
      <c r="AC289" s="276"/>
      <c r="AD289" s="330"/>
      <c r="AE289" s="328"/>
      <c r="AF289" s="278"/>
      <c r="AG289" s="278"/>
      <c r="AH289" s="278"/>
      <c r="AI289" s="278"/>
      <c r="AJ289" s="278"/>
      <c r="AK289" s="278"/>
      <c r="AL289" s="278"/>
      <c r="AM289" s="319"/>
      <c r="AN289" s="319"/>
      <c r="AO289" s="319"/>
      <c r="AP289" s="319"/>
    </row>
    <row r="290" spans="1:42">
      <c r="A290" s="214"/>
      <c r="B290" s="214"/>
      <c r="C290" s="316" t="s">
        <v>975</v>
      </c>
      <c r="D290" s="324">
        <v>78.23</v>
      </c>
      <c r="E290" s="279"/>
      <c r="F290" s="279"/>
      <c r="G290" s="279"/>
      <c r="H290" s="279"/>
      <c r="I290" s="318"/>
      <c r="J290" s="322"/>
      <c r="K290" s="279"/>
      <c r="L290" s="318"/>
      <c r="M290" s="318"/>
      <c r="N290" s="318"/>
      <c r="O290" s="318"/>
      <c r="R290" s="295"/>
      <c r="S290" s="22"/>
      <c r="T290" s="22"/>
      <c r="U290" s="22"/>
      <c r="V290" s="22"/>
      <c r="W290" s="22"/>
      <c r="X290" s="22" t="s">
        <v>501</v>
      </c>
      <c r="AC290" s="276"/>
      <c r="AD290" s="330"/>
      <c r="AE290" s="328"/>
      <c r="AF290" s="278"/>
      <c r="AG290" s="278"/>
      <c r="AH290" s="278"/>
      <c r="AI290" s="278"/>
      <c r="AJ290" s="278"/>
      <c r="AK290" s="278"/>
      <c r="AL290" s="278"/>
      <c r="AM290" s="319"/>
      <c r="AN290" s="278"/>
      <c r="AO290" s="278"/>
      <c r="AP290" s="278"/>
    </row>
    <row r="291" spans="1:42">
      <c r="A291" s="214"/>
      <c r="B291" s="214"/>
      <c r="C291" s="316" t="s">
        <v>976</v>
      </c>
      <c r="D291" s="325">
        <v>6.05</v>
      </c>
      <c r="E291" s="279"/>
      <c r="F291" s="279"/>
      <c r="G291" s="279"/>
      <c r="H291" s="279"/>
      <c r="I291" s="318"/>
      <c r="J291" s="322"/>
      <c r="K291" s="279"/>
      <c r="L291" s="318"/>
      <c r="M291" s="318"/>
      <c r="N291" s="318"/>
      <c r="O291" s="318"/>
      <c r="R291" s="295"/>
      <c r="S291" s="22"/>
      <c r="T291" s="22"/>
      <c r="U291" s="22"/>
      <c r="V291" s="22"/>
      <c r="W291" s="22"/>
      <c r="X291" s="22" t="s">
        <v>924</v>
      </c>
      <c r="AC291" s="276"/>
      <c r="AD291" s="276"/>
      <c r="AE291" s="327"/>
      <c r="AF291" s="278"/>
      <c r="AG291" s="278"/>
      <c r="AH291" s="278"/>
      <c r="AI291" s="278"/>
      <c r="AJ291" s="278"/>
      <c r="AK291" s="278"/>
      <c r="AL291" s="278"/>
      <c r="AM291" s="319"/>
      <c r="AN291" s="319"/>
      <c r="AO291" s="319"/>
      <c r="AP291" s="319"/>
    </row>
    <row r="292" spans="1:42">
      <c r="A292" s="214"/>
      <c r="B292" s="214"/>
      <c r="C292" s="316" t="s">
        <v>863</v>
      </c>
      <c r="D292" s="325">
        <v>5.51</v>
      </c>
      <c r="E292" s="279"/>
      <c r="F292" s="279"/>
      <c r="G292" s="279"/>
      <c r="H292" s="279"/>
      <c r="I292" s="318"/>
      <c r="J292" s="322"/>
      <c r="K292" s="279"/>
      <c r="L292" s="318"/>
      <c r="M292" s="318"/>
      <c r="N292" s="318"/>
      <c r="O292" s="318"/>
      <c r="R292" s="295"/>
      <c r="S292" s="22"/>
      <c r="T292" s="22"/>
      <c r="U292" s="22"/>
      <c r="V292" s="22"/>
      <c r="W292" s="22"/>
      <c r="X292" s="732">
        <f>SUM(G305:G322)/12</f>
        <v>14.311111111111112</v>
      </c>
      <c r="AC292" s="276"/>
      <c r="AD292" s="330"/>
      <c r="AE292" s="328"/>
      <c r="AF292" s="278"/>
      <c r="AG292" s="278"/>
      <c r="AH292" s="278"/>
      <c r="AI292" s="278"/>
      <c r="AJ292" s="278"/>
      <c r="AK292" s="278"/>
      <c r="AL292" s="278"/>
      <c r="AM292" s="319"/>
      <c r="AN292" s="319"/>
      <c r="AO292" s="319"/>
      <c r="AP292" s="319"/>
    </row>
    <row r="293" spans="1:42">
      <c r="A293" s="214"/>
      <c r="B293" s="214"/>
      <c r="C293" s="316" t="s">
        <v>864</v>
      </c>
      <c r="D293" s="325">
        <v>4.59</v>
      </c>
      <c r="E293" s="279"/>
      <c r="F293" s="279"/>
      <c r="G293" s="279"/>
      <c r="H293" s="279"/>
      <c r="I293" s="318"/>
      <c r="J293" s="322"/>
      <c r="K293" s="279"/>
      <c r="L293" s="318"/>
      <c r="M293" s="318"/>
      <c r="N293" s="318"/>
      <c r="O293" s="318"/>
      <c r="R293" s="295"/>
      <c r="S293" s="22"/>
      <c r="T293" s="22"/>
      <c r="U293" s="22"/>
      <c r="V293" s="22"/>
      <c r="W293" s="22"/>
      <c r="X293" s="22"/>
      <c r="AC293" s="276"/>
      <c r="AD293" s="330"/>
      <c r="AE293" s="328"/>
      <c r="AF293" s="278"/>
      <c r="AG293" s="278"/>
      <c r="AH293" s="278"/>
      <c r="AI293" s="278"/>
      <c r="AJ293" s="319"/>
      <c r="AK293" s="319"/>
      <c r="AL293" s="319"/>
      <c r="AM293" s="319"/>
      <c r="AN293" s="319"/>
      <c r="AO293" s="319"/>
      <c r="AP293" s="319"/>
    </row>
    <row r="294" spans="1:42">
      <c r="A294" s="214"/>
      <c r="B294" s="214"/>
      <c r="C294" s="316" t="s">
        <v>876</v>
      </c>
      <c r="D294" s="325">
        <v>4.2699999999999996</v>
      </c>
      <c r="E294" s="279"/>
      <c r="F294" s="279"/>
      <c r="G294" s="279"/>
      <c r="H294" s="279"/>
      <c r="I294" s="318"/>
      <c r="J294" s="322"/>
      <c r="K294" s="279"/>
      <c r="L294" s="318"/>
      <c r="M294" s="318"/>
      <c r="N294" s="318"/>
      <c r="O294" s="318"/>
      <c r="R294" s="295"/>
      <c r="S294" s="22"/>
      <c r="T294" s="22"/>
      <c r="U294" s="22"/>
      <c r="V294" s="22"/>
      <c r="W294" s="22"/>
      <c r="X294" s="22"/>
      <c r="AC294" s="276"/>
      <c r="AD294" s="330"/>
      <c r="AE294" s="328"/>
      <c r="AF294" s="278"/>
      <c r="AG294" s="278"/>
      <c r="AH294" s="278"/>
      <c r="AI294" s="278"/>
      <c r="AJ294" s="319"/>
      <c r="AK294" s="319"/>
      <c r="AL294" s="319"/>
      <c r="AM294" s="319"/>
      <c r="AN294" s="319"/>
      <c r="AO294" s="319"/>
      <c r="AP294" s="319"/>
    </row>
    <row r="295" spans="1:42">
      <c r="A295" s="214"/>
      <c r="B295" s="214"/>
      <c r="C295" s="214"/>
      <c r="D295" s="323"/>
      <c r="E295" s="279"/>
      <c r="F295" s="279"/>
      <c r="G295" s="279"/>
      <c r="H295" s="279"/>
      <c r="I295" s="318"/>
      <c r="J295" s="322"/>
      <c r="K295" s="279"/>
      <c r="L295" s="318"/>
      <c r="M295" s="318"/>
      <c r="N295" s="318"/>
      <c r="O295" s="318"/>
      <c r="AC295" s="276"/>
      <c r="AD295" s="330"/>
      <c r="AE295" s="328"/>
      <c r="AF295" s="278"/>
      <c r="AG295" s="278"/>
      <c r="AH295" s="278"/>
      <c r="AI295" s="278"/>
      <c r="AJ295" s="278"/>
      <c r="AK295" s="278"/>
      <c r="AL295" s="278"/>
      <c r="AM295" s="319"/>
      <c r="AN295" s="278"/>
      <c r="AO295" s="278"/>
      <c r="AP295" s="278"/>
    </row>
    <row r="296" spans="1:42">
      <c r="A296" s="214">
        <v>16262</v>
      </c>
      <c r="B296" s="214"/>
      <c r="C296" s="462" t="s">
        <v>1579</v>
      </c>
      <c r="D296" s="323"/>
      <c r="E296" s="279">
        <v>58420</v>
      </c>
      <c r="F296" s="279"/>
      <c r="G296" s="279">
        <v>1.2666666666666666</v>
      </c>
      <c r="H296" s="279"/>
      <c r="I296" s="279">
        <v>2472.4213333333332</v>
      </c>
      <c r="J296" s="322"/>
      <c r="K296" s="279">
        <f>I296</f>
        <v>2472.4213333333332</v>
      </c>
      <c r="L296" s="279"/>
      <c r="M296" s="279">
        <v>0</v>
      </c>
      <c r="N296" s="279"/>
      <c r="O296" s="279">
        <f>K296-M296</f>
        <v>2472.4213333333332</v>
      </c>
      <c r="Q296" s="22" t="s">
        <v>669</v>
      </c>
      <c r="AC296" s="276"/>
      <c r="AD296" s="330"/>
      <c r="AE296" s="328"/>
      <c r="AF296" s="278"/>
      <c r="AG296" s="278"/>
      <c r="AH296" s="278"/>
      <c r="AI296" s="278"/>
      <c r="AJ296" s="278"/>
      <c r="AK296" s="278"/>
      <c r="AL296" s="278"/>
      <c r="AM296" s="319"/>
      <c r="AN296" s="319"/>
      <c r="AO296" s="319"/>
      <c r="AP296" s="319"/>
    </row>
    <row r="297" spans="1:42">
      <c r="A297" s="214">
        <v>16264</v>
      </c>
      <c r="B297" s="214"/>
      <c r="C297" s="462" t="s">
        <v>1580</v>
      </c>
      <c r="D297" s="323"/>
      <c r="E297" s="279">
        <v>298566.66666666669</v>
      </c>
      <c r="F297" s="279"/>
      <c r="G297" s="279">
        <v>7.6</v>
      </c>
      <c r="H297" s="279"/>
      <c r="I297" s="279">
        <v>2132.8653333333332</v>
      </c>
      <c r="J297" s="322"/>
      <c r="K297" s="279">
        <f>I297</f>
        <v>2132.8653333333332</v>
      </c>
      <c r="L297" s="279"/>
      <c r="M297" s="279">
        <v>0</v>
      </c>
      <c r="N297" s="279"/>
      <c r="O297" s="279">
        <f>K297-M297</f>
        <v>2132.8653333333332</v>
      </c>
      <c r="Q297" s="732">
        <f>E299/G299</f>
        <v>64692.76315789474</v>
      </c>
      <c r="AC297" s="276"/>
      <c r="AD297" s="330"/>
      <c r="AE297" s="328"/>
      <c r="AF297" s="278"/>
      <c r="AG297" s="278"/>
      <c r="AH297" s="278"/>
      <c r="AI297" s="278"/>
      <c r="AJ297" s="278"/>
      <c r="AK297" s="278"/>
      <c r="AL297" s="278"/>
      <c r="AM297" s="319"/>
      <c r="AN297" s="319"/>
      <c r="AO297" s="319"/>
      <c r="AP297" s="319"/>
    </row>
    <row r="298" spans="1:42">
      <c r="A298" s="276">
        <v>16278</v>
      </c>
      <c r="B298" s="276"/>
      <c r="C298" s="462" t="s">
        <v>1581</v>
      </c>
      <c r="D298" s="323"/>
      <c r="E298" s="279">
        <v>298566.66666666669</v>
      </c>
      <c r="F298" s="279"/>
      <c r="G298" s="279">
        <v>1.2666666666666666</v>
      </c>
      <c r="H298" s="279"/>
      <c r="I298" s="279">
        <v>272.29600000000005</v>
      </c>
      <c r="J298" s="322"/>
      <c r="K298" s="325">
        <f>I298</f>
        <v>272.29600000000005</v>
      </c>
      <c r="L298" s="325"/>
      <c r="M298" s="325">
        <v>0</v>
      </c>
      <c r="N298" s="325"/>
      <c r="O298" s="279">
        <f>K298-M298</f>
        <v>272.29600000000005</v>
      </c>
      <c r="Q298" s="22"/>
      <c r="AC298" s="276"/>
      <c r="AD298" s="330"/>
      <c r="AE298" s="328"/>
      <c r="AF298" s="278"/>
      <c r="AG298" s="278"/>
      <c r="AH298" s="278"/>
      <c r="AI298" s="278"/>
      <c r="AJ298" s="278"/>
      <c r="AK298" s="278"/>
      <c r="AL298" s="278"/>
      <c r="AM298" s="319"/>
      <c r="AN298" s="319"/>
      <c r="AO298" s="319"/>
      <c r="AP298" s="319"/>
    </row>
    <row r="299" spans="1:42" ht="15.75" thickBot="1">
      <c r="A299" s="214"/>
      <c r="B299" s="214"/>
      <c r="C299" s="214"/>
      <c r="D299" s="323"/>
      <c r="E299" s="385">
        <f>SUM(E296:E298)</f>
        <v>655553.33333333337</v>
      </c>
      <c r="F299" s="279"/>
      <c r="G299" s="385">
        <f>SUM(G296:G298)</f>
        <v>10.133333333333333</v>
      </c>
      <c r="H299" s="279"/>
      <c r="I299" s="386">
        <f>SUM(I296:I298)</f>
        <v>4877.5826666666671</v>
      </c>
      <c r="J299" s="322"/>
      <c r="K299" s="386">
        <f>SUM(K296:K298)</f>
        <v>4877.5826666666671</v>
      </c>
      <c r="L299" s="318"/>
      <c r="M299" s="386">
        <f>SUM(M296:M297)</f>
        <v>0</v>
      </c>
      <c r="N299" s="279"/>
      <c r="O299" s="386">
        <f>SUM(O296:O297)</f>
        <v>4605.2866666666669</v>
      </c>
      <c r="AC299" s="276"/>
      <c r="AD299" s="330"/>
      <c r="AE299" s="328"/>
      <c r="AF299" s="278"/>
      <c r="AG299" s="278"/>
      <c r="AH299" s="278"/>
      <c r="AI299" s="278"/>
      <c r="AJ299" s="278"/>
      <c r="AK299" s="278"/>
      <c r="AL299" s="278"/>
      <c r="AM299" s="319"/>
      <c r="AN299" s="278"/>
      <c r="AO299" s="278"/>
      <c r="AP299" s="278"/>
    </row>
    <row r="300" spans="1:42" ht="15.75" thickTop="1">
      <c r="A300" s="214"/>
      <c r="B300" s="214"/>
      <c r="C300" s="214"/>
      <c r="D300" s="323"/>
      <c r="E300" s="279"/>
      <c r="F300" s="279"/>
      <c r="G300" s="279"/>
      <c r="H300" s="279"/>
      <c r="I300" s="279"/>
      <c r="J300" s="322"/>
      <c r="K300" s="279"/>
      <c r="L300" s="318"/>
      <c r="M300" s="279"/>
      <c r="N300" s="279"/>
      <c r="O300" s="318"/>
    </row>
    <row r="301" spans="1:42">
      <c r="A301" s="214"/>
      <c r="B301" s="214"/>
      <c r="C301" s="316" t="s">
        <v>977</v>
      </c>
      <c r="D301" s="323"/>
      <c r="E301" s="279"/>
      <c r="F301" s="279"/>
      <c r="G301" s="279"/>
      <c r="H301" s="279"/>
      <c r="I301" s="318"/>
      <c r="J301" s="322"/>
      <c r="K301" s="279"/>
      <c r="L301" s="318"/>
      <c r="M301" s="318"/>
      <c r="N301" s="318"/>
      <c r="O301" s="318"/>
    </row>
    <row r="302" spans="1:42">
      <c r="A302" s="214"/>
      <c r="B302" s="214"/>
      <c r="C302" s="316" t="s">
        <v>978</v>
      </c>
      <c r="D302" s="324">
        <v>90.65</v>
      </c>
      <c r="E302" s="279"/>
      <c r="F302" s="279"/>
      <c r="G302" s="279"/>
      <c r="H302" s="279"/>
      <c r="I302" s="318"/>
      <c r="J302" s="322"/>
      <c r="K302" s="279"/>
      <c r="L302" s="318"/>
      <c r="M302" s="318"/>
      <c r="N302" s="318"/>
      <c r="O302" s="318"/>
    </row>
    <row r="303" spans="1:42">
      <c r="A303" s="214"/>
      <c r="B303" s="214"/>
      <c r="C303" s="316" t="s">
        <v>979</v>
      </c>
      <c r="D303" s="325">
        <v>4.6900000000000004</v>
      </c>
      <c r="E303" s="279"/>
      <c r="F303" s="279"/>
      <c r="G303" s="279"/>
      <c r="H303" s="279"/>
      <c r="I303" s="318"/>
      <c r="J303" s="322"/>
      <c r="K303" s="279"/>
      <c r="L303" s="318"/>
      <c r="M303" s="318"/>
      <c r="N303" s="318"/>
      <c r="O303" s="318"/>
    </row>
    <row r="304" spans="1:42">
      <c r="A304" s="214"/>
      <c r="B304" s="214"/>
      <c r="C304" s="316" t="s">
        <v>863</v>
      </c>
      <c r="D304" s="325">
        <v>4.2699999999999996</v>
      </c>
      <c r="E304" s="279"/>
      <c r="F304" s="279"/>
      <c r="G304" s="279"/>
      <c r="H304" s="279"/>
      <c r="I304" s="318"/>
      <c r="J304" s="322"/>
      <c r="K304" s="279"/>
      <c r="L304" s="318"/>
      <c r="M304" s="318"/>
      <c r="N304" s="318"/>
      <c r="O304" s="318"/>
    </row>
    <row r="305" spans="1:42">
      <c r="A305" s="214"/>
      <c r="B305" s="214"/>
      <c r="C305" s="316" t="s">
        <v>864</v>
      </c>
      <c r="D305" s="325">
        <v>3.79</v>
      </c>
      <c r="E305" s="279"/>
      <c r="F305" s="279"/>
      <c r="G305" s="279"/>
      <c r="H305" s="279"/>
      <c r="I305" s="318"/>
      <c r="J305" s="322"/>
      <c r="K305" s="279"/>
      <c r="L305" s="318"/>
      <c r="M305" s="318"/>
      <c r="N305" s="318"/>
      <c r="O305" s="318"/>
    </row>
    <row r="306" spans="1:42">
      <c r="A306" s="214"/>
      <c r="B306" s="214"/>
      <c r="C306" s="316" t="s">
        <v>876</v>
      </c>
      <c r="D306" s="325">
        <v>3.31</v>
      </c>
      <c r="E306" s="279"/>
      <c r="F306" s="279"/>
      <c r="G306" s="279"/>
      <c r="H306" s="279"/>
      <c r="I306" s="318"/>
      <c r="J306" s="322"/>
      <c r="K306" s="279"/>
      <c r="L306" s="318"/>
      <c r="M306" s="318"/>
      <c r="N306" s="318"/>
      <c r="O306" s="318"/>
    </row>
    <row r="307" spans="1:42">
      <c r="A307" s="214"/>
      <c r="B307" s="214"/>
      <c r="C307" s="316"/>
      <c r="D307" s="325"/>
      <c r="E307" s="279"/>
      <c r="F307" s="279"/>
      <c r="G307" s="279"/>
      <c r="H307" s="279"/>
      <c r="I307" s="318"/>
      <c r="J307" s="322"/>
      <c r="K307" s="279"/>
      <c r="L307" s="318"/>
      <c r="M307" s="318"/>
      <c r="N307" s="318"/>
      <c r="O307" s="318"/>
    </row>
    <row r="308" spans="1:42">
      <c r="A308" s="214">
        <v>16262</v>
      </c>
      <c r="B308" s="214"/>
      <c r="C308" s="462" t="s">
        <v>1579</v>
      </c>
      <c r="D308" s="323"/>
      <c r="E308" s="279">
        <v>435580</v>
      </c>
      <c r="F308" s="279"/>
      <c r="G308" s="279">
        <v>10.733333333333333</v>
      </c>
      <c r="H308" s="279"/>
      <c r="I308" s="279">
        <v>2614.8986666666669</v>
      </c>
      <c r="J308" s="322"/>
      <c r="K308" s="279">
        <f>I308</f>
        <v>2614.8986666666669</v>
      </c>
      <c r="L308" s="279"/>
      <c r="M308" s="279">
        <v>0</v>
      </c>
      <c r="N308" s="279"/>
      <c r="O308" s="279">
        <f>K308-M308</f>
        <v>2614.8986666666669</v>
      </c>
      <c r="Q308" s="22" t="s">
        <v>669</v>
      </c>
      <c r="AC308" s="276"/>
      <c r="AD308" s="330"/>
      <c r="AE308" s="328"/>
      <c r="AF308" s="278"/>
      <c r="AG308" s="278"/>
      <c r="AH308" s="278"/>
      <c r="AI308" s="278"/>
      <c r="AJ308" s="278"/>
      <c r="AK308" s="278"/>
      <c r="AL308" s="278"/>
      <c r="AM308" s="319"/>
      <c r="AN308" s="319"/>
      <c r="AO308" s="319"/>
      <c r="AP308" s="319"/>
    </row>
    <row r="309" spans="1:42">
      <c r="A309" s="214">
        <v>16264</v>
      </c>
      <c r="B309" s="214"/>
      <c r="C309" s="462" t="s">
        <v>1580</v>
      </c>
      <c r="D309" s="323"/>
      <c r="E309" s="279">
        <v>5960200</v>
      </c>
      <c r="F309" s="279"/>
      <c r="G309" s="279">
        <v>64.400000000000006</v>
      </c>
      <c r="H309" s="279"/>
      <c r="I309" s="279">
        <v>26345.97</v>
      </c>
      <c r="J309" s="322"/>
      <c r="K309" s="279">
        <f>I309</f>
        <v>26345.97</v>
      </c>
      <c r="L309" s="279"/>
      <c r="M309" s="279">
        <v>0</v>
      </c>
      <c r="N309" s="279"/>
      <c r="O309" s="279">
        <f>K309-M309</f>
        <v>26345.97</v>
      </c>
      <c r="Q309" s="732">
        <f>E311/G311</f>
        <v>113163.97515527951</v>
      </c>
      <c r="AC309" s="276"/>
      <c r="AD309" s="330"/>
      <c r="AE309" s="328"/>
      <c r="AF309" s="278"/>
      <c r="AG309" s="278"/>
      <c r="AH309" s="278"/>
      <c r="AI309" s="278"/>
      <c r="AJ309" s="278"/>
      <c r="AK309" s="278"/>
      <c r="AL309" s="278"/>
      <c r="AM309" s="319"/>
      <c r="AN309" s="319"/>
      <c r="AO309" s="319"/>
      <c r="AP309" s="319"/>
    </row>
    <row r="310" spans="1:42">
      <c r="A310" s="276">
        <v>16278</v>
      </c>
      <c r="B310" s="276"/>
      <c r="C310" s="462" t="s">
        <v>1581</v>
      </c>
      <c r="D310" s="323"/>
      <c r="E310" s="279">
        <v>3321233.3333333335</v>
      </c>
      <c r="F310" s="279"/>
      <c r="G310" s="279">
        <v>10.733333333333333</v>
      </c>
      <c r="H310" s="279"/>
      <c r="I310" s="279">
        <v>20996.035333333326</v>
      </c>
      <c r="J310" s="322"/>
      <c r="K310" s="279">
        <f>I310</f>
        <v>20996.035333333326</v>
      </c>
      <c r="L310" s="325"/>
      <c r="M310" s="325">
        <v>0</v>
      </c>
      <c r="N310" s="325"/>
      <c r="O310" s="279">
        <f>K310-M310</f>
        <v>20996.035333333326</v>
      </c>
      <c r="Q310" s="22"/>
      <c r="AC310" s="276"/>
      <c r="AD310" s="330"/>
      <c r="AE310" s="328"/>
      <c r="AF310" s="278"/>
      <c r="AG310" s="278"/>
      <c r="AH310" s="278"/>
      <c r="AI310" s="278"/>
      <c r="AJ310" s="278"/>
      <c r="AK310" s="278"/>
      <c r="AL310" s="278"/>
      <c r="AM310" s="319"/>
      <c r="AN310" s="319"/>
      <c r="AO310" s="319"/>
      <c r="AP310" s="319"/>
    </row>
    <row r="311" spans="1:42" ht="15.75" thickBot="1">
      <c r="A311" s="214"/>
      <c r="B311" s="214"/>
      <c r="C311" s="214"/>
      <c r="D311" s="323"/>
      <c r="E311" s="385">
        <f>SUM(E308:E310)</f>
        <v>9717013.333333334</v>
      </c>
      <c r="F311" s="279"/>
      <c r="G311" s="385">
        <f>SUM(G308:G310)</f>
        <v>85.866666666666674</v>
      </c>
      <c r="H311" s="279"/>
      <c r="I311" s="386">
        <f>SUM(I308:I310)</f>
        <v>49956.903999999995</v>
      </c>
      <c r="J311" s="322"/>
      <c r="K311" s="386">
        <f>SUM(K308:K310)</f>
        <v>49956.903999999995</v>
      </c>
      <c r="L311" s="318"/>
      <c r="M311" s="386">
        <f>SUM(M308:M309)</f>
        <v>0</v>
      </c>
      <c r="N311" s="279"/>
      <c r="O311" s="386">
        <f>SUM(O308:O309)</f>
        <v>28960.868666666669</v>
      </c>
      <c r="AC311" s="276"/>
      <c r="AD311" s="330"/>
      <c r="AE311" s="328"/>
      <c r="AF311" s="278"/>
      <c r="AG311" s="278"/>
      <c r="AH311" s="278"/>
      <c r="AI311" s="278"/>
      <c r="AJ311" s="278"/>
      <c r="AK311" s="278"/>
      <c r="AL311" s="278"/>
      <c r="AM311" s="319"/>
      <c r="AN311" s="278"/>
      <c r="AO311" s="278"/>
      <c r="AP311" s="278"/>
    </row>
    <row r="312" spans="1:42" ht="15.75" thickTop="1">
      <c r="A312" s="214"/>
      <c r="B312" s="214"/>
      <c r="C312" s="214"/>
      <c r="D312" s="323"/>
      <c r="E312" s="279"/>
      <c r="F312" s="279"/>
      <c r="G312" s="279"/>
      <c r="H312" s="279"/>
      <c r="I312" s="279"/>
      <c r="J312" s="322"/>
      <c r="K312" s="279"/>
      <c r="L312" s="318"/>
      <c r="M312" s="279"/>
      <c r="N312" s="279"/>
      <c r="O312" s="318"/>
    </row>
    <row r="313" spans="1:42">
      <c r="A313" s="214"/>
      <c r="B313" s="214"/>
      <c r="C313" s="316" t="s">
        <v>977</v>
      </c>
      <c r="D313" s="323"/>
      <c r="E313" s="279"/>
      <c r="F313" s="279"/>
      <c r="G313" s="279"/>
      <c r="H313" s="279"/>
      <c r="I313" s="318"/>
      <c r="J313" s="322"/>
      <c r="K313" s="279"/>
      <c r="L313" s="318"/>
      <c r="M313" s="318"/>
      <c r="N313" s="318"/>
      <c r="O313" s="318"/>
    </row>
    <row r="314" spans="1:42">
      <c r="A314" s="214"/>
      <c r="B314" s="214"/>
      <c r="C314" s="316" t="s">
        <v>978</v>
      </c>
      <c r="D314" s="324">
        <v>116.95</v>
      </c>
      <c r="E314" s="279"/>
      <c r="F314" s="279"/>
      <c r="G314" s="279"/>
      <c r="H314" s="279"/>
      <c r="I314" s="318"/>
      <c r="J314" s="322"/>
      <c r="K314" s="279"/>
      <c r="L314" s="318"/>
      <c r="M314" s="318"/>
      <c r="N314" s="318"/>
      <c r="O314" s="318"/>
    </row>
    <row r="315" spans="1:42">
      <c r="A315" s="214"/>
      <c r="B315" s="214"/>
      <c r="C315" s="316" t="s">
        <v>979</v>
      </c>
      <c r="D315" s="325">
        <v>6.05</v>
      </c>
      <c r="E315" s="279"/>
      <c r="F315" s="279"/>
      <c r="G315" s="279"/>
      <c r="H315" s="279"/>
      <c r="I315" s="318"/>
      <c r="J315" s="322"/>
      <c r="K315" s="279"/>
      <c r="L315" s="318"/>
      <c r="M315" s="318"/>
      <c r="N315" s="318"/>
      <c r="O315" s="318"/>
    </row>
    <row r="316" spans="1:42">
      <c r="A316" s="214"/>
      <c r="B316" s="214"/>
      <c r="C316" s="316" t="s">
        <v>863</v>
      </c>
      <c r="D316" s="325">
        <v>5.51</v>
      </c>
      <c r="E316" s="279"/>
      <c r="F316" s="279"/>
      <c r="G316" s="279"/>
      <c r="H316" s="279"/>
      <c r="I316" s="318"/>
      <c r="J316" s="322"/>
      <c r="K316" s="279"/>
      <c r="L316" s="318"/>
      <c r="M316" s="318"/>
      <c r="N316" s="318"/>
      <c r="O316" s="318"/>
    </row>
    <row r="317" spans="1:42">
      <c r="A317" s="214"/>
      <c r="B317" s="214"/>
      <c r="C317" s="316" t="s">
        <v>864</v>
      </c>
      <c r="D317" s="325">
        <v>4.8899999999999997</v>
      </c>
      <c r="E317" s="279"/>
      <c r="F317" s="279"/>
      <c r="G317" s="279"/>
      <c r="H317" s="279"/>
      <c r="I317" s="318"/>
      <c r="J317" s="322"/>
      <c r="K317" s="279"/>
      <c r="L317" s="318"/>
      <c r="M317" s="318"/>
      <c r="N317" s="318"/>
      <c r="O317" s="318"/>
    </row>
    <row r="318" spans="1:42">
      <c r="A318" s="214"/>
      <c r="B318" s="214"/>
      <c r="C318" s="316" t="s">
        <v>876</v>
      </c>
      <c r="D318" s="325">
        <v>4.2699999999999996</v>
      </c>
      <c r="E318" s="279"/>
      <c r="F318" s="279"/>
      <c r="G318" s="279"/>
      <c r="H318" s="279"/>
      <c r="I318" s="318"/>
      <c r="J318" s="322"/>
      <c r="K318" s="279"/>
      <c r="L318" s="318"/>
      <c r="M318" s="318"/>
      <c r="N318" s="318"/>
      <c r="O318" s="318"/>
    </row>
    <row r="319" spans="1:42">
      <c r="A319" s="214"/>
      <c r="B319" s="214"/>
      <c r="C319" s="316"/>
      <c r="D319" s="325"/>
      <c r="E319" s="279"/>
      <c r="F319" s="279"/>
      <c r="G319" s="279"/>
      <c r="H319" s="279"/>
      <c r="I319" s="318"/>
      <c r="J319" s="322"/>
      <c r="K319" s="279"/>
      <c r="L319" s="318"/>
      <c r="M319" s="318"/>
      <c r="N319" s="318"/>
      <c r="O319" s="318"/>
    </row>
    <row r="320" spans="1:42">
      <c r="A320" s="214"/>
      <c r="B320" s="214"/>
      <c r="C320" s="316"/>
      <c r="D320" s="325"/>
      <c r="E320" s="279"/>
      <c r="F320" s="279"/>
      <c r="G320" s="279"/>
      <c r="H320" s="279"/>
      <c r="I320" s="318"/>
      <c r="J320" s="322"/>
      <c r="K320" s="279"/>
      <c r="L320" s="318"/>
      <c r="M320" s="318"/>
      <c r="N320" s="318"/>
      <c r="O320" s="318"/>
    </row>
    <row r="321" spans="1:17">
      <c r="A321" s="214"/>
      <c r="B321" s="214"/>
      <c r="C321" s="316"/>
      <c r="D321" s="325"/>
      <c r="E321" s="279"/>
      <c r="F321" s="279"/>
      <c r="G321" s="279"/>
      <c r="H321" s="279"/>
      <c r="I321" s="318"/>
      <c r="J321" s="322"/>
      <c r="K321" s="279"/>
      <c r="L321" s="318"/>
      <c r="M321" s="318"/>
      <c r="N321" s="318"/>
      <c r="O321" s="318"/>
    </row>
    <row r="322" spans="1:17">
      <c r="A322" s="15">
        <v>16280</v>
      </c>
      <c r="C322" s="462" t="s">
        <v>1599</v>
      </c>
      <c r="E322" s="720">
        <v>0</v>
      </c>
      <c r="F322" s="720"/>
      <c r="G322" s="720">
        <v>0</v>
      </c>
      <c r="H322" s="720"/>
      <c r="I322" s="318">
        <v>0</v>
      </c>
      <c r="J322" s="322"/>
      <c r="K322" s="318">
        <f>I322</f>
        <v>0</v>
      </c>
      <c r="L322" s="720"/>
      <c r="M322" s="318">
        <f>K322</f>
        <v>0</v>
      </c>
      <c r="N322" s="720"/>
      <c r="O322" s="318">
        <f>K322-M322</f>
        <v>0</v>
      </c>
      <c r="Q322" s="732">
        <v>0</v>
      </c>
    </row>
    <row r="323" spans="1:17" ht="15.75" thickBot="1">
      <c r="E323" s="743">
        <f>SUM(E322)</f>
        <v>0</v>
      </c>
      <c r="F323" s="213"/>
      <c r="G323" s="743">
        <f>SUM(G322)</f>
        <v>0</v>
      </c>
      <c r="I323" s="734">
        <v>0</v>
      </c>
      <c r="J323" s="322"/>
      <c r="K323" s="734">
        <f>SUM(K322)</f>
        <v>0</v>
      </c>
      <c r="M323" s="734">
        <f>SUM(M322)</f>
        <v>0</v>
      </c>
      <c r="O323" s="734">
        <f>SUM(O322)</f>
        <v>0</v>
      </c>
    </row>
    <row r="324" spans="1:17" ht="15.75" thickTop="1">
      <c r="J324" s="322"/>
    </row>
    <row r="325" spans="1:17">
      <c r="C325" s="16" t="s">
        <v>870</v>
      </c>
      <c r="D325" s="744">
        <v>919.77</v>
      </c>
      <c r="J325" s="322"/>
    </row>
    <row r="326" spans="1:17">
      <c r="C326" s="16" t="s">
        <v>354</v>
      </c>
      <c r="D326" s="720">
        <v>3.31</v>
      </c>
      <c r="J326" s="322"/>
    </row>
    <row r="327" spans="1:17">
      <c r="C327" s="16"/>
      <c r="D327" s="720"/>
      <c r="J327" s="322"/>
    </row>
    <row r="328" spans="1:17">
      <c r="A328" s="214"/>
      <c r="B328" s="214"/>
      <c r="C328" s="462" t="s">
        <v>1598</v>
      </c>
      <c r="D328" s="323"/>
      <c r="E328" s="279"/>
      <c r="F328" s="279"/>
      <c r="G328" s="279"/>
      <c r="H328" s="279"/>
      <c r="I328" s="318"/>
      <c r="J328" s="322"/>
      <c r="K328" s="318"/>
      <c r="L328" s="318"/>
      <c r="M328" s="318"/>
      <c r="N328" s="318"/>
      <c r="O328" s="318"/>
      <c r="Q328" s="22" t="s">
        <v>669</v>
      </c>
    </row>
    <row r="329" spans="1:17">
      <c r="A329" s="15">
        <v>16280</v>
      </c>
      <c r="C329" s="462" t="s">
        <v>1599</v>
      </c>
      <c r="E329" s="720">
        <v>0</v>
      </c>
      <c r="F329" s="720"/>
      <c r="G329" s="720">
        <v>0</v>
      </c>
      <c r="H329" s="720"/>
      <c r="I329" s="318">
        <v>0</v>
      </c>
      <c r="J329" s="322"/>
      <c r="K329" s="318">
        <f>I329</f>
        <v>0</v>
      </c>
      <c r="L329" s="720"/>
      <c r="M329" s="318">
        <f>K329</f>
        <v>0</v>
      </c>
      <c r="N329" s="720"/>
      <c r="O329" s="318">
        <f>K329-M329</f>
        <v>0</v>
      </c>
      <c r="Q329" s="732">
        <v>0</v>
      </c>
    </row>
    <row r="330" spans="1:17" ht="15.75" thickBot="1">
      <c r="E330" s="743">
        <f>SUM(E329)</f>
        <v>0</v>
      </c>
      <c r="F330" s="213"/>
      <c r="G330" s="743">
        <f>SUM(G329)</f>
        <v>0</v>
      </c>
      <c r="I330" s="734">
        <v>0</v>
      </c>
      <c r="J330" s="322"/>
      <c r="K330" s="734">
        <f>SUM(K329)</f>
        <v>0</v>
      </c>
      <c r="M330" s="734">
        <f>SUM(M329)</f>
        <v>0</v>
      </c>
      <c r="O330" s="734">
        <f>SUM(O329)</f>
        <v>0</v>
      </c>
    </row>
    <row r="331" spans="1:17" ht="15.75" thickTop="1">
      <c r="J331" s="322"/>
    </row>
    <row r="332" spans="1:17">
      <c r="C332" s="16" t="s">
        <v>870</v>
      </c>
      <c r="D332" s="744">
        <v>1186.5999999999999</v>
      </c>
      <c r="J332" s="322"/>
    </row>
    <row r="333" spans="1:17">
      <c r="C333" s="16" t="s">
        <v>354</v>
      </c>
      <c r="D333" s="720">
        <v>4.2699999999999996</v>
      </c>
      <c r="J333" s="322"/>
    </row>
    <row r="334" spans="1:17">
      <c r="C334" s="745"/>
      <c r="D334" s="720"/>
      <c r="J334" s="322"/>
    </row>
    <row r="335" spans="1:17">
      <c r="A335" s="214">
        <v>16285</v>
      </c>
      <c r="B335" s="214"/>
      <c r="C335" s="214" t="s">
        <v>164</v>
      </c>
      <c r="D335" s="324">
        <v>15</v>
      </c>
      <c r="E335" s="279">
        <v>0</v>
      </c>
      <c r="F335" s="279"/>
      <c r="G335" s="279">
        <v>22</v>
      </c>
      <c r="H335" s="279"/>
      <c r="I335" s="318">
        <v>330</v>
      </c>
      <c r="J335" s="322"/>
      <c r="K335" s="318">
        <f>I335</f>
        <v>330</v>
      </c>
      <c r="L335" s="318"/>
      <c r="M335" s="318">
        <v>0</v>
      </c>
      <c r="N335" s="318"/>
      <c r="O335" s="318">
        <f>K335-M335</f>
        <v>330</v>
      </c>
    </row>
    <row r="336" spans="1:17">
      <c r="A336" s="214"/>
      <c r="B336" s="214"/>
      <c r="C336" s="214"/>
      <c r="D336" s="324"/>
      <c r="E336" s="279"/>
      <c r="F336" s="279"/>
      <c r="G336" s="279"/>
      <c r="H336" s="279"/>
      <c r="I336" s="279"/>
      <c r="J336" s="322"/>
      <c r="K336" s="279"/>
      <c r="L336" s="318"/>
      <c r="M336" s="279"/>
      <c r="N336" s="318"/>
      <c r="O336" s="279"/>
    </row>
    <row r="337" spans="1:42">
      <c r="A337" s="214">
        <v>16286</v>
      </c>
      <c r="B337" s="214"/>
      <c r="C337" s="214" t="s">
        <v>162</v>
      </c>
      <c r="D337" s="324">
        <v>15</v>
      </c>
      <c r="E337" s="279">
        <v>0</v>
      </c>
      <c r="F337" s="279"/>
      <c r="G337" s="279">
        <v>66</v>
      </c>
      <c r="H337" s="279"/>
      <c r="I337" s="318">
        <v>990</v>
      </c>
      <c r="J337" s="322"/>
      <c r="K337" s="318">
        <f>I337</f>
        <v>990</v>
      </c>
      <c r="L337" s="318"/>
      <c r="M337" s="318">
        <v>0</v>
      </c>
      <c r="N337" s="318"/>
      <c r="O337" s="318">
        <f>K337-M337</f>
        <v>990</v>
      </c>
    </row>
    <row r="338" spans="1:42">
      <c r="A338" s="214"/>
      <c r="B338" s="214"/>
      <c r="C338" s="214"/>
      <c r="D338" s="324"/>
      <c r="E338" s="279"/>
      <c r="F338" s="279"/>
      <c r="G338" s="279"/>
      <c r="H338" s="279"/>
      <c r="I338" s="318"/>
      <c r="J338" s="322"/>
      <c r="K338" s="318"/>
      <c r="L338" s="318"/>
      <c r="M338" s="318"/>
      <c r="N338" s="318"/>
      <c r="O338" s="318"/>
    </row>
    <row r="339" spans="1:42">
      <c r="A339" s="214">
        <v>16299</v>
      </c>
      <c r="B339" s="214"/>
      <c r="C339" s="214" t="s">
        <v>163</v>
      </c>
      <c r="D339" s="324">
        <v>3.3334000000000001</v>
      </c>
      <c r="E339" s="279">
        <v>0</v>
      </c>
      <c r="F339" s="279"/>
      <c r="G339" s="279">
        <v>11</v>
      </c>
      <c r="H339" s="279"/>
      <c r="I339" s="318">
        <v>1980</v>
      </c>
      <c r="J339" s="322"/>
      <c r="K339" s="318">
        <f>I339</f>
        <v>1980</v>
      </c>
      <c r="L339" s="318"/>
      <c r="M339" s="318">
        <v>0</v>
      </c>
      <c r="N339" s="318"/>
      <c r="O339" s="318">
        <f>K339-M339</f>
        <v>1980</v>
      </c>
    </row>
    <row r="340" spans="1:42">
      <c r="A340" s="214"/>
      <c r="B340" s="214"/>
      <c r="C340" s="214"/>
      <c r="D340" s="324"/>
      <c r="E340" s="279"/>
      <c r="F340" s="279"/>
      <c r="G340" s="279"/>
      <c r="H340" s="279"/>
      <c r="I340" s="318"/>
      <c r="J340" s="318"/>
      <c r="K340" s="318"/>
      <c r="L340" s="318"/>
      <c r="M340" s="318"/>
      <c r="N340" s="318"/>
      <c r="O340" s="318"/>
    </row>
    <row r="341" spans="1:42">
      <c r="A341" s="214"/>
      <c r="B341" s="214"/>
      <c r="C341" s="214"/>
      <c r="D341" s="324"/>
      <c r="E341" s="279"/>
      <c r="F341" s="279"/>
      <c r="G341" s="279"/>
      <c r="H341" s="279"/>
      <c r="I341" s="279"/>
      <c r="J341" s="279"/>
      <c r="K341" s="279"/>
      <c r="L341" s="318"/>
      <c r="M341" s="279"/>
      <c r="N341" s="318"/>
      <c r="O341" s="279"/>
    </row>
    <row r="342" spans="1:42">
      <c r="A342" s="48"/>
      <c r="B342" s="48"/>
      <c r="C342" s="48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</row>
    <row r="343" spans="1:42" ht="15.75" thickBot="1">
      <c r="C343" s="15" t="s">
        <v>556</v>
      </c>
      <c r="E343" s="746">
        <f>SUM(E330,E323,E311,E299,E287,E276,E264,E252,E238,E222,E166,E158,E150,E141,E130,E120,E108,E96,E84,E72,E59,E45,E31,E16)</f>
        <v>435848037.66666663</v>
      </c>
      <c r="G343" s="746">
        <f>G16+G45+G72+G96+G120+G141+G166+G173+G175+G177+G179+G181+G183+G185+G187+G189+G191+G193+G195+G197+G199+G201+G203+G205+G207+G209+G222+G252+G276+G299+G323+G335+G337+G339</f>
        <v>8708.866666666665</v>
      </c>
      <c r="I343" s="747">
        <f>SUM(I330,I323,I311,I299,I287,I276,I265,I264,I252,I238,I222,I166,I158,I150,I141,I130,I120,I108,I96,I84,I72,I59,I45,I31,I16)</f>
        <v>1964175.2840000002</v>
      </c>
      <c r="K343" s="747">
        <f>SUM(K339,K337,K335,K330,K323,K311,K299,K287,K276,K265,K264,K252,K238,K222,K166,K158,K150,K141,K130,K120,K108,K96,K84,K72,K59,K45,K31,K16)</f>
        <v>1967459.8813333334</v>
      </c>
      <c r="M343" s="388">
        <f>'Sch.B-I.S'!F67</f>
        <v>2066451.4</v>
      </c>
      <c r="O343" s="388">
        <f>K343-M343</f>
        <v>-98991.518666666467</v>
      </c>
    </row>
    <row r="344" spans="1:42" ht="15.75" thickTop="1">
      <c r="A344" s="15" t="s">
        <v>1611</v>
      </c>
      <c r="F344" s="22"/>
      <c r="H344" s="22"/>
      <c r="J344" s="22"/>
      <c r="L344" s="748"/>
      <c r="M344" s="43"/>
      <c r="N344" s="295"/>
      <c r="O344" s="76">
        <f>O343/M343</f>
        <v>-4.7904111689569116E-2</v>
      </c>
    </row>
    <row r="345" spans="1:42">
      <c r="A345" s="730" t="s">
        <v>989</v>
      </c>
      <c r="B345" s="730"/>
      <c r="C345" s="730"/>
      <c r="D345" s="321"/>
      <c r="E345" s="321"/>
      <c r="F345" s="321"/>
      <c r="G345" s="321"/>
      <c r="H345" s="321"/>
      <c r="I345" s="321"/>
      <c r="J345" s="321"/>
      <c r="K345" s="321"/>
      <c r="L345" s="321"/>
      <c r="M345" s="321"/>
      <c r="N345" s="321"/>
      <c r="O345" s="321"/>
      <c r="P345" s="728"/>
      <c r="Q345" s="728"/>
      <c r="R345" s="729"/>
      <c r="S345" s="22"/>
      <c r="T345" s="728"/>
      <c r="U345" s="728"/>
      <c r="V345" s="728"/>
      <c r="W345" s="22"/>
      <c r="AL345" s="319"/>
      <c r="AM345" s="278"/>
      <c r="AN345" s="319"/>
      <c r="AO345" s="329"/>
      <c r="AP345" s="319"/>
    </row>
    <row r="346" spans="1:42">
      <c r="A346" s="730"/>
      <c r="B346" s="730"/>
      <c r="C346" s="730"/>
      <c r="D346" s="321"/>
      <c r="E346" s="731"/>
      <c r="F346" s="321"/>
      <c r="G346" s="321"/>
      <c r="H346" s="321"/>
      <c r="I346" s="321"/>
      <c r="J346" s="321"/>
      <c r="K346" s="321"/>
      <c r="L346" s="321"/>
      <c r="M346" s="321"/>
      <c r="N346" s="321"/>
      <c r="O346" s="321"/>
      <c r="P346" s="22"/>
      <c r="Q346" s="22"/>
      <c r="R346" s="295"/>
      <c r="S346" s="22"/>
      <c r="T346" s="22"/>
      <c r="U346" s="22"/>
      <c r="V346" s="22"/>
      <c r="W346" s="22"/>
      <c r="AL346" s="319"/>
      <c r="AM346" s="278"/>
      <c r="AN346" s="319"/>
      <c r="AO346" s="319"/>
      <c r="AP346" s="319"/>
    </row>
    <row r="347" spans="1:42">
      <c r="A347" s="214"/>
      <c r="B347" s="214"/>
      <c r="C347" s="462" t="s">
        <v>1557</v>
      </c>
      <c r="D347" s="322"/>
      <c r="E347" s="279">
        <v>252255777</v>
      </c>
      <c r="F347" s="279"/>
      <c r="G347" s="279">
        <v>60398.999999999964</v>
      </c>
      <c r="H347" s="322"/>
      <c r="I347" s="279">
        <v>1228123.02</v>
      </c>
      <c r="J347" s="322"/>
      <c r="K347" s="279">
        <f>I347</f>
        <v>1228123.02</v>
      </c>
      <c r="L347" s="279"/>
      <c r="M347" s="279">
        <v>0</v>
      </c>
      <c r="N347" s="279"/>
      <c r="O347" s="279">
        <f>K347-M347</f>
        <v>1228123.02</v>
      </c>
      <c r="P347" s="22"/>
      <c r="Q347" s="22"/>
      <c r="R347" s="295"/>
      <c r="S347" s="22"/>
      <c r="T347" s="22"/>
      <c r="U347" s="22"/>
      <c r="V347" s="22"/>
      <c r="W347" s="22"/>
      <c r="AL347" s="278"/>
      <c r="AM347" s="278"/>
      <c r="AN347" s="278"/>
      <c r="AO347" s="278"/>
      <c r="AP347" s="278"/>
    </row>
    <row r="348" spans="1:42">
      <c r="A348" s="214"/>
      <c r="B348" s="214"/>
      <c r="C348" s="462" t="s">
        <v>1558</v>
      </c>
      <c r="D348" s="322"/>
      <c r="E348" s="279">
        <v>27168850</v>
      </c>
      <c r="F348" s="279"/>
      <c r="G348" s="279">
        <v>6537.0000000000009</v>
      </c>
      <c r="H348" s="322"/>
      <c r="I348" s="279">
        <v>130503.26999999992</v>
      </c>
      <c r="J348" s="322"/>
      <c r="K348" s="279">
        <f>I348</f>
        <v>130503.26999999992</v>
      </c>
      <c r="L348" s="279"/>
      <c r="M348" s="279">
        <v>0</v>
      </c>
      <c r="N348" s="279"/>
      <c r="O348" s="279">
        <f>K348-M348</f>
        <v>130503.26999999992</v>
      </c>
      <c r="P348" s="22"/>
      <c r="Q348" s="22"/>
      <c r="R348" s="295"/>
      <c r="S348" s="22"/>
      <c r="T348" s="22"/>
      <c r="U348" s="22"/>
      <c r="V348" s="22"/>
      <c r="W348" s="22"/>
      <c r="X348" s="22" t="s">
        <v>501</v>
      </c>
      <c r="Y348" s="462"/>
      <c r="Z348" s="322"/>
      <c r="AA348" s="279"/>
      <c r="AB348" s="279"/>
      <c r="AC348" s="279"/>
      <c r="AD348" s="322"/>
      <c r="AE348" s="318"/>
      <c r="AF348" s="322"/>
      <c r="AG348" s="318"/>
      <c r="AH348" s="322"/>
      <c r="AI348" s="318"/>
      <c r="AJ348" s="322"/>
      <c r="AK348" s="318"/>
      <c r="AL348" s="278"/>
      <c r="AM348" s="278"/>
      <c r="AN348" s="278"/>
      <c r="AO348" s="278"/>
      <c r="AP348" s="278"/>
    </row>
    <row r="349" spans="1:42">
      <c r="A349" s="214"/>
      <c r="B349" s="214"/>
      <c r="C349" s="462" t="s">
        <v>1559</v>
      </c>
      <c r="D349" s="322"/>
      <c r="E349" s="279">
        <v>2134255</v>
      </c>
      <c r="F349" s="279"/>
      <c r="G349" s="279">
        <v>147</v>
      </c>
      <c r="H349" s="322"/>
      <c r="I349" s="279">
        <v>6816.3700000000008</v>
      </c>
      <c r="J349" s="322"/>
      <c r="K349" s="279">
        <f>I349</f>
        <v>6816.3700000000008</v>
      </c>
      <c r="L349" s="279"/>
      <c r="M349" s="279">
        <v>0</v>
      </c>
      <c r="N349" s="279"/>
      <c r="O349" s="279">
        <f>K349-M349</f>
        <v>6816.3700000000008</v>
      </c>
      <c r="P349" s="22"/>
      <c r="Q349" s="22" t="s">
        <v>669</v>
      </c>
      <c r="R349" s="295"/>
      <c r="S349" s="22"/>
      <c r="T349" s="22"/>
      <c r="U349" s="22"/>
      <c r="V349" s="22"/>
      <c r="W349" s="22"/>
      <c r="X349" s="22" t="s">
        <v>924</v>
      </c>
      <c r="Y349" s="15"/>
      <c r="Z349" s="15"/>
      <c r="AC349" s="15"/>
      <c r="AE349" s="15"/>
      <c r="AF349" s="15"/>
      <c r="AG349" s="15"/>
      <c r="AH349" s="15"/>
      <c r="AI349" s="15"/>
      <c r="AJ349" s="15"/>
      <c r="AK349" s="15"/>
      <c r="AL349" s="278"/>
      <c r="AM349" s="278"/>
      <c r="AN349" s="278"/>
      <c r="AO349" s="278"/>
      <c r="AP349" s="278"/>
    </row>
    <row r="350" spans="1:42">
      <c r="A350" s="214"/>
      <c r="B350" s="214"/>
      <c r="C350" s="462" t="s">
        <v>1560</v>
      </c>
      <c r="D350" s="322"/>
      <c r="E350" s="279">
        <v>1205600</v>
      </c>
      <c r="F350" s="279"/>
      <c r="G350" s="279">
        <v>85</v>
      </c>
      <c r="H350" s="322"/>
      <c r="I350" s="279">
        <v>4170.2300000000005</v>
      </c>
      <c r="J350" s="322"/>
      <c r="K350" s="279">
        <f>I350</f>
        <v>4170.2300000000005</v>
      </c>
      <c r="L350" s="279"/>
      <c r="M350" s="279">
        <v>0</v>
      </c>
      <c r="N350" s="279"/>
      <c r="O350" s="279">
        <f>K350-M350</f>
        <v>4170.2300000000005</v>
      </c>
      <c r="P350" s="22"/>
      <c r="Q350" s="732">
        <f>(SUM(E347:E350))/(SUM(G347:G350))</f>
        <v>4209.8094628394492</v>
      </c>
      <c r="R350" s="295"/>
      <c r="S350" s="22"/>
      <c r="T350" s="22"/>
      <c r="U350" s="22"/>
      <c r="V350" s="22"/>
      <c r="W350" s="22"/>
      <c r="X350" s="732">
        <f>SUM(G347:G350)/12</f>
        <v>5597.3333333333312</v>
      </c>
      <c r="Y350" s="15"/>
      <c r="Z350" s="15"/>
      <c r="AC350" s="15"/>
      <c r="AE350" s="15"/>
      <c r="AF350" s="15"/>
      <c r="AG350" s="15"/>
      <c r="AH350" s="15"/>
      <c r="AI350" s="15"/>
      <c r="AJ350" s="15"/>
      <c r="AK350" s="15"/>
      <c r="AL350" s="278"/>
      <c r="AM350" s="278"/>
      <c r="AN350" s="278"/>
      <c r="AO350" s="278"/>
      <c r="AP350" s="278"/>
    </row>
    <row r="351" spans="1:42">
      <c r="A351" s="214"/>
      <c r="B351" s="214"/>
      <c r="C351" s="462" t="s">
        <v>1603</v>
      </c>
      <c r="D351" s="322"/>
      <c r="E351" s="279">
        <v>1065600.0000000002</v>
      </c>
      <c r="F351" s="279"/>
      <c r="G351" s="279">
        <v>13</v>
      </c>
      <c r="H351" s="322"/>
      <c r="I351" s="279">
        <v>2854.6600000000003</v>
      </c>
      <c r="J351" s="322"/>
      <c r="K351" s="279">
        <f>I351</f>
        <v>2854.6600000000003</v>
      </c>
      <c r="L351" s="279"/>
      <c r="M351" s="279">
        <v>0</v>
      </c>
      <c r="N351" s="279"/>
      <c r="O351" s="279">
        <f>K351-M351</f>
        <v>2854.6600000000003</v>
      </c>
      <c r="P351" s="22"/>
      <c r="Q351" s="135"/>
      <c r="R351" s="295"/>
      <c r="S351" s="22"/>
      <c r="T351" s="22"/>
      <c r="U351" s="22"/>
      <c r="V351" s="22"/>
      <c r="W351" s="22"/>
      <c r="X351" s="135"/>
      <c r="Y351" s="15"/>
      <c r="Z351" s="15"/>
      <c r="AC351" s="15"/>
      <c r="AE351" s="15"/>
      <c r="AF351" s="15"/>
      <c r="AG351" s="15"/>
      <c r="AH351" s="15"/>
      <c r="AI351" s="15"/>
      <c r="AJ351" s="15"/>
      <c r="AK351" s="15"/>
      <c r="AL351" s="278"/>
      <c r="AM351" s="278"/>
      <c r="AN351" s="278"/>
      <c r="AO351" s="278"/>
      <c r="AP351" s="278"/>
    </row>
    <row r="352" spans="1:42" ht="15.75" thickBot="1">
      <c r="E352" s="733">
        <f>SUM(E347:E351)</f>
        <v>283830082</v>
      </c>
      <c r="G352" s="733">
        <f>SUM(G347:G350)</f>
        <v>67167.999999999971</v>
      </c>
      <c r="I352" s="734">
        <f>SUM(I347:I351)</f>
        <v>1372467.55</v>
      </c>
      <c r="J352" s="322"/>
      <c r="K352" s="734">
        <f>SUM(K347:K351)</f>
        <v>1372467.55</v>
      </c>
      <c r="M352" s="734">
        <f>SUM(M347:M350)</f>
        <v>0</v>
      </c>
      <c r="O352" s="734">
        <f>SUM(O347:O351)</f>
        <v>1372467.55</v>
      </c>
    </row>
    <row r="353" spans="1:42" ht="15.75" thickTop="1">
      <c r="J353" s="322"/>
    </row>
    <row r="354" spans="1:42">
      <c r="A354" s="1009"/>
      <c r="B354" s="214"/>
      <c r="C354" s="316" t="s">
        <v>971</v>
      </c>
      <c r="D354" s="323"/>
      <c r="E354" s="463"/>
      <c r="F354" s="279"/>
      <c r="G354" s="279"/>
      <c r="H354" s="322"/>
      <c r="I354" s="322"/>
      <c r="J354" s="322"/>
      <c r="K354" s="279"/>
      <c r="L354" s="322"/>
      <c r="M354" s="322"/>
      <c r="N354" s="322"/>
      <c r="O354" s="322"/>
      <c r="P354" s="22"/>
      <c r="R354" s="295"/>
      <c r="S354" s="22"/>
      <c r="T354" s="22"/>
      <c r="U354" s="22"/>
      <c r="V354" s="22"/>
      <c r="W354" s="22"/>
      <c r="X354" s="15"/>
      <c r="Y354" s="15"/>
      <c r="Z354" s="15"/>
      <c r="AC354" s="15"/>
      <c r="AE354" s="15"/>
      <c r="AF354" s="15"/>
      <c r="AG354" s="15"/>
      <c r="AH354" s="15"/>
      <c r="AI354" s="15"/>
      <c r="AJ354" s="15"/>
      <c r="AK354" s="15"/>
      <c r="AL354" s="319"/>
      <c r="AM354" s="319"/>
      <c r="AN354" s="319"/>
      <c r="AO354" s="329"/>
      <c r="AP354" s="319"/>
    </row>
    <row r="355" spans="1:42">
      <c r="A355" s="214"/>
      <c r="B355" s="214"/>
      <c r="C355" s="316" t="s">
        <v>582</v>
      </c>
      <c r="D355" s="324">
        <v>8.6999999999999993</v>
      </c>
      <c r="E355" s="463"/>
      <c r="F355" s="279"/>
      <c r="G355" s="279"/>
      <c r="H355" s="322"/>
      <c r="I355" s="322"/>
      <c r="J355" s="322"/>
      <c r="K355" s="279"/>
      <c r="L355" s="322"/>
      <c r="M355" s="322"/>
      <c r="N355" s="322"/>
      <c r="O355" s="322"/>
      <c r="P355" s="22"/>
      <c r="R355" s="295"/>
      <c r="S355" s="22"/>
      <c r="T355" s="22"/>
      <c r="U355" s="22"/>
      <c r="V355" s="22"/>
      <c r="W355" s="22"/>
      <c r="X355" s="15"/>
      <c r="Y355" s="15"/>
      <c r="Z355" s="15"/>
      <c r="AC355" s="15"/>
      <c r="AE355" s="15"/>
      <c r="AF355" s="15"/>
      <c r="AG355" s="15"/>
      <c r="AH355" s="15"/>
      <c r="AI355" s="15"/>
      <c r="AJ355" s="15"/>
      <c r="AK355" s="15"/>
      <c r="AL355" s="319"/>
      <c r="AM355" s="319"/>
      <c r="AN355" s="319"/>
      <c r="AO355" s="329"/>
      <c r="AP355" s="319"/>
    </row>
    <row r="356" spans="1:42">
      <c r="A356" s="214"/>
      <c r="B356" s="214"/>
      <c r="C356" s="316" t="s">
        <v>642</v>
      </c>
      <c r="D356" s="325">
        <v>3.5</v>
      </c>
      <c r="E356" s="463"/>
      <c r="F356" s="279"/>
      <c r="G356" s="279"/>
      <c r="H356" s="322"/>
      <c r="I356" s="322"/>
      <c r="J356" s="322"/>
      <c r="K356" s="279"/>
      <c r="L356" s="322"/>
      <c r="M356" s="322"/>
      <c r="N356" s="322"/>
      <c r="O356" s="322"/>
      <c r="P356" s="22"/>
      <c r="R356" s="295"/>
      <c r="S356" s="22"/>
      <c r="T356" s="22"/>
      <c r="U356" s="22"/>
      <c r="V356" s="22"/>
      <c r="W356" s="22"/>
      <c r="X356" s="15"/>
      <c r="Y356" s="15"/>
      <c r="Z356" s="15"/>
      <c r="AC356" s="15"/>
      <c r="AE356" s="15"/>
      <c r="AF356" s="15"/>
      <c r="AG356" s="15"/>
      <c r="AH356" s="15"/>
      <c r="AI356" s="15"/>
      <c r="AJ356" s="15"/>
      <c r="AK356" s="15"/>
      <c r="AL356" s="319"/>
      <c r="AM356" s="319"/>
      <c r="AN356" s="319"/>
      <c r="AO356" s="329"/>
      <c r="AP356" s="319"/>
    </row>
    <row r="357" spans="1:42">
      <c r="A357" s="214"/>
      <c r="B357" s="214"/>
      <c r="C357" s="316" t="s">
        <v>862</v>
      </c>
      <c r="D357" s="325">
        <v>3.19</v>
      </c>
      <c r="E357" s="463"/>
      <c r="F357" s="279"/>
      <c r="G357" s="279"/>
      <c r="H357" s="322"/>
      <c r="I357" s="322"/>
      <c r="J357" s="322"/>
      <c r="K357" s="279"/>
      <c r="L357" s="322"/>
      <c r="M357" s="322"/>
      <c r="N357" s="322"/>
      <c r="O357" s="322"/>
      <c r="P357" s="22"/>
      <c r="Q357" s="22"/>
      <c r="R357" s="295"/>
      <c r="S357" s="22"/>
      <c r="T357" s="22"/>
      <c r="U357" s="22"/>
      <c r="V357" s="22"/>
      <c r="W357" s="22"/>
      <c r="X357" s="15"/>
      <c r="Y357" s="15"/>
      <c r="Z357" s="15"/>
      <c r="AC357" s="15"/>
      <c r="AE357" s="15"/>
      <c r="AF357" s="15"/>
      <c r="AG357" s="15"/>
      <c r="AH357" s="15"/>
      <c r="AI357" s="15"/>
      <c r="AJ357" s="15"/>
      <c r="AK357" s="15"/>
      <c r="AL357" s="319"/>
      <c r="AM357" s="319"/>
      <c r="AN357" s="319"/>
      <c r="AO357" s="329"/>
      <c r="AP357" s="319"/>
    </row>
    <row r="358" spans="1:42">
      <c r="A358" s="214"/>
      <c r="B358" s="214"/>
      <c r="C358" s="316" t="s">
        <v>863</v>
      </c>
      <c r="D358" s="325">
        <v>3.03</v>
      </c>
      <c r="E358" s="463"/>
      <c r="F358" s="279"/>
      <c r="G358" s="279"/>
      <c r="H358" s="322"/>
      <c r="I358" s="322"/>
      <c r="J358" s="322"/>
      <c r="K358" s="279"/>
      <c r="L358" s="322"/>
      <c r="M358" s="322"/>
      <c r="N358" s="322"/>
      <c r="O358" s="322"/>
      <c r="P358" s="22"/>
      <c r="Q358" s="22"/>
      <c r="R358" s="295"/>
      <c r="S358" s="22"/>
      <c r="T358" s="22"/>
      <c r="U358" s="22"/>
      <c r="V358" s="22"/>
      <c r="W358" s="22"/>
      <c r="X358" s="15"/>
      <c r="Y358" s="15"/>
      <c r="Z358" s="15"/>
      <c r="AC358" s="15"/>
      <c r="AE358" s="15"/>
      <c r="AF358" s="15"/>
      <c r="AG358" s="15"/>
      <c r="AH358" s="15"/>
      <c r="AI358" s="15"/>
      <c r="AJ358" s="15"/>
      <c r="AK358" s="15"/>
      <c r="AL358" s="319"/>
      <c r="AM358" s="278"/>
      <c r="AN358" s="319"/>
      <c r="AO358" s="329"/>
      <c r="AP358" s="319"/>
    </row>
    <row r="359" spans="1:42">
      <c r="A359" s="214"/>
      <c r="B359" s="214"/>
      <c r="C359" s="316" t="s">
        <v>864</v>
      </c>
      <c r="D359" s="325">
        <v>2.71</v>
      </c>
      <c r="E359" s="463"/>
      <c r="F359" s="279"/>
      <c r="G359" s="279"/>
      <c r="H359" s="322"/>
      <c r="I359" s="322"/>
      <c r="J359" s="322"/>
      <c r="K359" s="279"/>
      <c r="L359" s="322"/>
      <c r="M359" s="322"/>
      <c r="N359" s="322"/>
      <c r="O359" s="322"/>
      <c r="P359" s="22"/>
      <c r="Q359" s="22"/>
      <c r="R359" s="295"/>
      <c r="S359" s="22"/>
      <c r="T359" s="22"/>
      <c r="U359" s="22"/>
      <c r="V359" s="22"/>
      <c r="X359" s="15"/>
      <c r="Y359" s="15"/>
      <c r="Z359" s="15"/>
      <c r="AC359" s="15"/>
      <c r="AE359" s="15"/>
      <c r="AF359" s="15"/>
      <c r="AG359" s="15"/>
      <c r="AH359" s="15"/>
      <c r="AI359" s="15"/>
      <c r="AJ359" s="15"/>
      <c r="AK359" s="15"/>
      <c r="AL359" s="319"/>
      <c r="AM359" s="278"/>
      <c r="AN359" s="319"/>
      <c r="AO359" s="329"/>
      <c r="AP359" s="319"/>
    </row>
    <row r="360" spans="1:42">
      <c r="A360" s="214"/>
      <c r="B360" s="214"/>
      <c r="C360" s="316" t="s">
        <v>876</v>
      </c>
      <c r="D360" s="325">
        <v>2.48</v>
      </c>
      <c r="E360" s="463"/>
      <c r="F360" s="279"/>
      <c r="G360" s="279"/>
      <c r="H360" s="322"/>
      <c r="I360" s="322"/>
      <c r="J360" s="322"/>
      <c r="K360" s="279"/>
      <c r="L360" s="322"/>
      <c r="M360" s="322"/>
      <c r="N360" s="322"/>
      <c r="O360" s="322"/>
      <c r="P360" s="22"/>
      <c r="Q360" s="22"/>
      <c r="R360" s="295"/>
      <c r="S360" s="22"/>
      <c r="T360" s="22"/>
      <c r="U360" s="22"/>
      <c r="V360" s="22"/>
      <c r="X360" s="15"/>
      <c r="Y360" s="15"/>
      <c r="Z360" s="15"/>
      <c r="AC360" s="15"/>
      <c r="AE360" s="15"/>
      <c r="AF360" s="15"/>
      <c r="AG360" s="15"/>
      <c r="AH360" s="15"/>
      <c r="AI360" s="15"/>
      <c r="AJ360" s="15"/>
      <c r="AK360" s="15"/>
      <c r="AL360" s="319"/>
      <c r="AM360" s="278"/>
      <c r="AN360" s="319"/>
      <c r="AO360" s="329"/>
      <c r="AP360" s="319"/>
    </row>
    <row r="361" spans="1:42">
      <c r="A361" s="214"/>
      <c r="B361" s="214"/>
      <c r="C361" s="462"/>
      <c r="D361" s="322"/>
      <c r="E361" s="463"/>
      <c r="F361" s="279"/>
      <c r="G361" s="279"/>
      <c r="H361" s="322"/>
      <c r="I361" s="322"/>
      <c r="J361" s="322"/>
      <c r="K361" s="279"/>
      <c r="L361" s="322"/>
      <c r="M361" s="322"/>
      <c r="N361" s="322"/>
      <c r="O361" s="322"/>
      <c r="P361" s="22"/>
      <c r="Q361" s="22"/>
      <c r="R361" s="295"/>
      <c r="S361" s="22"/>
      <c r="T361" s="22"/>
      <c r="U361" s="22"/>
      <c r="V361" s="22"/>
      <c r="X361" s="15"/>
      <c r="Y361" s="15"/>
      <c r="Z361" s="15"/>
      <c r="AC361" s="15"/>
      <c r="AE361" s="15"/>
      <c r="AF361" s="15"/>
      <c r="AG361" s="15"/>
      <c r="AH361" s="15"/>
      <c r="AI361" s="15"/>
      <c r="AJ361" s="15"/>
      <c r="AK361" s="15"/>
      <c r="AL361" s="319"/>
      <c r="AM361" s="278"/>
      <c r="AN361" s="319"/>
      <c r="AO361" s="329"/>
      <c r="AP361" s="319"/>
    </row>
    <row r="362" spans="1:42">
      <c r="A362" s="214"/>
      <c r="B362" s="214"/>
      <c r="C362" s="316"/>
      <c r="D362" s="325"/>
      <c r="E362" s="463"/>
      <c r="F362" s="279"/>
      <c r="G362" s="279"/>
      <c r="H362" s="322"/>
      <c r="I362" s="279"/>
      <c r="J362" s="322"/>
      <c r="K362" s="279"/>
      <c r="L362" s="279"/>
      <c r="M362" s="279"/>
      <c r="N362" s="322"/>
      <c r="O362" s="322"/>
      <c r="P362" s="22"/>
      <c r="Q362" s="736"/>
      <c r="R362" s="295"/>
      <c r="S362" s="22"/>
      <c r="T362" s="22"/>
      <c r="U362" s="22"/>
      <c r="V362" s="22"/>
      <c r="W362" s="22"/>
      <c r="X362" s="15"/>
      <c r="Y362" s="15"/>
      <c r="Z362" s="15"/>
      <c r="AC362" s="15"/>
      <c r="AE362" s="15"/>
      <c r="AF362" s="15"/>
      <c r="AG362" s="15"/>
      <c r="AH362" s="15"/>
      <c r="AI362" s="15"/>
      <c r="AJ362" s="15"/>
      <c r="AK362" s="15"/>
      <c r="AL362" s="278"/>
      <c r="AM362" s="329"/>
      <c r="AN362" s="274"/>
      <c r="AO362" s="329"/>
      <c r="AP362" s="278"/>
    </row>
    <row r="363" spans="1:42">
      <c r="A363" s="214"/>
      <c r="B363" s="214"/>
      <c r="C363" s="462" t="s">
        <v>1565</v>
      </c>
      <c r="D363" s="322"/>
      <c r="E363" s="463">
        <v>1551400</v>
      </c>
      <c r="F363" s="279"/>
      <c r="G363" s="279">
        <v>256</v>
      </c>
      <c r="H363" s="322"/>
      <c r="I363" s="279">
        <v>8354.9100000000017</v>
      </c>
      <c r="J363" s="322"/>
      <c r="K363" s="279">
        <f>I363</f>
        <v>8354.9100000000017</v>
      </c>
      <c r="L363" s="279"/>
      <c r="M363" s="279">
        <v>0</v>
      </c>
      <c r="N363" s="279"/>
      <c r="O363" s="279">
        <f>K363-M363</f>
        <v>8354.9100000000017</v>
      </c>
      <c r="P363" s="22"/>
      <c r="Q363" s="736"/>
      <c r="R363" s="295"/>
      <c r="S363" s="22"/>
      <c r="T363" s="22"/>
      <c r="U363" s="22"/>
      <c r="V363" s="22"/>
      <c r="W363" s="22"/>
      <c r="X363" s="15"/>
      <c r="Y363" s="15"/>
      <c r="Z363" s="15"/>
      <c r="AC363" s="15"/>
      <c r="AE363" s="15"/>
      <c r="AF363" s="15"/>
      <c r="AG363" s="15"/>
      <c r="AH363" s="15"/>
      <c r="AI363" s="15"/>
      <c r="AJ363" s="15"/>
      <c r="AK363" s="15"/>
      <c r="AL363" s="278"/>
      <c r="AM363" s="329"/>
      <c r="AN363" s="274"/>
      <c r="AO363" s="329"/>
      <c r="AP363" s="278"/>
    </row>
    <row r="364" spans="1:42">
      <c r="A364" s="214"/>
      <c r="B364" s="214"/>
      <c r="C364" s="462" t="s">
        <v>1566</v>
      </c>
      <c r="D364" s="322"/>
      <c r="E364" s="463">
        <v>11576125.333333334</v>
      </c>
      <c r="F364" s="279"/>
      <c r="G364" s="279">
        <v>773.26666666666688</v>
      </c>
      <c r="H364" s="322"/>
      <c r="I364" s="279">
        <v>50949.370000000032</v>
      </c>
      <c r="J364" s="322"/>
      <c r="K364" s="279">
        <f>I364</f>
        <v>50949.370000000032</v>
      </c>
      <c r="L364" s="279"/>
      <c r="M364" s="279">
        <v>0</v>
      </c>
      <c r="N364" s="279"/>
      <c r="O364" s="279">
        <f>K364-M364</f>
        <v>50949.370000000032</v>
      </c>
      <c r="P364" s="22"/>
      <c r="Q364" s="736"/>
      <c r="R364" s="295"/>
      <c r="S364" s="22"/>
      <c r="T364" s="22"/>
      <c r="U364" s="22"/>
      <c r="V364" s="22"/>
      <c r="W364" s="22"/>
      <c r="X364" s="15"/>
      <c r="Y364" s="15"/>
      <c r="Z364" s="15"/>
      <c r="AC364" s="15"/>
      <c r="AE364" s="15"/>
      <c r="AF364" s="15"/>
      <c r="AG364" s="15"/>
      <c r="AH364" s="15"/>
      <c r="AI364" s="15"/>
      <c r="AJ364" s="15"/>
      <c r="AK364" s="15"/>
      <c r="AL364" s="278"/>
      <c r="AM364" s="329"/>
      <c r="AN364" s="274"/>
      <c r="AO364" s="329"/>
      <c r="AP364" s="278"/>
    </row>
    <row r="365" spans="1:42">
      <c r="A365" s="214"/>
      <c r="B365" s="214"/>
      <c r="C365" s="462" t="s">
        <v>1567</v>
      </c>
      <c r="D365" s="322"/>
      <c r="E365" s="463">
        <v>350600</v>
      </c>
      <c r="F365" s="279"/>
      <c r="G365" s="279">
        <v>36</v>
      </c>
      <c r="H365" s="322"/>
      <c r="I365" s="279">
        <v>1459.07</v>
      </c>
      <c r="J365" s="322"/>
      <c r="K365" s="279">
        <f>I365</f>
        <v>1459.07</v>
      </c>
      <c r="L365" s="279"/>
      <c r="M365" s="279">
        <v>0</v>
      </c>
      <c r="N365" s="279"/>
      <c r="O365" s="279">
        <f>K365-M365</f>
        <v>1459.07</v>
      </c>
      <c r="P365" s="22"/>
      <c r="Q365" s="736"/>
      <c r="R365" s="295"/>
      <c r="S365" s="22"/>
      <c r="T365" s="22"/>
      <c r="U365" s="22"/>
      <c r="V365" s="22"/>
      <c r="W365" s="22"/>
      <c r="X365" s="15"/>
      <c r="Y365" s="15"/>
      <c r="Z365" s="15"/>
      <c r="AC365" s="15"/>
      <c r="AE365" s="15"/>
      <c r="AF365" s="15"/>
      <c r="AG365" s="15"/>
      <c r="AH365" s="15"/>
      <c r="AI365" s="15"/>
      <c r="AJ365" s="15"/>
      <c r="AK365" s="15"/>
      <c r="AL365" s="278"/>
      <c r="AM365" s="329"/>
      <c r="AN365" s="274"/>
      <c r="AO365" s="329"/>
      <c r="AP365" s="278"/>
    </row>
    <row r="366" spans="1:42">
      <c r="A366" s="214"/>
      <c r="B366" s="214"/>
      <c r="C366" s="462" t="s">
        <v>1568</v>
      </c>
      <c r="D366" s="322"/>
      <c r="E366" s="463">
        <v>33000</v>
      </c>
      <c r="F366" s="279"/>
      <c r="G366" s="279">
        <v>12</v>
      </c>
      <c r="H366" s="322"/>
      <c r="I366" s="279">
        <v>314.16000000000003</v>
      </c>
      <c r="J366" s="322"/>
      <c r="K366" s="279">
        <f>I366</f>
        <v>314.16000000000003</v>
      </c>
      <c r="L366" s="279"/>
      <c r="M366" s="279">
        <v>0</v>
      </c>
      <c r="N366" s="279"/>
      <c r="O366" s="279">
        <f>K366-M366</f>
        <v>314.16000000000003</v>
      </c>
      <c r="P366" s="22"/>
      <c r="Q366" s="736"/>
      <c r="R366" s="295"/>
      <c r="S366" s="22"/>
      <c r="T366" s="22"/>
      <c r="U366" s="22"/>
      <c r="V366" s="22"/>
      <c r="W366" s="22"/>
      <c r="X366" s="15"/>
      <c r="Y366" s="15"/>
      <c r="Z366" s="15"/>
      <c r="AC366" s="15"/>
      <c r="AE366" s="15"/>
      <c r="AF366" s="15"/>
      <c r="AG366" s="15"/>
      <c r="AH366" s="15"/>
      <c r="AI366" s="15"/>
      <c r="AJ366" s="15"/>
      <c r="AK366" s="15"/>
      <c r="AL366" s="278"/>
      <c r="AM366" s="329"/>
      <c r="AN366" s="274"/>
      <c r="AO366" s="329"/>
      <c r="AP366" s="278"/>
    </row>
    <row r="367" spans="1:42" ht="15.75" thickBot="1">
      <c r="A367" s="214"/>
      <c r="B367" s="214"/>
      <c r="C367" s="462"/>
      <c r="D367" s="322"/>
      <c r="E367" s="735">
        <f>SUM(E363:E366)</f>
        <v>13511125.333333334</v>
      </c>
      <c r="F367" s="279"/>
      <c r="G367" s="385">
        <f>SUM(G363:G366)</f>
        <v>1077.2666666666669</v>
      </c>
      <c r="H367" s="322"/>
      <c r="I367" s="386">
        <f>SUM(I363:I366)</f>
        <v>61077.510000000038</v>
      </c>
      <c r="J367" s="322"/>
      <c r="K367" s="386">
        <f>SUM(K363:K366)</f>
        <v>61077.510000000038</v>
      </c>
      <c r="L367" s="279"/>
      <c r="M367" s="386">
        <f>SUM(M363:M366)</f>
        <v>0</v>
      </c>
      <c r="N367" s="322"/>
      <c r="O367" s="386">
        <f>SUM(O363:O366)</f>
        <v>61077.510000000038</v>
      </c>
      <c r="P367" s="22"/>
      <c r="Q367" s="736"/>
      <c r="R367" s="295"/>
      <c r="S367" s="22"/>
      <c r="T367" s="22"/>
      <c r="U367" s="22"/>
      <c r="V367" s="22"/>
      <c r="W367" s="22"/>
      <c r="X367" s="15"/>
      <c r="Y367" s="15"/>
      <c r="Z367" s="15"/>
      <c r="AC367" s="15"/>
      <c r="AE367" s="15"/>
      <c r="AF367" s="15"/>
      <c r="AG367" s="15"/>
      <c r="AH367" s="15"/>
      <c r="AI367" s="15"/>
      <c r="AJ367" s="15"/>
      <c r="AK367" s="15"/>
      <c r="AL367" s="278"/>
      <c r="AM367" s="329"/>
      <c r="AN367" s="274"/>
      <c r="AO367" s="329"/>
      <c r="AP367" s="278"/>
    </row>
    <row r="368" spans="1:42" ht="15.75" thickTop="1">
      <c r="A368" s="214"/>
      <c r="B368" s="214"/>
      <c r="C368" s="462"/>
      <c r="D368" s="322"/>
      <c r="E368" s="463"/>
      <c r="F368" s="279"/>
      <c r="G368" s="279"/>
      <c r="H368" s="322"/>
      <c r="I368" s="279"/>
      <c r="J368" s="322"/>
      <c r="K368" s="279"/>
      <c r="L368" s="279"/>
      <c r="M368" s="279"/>
      <c r="N368" s="322"/>
      <c r="O368" s="322"/>
      <c r="P368" s="22"/>
      <c r="Q368" s="736"/>
      <c r="R368" s="295"/>
      <c r="S368" s="22"/>
      <c r="T368" s="22"/>
      <c r="U368" s="22"/>
      <c r="V368" s="22"/>
      <c r="W368" s="22"/>
      <c r="X368" s="15"/>
      <c r="Y368" s="15"/>
      <c r="Z368" s="15"/>
      <c r="AC368" s="15"/>
      <c r="AE368" s="15"/>
      <c r="AF368" s="15"/>
      <c r="AG368" s="15"/>
      <c r="AH368" s="15"/>
      <c r="AI368" s="15"/>
      <c r="AJ368" s="15"/>
      <c r="AK368" s="15"/>
      <c r="AL368" s="278"/>
      <c r="AM368" s="329"/>
      <c r="AN368" s="274"/>
      <c r="AO368" s="329"/>
      <c r="AP368" s="278"/>
    </row>
    <row r="369" spans="1:42">
      <c r="A369" s="214"/>
      <c r="B369" s="214"/>
      <c r="C369" s="316" t="s">
        <v>802</v>
      </c>
      <c r="D369" s="323"/>
      <c r="E369" s="463"/>
      <c r="F369" s="279"/>
      <c r="G369" s="279"/>
      <c r="H369" s="322"/>
      <c r="I369" s="279"/>
      <c r="J369" s="322"/>
      <c r="K369" s="279"/>
      <c r="L369" s="279"/>
      <c r="M369" s="279"/>
      <c r="N369" s="322"/>
      <c r="O369" s="322"/>
      <c r="P369" s="22"/>
      <c r="Q369" s="736"/>
      <c r="R369" s="295"/>
      <c r="S369" s="22"/>
      <c r="T369" s="22"/>
      <c r="U369" s="22"/>
      <c r="V369" s="22"/>
      <c r="W369" s="22"/>
      <c r="X369" s="15"/>
      <c r="Y369" s="15"/>
      <c r="Z369" s="15"/>
      <c r="AC369" s="15"/>
      <c r="AE369" s="15"/>
      <c r="AF369" s="15"/>
      <c r="AG369" s="15"/>
      <c r="AH369" s="15"/>
      <c r="AI369" s="15"/>
      <c r="AJ369" s="15"/>
      <c r="AK369" s="15"/>
      <c r="AL369" s="278"/>
      <c r="AM369" s="329"/>
      <c r="AN369" s="274"/>
      <c r="AO369" s="329"/>
      <c r="AP369" s="278"/>
    </row>
    <row r="370" spans="1:42">
      <c r="A370" s="214"/>
      <c r="B370" s="214"/>
      <c r="C370" s="316" t="s">
        <v>803</v>
      </c>
      <c r="D370" s="324">
        <v>26.18</v>
      </c>
      <c r="E370" s="463"/>
      <c r="F370" s="279"/>
      <c r="G370" s="279"/>
      <c r="H370" s="322"/>
      <c r="I370" s="279"/>
      <c r="J370" s="322"/>
      <c r="K370" s="279"/>
      <c r="L370" s="279"/>
      <c r="M370" s="279"/>
      <c r="N370" s="322"/>
      <c r="O370" s="322"/>
      <c r="P370" s="22"/>
      <c r="Q370" s="736"/>
      <c r="R370" s="295"/>
      <c r="S370" s="22"/>
      <c r="T370" s="22"/>
      <c r="U370" s="22"/>
      <c r="V370" s="22"/>
      <c r="W370" s="22"/>
      <c r="X370" s="15"/>
      <c r="Y370" s="15"/>
      <c r="Z370" s="15"/>
      <c r="AC370" s="15"/>
      <c r="AE370" s="15"/>
      <c r="AF370" s="15"/>
      <c r="AG370" s="15"/>
      <c r="AH370" s="15"/>
      <c r="AI370" s="15"/>
      <c r="AJ370" s="15"/>
      <c r="AK370" s="15"/>
      <c r="AL370" s="278"/>
      <c r="AM370" s="329"/>
      <c r="AN370" s="274"/>
      <c r="AO370" s="329"/>
      <c r="AP370" s="278"/>
    </row>
    <row r="371" spans="1:42">
      <c r="A371" s="214"/>
      <c r="B371" s="214"/>
      <c r="C371" s="316" t="s">
        <v>804</v>
      </c>
      <c r="D371" s="325">
        <v>3.5</v>
      </c>
      <c r="E371" s="463"/>
      <c r="F371" s="279"/>
      <c r="G371" s="279"/>
      <c r="H371" s="322"/>
      <c r="I371" s="279"/>
      <c r="J371" s="322"/>
      <c r="K371" s="279"/>
      <c r="L371" s="279"/>
      <c r="M371" s="279"/>
      <c r="N371" s="322"/>
      <c r="O371" s="322"/>
      <c r="P371" s="22"/>
      <c r="Q371" s="736"/>
      <c r="R371" s="295"/>
      <c r="S371" s="22"/>
      <c r="T371" s="22"/>
      <c r="U371" s="22"/>
      <c r="V371" s="22"/>
      <c r="W371" s="22"/>
      <c r="X371" s="15"/>
      <c r="Y371" s="15"/>
      <c r="Z371" s="15"/>
      <c r="AC371" s="15"/>
      <c r="AE371" s="15"/>
      <c r="AF371" s="15"/>
      <c r="AG371" s="15"/>
      <c r="AH371" s="15"/>
      <c r="AI371" s="15"/>
      <c r="AJ371" s="15"/>
      <c r="AK371" s="15"/>
      <c r="AL371" s="278"/>
      <c r="AM371" s="329"/>
      <c r="AN371" s="274"/>
      <c r="AO371" s="329"/>
      <c r="AP371" s="278"/>
    </row>
    <row r="372" spans="1:42">
      <c r="A372" s="214"/>
      <c r="B372" s="214"/>
      <c r="C372" s="316" t="s">
        <v>862</v>
      </c>
      <c r="D372" s="325">
        <v>3.19</v>
      </c>
      <c r="E372" s="463"/>
      <c r="F372" s="279"/>
      <c r="G372" s="279"/>
      <c r="H372" s="322"/>
      <c r="I372" s="279"/>
      <c r="J372" s="322"/>
      <c r="K372" s="279"/>
      <c r="L372" s="279"/>
      <c r="M372" s="279"/>
      <c r="N372" s="322"/>
      <c r="O372" s="322"/>
      <c r="P372" s="22"/>
      <c r="Q372" s="736"/>
      <c r="R372" s="295"/>
      <c r="S372" s="22"/>
      <c r="T372" s="22"/>
      <c r="U372" s="22"/>
      <c r="V372" s="22"/>
      <c r="W372" s="22"/>
      <c r="X372" s="15"/>
      <c r="Y372" s="15"/>
      <c r="Z372" s="15"/>
      <c r="AC372" s="15"/>
      <c r="AE372" s="15"/>
      <c r="AF372" s="15"/>
      <c r="AG372" s="15"/>
      <c r="AH372" s="15"/>
      <c r="AI372" s="15"/>
      <c r="AJ372" s="15"/>
      <c r="AK372" s="15"/>
      <c r="AL372" s="278"/>
      <c r="AM372" s="329"/>
      <c r="AN372" s="274"/>
      <c r="AO372" s="329"/>
      <c r="AP372" s="278"/>
    </row>
    <row r="373" spans="1:42">
      <c r="A373" s="214"/>
      <c r="B373" s="214"/>
      <c r="C373" s="316" t="s">
        <v>863</v>
      </c>
      <c r="D373" s="325">
        <v>3.03</v>
      </c>
      <c r="E373" s="463"/>
      <c r="F373" s="279"/>
      <c r="G373" s="279"/>
      <c r="H373" s="322"/>
      <c r="I373" s="279"/>
      <c r="J373" s="322"/>
      <c r="K373" s="279"/>
      <c r="L373" s="279"/>
      <c r="M373" s="279"/>
      <c r="N373" s="322"/>
      <c r="O373" s="322"/>
      <c r="P373" s="22"/>
      <c r="Q373" s="736"/>
      <c r="R373" s="295"/>
      <c r="S373" s="22"/>
      <c r="T373" s="22"/>
      <c r="U373" s="22"/>
      <c r="V373" s="22"/>
      <c r="W373" s="22"/>
      <c r="X373" s="15"/>
      <c r="Y373" s="15"/>
      <c r="Z373" s="15"/>
      <c r="AC373" s="15"/>
      <c r="AE373" s="15"/>
      <c r="AF373" s="15"/>
      <c r="AG373" s="15"/>
      <c r="AH373" s="15"/>
      <c r="AI373" s="15"/>
      <c r="AJ373" s="15"/>
      <c r="AK373" s="15"/>
      <c r="AL373" s="278"/>
      <c r="AM373" s="329"/>
      <c r="AN373" s="274"/>
      <c r="AO373" s="329"/>
      <c r="AP373" s="278"/>
    </row>
    <row r="374" spans="1:42">
      <c r="A374" s="214"/>
      <c r="B374" s="214"/>
      <c r="C374" s="316" t="s">
        <v>864</v>
      </c>
      <c r="D374" s="325">
        <v>2.71</v>
      </c>
      <c r="E374" s="463"/>
      <c r="F374" s="279"/>
      <c r="G374" s="279"/>
      <c r="H374" s="322"/>
      <c r="I374" s="279"/>
      <c r="J374" s="322"/>
      <c r="K374" s="279"/>
      <c r="L374" s="279"/>
      <c r="M374" s="279"/>
      <c r="N374" s="322"/>
      <c r="O374" s="322"/>
      <c r="P374" s="22"/>
      <c r="Q374" s="736"/>
      <c r="R374" s="295"/>
      <c r="S374" s="22"/>
      <c r="T374" s="22"/>
      <c r="U374" s="22"/>
      <c r="V374" s="22"/>
      <c r="W374" s="22"/>
      <c r="X374" s="15"/>
      <c r="Y374" s="15"/>
      <c r="Z374" s="15"/>
      <c r="AC374" s="15"/>
      <c r="AE374" s="15"/>
      <c r="AF374" s="15"/>
      <c r="AG374" s="15"/>
      <c r="AH374" s="15"/>
      <c r="AI374" s="15"/>
      <c r="AJ374" s="15"/>
      <c r="AK374" s="15"/>
      <c r="AL374" s="278"/>
      <c r="AM374" s="329"/>
      <c r="AN374" s="274"/>
      <c r="AO374" s="329"/>
      <c r="AP374" s="278"/>
    </row>
    <row r="375" spans="1:42">
      <c r="A375" s="214"/>
      <c r="B375" s="214"/>
      <c r="C375" s="316" t="s">
        <v>876</v>
      </c>
      <c r="D375" s="325">
        <v>2.48</v>
      </c>
      <c r="E375" s="463"/>
      <c r="F375" s="279"/>
      <c r="G375" s="279"/>
      <c r="H375" s="322"/>
      <c r="I375" s="279"/>
      <c r="J375" s="322"/>
      <c r="K375" s="279"/>
      <c r="L375" s="279"/>
      <c r="M375" s="279"/>
      <c r="N375" s="322"/>
      <c r="O375" s="322"/>
      <c r="P375" s="22"/>
      <c r="Q375" s="736"/>
      <c r="R375" s="295"/>
      <c r="S375" s="22"/>
      <c r="T375" s="22"/>
      <c r="U375" s="22"/>
      <c r="V375" s="22"/>
      <c r="W375" s="22"/>
      <c r="X375" s="15"/>
      <c r="Y375" s="15"/>
      <c r="Z375" s="15"/>
      <c r="AC375" s="15"/>
      <c r="AE375" s="15"/>
      <c r="AF375" s="15"/>
      <c r="AG375" s="15"/>
      <c r="AH375" s="15"/>
      <c r="AI375" s="15"/>
      <c r="AJ375" s="15"/>
      <c r="AK375" s="15"/>
      <c r="AL375" s="278"/>
      <c r="AM375" s="329"/>
      <c r="AN375" s="274"/>
      <c r="AO375" s="329"/>
      <c r="AP375" s="278"/>
    </row>
    <row r="376" spans="1:42">
      <c r="A376" s="214"/>
      <c r="B376" s="214"/>
      <c r="C376" s="462"/>
      <c r="D376" s="322"/>
      <c r="E376" s="463"/>
      <c r="F376" s="279"/>
      <c r="G376" s="279"/>
      <c r="H376" s="322"/>
      <c r="I376" s="279"/>
      <c r="J376" s="322"/>
      <c r="K376" s="279"/>
      <c r="L376" s="279"/>
      <c r="M376" s="279"/>
      <c r="N376" s="322"/>
      <c r="O376" s="322"/>
      <c r="P376" s="22"/>
      <c r="Q376" s="736"/>
      <c r="R376" s="295"/>
      <c r="S376" s="22"/>
      <c r="T376" s="22"/>
      <c r="U376" s="22"/>
      <c r="V376" s="22"/>
      <c r="W376" s="22"/>
      <c r="X376" s="15"/>
      <c r="Y376" s="15"/>
      <c r="Z376" s="15"/>
      <c r="AC376" s="15"/>
      <c r="AE376" s="15"/>
      <c r="AF376" s="15"/>
      <c r="AG376" s="15"/>
      <c r="AH376" s="15"/>
      <c r="AI376" s="15"/>
      <c r="AJ376" s="15"/>
      <c r="AK376" s="15"/>
      <c r="AL376" s="278"/>
      <c r="AM376" s="329"/>
      <c r="AN376" s="274"/>
      <c r="AO376" s="329"/>
      <c r="AP376" s="278"/>
    </row>
    <row r="377" spans="1:42">
      <c r="A377" s="214"/>
      <c r="B377" s="214"/>
      <c r="C377" s="462"/>
      <c r="D377" s="322"/>
      <c r="E377" s="463"/>
      <c r="F377" s="279"/>
      <c r="G377" s="279"/>
      <c r="H377" s="322"/>
      <c r="I377" s="279"/>
      <c r="J377" s="322"/>
      <c r="K377" s="279"/>
      <c r="L377" s="279"/>
      <c r="M377" s="279"/>
      <c r="N377" s="322"/>
      <c r="O377" s="322"/>
      <c r="P377" s="22"/>
      <c r="Q377" s="736"/>
      <c r="R377" s="295"/>
      <c r="S377" s="22"/>
      <c r="T377" s="22"/>
      <c r="U377" s="22"/>
      <c r="V377" s="22"/>
      <c r="W377" s="22"/>
      <c r="X377" s="15"/>
      <c r="Y377" s="15"/>
      <c r="Z377" s="15"/>
      <c r="AC377" s="15"/>
      <c r="AE377" s="15"/>
      <c r="AF377" s="15"/>
      <c r="AG377" s="15"/>
      <c r="AH377" s="15"/>
      <c r="AI377" s="15"/>
      <c r="AJ377" s="15"/>
      <c r="AK377" s="15"/>
      <c r="AL377" s="278"/>
      <c r="AM377" s="329"/>
      <c r="AN377" s="274"/>
      <c r="AO377" s="329"/>
      <c r="AP377" s="278"/>
    </row>
    <row r="378" spans="1:42">
      <c r="A378" s="214"/>
      <c r="B378" s="214"/>
      <c r="C378" s="462" t="s">
        <v>1573</v>
      </c>
      <c r="D378" s="322"/>
      <c r="E378" s="463">
        <v>11367600</v>
      </c>
      <c r="F378" s="279"/>
      <c r="G378" s="279">
        <v>190.00000000000003</v>
      </c>
      <c r="H378" s="322"/>
      <c r="I378" s="279">
        <v>36167.69000000001</v>
      </c>
      <c r="J378" s="322"/>
      <c r="K378" s="279">
        <f>I378</f>
        <v>36167.69000000001</v>
      </c>
      <c r="L378" s="279"/>
      <c r="M378" s="279">
        <v>0</v>
      </c>
      <c r="N378" s="279"/>
      <c r="O378" s="318">
        <f>K378-M378</f>
        <v>36167.69000000001</v>
      </c>
      <c r="Q378" s="22"/>
      <c r="R378" s="295"/>
      <c r="S378" s="22"/>
      <c r="T378" s="22"/>
      <c r="U378" s="22"/>
      <c r="V378" s="22"/>
      <c r="W378" s="22"/>
      <c r="X378" s="22" t="s">
        <v>501</v>
      </c>
      <c r="Y378" s="15"/>
      <c r="Z378" s="15"/>
      <c r="AC378" s="15"/>
      <c r="AE378" s="15"/>
      <c r="AF378" s="15"/>
      <c r="AG378" s="15"/>
      <c r="AH378" s="15"/>
      <c r="AI378" s="15"/>
      <c r="AJ378" s="15"/>
      <c r="AK378" s="15"/>
      <c r="AL378" s="319"/>
      <c r="AM378" s="319"/>
      <c r="AN378" s="319"/>
      <c r="AO378" s="319"/>
      <c r="AP378" s="319"/>
    </row>
    <row r="379" spans="1:42">
      <c r="A379" s="214"/>
      <c r="B379" s="214"/>
      <c r="C379" s="462" t="s">
        <v>1574</v>
      </c>
      <c r="D379" s="322"/>
      <c r="E379" s="463">
        <v>4297800</v>
      </c>
      <c r="F379" s="279"/>
      <c r="G379" s="279">
        <v>60.000000000000007</v>
      </c>
      <c r="H379" s="322"/>
      <c r="I379" s="279">
        <v>13100.009999999997</v>
      </c>
      <c r="J379" s="322"/>
      <c r="K379" s="279">
        <f>I379</f>
        <v>13100.009999999997</v>
      </c>
      <c r="L379" s="279"/>
      <c r="M379" s="279">
        <v>0</v>
      </c>
      <c r="N379" s="279"/>
      <c r="O379" s="318">
        <f>K379-M379</f>
        <v>13100.009999999997</v>
      </c>
      <c r="Q379" s="22" t="s">
        <v>669</v>
      </c>
      <c r="R379" s="295"/>
      <c r="S379" s="22"/>
      <c r="T379" s="22"/>
      <c r="U379" s="22"/>
      <c r="V379" s="22"/>
      <c r="W379" s="22"/>
      <c r="X379" s="22" t="s">
        <v>924</v>
      </c>
      <c r="Y379" s="15"/>
      <c r="Z379" s="15"/>
      <c r="AC379" s="15"/>
      <c r="AE379" s="15"/>
      <c r="AF379" s="15"/>
      <c r="AG379" s="15"/>
      <c r="AH379" s="15"/>
      <c r="AI379" s="15"/>
      <c r="AJ379" s="15"/>
      <c r="AK379" s="15"/>
      <c r="AL379" s="319"/>
      <c r="AM379" s="319"/>
      <c r="AN379" s="319"/>
      <c r="AO379" s="319"/>
      <c r="AP379" s="319"/>
    </row>
    <row r="380" spans="1:42">
      <c r="A380" s="214"/>
      <c r="B380" s="214"/>
      <c r="C380" s="462" t="s">
        <v>1575</v>
      </c>
      <c r="D380" s="322"/>
      <c r="E380" s="463">
        <v>1380199.9999999998</v>
      </c>
      <c r="F380" s="279"/>
      <c r="G380" s="279">
        <v>24</v>
      </c>
      <c r="H380" s="322"/>
      <c r="I380" s="279">
        <v>4800.7700000000004</v>
      </c>
      <c r="J380" s="322"/>
      <c r="K380" s="279">
        <f>I380</f>
        <v>4800.7700000000004</v>
      </c>
      <c r="L380" s="279"/>
      <c r="M380" s="279">
        <v>0</v>
      </c>
      <c r="N380" s="279"/>
      <c r="O380" s="318">
        <f>K380-M380</f>
        <v>4800.7700000000004</v>
      </c>
      <c r="Q380" s="732">
        <f>(SUM(E378:E380))/(SUM(G378:G380))</f>
        <v>62210.218978102188</v>
      </c>
      <c r="R380" s="295"/>
      <c r="S380" s="22"/>
      <c r="T380" s="22"/>
      <c r="U380" s="22"/>
      <c r="V380" s="22"/>
      <c r="W380" s="22"/>
      <c r="X380" s="732">
        <f>SUM(G378:G380)/12</f>
        <v>22.833333333333332</v>
      </c>
      <c r="Y380" s="15"/>
      <c r="Z380" s="15"/>
      <c r="AC380" s="15"/>
      <c r="AE380" s="15"/>
      <c r="AF380" s="15"/>
      <c r="AG380" s="15"/>
      <c r="AH380" s="15"/>
      <c r="AI380" s="15"/>
      <c r="AJ380" s="15"/>
      <c r="AK380" s="15"/>
      <c r="AL380" s="319"/>
      <c r="AM380" s="319"/>
      <c r="AN380" s="319"/>
      <c r="AO380" s="319"/>
      <c r="AP380" s="319"/>
    </row>
    <row r="381" spans="1:42" ht="15.75" thickBot="1">
      <c r="A381" s="214"/>
      <c r="B381" s="214"/>
      <c r="C381" s="462"/>
      <c r="D381" s="322"/>
      <c r="E381" s="735">
        <f>SUM(E378:E380)</f>
        <v>17045600</v>
      </c>
      <c r="F381" s="279"/>
      <c r="G381" s="385">
        <f>SUM(G378:G380)</f>
        <v>274</v>
      </c>
      <c r="H381" s="322"/>
      <c r="I381" s="386">
        <f>SUM(I378:I380)</f>
        <v>54068.47</v>
      </c>
      <c r="J381" s="322"/>
      <c r="K381" s="386">
        <f>SUM(K378:K380)</f>
        <v>54068.47</v>
      </c>
      <c r="L381" s="279"/>
      <c r="M381" s="386">
        <f>SUM(M378:M380)</f>
        <v>0</v>
      </c>
      <c r="N381" s="322"/>
      <c r="O381" s="386">
        <f>SUM(O378:O380)</f>
        <v>54068.47</v>
      </c>
      <c r="X381" s="15"/>
      <c r="Y381" s="15"/>
      <c r="Z381" s="15"/>
      <c r="AC381" s="15"/>
      <c r="AE381" s="15"/>
      <c r="AF381" s="15"/>
      <c r="AG381" s="15"/>
      <c r="AH381" s="15"/>
      <c r="AI381" s="15"/>
      <c r="AJ381" s="15"/>
      <c r="AK381" s="15"/>
      <c r="AL381" s="319"/>
      <c r="AM381" s="319"/>
      <c r="AN381" s="319"/>
      <c r="AO381" s="319"/>
      <c r="AP381" s="319"/>
    </row>
    <row r="382" spans="1:42" ht="15.75" thickTop="1">
      <c r="A382" s="214"/>
      <c r="B382" s="214"/>
      <c r="C382" s="462"/>
      <c r="D382" s="322"/>
      <c r="E382" s="463"/>
      <c r="F382" s="279"/>
      <c r="G382" s="279"/>
      <c r="H382" s="322"/>
      <c r="I382" s="279"/>
      <c r="J382" s="322"/>
      <c r="K382" s="318"/>
      <c r="L382" s="279"/>
      <c r="M382" s="279"/>
      <c r="N382" s="322"/>
      <c r="O382" s="322"/>
      <c r="X382" s="214"/>
      <c r="Y382" s="462"/>
      <c r="Z382" s="322"/>
      <c r="AA382" s="463"/>
      <c r="AB382" s="279"/>
      <c r="AC382" s="279"/>
      <c r="AD382" s="322"/>
      <c r="AE382" s="279"/>
      <c r="AF382" s="318"/>
      <c r="AG382" s="279"/>
      <c r="AH382" s="279"/>
      <c r="AI382" s="279"/>
      <c r="AJ382" s="322"/>
      <c r="AK382" s="279"/>
      <c r="AL382" s="278"/>
      <c r="AM382" s="278"/>
      <c r="AN382" s="278"/>
      <c r="AO382" s="329"/>
      <c r="AP382" s="278"/>
    </row>
    <row r="383" spans="1:42">
      <c r="A383" s="214"/>
      <c r="B383" s="214"/>
      <c r="C383" s="316" t="s">
        <v>868</v>
      </c>
      <c r="D383" s="323"/>
      <c r="E383" s="463"/>
      <c r="F383" s="279"/>
      <c r="G383" s="279"/>
      <c r="H383" s="322"/>
      <c r="I383" s="279"/>
      <c r="J383" s="322"/>
      <c r="K383" s="279"/>
      <c r="L383" s="279"/>
      <c r="M383" s="279"/>
      <c r="N383" s="322"/>
      <c r="O383" s="322"/>
      <c r="X383" s="214"/>
      <c r="Y383" s="462"/>
      <c r="Z383" s="322"/>
      <c r="AA383" s="463"/>
      <c r="AB383" s="279"/>
      <c r="AC383" s="279"/>
      <c r="AD383" s="322"/>
      <c r="AE383" s="279"/>
      <c r="AF383" s="318"/>
      <c r="AG383" s="279"/>
      <c r="AH383" s="279"/>
      <c r="AI383" s="279"/>
      <c r="AJ383" s="322"/>
      <c r="AK383" s="279"/>
      <c r="AL383" s="278"/>
      <c r="AM383" s="278"/>
      <c r="AN383" s="278"/>
      <c r="AO383" s="329"/>
      <c r="AP383" s="278"/>
    </row>
    <row r="384" spans="1:42">
      <c r="A384" s="214"/>
      <c r="B384" s="214"/>
      <c r="C384" s="316" t="s">
        <v>812</v>
      </c>
      <c r="D384" s="324">
        <v>59.29</v>
      </c>
      <c r="E384" s="463"/>
      <c r="F384" s="279"/>
      <c r="G384" s="279"/>
      <c r="H384" s="322"/>
      <c r="I384" s="279"/>
      <c r="J384" s="322"/>
      <c r="K384" s="279"/>
      <c r="L384" s="279"/>
      <c r="M384" s="279"/>
      <c r="N384" s="322"/>
      <c r="O384" s="322"/>
      <c r="X384" s="214"/>
      <c r="Y384" s="462"/>
      <c r="Z384" s="322"/>
      <c r="AA384" s="463"/>
      <c r="AB384" s="279"/>
      <c r="AC384" s="279"/>
      <c r="AD384" s="322"/>
      <c r="AE384" s="279"/>
      <c r="AF384" s="318"/>
      <c r="AG384" s="279"/>
      <c r="AH384" s="279"/>
      <c r="AI384" s="279"/>
      <c r="AJ384" s="322"/>
      <c r="AK384" s="279"/>
      <c r="AL384" s="278"/>
      <c r="AM384" s="278"/>
      <c r="AN384" s="278"/>
      <c r="AO384" s="329"/>
      <c r="AP384" s="278"/>
    </row>
    <row r="385" spans="1:42">
      <c r="A385" s="214"/>
      <c r="B385" s="214"/>
      <c r="C385" s="316" t="s">
        <v>813</v>
      </c>
      <c r="D385" s="325">
        <v>2.4700000000000002</v>
      </c>
      <c r="E385" s="463"/>
      <c r="F385" s="279"/>
      <c r="G385" s="279"/>
      <c r="H385" s="322"/>
      <c r="I385" s="279"/>
      <c r="J385" s="322"/>
      <c r="K385" s="279"/>
      <c r="L385" s="279"/>
      <c r="M385" s="279"/>
      <c r="N385" s="322"/>
      <c r="O385" s="322"/>
      <c r="X385" s="214"/>
      <c r="Y385" s="462"/>
      <c r="Z385" s="322"/>
      <c r="AA385" s="463"/>
      <c r="AB385" s="279"/>
      <c r="AC385" s="279"/>
      <c r="AD385" s="322"/>
      <c r="AE385" s="279"/>
      <c r="AF385" s="318"/>
      <c r="AG385" s="279"/>
      <c r="AH385" s="279"/>
      <c r="AI385" s="279"/>
      <c r="AJ385" s="322"/>
      <c r="AK385" s="279"/>
      <c r="AL385" s="278"/>
      <c r="AM385" s="278"/>
      <c r="AN385" s="278"/>
      <c r="AO385" s="329"/>
      <c r="AP385" s="278"/>
    </row>
    <row r="386" spans="1:42">
      <c r="A386" s="214"/>
      <c r="B386" s="214"/>
      <c r="C386" s="316" t="s">
        <v>863</v>
      </c>
      <c r="D386" s="325">
        <v>2.35</v>
      </c>
      <c r="E386" s="463"/>
      <c r="F386" s="279"/>
      <c r="G386" s="279"/>
      <c r="H386" s="322"/>
      <c r="I386" s="279"/>
      <c r="J386" s="322"/>
      <c r="K386" s="279"/>
      <c r="L386" s="279"/>
      <c r="M386" s="279"/>
      <c r="N386" s="322"/>
      <c r="O386" s="322"/>
      <c r="X386" s="214"/>
      <c r="Y386" s="462"/>
      <c r="Z386" s="322"/>
      <c r="AA386" s="463"/>
      <c r="AB386" s="279"/>
      <c r="AC386" s="279"/>
      <c r="AD386" s="322"/>
      <c r="AE386" s="279"/>
      <c r="AF386" s="318"/>
      <c r="AG386" s="279"/>
      <c r="AH386" s="279"/>
      <c r="AI386" s="279"/>
      <c r="AJ386" s="322"/>
      <c r="AK386" s="279"/>
      <c r="AL386" s="278"/>
      <c r="AM386" s="278"/>
      <c r="AN386" s="278"/>
      <c r="AO386" s="329"/>
      <c r="AP386" s="278"/>
    </row>
    <row r="387" spans="1:42">
      <c r="A387" s="214"/>
      <c r="B387" s="214"/>
      <c r="C387" s="316" t="s">
        <v>864</v>
      </c>
      <c r="D387" s="325">
        <v>2.1</v>
      </c>
      <c r="E387" s="463"/>
      <c r="F387" s="279"/>
      <c r="G387" s="279"/>
      <c r="H387" s="322"/>
      <c r="I387" s="279"/>
      <c r="J387" s="322"/>
      <c r="K387" s="279"/>
      <c r="L387" s="279"/>
      <c r="M387" s="279"/>
      <c r="N387" s="322"/>
      <c r="O387" s="322"/>
      <c r="AL387" s="278"/>
      <c r="AM387" s="278"/>
      <c r="AN387" s="278"/>
      <c r="AO387" s="329"/>
      <c r="AP387" s="278"/>
    </row>
    <row r="388" spans="1:42">
      <c r="A388" s="214"/>
      <c r="B388" s="214"/>
      <c r="C388" s="316" t="s">
        <v>876</v>
      </c>
      <c r="D388" s="325">
        <v>1.92</v>
      </c>
      <c r="E388" s="463"/>
      <c r="F388" s="279"/>
      <c r="G388" s="279"/>
      <c r="H388" s="322"/>
      <c r="I388" s="279"/>
      <c r="J388" s="322"/>
      <c r="K388" s="279"/>
      <c r="L388" s="279"/>
      <c r="M388" s="279"/>
      <c r="N388" s="322"/>
      <c r="O388" s="322"/>
      <c r="AL388" s="278"/>
      <c r="AM388" s="278"/>
      <c r="AN388" s="278"/>
      <c r="AO388" s="329"/>
      <c r="AP388" s="278"/>
    </row>
    <row r="389" spans="1:42">
      <c r="A389" s="214"/>
      <c r="B389" s="214"/>
      <c r="C389" s="462"/>
      <c r="D389" s="322"/>
      <c r="E389" s="463"/>
      <c r="F389" s="279"/>
      <c r="G389" s="279"/>
      <c r="H389" s="322"/>
      <c r="I389" s="279"/>
      <c r="J389" s="322"/>
      <c r="K389" s="279"/>
      <c r="L389" s="279"/>
      <c r="M389" s="279"/>
      <c r="N389" s="322"/>
      <c r="O389" s="322"/>
      <c r="AL389" s="274"/>
      <c r="AM389" s="274"/>
      <c r="AN389" s="278"/>
      <c r="AO389" s="278"/>
      <c r="AP389" s="278"/>
    </row>
    <row r="390" spans="1:42">
      <c r="A390" s="214"/>
      <c r="B390" s="214"/>
      <c r="C390" s="462" t="s">
        <v>1586</v>
      </c>
      <c r="D390" s="322"/>
      <c r="E390" s="463">
        <v>22314900</v>
      </c>
      <c r="F390" s="279"/>
      <c r="G390" s="279">
        <v>336.99999999999994</v>
      </c>
      <c r="H390" s="322"/>
      <c r="I390" s="279">
        <v>72220.770000000062</v>
      </c>
      <c r="J390" s="322"/>
      <c r="K390" s="279">
        <f>I390</f>
        <v>72220.770000000062</v>
      </c>
      <c r="L390" s="279"/>
      <c r="M390" s="279">
        <v>0</v>
      </c>
      <c r="N390" s="279"/>
      <c r="O390" s="279">
        <f>K390-M390</f>
        <v>72220.770000000062</v>
      </c>
      <c r="Q390" s="22"/>
      <c r="R390" s="295"/>
      <c r="S390" s="22"/>
      <c r="T390" s="22"/>
      <c r="U390" s="22"/>
      <c r="V390" s="22"/>
      <c r="W390" s="22"/>
      <c r="X390" s="22" t="s">
        <v>501</v>
      </c>
      <c r="Y390" s="462"/>
      <c r="Z390" s="322"/>
      <c r="AA390" s="463"/>
      <c r="AB390" s="279"/>
      <c r="AC390" s="279"/>
      <c r="AD390" s="322"/>
      <c r="AE390" s="279"/>
      <c r="AF390" s="318"/>
      <c r="AG390" s="279"/>
      <c r="AH390" s="279"/>
      <c r="AI390" s="279"/>
      <c r="AJ390" s="322"/>
      <c r="AK390" s="279"/>
      <c r="AL390" s="278"/>
      <c r="AM390" s="278"/>
      <c r="AN390" s="278"/>
      <c r="AO390" s="329"/>
      <c r="AP390" s="278"/>
    </row>
    <row r="391" spans="1:42">
      <c r="A391" s="214"/>
      <c r="B391" s="214"/>
      <c r="C391" s="462" t="s">
        <v>1587</v>
      </c>
      <c r="D391" s="322"/>
      <c r="E391" s="463">
        <v>7971399.9999999991</v>
      </c>
      <c r="F391" s="279"/>
      <c r="G391" s="279">
        <v>191.99999999999991</v>
      </c>
      <c r="H391" s="322"/>
      <c r="I391" s="279">
        <v>30171.01999999999</v>
      </c>
      <c r="J391" s="322"/>
      <c r="K391" s="279">
        <f>I391</f>
        <v>30171.01999999999</v>
      </c>
      <c r="L391" s="279"/>
      <c r="M391" s="279">
        <v>0</v>
      </c>
      <c r="N391" s="279"/>
      <c r="O391" s="279">
        <f>K391-M391</f>
        <v>30171.01999999999</v>
      </c>
      <c r="Q391" s="22" t="s">
        <v>669</v>
      </c>
      <c r="R391" s="295"/>
      <c r="S391" s="22"/>
      <c r="T391" s="22"/>
      <c r="U391" s="22"/>
      <c r="V391" s="22"/>
      <c r="W391" s="22"/>
      <c r="X391" s="22" t="s">
        <v>924</v>
      </c>
      <c r="Y391" s="462"/>
      <c r="Z391" s="322"/>
      <c r="AA391" s="463"/>
      <c r="AB391" s="279"/>
      <c r="AC391" s="279"/>
      <c r="AD391" s="322"/>
      <c r="AE391" s="279"/>
      <c r="AF391" s="318"/>
      <c r="AG391" s="279"/>
      <c r="AH391" s="279"/>
      <c r="AI391" s="279"/>
      <c r="AJ391" s="322"/>
      <c r="AK391" s="279"/>
      <c r="AL391" s="278"/>
      <c r="AM391" s="278"/>
      <c r="AN391" s="278"/>
      <c r="AO391" s="329"/>
      <c r="AP391" s="278"/>
    </row>
    <row r="392" spans="1:42">
      <c r="A392" s="214"/>
      <c r="B392" s="214"/>
      <c r="C392" s="462" t="s">
        <v>1588</v>
      </c>
      <c r="D392" s="322"/>
      <c r="E392" s="463">
        <v>3275600</v>
      </c>
      <c r="F392" s="279"/>
      <c r="G392" s="279">
        <v>49</v>
      </c>
      <c r="H392" s="322"/>
      <c r="I392" s="279">
        <v>11072.335333333333</v>
      </c>
      <c r="J392" s="322"/>
      <c r="K392" s="279">
        <f>I392</f>
        <v>11072.335333333333</v>
      </c>
      <c r="L392" s="279"/>
      <c r="M392" s="279">
        <v>0</v>
      </c>
      <c r="N392" s="279"/>
      <c r="O392" s="279">
        <f>K392-M392</f>
        <v>11072.335333333333</v>
      </c>
      <c r="Q392" s="732">
        <f>(SUM(E390:E392))/(SUM(G390:G392))</f>
        <v>58065.570934256066</v>
      </c>
      <c r="R392" s="295"/>
      <c r="S392" s="22"/>
      <c r="T392" s="22"/>
      <c r="U392" s="22"/>
      <c r="V392" s="22"/>
      <c r="W392" s="22"/>
      <c r="X392" s="732">
        <f>SUM(G390:G392)/12</f>
        <v>48.166666666666657</v>
      </c>
      <c r="Y392" s="462"/>
      <c r="Z392" s="322"/>
      <c r="AA392" s="463"/>
      <c r="AB392" s="279"/>
      <c r="AC392" s="279"/>
      <c r="AD392" s="322"/>
      <c r="AE392" s="279"/>
      <c r="AF392" s="318"/>
      <c r="AG392" s="279"/>
      <c r="AH392" s="279"/>
      <c r="AI392" s="279"/>
      <c r="AJ392" s="322"/>
      <c r="AK392" s="279"/>
      <c r="AL392" s="278"/>
      <c r="AM392" s="278"/>
      <c r="AN392" s="278"/>
      <c r="AO392" s="329"/>
      <c r="AP392" s="278"/>
    </row>
    <row r="393" spans="1:42" ht="15.75" thickBot="1">
      <c r="A393" s="214"/>
      <c r="B393" s="214"/>
      <c r="C393" s="462"/>
      <c r="D393" s="322"/>
      <c r="E393" s="735">
        <f>SUM(E390:E392)</f>
        <v>33561900</v>
      </c>
      <c r="F393" s="279"/>
      <c r="G393" s="385">
        <f>SUM(G390:G392)</f>
        <v>577.99999999999989</v>
      </c>
      <c r="H393" s="322"/>
      <c r="I393" s="386">
        <f>SUM(I390:I392)</f>
        <v>113464.12533333339</v>
      </c>
      <c r="J393" s="322"/>
      <c r="K393" s="386">
        <f>SUM(K390:K392)</f>
        <v>113464.12533333339</v>
      </c>
      <c r="L393" s="279"/>
      <c r="M393" s="386">
        <f>SUM(M390:M392)</f>
        <v>0</v>
      </c>
      <c r="N393" s="322"/>
      <c r="O393" s="386">
        <f>SUM(O390:O392)</f>
        <v>113464.12533333339</v>
      </c>
      <c r="X393" s="214"/>
      <c r="Y393" s="462"/>
      <c r="Z393" s="322"/>
      <c r="AA393" s="463"/>
      <c r="AB393" s="279"/>
      <c r="AC393" s="279"/>
      <c r="AD393" s="322"/>
      <c r="AE393" s="279"/>
      <c r="AF393" s="318"/>
      <c r="AG393" s="279"/>
      <c r="AH393" s="279"/>
      <c r="AI393" s="279"/>
      <c r="AJ393" s="322"/>
      <c r="AK393" s="279"/>
      <c r="AL393" s="278"/>
      <c r="AM393" s="278"/>
      <c r="AN393" s="278"/>
      <c r="AO393" s="329"/>
      <c r="AP393" s="278"/>
    </row>
    <row r="394" spans="1:42" ht="15.75" thickTop="1">
      <c r="A394" s="214"/>
      <c r="B394" s="214"/>
      <c r="C394" s="462"/>
      <c r="D394" s="322"/>
      <c r="E394" s="463"/>
      <c r="F394" s="279"/>
      <c r="G394" s="279"/>
      <c r="H394" s="322"/>
      <c r="I394" s="279"/>
      <c r="J394" s="322"/>
      <c r="K394" s="318"/>
      <c r="L394" s="279"/>
      <c r="M394" s="279"/>
      <c r="N394" s="322"/>
      <c r="O394" s="322"/>
      <c r="X394" s="214"/>
      <c r="Y394" s="462"/>
      <c r="Z394" s="322"/>
      <c r="AA394" s="463"/>
      <c r="AB394" s="279"/>
      <c r="AC394" s="279"/>
      <c r="AD394" s="322"/>
      <c r="AE394" s="279"/>
      <c r="AF394" s="318"/>
      <c r="AG394" s="279"/>
      <c r="AH394" s="279"/>
      <c r="AI394" s="279"/>
      <c r="AJ394" s="322"/>
      <c r="AK394" s="279"/>
      <c r="AL394" s="278"/>
      <c r="AM394" s="278"/>
      <c r="AN394" s="278"/>
      <c r="AO394" s="329"/>
      <c r="AP394" s="278"/>
    </row>
    <row r="395" spans="1:42">
      <c r="A395" s="214"/>
      <c r="B395" s="214"/>
      <c r="C395" s="462"/>
      <c r="D395" s="322"/>
      <c r="E395" s="463"/>
      <c r="F395" s="279"/>
      <c r="G395" s="279"/>
      <c r="H395" s="322"/>
      <c r="I395" s="279"/>
      <c r="J395" s="322"/>
      <c r="K395" s="279"/>
      <c r="L395" s="279"/>
      <c r="M395" s="279"/>
      <c r="N395" s="322"/>
      <c r="O395" s="322"/>
      <c r="AL395" s="319"/>
      <c r="AM395" s="278"/>
      <c r="AN395" s="319"/>
      <c r="AO395" s="319"/>
      <c r="AP395" s="319"/>
    </row>
    <row r="396" spans="1:42">
      <c r="A396" s="214"/>
      <c r="B396" s="214"/>
      <c r="C396" s="316" t="s">
        <v>584</v>
      </c>
      <c r="D396" s="323"/>
      <c r="E396" s="463"/>
      <c r="F396" s="279"/>
      <c r="G396" s="279"/>
      <c r="H396" s="322"/>
      <c r="I396" s="279"/>
      <c r="J396" s="322"/>
      <c r="K396" s="279"/>
      <c r="L396" s="279"/>
      <c r="M396" s="279"/>
      <c r="N396" s="322"/>
      <c r="O396" s="322"/>
      <c r="AL396" s="319"/>
      <c r="AM396" s="278"/>
      <c r="AN396" s="319"/>
      <c r="AO396" s="319"/>
      <c r="AP396" s="319"/>
    </row>
    <row r="397" spans="1:42">
      <c r="A397" s="214"/>
      <c r="B397" s="214"/>
      <c r="C397" s="316" t="s">
        <v>585</v>
      </c>
      <c r="D397" s="324">
        <v>165.57</v>
      </c>
      <c r="E397" s="463"/>
      <c r="F397" s="279"/>
      <c r="G397" s="279"/>
      <c r="H397" s="322"/>
      <c r="I397" s="279"/>
      <c r="J397" s="322"/>
      <c r="K397" s="279"/>
      <c r="L397" s="279"/>
      <c r="M397" s="279"/>
      <c r="N397" s="322"/>
      <c r="O397" s="322"/>
      <c r="AL397" s="319"/>
      <c r="AM397" s="278"/>
      <c r="AN397" s="319"/>
      <c r="AO397" s="319"/>
      <c r="AP397" s="319"/>
    </row>
    <row r="398" spans="1:42">
      <c r="A398" s="214"/>
      <c r="B398" s="214"/>
      <c r="C398" s="316" t="s">
        <v>586</v>
      </c>
      <c r="D398" s="325">
        <v>2.1</v>
      </c>
      <c r="E398" s="463"/>
      <c r="F398" s="279"/>
      <c r="G398" s="279"/>
      <c r="H398" s="322"/>
      <c r="I398" s="279"/>
      <c r="J398" s="322"/>
      <c r="K398" s="279"/>
      <c r="L398" s="279"/>
      <c r="M398" s="279"/>
      <c r="N398" s="322"/>
      <c r="O398" s="322"/>
      <c r="AL398" s="319"/>
      <c r="AM398" s="319"/>
      <c r="AN398" s="319"/>
      <c r="AO398" s="319"/>
      <c r="AP398" s="319"/>
    </row>
    <row r="399" spans="1:42">
      <c r="A399" s="214"/>
      <c r="B399" s="214"/>
      <c r="C399" s="316" t="s">
        <v>876</v>
      </c>
      <c r="D399" s="325">
        <v>1.92</v>
      </c>
      <c r="E399" s="463"/>
      <c r="F399" s="279"/>
      <c r="G399" s="279"/>
      <c r="H399" s="322"/>
      <c r="I399" s="279"/>
      <c r="J399" s="322"/>
      <c r="K399" s="279"/>
      <c r="L399" s="279"/>
      <c r="M399" s="279"/>
      <c r="N399" s="322"/>
      <c r="O399" s="322"/>
      <c r="AL399" s="319"/>
      <c r="AM399" s="319"/>
      <c r="AN399" s="319"/>
      <c r="AO399" s="319"/>
      <c r="AP399" s="319"/>
    </row>
    <row r="400" spans="1:42">
      <c r="A400" s="214"/>
      <c r="B400" s="214"/>
      <c r="C400" s="316"/>
      <c r="D400" s="325"/>
      <c r="E400" s="463"/>
      <c r="F400" s="279"/>
      <c r="G400" s="279"/>
      <c r="H400" s="322"/>
      <c r="I400" s="279"/>
      <c r="J400" s="322"/>
      <c r="K400" s="279"/>
      <c r="L400" s="279"/>
      <c r="M400" s="279"/>
      <c r="N400" s="322"/>
      <c r="O400" s="322"/>
      <c r="AL400" s="319"/>
      <c r="AM400" s="319"/>
      <c r="AN400" s="319"/>
      <c r="AO400" s="319"/>
      <c r="AP400" s="319"/>
    </row>
    <row r="401" spans="1:42">
      <c r="A401" s="214"/>
      <c r="B401" s="214"/>
      <c r="C401" s="462" t="s">
        <v>1589</v>
      </c>
      <c r="D401" s="325"/>
      <c r="E401" s="463">
        <v>4423200</v>
      </c>
      <c r="F401" s="279"/>
      <c r="G401" s="279">
        <v>37</v>
      </c>
      <c r="H401" s="322"/>
      <c r="I401" s="279">
        <v>14390.880000000001</v>
      </c>
      <c r="J401" s="322"/>
      <c r="K401" s="279">
        <f>I401</f>
        <v>14390.880000000001</v>
      </c>
      <c r="L401" s="279"/>
      <c r="M401" s="279">
        <v>0</v>
      </c>
      <c r="N401" s="322"/>
      <c r="O401" s="322">
        <f>K401</f>
        <v>14390.880000000001</v>
      </c>
      <c r="AL401" s="319"/>
      <c r="AM401" s="319"/>
      <c r="AN401" s="319"/>
      <c r="AO401" s="319"/>
      <c r="AP401" s="319"/>
    </row>
    <row r="402" spans="1:42">
      <c r="A402" s="214"/>
      <c r="B402" s="214"/>
      <c r="C402" s="462" t="s">
        <v>1590</v>
      </c>
      <c r="D402" s="325"/>
      <c r="E402" s="463">
        <v>3858800</v>
      </c>
      <c r="F402" s="279"/>
      <c r="G402" s="279">
        <v>48</v>
      </c>
      <c r="H402" s="322"/>
      <c r="I402" s="279">
        <v>16708.050000000007</v>
      </c>
      <c r="J402" s="322"/>
      <c r="K402" s="279">
        <f>I402</f>
        <v>16708.050000000007</v>
      </c>
      <c r="L402" s="279"/>
      <c r="M402" s="279">
        <v>0</v>
      </c>
      <c r="N402" s="322"/>
      <c r="O402" s="322">
        <f>K402</f>
        <v>16708.050000000007</v>
      </c>
      <c r="AL402" s="319"/>
      <c r="AM402" s="319"/>
      <c r="AN402" s="319"/>
      <c r="AO402" s="319"/>
      <c r="AP402" s="319"/>
    </row>
    <row r="403" spans="1:42">
      <c r="A403" s="214"/>
      <c r="B403" s="214"/>
      <c r="C403" s="462" t="s">
        <v>1591</v>
      </c>
      <c r="D403" s="325"/>
      <c r="E403" s="463">
        <v>8806000</v>
      </c>
      <c r="F403" s="279"/>
      <c r="G403" s="279">
        <v>12</v>
      </c>
      <c r="H403" s="322"/>
      <c r="I403" s="279">
        <v>22464.240000000002</v>
      </c>
      <c r="J403" s="322"/>
      <c r="K403" s="279">
        <f>I403</f>
        <v>22464.240000000002</v>
      </c>
      <c r="L403" s="279"/>
      <c r="M403" s="279">
        <v>0</v>
      </c>
      <c r="N403" s="322"/>
      <c r="O403" s="322">
        <f>K403</f>
        <v>22464.240000000002</v>
      </c>
      <c r="AL403" s="319"/>
      <c r="AM403" s="319"/>
      <c r="AN403" s="319"/>
      <c r="AO403" s="319"/>
      <c r="AP403" s="319"/>
    </row>
    <row r="404" spans="1:42" ht="15.75" thickBot="1">
      <c r="A404" s="214"/>
      <c r="B404" s="214"/>
      <c r="C404" s="316"/>
      <c r="D404" s="325"/>
      <c r="E404" s="735">
        <f>SUM(E401:E403)</f>
        <v>17088000</v>
      </c>
      <c r="F404" s="279"/>
      <c r="G404" s="385">
        <f>SUM(G401:G403)</f>
        <v>97</v>
      </c>
      <c r="H404" s="322"/>
      <c r="I404" s="386">
        <f>SUM(I401:I403)</f>
        <v>53563.170000000013</v>
      </c>
      <c r="J404" s="322"/>
      <c r="K404" s="386">
        <f>SUM(K401:K403)</f>
        <v>53563.170000000013</v>
      </c>
      <c r="L404" s="279"/>
      <c r="M404" s="386">
        <v>0</v>
      </c>
      <c r="N404" s="322"/>
      <c r="O404" s="386">
        <f>SUM(O401:O403)</f>
        <v>53563.170000000013</v>
      </c>
      <c r="AL404" s="319"/>
      <c r="AM404" s="319"/>
      <c r="AN404" s="319"/>
      <c r="AO404" s="319"/>
      <c r="AP404" s="319"/>
    </row>
    <row r="405" spans="1:42" ht="15.75" thickTop="1">
      <c r="A405" s="214"/>
      <c r="B405" s="214"/>
      <c r="C405" s="316"/>
      <c r="D405" s="325"/>
      <c r="E405" s="463"/>
      <c r="F405" s="279"/>
      <c r="G405" s="279"/>
      <c r="H405" s="322"/>
      <c r="I405" s="279"/>
      <c r="J405" s="322"/>
      <c r="K405" s="279"/>
      <c r="L405" s="279"/>
      <c r="M405" s="279"/>
      <c r="N405" s="322"/>
      <c r="O405" s="322"/>
      <c r="AL405" s="319"/>
      <c r="AM405" s="319"/>
      <c r="AN405" s="319"/>
      <c r="AO405" s="319"/>
      <c r="AP405" s="319"/>
    </row>
    <row r="406" spans="1:42">
      <c r="A406" s="214"/>
      <c r="B406" s="214"/>
      <c r="C406" s="462"/>
      <c r="D406" s="322"/>
      <c r="E406" s="463"/>
      <c r="F406" s="279"/>
      <c r="G406" s="279"/>
      <c r="H406" s="322"/>
      <c r="I406" s="279"/>
      <c r="J406" s="322"/>
      <c r="K406" s="279"/>
      <c r="L406" s="279"/>
      <c r="M406" s="279"/>
      <c r="N406" s="322"/>
      <c r="O406" s="322"/>
      <c r="X406" s="214"/>
      <c r="Y406" s="462"/>
      <c r="Z406" s="322"/>
      <c r="AA406" s="463"/>
      <c r="AB406" s="279"/>
      <c r="AC406" s="279"/>
      <c r="AD406" s="322"/>
      <c r="AE406" s="318"/>
      <c r="AF406" s="279"/>
      <c r="AG406" s="318"/>
      <c r="AH406" s="279"/>
      <c r="AI406" s="318"/>
      <c r="AJ406" s="318"/>
      <c r="AK406" s="318"/>
      <c r="AL406" s="319"/>
      <c r="AM406" s="319"/>
      <c r="AN406" s="319"/>
      <c r="AO406" s="319"/>
      <c r="AP406" s="319"/>
    </row>
    <row r="407" spans="1:42">
      <c r="A407" s="214"/>
      <c r="B407" s="214"/>
      <c r="C407" s="316" t="s">
        <v>877</v>
      </c>
      <c r="D407" s="323"/>
      <c r="E407" s="463"/>
      <c r="F407" s="279"/>
      <c r="G407" s="279"/>
      <c r="H407" s="322"/>
      <c r="I407" s="279"/>
      <c r="J407" s="322"/>
      <c r="K407" s="279"/>
      <c r="L407" s="279"/>
      <c r="M407" s="279"/>
      <c r="N407" s="322"/>
      <c r="O407" s="322"/>
      <c r="X407" s="214"/>
      <c r="Y407" s="462"/>
      <c r="Z407" s="322"/>
      <c r="AA407" s="463"/>
      <c r="AB407" s="279"/>
      <c r="AC407" s="279"/>
      <c r="AD407" s="322"/>
      <c r="AE407" s="318"/>
      <c r="AF407" s="279"/>
      <c r="AG407" s="318"/>
      <c r="AH407" s="279"/>
      <c r="AI407" s="318"/>
      <c r="AJ407" s="318"/>
      <c r="AK407" s="318"/>
      <c r="AL407" s="319"/>
      <c r="AM407" s="319"/>
      <c r="AN407" s="319"/>
      <c r="AO407" s="319"/>
      <c r="AP407" s="319"/>
    </row>
    <row r="408" spans="1:42">
      <c r="A408" s="214"/>
      <c r="B408" s="214"/>
      <c r="C408" s="316" t="s">
        <v>878</v>
      </c>
      <c r="D408" s="324">
        <v>284.73</v>
      </c>
      <c r="E408" s="463"/>
      <c r="F408" s="279"/>
      <c r="G408" s="279"/>
      <c r="H408" s="322"/>
      <c r="I408" s="279"/>
      <c r="J408" s="322"/>
      <c r="K408" s="279"/>
      <c r="L408" s="279"/>
      <c r="M408" s="279"/>
      <c r="N408" s="322"/>
      <c r="O408" s="322"/>
      <c r="X408" s="214"/>
      <c r="Y408" s="462"/>
      <c r="Z408" s="322"/>
      <c r="AA408" s="463"/>
      <c r="AB408" s="279"/>
      <c r="AC408" s="279"/>
      <c r="AD408" s="322"/>
      <c r="AE408" s="318"/>
      <c r="AF408" s="279"/>
      <c r="AG408" s="318"/>
      <c r="AH408" s="279"/>
      <c r="AI408" s="318"/>
      <c r="AJ408" s="318"/>
      <c r="AK408" s="318"/>
      <c r="AL408" s="319"/>
      <c r="AM408" s="319"/>
      <c r="AN408" s="319"/>
      <c r="AO408" s="319"/>
      <c r="AP408" s="319"/>
    </row>
    <row r="409" spans="1:42">
      <c r="A409" s="214"/>
      <c r="B409" s="214"/>
      <c r="C409" s="316" t="s">
        <v>879</v>
      </c>
      <c r="D409" s="325">
        <v>1.92</v>
      </c>
      <c r="E409" s="463"/>
      <c r="F409" s="279"/>
      <c r="G409" s="279"/>
      <c r="H409" s="322"/>
      <c r="I409" s="279"/>
      <c r="J409" s="322"/>
      <c r="K409" s="279"/>
      <c r="L409" s="279"/>
      <c r="M409" s="279"/>
      <c r="N409" s="322"/>
      <c r="O409" s="322"/>
      <c r="X409" s="214"/>
      <c r="Y409" s="462"/>
      <c r="Z409" s="322"/>
      <c r="AA409" s="463"/>
      <c r="AB409" s="279"/>
      <c r="AC409" s="279"/>
      <c r="AD409" s="322"/>
      <c r="AE409" s="318"/>
      <c r="AF409" s="279"/>
      <c r="AG409" s="318"/>
      <c r="AH409" s="279"/>
      <c r="AI409" s="318"/>
      <c r="AJ409" s="318"/>
      <c r="AK409" s="318"/>
      <c r="AL409" s="319"/>
      <c r="AM409" s="319"/>
      <c r="AN409" s="319"/>
      <c r="AO409" s="319"/>
      <c r="AP409" s="319"/>
    </row>
    <row r="410" spans="1:42">
      <c r="A410" s="214"/>
      <c r="B410" s="214"/>
      <c r="C410" s="316"/>
      <c r="D410" s="325"/>
      <c r="E410" s="463"/>
      <c r="F410" s="279"/>
      <c r="G410" s="279"/>
      <c r="H410" s="322"/>
      <c r="I410" s="279"/>
      <c r="J410" s="322"/>
      <c r="K410" s="279"/>
      <c r="L410" s="279"/>
      <c r="M410" s="279"/>
      <c r="N410" s="322"/>
      <c r="O410" s="322"/>
      <c r="X410" s="214"/>
      <c r="Y410" s="462"/>
      <c r="Z410" s="322"/>
      <c r="AA410" s="463"/>
      <c r="AB410" s="279"/>
      <c r="AC410" s="279"/>
      <c r="AD410" s="322"/>
      <c r="AE410" s="318"/>
      <c r="AF410" s="279"/>
      <c r="AG410" s="318"/>
      <c r="AH410" s="279"/>
      <c r="AI410" s="318"/>
      <c r="AJ410" s="318"/>
      <c r="AK410" s="318"/>
      <c r="AL410" s="319"/>
      <c r="AM410" s="319"/>
      <c r="AN410" s="319"/>
      <c r="AO410" s="319"/>
      <c r="AP410" s="319"/>
    </row>
    <row r="411" spans="1:42">
      <c r="A411" s="214"/>
      <c r="B411" s="214"/>
      <c r="C411" s="462" t="s">
        <v>1592</v>
      </c>
      <c r="D411" s="738"/>
      <c r="E411" s="463">
        <v>1889000</v>
      </c>
      <c r="F411" s="279"/>
      <c r="G411" s="279">
        <v>12</v>
      </c>
      <c r="H411" s="322"/>
      <c r="I411" s="318">
        <v>5429.7199999999993</v>
      </c>
      <c r="J411" s="322"/>
      <c r="K411" s="318">
        <f>I411</f>
        <v>5429.7199999999993</v>
      </c>
      <c r="L411" s="279"/>
      <c r="M411" s="318">
        <v>0</v>
      </c>
      <c r="N411" s="322"/>
      <c r="O411" s="318">
        <f>K411-M411</f>
        <v>5429.7199999999993</v>
      </c>
      <c r="Q411" s="22"/>
      <c r="X411" s="214"/>
      <c r="Y411" s="462"/>
      <c r="Z411" s="322"/>
      <c r="AA411" s="463"/>
      <c r="AB411" s="279"/>
      <c r="AC411" s="279"/>
      <c r="AD411" s="322"/>
      <c r="AE411" s="318"/>
      <c r="AF411" s="279"/>
      <c r="AG411" s="318"/>
      <c r="AH411" s="279"/>
      <c r="AI411" s="318"/>
      <c r="AJ411" s="318"/>
      <c r="AK411" s="318"/>
      <c r="AL411" s="319"/>
      <c r="AM411" s="319"/>
      <c r="AN411" s="319"/>
      <c r="AO411" s="319"/>
      <c r="AP411" s="319"/>
    </row>
    <row r="412" spans="1:42">
      <c r="A412" s="214"/>
      <c r="B412" s="214"/>
      <c r="C412" s="462" t="s">
        <v>1593</v>
      </c>
      <c r="D412" s="322"/>
      <c r="E412" s="463">
        <v>348000.00000000006</v>
      </c>
      <c r="F412" s="279"/>
      <c r="G412" s="279">
        <v>12</v>
      </c>
      <c r="H412" s="322"/>
      <c r="I412" s="318">
        <v>4429.7839999999997</v>
      </c>
      <c r="J412" s="322"/>
      <c r="K412" s="279">
        <f>I412</f>
        <v>4429.7839999999997</v>
      </c>
      <c r="L412" s="279"/>
      <c r="M412" s="279">
        <v>0</v>
      </c>
      <c r="N412" s="279"/>
      <c r="O412" s="279">
        <f>K412-M412</f>
        <v>4429.7839999999997</v>
      </c>
      <c r="Q412" s="22" t="s">
        <v>669</v>
      </c>
      <c r="X412" s="214"/>
      <c r="Y412" s="462"/>
      <c r="Z412" s="322"/>
      <c r="AA412" s="463"/>
      <c r="AB412" s="279"/>
      <c r="AC412" s="279"/>
      <c r="AD412" s="322"/>
      <c r="AE412" s="318"/>
      <c r="AF412" s="279"/>
      <c r="AG412" s="318"/>
      <c r="AH412" s="279"/>
      <c r="AI412" s="318"/>
      <c r="AJ412" s="318"/>
      <c r="AK412" s="318"/>
      <c r="AL412" s="319"/>
      <c r="AM412" s="319"/>
      <c r="AN412" s="319"/>
      <c r="AO412" s="319"/>
      <c r="AP412" s="319"/>
    </row>
    <row r="413" spans="1:42">
      <c r="A413" s="214"/>
      <c r="B413" s="214"/>
      <c r="C413" s="462" t="s">
        <v>1594</v>
      </c>
      <c r="D413" s="322"/>
      <c r="E413" s="463">
        <v>1176999.9999999998</v>
      </c>
      <c r="F413" s="279"/>
      <c r="G413" s="279">
        <v>12</v>
      </c>
      <c r="H413" s="322"/>
      <c r="I413" s="318">
        <v>5407.8959999999988</v>
      </c>
      <c r="J413" s="322"/>
      <c r="K413" s="279">
        <f>I413</f>
        <v>5407.8959999999988</v>
      </c>
      <c r="L413" s="279"/>
      <c r="M413" s="279">
        <v>0</v>
      </c>
      <c r="N413" s="279"/>
      <c r="O413" s="279">
        <f>K413-M413</f>
        <v>5407.8959999999988</v>
      </c>
      <c r="Q413" s="732">
        <f>SUM(E411:E413)/SUM(G411:G413)</f>
        <v>94833.333333333328</v>
      </c>
      <c r="X413" s="214"/>
      <c r="Y413" s="462"/>
      <c r="Z413" s="322"/>
      <c r="AA413" s="463"/>
      <c r="AB413" s="279"/>
      <c r="AC413" s="279"/>
      <c r="AD413" s="322"/>
      <c r="AE413" s="318"/>
      <c r="AF413" s="279"/>
      <c r="AG413" s="318"/>
      <c r="AH413" s="279"/>
      <c r="AI413" s="318"/>
      <c r="AJ413" s="318"/>
      <c r="AK413" s="318"/>
      <c r="AL413" s="319"/>
      <c r="AM413" s="319"/>
      <c r="AN413" s="319"/>
      <c r="AO413" s="319"/>
      <c r="AP413" s="319"/>
    </row>
    <row r="414" spans="1:42" ht="15.75" thickBot="1">
      <c r="A414" s="214"/>
      <c r="B414" s="214"/>
      <c r="C414" s="462"/>
      <c r="D414" s="322"/>
      <c r="E414" s="735">
        <f>SUM(E411:E413)</f>
        <v>3414000</v>
      </c>
      <c r="F414" s="279"/>
      <c r="G414" s="385">
        <f>SUM(G411:G413)</f>
        <v>36</v>
      </c>
      <c r="H414" s="322"/>
      <c r="I414" s="386">
        <f>SUM(I411:I413)</f>
        <v>15267.399999999998</v>
      </c>
      <c r="J414" s="322"/>
      <c r="K414" s="386">
        <f>SUM(K411:K413)</f>
        <v>15267.399999999998</v>
      </c>
      <c r="L414" s="279"/>
      <c r="M414" s="386">
        <f>SUM(M411:M413)</f>
        <v>0</v>
      </c>
      <c r="N414" s="322"/>
      <c r="O414" s="386">
        <f>SUM(O411:O413)</f>
        <v>15267.399999999998</v>
      </c>
      <c r="X414" s="214"/>
      <c r="Y414" s="462"/>
      <c r="Z414" s="322"/>
      <c r="AA414" s="463"/>
      <c r="AB414" s="279"/>
      <c r="AC414" s="279"/>
      <c r="AD414" s="322"/>
      <c r="AE414" s="318"/>
      <c r="AF414" s="279"/>
      <c r="AG414" s="318"/>
      <c r="AH414" s="279"/>
      <c r="AI414" s="318"/>
      <c r="AJ414" s="318"/>
      <c r="AK414" s="318"/>
      <c r="AL414" s="319"/>
      <c r="AM414" s="319"/>
      <c r="AN414" s="319"/>
      <c r="AO414" s="319"/>
      <c r="AP414" s="319"/>
    </row>
    <row r="415" spans="1:42" ht="15.75" thickTop="1">
      <c r="A415" s="214"/>
      <c r="B415" s="214"/>
      <c r="C415" s="462"/>
      <c r="D415" s="322"/>
      <c r="E415" s="463"/>
      <c r="F415" s="279"/>
      <c r="G415" s="279"/>
      <c r="H415" s="322"/>
      <c r="I415" s="279"/>
      <c r="J415" s="322"/>
      <c r="K415" s="279"/>
      <c r="L415" s="279"/>
      <c r="M415" s="279"/>
      <c r="N415" s="322"/>
      <c r="O415" s="322"/>
      <c r="X415" s="214"/>
      <c r="Y415" s="462"/>
      <c r="Z415" s="322"/>
      <c r="AA415" s="463"/>
      <c r="AB415" s="279"/>
      <c r="AC415" s="279"/>
      <c r="AD415" s="322"/>
      <c r="AE415" s="318"/>
      <c r="AF415" s="279"/>
      <c r="AG415" s="318"/>
      <c r="AH415" s="279"/>
      <c r="AI415" s="318"/>
      <c r="AJ415" s="318"/>
      <c r="AK415" s="318"/>
      <c r="AL415" s="319"/>
      <c r="AM415" s="319"/>
      <c r="AN415" s="319"/>
      <c r="AO415" s="319"/>
      <c r="AP415" s="319"/>
    </row>
    <row r="416" spans="1:42">
      <c r="A416" s="214"/>
      <c r="B416" s="214"/>
      <c r="C416" s="462"/>
      <c r="D416" s="322"/>
      <c r="E416" s="463"/>
      <c r="F416" s="279"/>
      <c r="G416" s="279"/>
      <c r="H416" s="322"/>
      <c r="I416" s="279"/>
      <c r="J416" s="322"/>
      <c r="K416" s="279"/>
      <c r="L416" s="279"/>
      <c r="M416" s="279"/>
      <c r="N416" s="322"/>
      <c r="O416" s="322"/>
      <c r="X416" s="214"/>
      <c r="Y416" s="462"/>
      <c r="Z416" s="322"/>
      <c r="AA416" s="463"/>
      <c r="AB416" s="279"/>
      <c r="AC416" s="279"/>
      <c r="AD416" s="322"/>
      <c r="AE416" s="318"/>
      <c r="AF416" s="279"/>
      <c r="AG416" s="318"/>
      <c r="AH416" s="279"/>
      <c r="AI416" s="318"/>
      <c r="AJ416" s="318"/>
      <c r="AK416" s="318"/>
      <c r="AL416" s="319"/>
      <c r="AM416" s="319"/>
      <c r="AN416" s="319"/>
      <c r="AO416" s="319"/>
      <c r="AP416" s="319"/>
    </row>
    <row r="417" spans="1:42">
      <c r="A417" s="214"/>
      <c r="B417" s="214"/>
      <c r="C417" s="316" t="s">
        <v>587</v>
      </c>
      <c r="D417" s="323"/>
      <c r="E417" s="463"/>
      <c r="F417" s="279"/>
      <c r="G417" s="279"/>
      <c r="H417" s="322"/>
      <c r="I417" s="279"/>
      <c r="J417" s="322"/>
      <c r="K417" s="279"/>
      <c r="L417" s="279"/>
      <c r="M417" s="279"/>
      <c r="N417" s="322"/>
      <c r="O417" s="322"/>
      <c r="X417" s="214"/>
      <c r="Y417" s="462"/>
      <c r="Z417" s="322"/>
      <c r="AA417" s="463"/>
      <c r="AB417" s="279"/>
      <c r="AC417" s="279"/>
      <c r="AD417" s="322"/>
      <c r="AE417" s="318"/>
      <c r="AF417" s="279"/>
      <c r="AG417" s="318"/>
      <c r="AH417" s="279"/>
      <c r="AI417" s="318"/>
      <c r="AJ417" s="318"/>
      <c r="AK417" s="318"/>
      <c r="AL417" s="319"/>
      <c r="AM417" s="319"/>
      <c r="AN417" s="319"/>
      <c r="AO417" s="319"/>
      <c r="AP417" s="319"/>
    </row>
    <row r="418" spans="1:42">
      <c r="A418" s="214"/>
      <c r="B418" s="214"/>
      <c r="C418" s="316" t="s">
        <v>588</v>
      </c>
      <c r="D418" s="324">
        <v>580.41</v>
      </c>
      <c r="E418" s="463"/>
      <c r="F418" s="279"/>
      <c r="G418" s="279"/>
      <c r="H418" s="322"/>
      <c r="I418" s="279"/>
      <c r="J418" s="322"/>
      <c r="K418" s="279"/>
      <c r="L418" s="279"/>
      <c r="M418" s="279"/>
      <c r="N418" s="322"/>
      <c r="O418" s="322"/>
      <c r="X418" s="214"/>
      <c r="Y418" s="462"/>
      <c r="Z418" s="322"/>
      <c r="AA418" s="463"/>
      <c r="AB418" s="279"/>
      <c r="AC418" s="279"/>
      <c r="AD418" s="322"/>
      <c r="AE418" s="318"/>
      <c r="AF418" s="279"/>
      <c r="AG418" s="318"/>
      <c r="AH418" s="279"/>
      <c r="AI418" s="318"/>
      <c r="AJ418" s="318"/>
      <c r="AK418" s="318"/>
      <c r="AL418" s="319"/>
      <c r="AM418" s="319"/>
      <c r="AN418" s="319"/>
      <c r="AO418" s="319"/>
      <c r="AP418" s="319"/>
    </row>
    <row r="419" spans="1:42">
      <c r="A419" s="214"/>
      <c r="B419" s="214"/>
      <c r="C419" s="462" t="s">
        <v>875</v>
      </c>
      <c r="D419" s="325">
        <v>1.92</v>
      </c>
      <c r="E419" s="463"/>
      <c r="F419" s="279"/>
      <c r="G419" s="279"/>
      <c r="H419" s="322"/>
      <c r="I419" s="279"/>
      <c r="J419" s="322"/>
      <c r="K419" s="279"/>
      <c r="L419" s="279"/>
      <c r="M419" s="279"/>
      <c r="N419" s="322"/>
      <c r="O419" s="322"/>
      <c r="X419" s="214"/>
      <c r="Y419" s="462"/>
      <c r="Z419" s="322"/>
      <c r="AA419" s="463"/>
      <c r="AB419" s="279"/>
      <c r="AC419" s="279"/>
      <c r="AD419" s="322"/>
      <c r="AE419" s="318"/>
      <c r="AF419" s="279"/>
      <c r="AG419" s="318"/>
      <c r="AH419" s="279"/>
      <c r="AI419" s="318"/>
      <c r="AJ419" s="318"/>
      <c r="AK419" s="318"/>
      <c r="AL419" s="319"/>
      <c r="AM419" s="319"/>
      <c r="AN419" s="319"/>
      <c r="AO419" s="319"/>
      <c r="AP419" s="319"/>
    </row>
    <row r="420" spans="1:42">
      <c r="A420" s="214"/>
      <c r="B420" s="214"/>
      <c r="C420" s="462"/>
      <c r="D420" s="322"/>
      <c r="E420" s="463"/>
      <c r="F420" s="279"/>
      <c r="G420" s="279"/>
      <c r="H420" s="322"/>
      <c r="I420" s="279"/>
      <c r="J420" s="322"/>
      <c r="K420" s="279"/>
      <c r="L420" s="279"/>
      <c r="M420" s="279"/>
      <c r="N420" s="322"/>
      <c r="O420" s="322"/>
      <c r="Q420" s="22"/>
      <c r="X420" s="214"/>
      <c r="Y420" s="462"/>
      <c r="Z420" s="322"/>
      <c r="AA420" s="463"/>
      <c r="AB420" s="279"/>
      <c r="AC420" s="279"/>
      <c r="AD420" s="322"/>
      <c r="AE420" s="318"/>
      <c r="AF420" s="279"/>
      <c r="AG420" s="318"/>
      <c r="AH420" s="279"/>
      <c r="AI420" s="318"/>
      <c r="AJ420" s="318"/>
      <c r="AK420" s="318"/>
      <c r="AL420" s="319"/>
      <c r="AM420" s="319"/>
      <c r="AN420" s="319"/>
      <c r="AO420" s="319"/>
      <c r="AP420" s="319"/>
    </row>
    <row r="421" spans="1:42">
      <c r="A421" s="214"/>
      <c r="B421" s="214"/>
      <c r="C421" s="462" t="s">
        <v>1600</v>
      </c>
      <c r="D421" s="322"/>
      <c r="E421" s="463">
        <v>1665400</v>
      </c>
      <c r="F421" s="279"/>
      <c r="G421" s="279">
        <v>24</v>
      </c>
      <c r="H421" s="322"/>
      <c r="I421" s="318">
        <v>17970.960000000006</v>
      </c>
      <c r="J421" s="322"/>
      <c r="K421" s="318">
        <f>I421</f>
        <v>17970.960000000006</v>
      </c>
      <c r="L421" s="318"/>
      <c r="M421" s="318">
        <v>0</v>
      </c>
      <c r="N421" s="318"/>
      <c r="O421" s="318">
        <f>K421-M421</f>
        <v>17970.960000000006</v>
      </c>
      <c r="Q421" s="22" t="s">
        <v>669</v>
      </c>
      <c r="X421" s="214"/>
      <c r="Y421" s="462"/>
      <c r="Z421" s="322"/>
      <c r="AA421" s="463"/>
      <c r="AB421" s="279"/>
      <c r="AC421" s="279"/>
      <c r="AD421" s="322"/>
      <c r="AE421" s="318"/>
      <c r="AF421" s="279"/>
      <c r="AG421" s="318"/>
      <c r="AH421" s="279"/>
      <c r="AI421" s="318"/>
      <c r="AJ421" s="318"/>
      <c r="AK421" s="318"/>
      <c r="AL421" s="319"/>
      <c r="AM421" s="278"/>
      <c r="AN421" s="319"/>
      <c r="AO421" s="329"/>
      <c r="AP421" s="319"/>
    </row>
    <row r="422" spans="1:42" s="22" customFormat="1">
      <c r="A422" s="214"/>
      <c r="B422" s="214"/>
      <c r="C422" s="462" t="s">
        <v>1601</v>
      </c>
      <c r="D422" s="322"/>
      <c r="E422" s="463">
        <v>27574600</v>
      </c>
      <c r="F422" s="279"/>
      <c r="G422" s="279">
        <v>12</v>
      </c>
      <c r="H422" s="322"/>
      <c r="I422" s="279">
        <v>69011.400000000009</v>
      </c>
      <c r="J422" s="322"/>
      <c r="K422" s="279">
        <f>I422</f>
        <v>69011.400000000009</v>
      </c>
      <c r="L422" s="279"/>
      <c r="M422" s="279">
        <v>0</v>
      </c>
      <c r="N422" s="325"/>
      <c r="O422" s="279">
        <f>K422-M422</f>
        <v>69011.400000000009</v>
      </c>
      <c r="P422" s="15"/>
      <c r="Q422" s="732">
        <f>(SUM(E421:E422))/(SUM(G421:G422))</f>
        <v>812222.22222222225</v>
      </c>
      <c r="R422" s="295"/>
      <c r="X422" s="276"/>
      <c r="Y422" s="464"/>
      <c r="Z422" s="329"/>
      <c r="AA422" s="465"/>
      <c r="AB422" s="278"/>
      <c r="AC422" s="278"/>
      <c r="AD422" s="329"/>
      <c r="AE422" s="319"/>
      <c r="AF422" s="278"/>
      <c r="AG422" s="319"/>
      <c r="AH422" s="278"/>
      <c r="AI422" s="319"/>
      <c r="AJ422" s="319"/>
      <c r="AK422" s="319"/>
      <c r="AL422" s="319"/>
      <c r="AM422" s="319"/>
      <c r="AN422" s="319"/>
      <c r="AO422" s="319"/>
      <c r="AP422" s="319"/>
    </row>
    <row r="423" spans="1:42" s="22" customFormat="1" ht="15.75" thickBot="1">
      <c r="A423" s="214"/>
      <c r="B423" s="214"/>
      <c r="C423" s="462"/>
      <c r="D423" s="322"/>
      <c r="E423" s="735">
        <f>SUM(E421:E422)</f>
        <v>29240000</v>
      </c>
      <c r="F423" s="279"/>
      <c r="G423" s="385">
        <f>SUM(G421:G422)</f>
        <v>36</v>
      </c>
      <c r="H423" s="322"/>
      <c r="I423" s="386">
        <f>SUM(I421:I422)</f>
        <v>86982.360000000015</v>
      </c>
      <c r="J423" s="322"/>
      <c r="K423" s="386">
        <f>SUM(K421:K422)</f>
        <v>86982.360000000015</v>
      </c>
      <c r="L423" s="279"/>
      <c r="M423" s="386">
        <f>SUM(M421:M422)</f>
        <v>0</v>
      </c>
      <c r="N423" s="322"/>
      <c r="O423" s="386">
        <f>SUM(O421:O422)</f>
        <v>86982.360000000015</v>
      </c>
      <c r="P423" s="15"/>
      <c r="Q423" s="15"/>
      <c r="R423" s="295"/>
      <c r="X423" s="276"/>
      <c r="Y423" s="464"/>
      <c r="Z423" s="329"/>
      <c r="AA423" s="465"/>
      <c r="AB423" s="278"/>
      <c r="AC423" s="278"/>
      <c r="AD423" s="329"/>
      <c r="AE423" s="319"/>
      <c r="AF423" s="278"/>
      <c r="AG423" s="319"/>
      <c r="AH423" s="278"/>
      <c r="AI423" s="319"/>
      <c r="AJ423" s="319"/>
      <c r="AK423" s="319"/>
      <c r="AL423" s="319"/>
      <c r="AM423" s="319"/>
      <c r="AN423" s="319"/>
      <c r="AO423" s="319"/>
      <c r="AP423" s="319"/>
    </row>
    <row r="424" spans="1:42" s="22" customFormat="1" ht="15.75" thickTop="1">
      <c r="A424" s="214"/>
      <c r="B424" s="214"/>
      <c r="C424" s="462"/>
      <c r="D424" s="322"/>
      <c r="E424" s="463"/>
      <c r="F424" s="279"/>
      <c r="G424" s="279"/>
      <c r="H424" s="322"/>
      <c r="I424" s="279"/>
      <c r="J424" s="322"/>
      <c r="K424" s="279"/>
      <c r="L424" s="279"/>
      <c r="M424" s="279"/>
      <c r="N424" s="322"/>
      <c r="O424" s="322"/>
      <c r="P424" s="15"/>
      <c r="Q424" s="15"/>
      <c r="R424" s="295"/>
      <c r="X424" s="276"/>
      <c r="Y424" s="464"/>
      <c r="Z424" s="329"/>
      <c r="AA424" s="465"/>
      <c r="AB424" s="278"/>
      <c r="AC424" s="278"/>
      <c r="AD424" s="329"/>
      <c r="AE424" s="319"/>
      <c r="AF424" s="278"/>
      <c r="AG424" s="319"/>
      <c r="AH424" s="278"/>
      <c r="AI424" s="319"/>
      <c r="AJ424" s="319"/>
      <c r="AK424" s="319"/>
      <c r="AL424" s="319"/>
      <c r="AM424" s="319"/>
      <c r="AN424" s="319"/>
      <c r="AO424" s="319"/>
      <c r="AP424" s="319"/>
    </row>
    <row r="425" spans="1:42" s="22" customFormat="1">
      <c r="A425" s="214"/>
      <c r="B425" s="214"/>
      <c r="C425" s="316" t="s">
        <v>587</v>
      </c>
      <c r="D425" s="323"/>
      <c r="E425" s="463"/>
      <c r="F425" s="279"/>
      <c r="G425" s="279"/>
      <c r="H425" s="322"/>
      <c r="I425" s="279"/>
      <c r="J425" s="322"/>
      <c r="K425" s="279"/>
      <c r="L425" s="279"/>
      <c r="M425" s="279"/>
      <c r="N425" s="322"/>
      <c r="O425" s="322"/>
      <c r="P425" s="15"/>
      <c r="Q425" s="15"/>
      <c r="R425" s="295"/>
      <c r="X425" s="276"/>
      <c r="Y425" s="464"/>
      <c r="Z425" s="329"/>
      <c r="AA425" s="465"/>
      <c r="AB425" s="278"/>
      <c r="AC425" s="278"/>
      <c r="AD425" s="329"/>
      <c r="AE425" s="319"/>
      <c r="AF425" s="278"/>
      <c r="AG425" s="319"/>
      <c r="AH425" s="278"/>
      <c r="AI425" s="319"/>
      <c r="AJ425" s="319"/>
      <c r="AK425" s="319"/>
      <c r="AL425" s="319"/>
      <c r="AM425" s="319"/>
      <c r="AN425" s="319"/>
      <c r="AO425" s="319"/>
      <c r="AP425" s="319"/>
    </row>
    <row r="426" spans="1:42" s="22" customFormat="1">
      <c r="A426" s="214"/>
      <c r="B426" s="214"/>
      <c r="C426" s="316" t="s">
        <v>588</v>
      </c>
      <c r="D426" s="324">
        <v>748.79</v>
      </c>
      <c r="E426" s="463"/>
      <c r="F426" s="279"/>
      <c r="G426" s="279"/>
      <c r="H426" s="322"/>
      <c r="I426" s="279"/>
      <c r="J426" s="322"/>
      <c r="K426" s="279"/>
      <c r="L426" s="279"/>
      <c r="M426" s="279"/>
      <c r="N426" s="322"/>
      <c r="O426" s="322"/>
      <c r="P426" s="15"/>
      <c r="Q426" s="15"/>
      <c r="R426" s="295"/>
      <c r="X426" s="276"/>
      <c r="Y426" s="464"/>
      <c r="Z426" s="329"/>
      <c r="AA426" s="465"/>
      <c r="AB426" s="278"/>
      <c r="AC426" s="278"/>
      <c r="AD426" s="329"/>
      <c r="AE426" s="319"/>
      <c r="AF426" s="278"/>
      <c r="AG426" s="319"/>
      <c r="AH426" s="278"/>
      <c r="AI426" s="319"/>
      <c r="AJ426" s="319"/>
      <c r="AK426" s="319"/>
      <c r="AL426" s="319"/>
      <c r="AM426" s="319"/>
      <c r="AN426" s="319"/>
      <c r="AO426" s="319"/>
      <c r="AP426" s="319"/>
    </row>
    <row r="427" spans="1:42" s="22" customFormat="1">
      <c r="A427" s="214"/>
      <c r="B427" s="214"/>
      <c r="C427" s="462" t="s">
        <v>875</v>
      </c>
      <c r="D427" s="325">
        <v>2.48</v>
      </c>
      <c r="E427" s="463"/>
      <c r="F427" s="279"/>
      <c r="G427" s="279"/>
      <c r="H427" s="322"/>
      <c r="I427" s="279"/>
      <c r="J427" s="322"/>
      <c r="K427" s="279"/>
      <c r="L427" s="279"/>
      <c r="M427" s="279"/>
      <c r="N427" s="322"/>
      <c r="O427" s="322"/>
      <c r="P427" s="15"/>
      <c r="Q427" s="15"/>
      <c r="R427" s="295"/>
      <c r="X427" s="276"/>
      <c r="Y427" s="464"/>
      <c r="Z427" s="329"/>
      <c r="AA427" s="465"/>
      <c r="AB427" s="278"/>
      <c r="AC427" s="278"/>
      <c r="AD427" s="329"/>
      <c r="AE427" s="319"/>
      <c r="AF427" s="278"/>
      <c r="AG427" s="319"/>
      <c r="AH427" s="278"/>
      <c r="AI427" s="319"/>
      <c r="AJ427" s="319"/>
      <c r="AK427" s="319"/>
      <c r="AL427" s="319"/>
      <c r="AM427" s="319"/>
      <c r="AN427" s="319"/>
      <c r="AO427" s="319"/>
      <c r="AP427" s="319"/>
    </row>
    <row r="428" spans="1:42" s="22" customFormat="1">
      <c r="A428" s="214"/>
      <c r="B428" s="214"/>
      <c r="C428" s="462"/>
      <c r="D428" s="322"/>
      <c r="E428" s="463"/>
      <c r="F428" s="279"/>
      <c r="G428" s="279"/>
      <c r="H428" s="322"/>
      <c r="I428" s="279"/>
      <c r="J428" s="322"/>
      <c r="K428" s="279"/>
      <c r="L428" s="279"/>
      <c r="M428" s="279"/>
      <c r="N428" s="322"/>
      <c r="O428" s="322"/>
      <c r="P428" s="15"/>
      <c r="Q428" s="15"/>
      <c r="R428" s="295"/>
      <c r="X428" s="276"/>
      <c r="Y428" s="464"/>
      <c r="Z428" s="329"/>
      <c r="AA428" s="465"/>
      <c r="AB428" s="278"/>
      <c r="AC428" s="278"/>
      <c r="AD428" s="329"/>
      <c r="AE428" s="319"/>
      <c r="AF428" s="278"/>
      <c r="AG428" s="319"/>
      <c r="AH428" s="278"/>
      <c r="AI428" s="319"/>
      <c r="AJ428" s="319"/>
      <c r="AK428" s="319"/>
      <c r="AL428" s="319"/>
      <c r="AM428" s="319"/>
      <c r="AN428" s="319"/>
      <c r="AO428" s="319"/>
      <c r="AP428" s="319"/>
    </row>
    <row r="429" spans="1:42" s="22" customFormat="1">
      <c r="A429" s="214"/>
      <c r="B429" s="214"/>
      <c r="C429" s="462"/>
      <c r="D429" s="322"/>
      <c r="E429" s="463"/>
      <c r="F429" s="279"/>
      <c r="G429" s="279"/>
      <c r="H429" s="322"/>
      <c r="I429" s="279"/>
      <c r="J429" s="322"/>
      <c r="K429" s="279"/>
      <c r="L429" s="279"/>
      <c r="M429" s="279"/>
      <c r="N429" s="322"/>
      <c r="O429" s="322"/>
      <c r="P429" s="15"/>
      <c r="Q429" s="15"/>
      <c r="R429" s="295"/>
      <c r="X429" s="276"/>
      <c r="Y429" s="464"/>
      <c r="Z429" s="329"/>
      <c r="AA429" s="465"/>
      <c r="AB429" s="278"/>
      <c r="AC429" s="278"/>
      <c r="AD429" s="329"/>
      <c r="AE429" s="319"/>
      <c r="AF429" s="278"/>
      <c r="AG429" s="319"/>
      <c r="AH429" s="278"/>
      <c r="AI429" s="319"/>
      <c r="AJ429" s="319"/>
      <c r="AK429" s="319"/>
      <c r="AL429" s="319"/>
      <c r="AM429" s="319"/>
      <c r="AN429" s="319"/>
      <c r="AO429" s="319"/>
      <c r="AP429" s="319"/>
    </row>
    <row r="430" spans="1:42" s="22" customFormat="1">
      <c r="A430" s="214">
        <v>16010</v>
      </c>
      <c r="B430" s="214">
        <v>171</v>
      </c>
      <c r="C430" s="462" t="s">
        <v>511</v>
      </c>
      <c r="D430" s="324">
        <v>118.58</v>
      </c>
      <c r="E430" s="463">
        <v>0</v>
      </c>
      <c r="F430" s="279"/>
      <c r="G430" s="279">
        <f>11+3</f>
        <v>14</v>
      </c>
      <c r="H430" s="322"/>
      <c r="I430" s="318">
        <v>1304.3800000000001</v>
      </c>
      <c r="J430" s="322"/>
      <c r="K430" s="318">
        <f>I430</f>
        <v>1304.3800000000001</v>
      </c>
      <c r="L430" s="279"/>
      <c r="M430" s="318">
        <v>0</v>
      </c>
      <c r="N430" s="318"/>
      <c r="O430" s="318">
        <f>K430-M430</f>
        <v>1304.3800000000001</v>
      </c>
      <c r="R430" s="295"/>
      <c r="X430" s="276"/>
      <c r="Y430" s="464"/>
      <c r="Z430" s="329"/>
      <c r="AA430" s="465"/>
      <c r="AB430" s="278"/>
      <c r="AC430" s="278"/>
      <c r="AD430" s="329"/>
      <c r="AE430" s="319"/>
      <c r="AF430" s="278"/>
      <c r="AG430" s="319"/>
      <c r="AH430" s="278"/>
      <c r="AI430" s="319"/>
      <c r="AJ430" s="319"/>
      <c r="AK430" s="319"/>
      <c r="AL430" s="319"/>
      <c r="AM430" s="319"/>
      <c r="AN430" s="319"/>
      <c r="AO430" s="319"/>
      <c r="AP430" s="319"/>
    </row>
    <row r="431" spans="1:42" s="22" customFormat="1">
      <c r="A431" s="214"/>
      <c r="B431" s="214"/>
      <c r="C431" s="462"/>
      <c r="D431" s="324"/>
      <c r="E431" s="463"/>
      <c r="F431" s="279"/>
      <c r="G431" s="279"/>
      <c r="H431" s="322"/>
      <c r="I431" s="318"/>
      <c r="J431" s="322"/>
      <c r="K431" s="318"/>
      <c r="L431" s="279"/>
      <c r="M431" s="318"/>
      <c r="N431" s="318"/>
      <c r="O431" s="318"/>
      <c r="R431" s="295"/>
      <c r="X431" s="276"/>
      <c r="Y431" s="464"/>
      <c r="Z431" s="329"/>
      <c r="AA431" s="465"/>
      <c r="AB431" s="278"/>
      <c r="AC431" s="278"/>
      <c r="AD431" s="329"/>
      <c r="AE431" s="319"/>
      <c r="AF431" s="278"/>
      <c r="AG431" s="319"/>
      <c r="AH431" s="278"/>
      <c r="AI431" s="319"/>
      <c r="AJ431" s="319"/>
      <c r="AK431" s="319"/>
      <c r="AL431" s="319"/>
      <c r="AM431" s="319"/>
      <c r="AN431" s="319"/>
      <c r="AO431" s="319"/>
      <c r="AP431" s="319"/>
    </row>
    <row r="432" spans="1:42" s="22" customFormat="1">
      <c r="A432" s="214">
        <v>16037</v>
      </c>
      <c r="B432" s="214">
        <v>170</v>
      </c>
      <c r="C432" s="462" t="s">
        <v>1135</v>
      </c>
      <c r="D432" s="324">
        <v>15</v>
      </c>
      <c r="E432" s="463">
        <v>0</v>
      </c>
      <c r="F432" s="279"/>
      <c r="G432" s="279">
        <f>99+23</f>
        <v>122</v>
      </c>
      <c r="H432" s="322"/>
      <c r="I432" s="318">
        <v>1485</v>
      </c>
      <c r="J432" s="322"/>
      <c r="K432" s="318">
        <f>I432</f>
        <v>1485</v>
      </c>
      <c r="L432" s="279"/>
      <c r="M432" s="318">
        <v>0</v>
      </c>
      <c r="N432" s="322"/>
      <c r="O432" s="318">
        <f>K432-M432</f>
        <v>1485</v>
      </c>
      <c r="R432" s="295"/>
      <c r="X432" s="276"/>
      <c r="Y432" s="464"/>
      <c r="Z432" s="329"/>
      <c r="AA432" s="465"/>
      <c r="AB432" s="278"/>
      <c r="AC432" s="278"/>
      <c r="AD432" s="329"/>
      <c r="AE432" s="319"/>
      <c r="AF432" s="278"/>
      <c r="AG432" s="319"/>
      <c r="AH432" s="278"/>
      <c r="AI432" s="319"/>
      <c r="AJ432" s="319"/>
      <c r="AK432" s="319"/>
      <c r="AL432" s="319"/>
      <c r="AM432" s="319"/>
      <c r="AN432" s="319"/>
      <c r="AO432" s="319"/>
      <c r="AP432" s="319"/>
    </row>
    <row r="433" spans="1:42" s="22" customFormat="1">
      <c r="A433" s="214"/>
      <c r="B433" s="214"/>
      <c r="C433" s="462"/>
      <c r="D433" s="324"/>
      <c r="E433" s="463"/>
      <c r="F433" s="279"/>
      <c r="G433" s="279"/>
      <c r="H433" s="322"/>
      <c r="I433" s="318"/>
      <c r="J433" s="322"/>
      <c r="K433" s="318"/>
      <c r="L433" s="279"/>
      <c r="M433" s="318"/>
      <c r="N433" s="322"/>
      <c r="O433" s="318"/>
      <c r="R433" s="295"/>
      <c r="X433" s="276"/>
      <c r="Y433" s="464"/>
      <c r="Z433" s="329"/>
      <c r="AA433" s="465"/>
      <c r="AB433" s="278"/>
      <c r="AC433" s="278"/>
      <c r="AD433" s="329"/>
      <c r="AE433" s="319"/>
      <c r="AF433" s="278"/>
      <c r="AG433" s="319"/>
      <c r="AH433" s="278"/>
      <c r="AI433" s="319"/>
      <c r="AJ433" s="319"/>
      <c r="AK433" s="319"/>
      <c r="AL433" s="319"/>
      <c r="AM433" s="319"/>
      <c r="AN433" s="319"/>
      <c r="AO433" s="319"/>
      <c r="AP433" s="319"/>
    </row>
    <row r="434" spans="1:42" s="22" customFormat="1">
      <c r="A434" s="214">
        <v>16037</v>
      </c>
      <c r="B434" s="214">
        <v>171</v>
      </c>
      <c r="C434" s="462" t="s">
        <v>1135</v>
      </c>
      <c r="D434" s="324">
        <v>15</v>
      </c>
      <c r="E434" s="463">
        <v>0</v>
      </c>
      <c r="F434" s="279"/>
      <c r="G434" s="279">
        <v>22</v>
      </c>
      <c r="H434" s="322"/>
      <c r="I434" s="318">
        <v>330</v>
      </c>
      <c r="J434" s="322"/>
      <c r="K434" s="318">
        <f>I434</f>
        <v>330</v>
      </c>
      <c r="L434" s="279"/>
      <c r="M434" s="318">
        <v>0</v>
      </c>
      <c r="N434" s="318"/>
      <c r="O434" s="318">
        <f>K434-M434</f>
        <v>330</v>
      </c>
      <c r="R434" s="295"/>
      <c r="X434" s="276"/>
      <c r="Y434" s="330"/>
      <c r="Z434" s="328"/>
      <c r="AA434" s="465"/>
      <c r="AB434" s="278"/>
      <c r="AC434" s="278"/>
      <c r="AD434" s="329"/>
      <c r="AE434" s="319"/>
      <c r="AF434" s="329"/>
      <c r="AG434" s="278"/>
      <c r="AH434" s="329"/>
      <c r="AI434" s="329"/>
      <c r="AJ434" s="329"/>
      <c r="AK434" s="329"/>
      <c r="AL434" s="319"/>
      <c r="AM434" s="319"/>
      <c r="AN434" s="319"/>
      <c r="AO434" s="319"/>
      <c r="AP434" s="319"/>
    </row>
    <row r="435" spans="1:42" s="22" customFormat="1">
      <c r="A435" s="214"/>
      <c r="B435" s="214"/>
      <c r="C435" s="462"/>
      <c r="D435" s="324"/>
      <c r="E435" s="463"/>
      <c r="F435" s="279"/>
      <c r="G435" s="279"/>
      <c r="H435" s="322"/>
      <c r="I435" s="318"/>
      <c r="J435" s="322"/>
      <c r="K435" s="318"/>
      <c r="L435" s="279"/>
      <c r="M435" s="318"/>
      <c r="N435" s="318"/>
      <c r="O435" s="318"/>
      <c r="R435" s="295"/>
      <c r="X435" s="276"/>
      <c r="Y435" s="330"/>
      <c r="Z435" s="328"/>
      <c r="AA435" s="465"/>
      <c r="AB435" s="278"/>
      <c r="AC435" s="278"/>
      <c r="AD435" s="329"/>
      <c r="AE435" s="319"/>
      <c r="AF435" s="329"/>
      <c r="AG435" s="278"/>
      <c r="AH435" s="329"/>
      <c r="AI435" s="329"/>
      <c r="AJ435" s="329"/>
      <c r="AK435" s="329"/>
      <c r="AL435" s="319"/>
      <c r="AM435" s="319"/>
      <c r="AN435" s="319"/>
      <c r="AO435" s="319"/>
      <c r="AP435" s="319"/>
    </row>
    <row r="436" spans="1:42" s="22" customFormat="1">
      <c r="A436" s="214">
        <v>16037</v>
      </c>
      <c r="B436" s="214">
        <v>172</v>
      </c>
      <c r="C436" s="462" t="s">
        <v>1135</v>
      </c>
      <c r="D436" s="324">
        <v>15</v>
      </c>
      <c r="E436" s="463">
        <v>0</v>
      </c>
      <c r="F436" s="279"/>
      <c r="G436" s="279">
        <v>88</v>
      </c>
      <c r="H436" s="322"/>
      <c r="I436" s="318">
        <v>1320</v>
      </c>
      <c r="J436" s="322"/>
      <c r="K436" s="318">
        <f>I436</f>
        <v>1320</v>
      </c>
      <c r="L436" s="279"/>
      <c r="M436" s="318">
        <v>0</v>
      </c>
      <c r="N436" s="318"/>
      <c r="O436" s="318">
        <f>K436-M436</f>
        <v>1320</v>
      </c>
      <c r="R436" s="295"/>
      <c r="X436" s="276"/>
      <c r="Y436" s="330"/>
      <c r="Z436" s="328"/>
      <c r="AA436" s="465"/>
      <c r="AB436" s="278"/>
      <c r="AC436" s="278"/>
      <c r="AD436" s="329"/>
      <c r="AE436" s="319"/>
      <c r="AF436" s="329"/>
      <c r="AG436" s="278"/>
      <c r="AH436" s="329"/>
      <c r="AI436" s="329"/>
      <c r="AJ436" s="329"/>
      <c r="AK436" s="329"/>
      <c r="AL436" s="319"/>
      <c r="AM436" s="319"/>
      <c r="AN436" s="319"/>
      <c r="AO436" s="319"/>
      <c r="AP436" s="319"/>
    </row>
    <row r="437" spans="1:42" s="22" customFormat="1">
      <c r="A437" s="214"/>
      <c r="B437" s="214"/>
      <c r="C437" s="462"/>
      <c r="D437" s="324"/>
      <c r="E437" s="463"/>
      <c r="F437" s="279"/>
      <c r="G437" s="279"/>
      <c r="H437" s="322"/>
      <c r="I437" s="318"/>
      <c r="J437" s="322"/>
      <c r="K437" s="318"/>
      <c r="L437" s="279"/>
      <c r="M437" s="318"/>
      <c r="N437" s="318"/>
      <c r="O437" s="318"/>
      <c r="R437" s="295"/>
      <c r="X437" s="276"/>
      <c r="Y437" s="330"/>
      <c r="Z437" s="328"/>
      <c r="AA437" s="465"/>
      <c r="AB437" s="278"/>
      <c r="AC437" s="278"/>
      <c r="AD437" s="329"/>
      <c r="AE437" s="319"/>
      <c r="AF437" s="329"/>
      <c r="AG437" s="278"/>
      <c r="AH437" s="329"/>
      <c r="AI437" s="329"/>
      <c r="AJ437" s="329"/>
      <c r="AK437" s="329"/>
      <c r="AL437" s="319"/>
      <c r="AM437" s="319"/>
      <c r="AN437" s="319"/>
      <c r="AO437" s="319"/>
      <c r="AP437" s="319"/>
    </row>
    <row r="438" spans="1:42" s="22" customFormat="1">
      <c r="A438" s="214">
        <v>16037</v>
      </c>
      <c r="B438" s="214">
        <v>173</v>
      </c>
      <c r="C438" s="462" t="s">
        <v>1135</v>
      </c>
      <c r="D438" s="324">
        <v>15</v>
      </c>
      <c r="E438" s="463">
        <v>0</v>
      </c>
      <c r="F438" s="279"/>
      <c r="G438" s="279">
        <v>33</v>
      </c>
      <c r="H438" s="322"/>
      <c r="I438" s="318">
        <v>495</v>
      </c>
      <c r="J438" s="322"/>
      <c r="K438" s="318">
        <f>I438</f>
        <v>495</v>
      </c>
      <c r="L438" s="279"/>
      <c r="M438" s="318">
        <v>0</v>
      </c>
      <c r="N438" s="318"/>
      <c r="O438" s="318">
        <f>K438-M438</f>
        <v>495</v>
      </c>
      <c r="R438" s="295"/>
      <c r="X438" s="276"/>
      <c r="Y438" s="330"/>
      <c r="Z438" s="328"/>
      <c r="AA438" s="465"/>
      <c r="AB438" s="278"/>
      <c r="AC438" s="278"/>
      <c r="AD438" s="329"/>
      <c r="AE438" s="278"/>
      <c r="AF438" s="319"/>
      <c r="AG438" s="278"/>
      <c r="AH438" s="278"/>
      <c r="AI438" s="278"/>
      <c r="AJ438" s="329"/>
      <c r="AK438" s="329"/>
      <c r="AL438" s="319"/>
      <c r="AM438" s="319"/>
      <c r="AN438" s="319"/>
      <c r="AO438" s="319"/>
      <c r="AP438" s="319"/>
    </row>
    <row r="439" spans="1:42" s="22" customFormat="1" ht="16.5" customHeight="1">
      <c r="A439" s="214"/>
      <c r="B439" s="214"/>
      <c r="C439" s="462"/>
      <c r="D439" s="324"/>
      <c r="E439" s="463"/>
      <c r="F439" s="279"/>
      <c r="G439" s="279"/>
      <c r="H439" s="322"/>
      <c r="I439" s="318"/>
      <c r="J439" s="322"/>
      <c r="K439" s="318"/>
      <c r="L439" s="279"/>
      <c r="M439" s="318"/>
      <c r="N439" s="318"/>
      <c r="O439" s="318"/>
      <c r="R439" s="295"/>
      <c r="X439" s="276"/>
      <c r="Y439" s="330"/>
      <c r="Z439" s="328"/>
      <c r="AA439" s="465"/>
      <c r="AB439" s="278"/>
      <c r="AC439" s="278"/>
      <c r="AD439" s="329"/>
      <c r="AE439" s="278"/>
      <c r="AF439" s="319"/>
      <c r="AG439" s="278"/>
      <c r="AH439" s="278"/>
      <c r="AI439" s="278"/>
      <c r="AJ439" s="329"/>
      <c r="AK439" s="329"/>
      <c r="AL439" s="319"/>
      <c r="AM439" s="319"/>
      <c r="AN439" s="319"/>
      <c r="AO439" s="319"/>
      <c r="AP439" s="319"/>
    </row>
    <row r="440" spans="1:42" s="22" customFormat="1">
      <c r="A440" s="214">
        <v>16039</v>
      </c>
      <c r="B440" s="214">
        <v>170</v>
      </c>
      <c r="C440" s="462" t="s">
        <v>3</v>
      </c>
      <c r="D440" s="324">
        <v>15</v>
      </c>
      <c r="E440" s="463">
        <v>0</v>
      </c>
      <c r="F440" s="279"/>
      <c r="G440" s="279">
        <f>22+5</f>
        <v>27</v>
      </c>
      <c r="H440" s="322"/>
      <c r="I440" s="318">
        <v>330</v>
      </c>
      <c r="J440" s="322"/>
      <c r="K440" s="318">
        <f>I440</f>
        <v>330</v>
      </c>
      <c r="L440" s="279"/>
      <c r="M440" s="318">
        <v>0</v>
      </c>
      <c r="N440" s="318"/>
      <c r="O440" s="318">
        <f>K440-M440</f>
        <v>330</v>
      </c>
      <c r="R440" s="295"/>
      <c r="X440" s="276"/>
      <c r="Y440" s="330"/>
      <c r="Z440" s="328"/>
      <c r="AA440" s="465"/>
      <c r="AB440" s="278"/>
      <c r="AC440" s="278"/>
      <c r="AD440" s="329"/>
      <c r="AE440" s="278"/>
      <c r="AF440" s="319"/>
      <c r="AG440" s="278"/>
      <c r="AH440" s="278"/>
      <c r="AI440" s="278"/>
      <c r="AJ440" s="329"/>
      <c r="AK440" s="329"/>
      <c r="AL440" s="319"/>
      <c r="AM440" s="319"/>
      <c r="AN440" s="319"/>
      <c r="AO440" s="319"/>
      <c r="AP440" s="319"/>
    </row>
    <row r="441" spans="1:42" s="22" customFormat="1">
      <c r="A441" s="214"/>
      <c r="B441" s="214"/>
      <c r="C441" s="462"/>
      <c r="D441" s="324"/>
      <c r="E441" s="463"/>
      <c r="F441" s="279"/>
      <c r="G441" s="279"/>
      <c r="H441" s="322"/>
      <c r="I441" s="318"/>
      <c r="J441" s="322"/>
      <c r="K441" s="318"/>
      <c r="L441" s="279"/>
      <c r="M441" s="318"/>
      <c r="N441" s="318"/>
      <c r="O441" s="318"/>
      <c r="R441" s="295"/>
      <c r="X441" s="276"/>
      <c r="Y441" s="330"/>
      <c r="Z441" s="328"/>
      <c r="AA441" s="465"/>
      <c r="AB441" s="278"/>
      <c r="AC441" s="278"/>
      <c r="AD441" s="329"/>
      <c r="AE441" s="278"/>
      <c r="AF441" s="319"/>
      <c r="AG441" s="278"/>
      <c r="AH441" s="278"/>
      <c r="AI441" s="278"/>
      <c r="AJ441" s="329"/>
      <c r="AK441" s="329"/>
      <c r="AL441" s="319"/>
      <c r="AM441" s="319"/>
      <c r="AN441" s="319"/>
      <c r="AO441" s="319"/>
      <c r="AP441" s="319"/>
    </row>
    <row r="442" spans="1:42" s="22" customFormat="1">
      <c r="A442" s="214">
        <v>16039</v>
      </c>
      <c r="B442" s="214">
        <v>171</v>
      </c>
      <c r="C442" s="462" t="s">
        <v>3</v>
      </c>
      <c r="D442" s="324">
        <v>15</v>
      </c>
      <c r="E442" s="463">
        <v>0</v>
      </c>
      <c r="F442" s="279"/>
      <c r="G442" s="279">
        <v>11</v>
      </c>
      <c r="H442" s="322"/>
      <c r="I442" s="324">
        <v>165</v>
      </c>
      <c r="J442" s="322"/>
      <c r="K442" s="324">
        <f>I442</f>
        <v>165</v>
      </c>
      <c r="L442" s="324"/>
      <c r="M442" s="324">
        <v>0</v>
      </c>
      <c r="N442" s="324"/>
      <c r="O442" s="324">
        <f>K442-M442</f>
        <v>165</v>
      </c>
      <c r="R442" s="295"/>
      <c r="X442" s="276"/>
      <c r="Y442" s="330"/>
      <c r="Z442" s="328"/>
      <c r="AA442" s="465"/>
      <c r="AB442" s="278"/>
      <c r="AC442" s="278"/>
      <c r="AD442" s="329"/>
      <c r="AE442" s="319"/>
      <c r="AF442" s="278"/>
      <c r="AG442" s="319"/>
      <c r="AH442" s="278"/>
      <c r="AI442" s="278"/>
      <c r="AJ442" s="329"/>
      <c r="AK442" s="329"/>
      <c r="AL442" s="278"/>
      <c r="AM442" s="319"/>
      <c r="AN442" s="278"/>
      <c r="AO442" s="319"/>
      <c r="AP442" s="278"/>
    </row>
    <row r="443" spans="1:42" s="22" customFormat="1">
      <c r="A443" s="214"/>
      <c r="B443" s="214"/>
      <c r="C443" s="462"/>
      <c r="D443" s="324"/>
      <c r="E443" s="463"/>
      <c r="F443" s="279"/>
      <c r="G443" s="279"/>
      <c r="H443" s="322"/>
      <c r="I443" s="324"/>
      <c r="J443" s="322"/>
      <c r="K443" s="324"/>
      <c r="L443" s="324"/>
      <c r="M443" s="324"/>
      <c r="N443" s="324"/>
      <c r="O443" s="324"/>
      <c r="R443" s="295"/>
      <c r="X443" s="276"/>
      <c r="Y443" s="330"/>
      <c r="Z443" s="328"/>
      <c r="AA443" s="465"/>
      <c r="AB443" s="278"/>
      <c r="AC443" s="278"/>
      <c r="AD443" s="329"/>
      <c r="AE443" s="319"/>
      <c r="AF443" s="278"/>
      <c r="AG443" s="319"/>
      <c r="AH443" s="278"/>
      <c r="AI443" s="278"/>
      <c r="AJ443" s="329"/>
      <c r="AK443" s="329"/>
      <c r="AL443" s="278"/>
      <c r="AM443" s="319"/>
      <c r="AN443" s="278"/>
      <c r="AO443" s="319"/>
      <c r="AP443" s="278"/>
    </row>
    <row r="444" spans="1:42" s="22" customFormat="1">
      <c r="A444" s="214">
        <v>16040</v>
      </c>
      <c r="B444" s="214">
        <v>171</v>
      </c>
      <c r="C444" s="462" t="s">
        <v>969</v>
      </c>
      <c r="D444" s="324">
        <v>30</v>
      </c>
      <c r="E444" s="463">
        <v>0</v>
      </c>
      <c r="F444" s="279"/>
      <c r="G444" s="279">
        <v>22</v>
      </c>
      <c r="H444" s="322"/>
      <c r="I444" s="324">
        <v>660</v>
      </c>
      <c r="J444" s="322"/>
      <c r="K444" s="324">
        <f>I444</f>
        <v>660</v>
      </c>
      <c r="L444" s="324"/>
      <c r="M444" s="324">
        <v>0</v>
      </c>
      <c r="N444" s="324"/>
      <c r="O444" s="324">
        <f>K444-M444</f>
        <v>660</v>
      </c>
      <c r="R444" s="295"/>
      <c r="X444" s="276"/>
      <c r="Y444" s="330"/>
      <c r="Z444" s="328"/>
      <c r="AA444" s="465"/>
      <c r="AB444" s="278"/>
      <c r="AC444" s="278"/>
      <c r="AD444" s="329"/>
      <c r="AE444" s="319"/>
      <c r="AF444" s="278"/>
      <c r="AG444" s="319"/>
      <c r="AH444" s="278"/>
      <c r="AI444" s="278"/>
      <c r="AJ444" s="329"/>
      <c r="AK444" s="329"/>
      <c r="AL444" s="278"/>
      <c r="AM444" s="319"/>
      <c r="AN444" s="278"/>
      <c r="AO444" s="319"/>
      <c r="AP444" s="278"/>
    </row>
    <row r="445" spans="1:42" s="22" customFormat="1">
      <c r="A445" s="214"/>
      <c r="B445" s="214"/>
      <c r="C445" s="462"/>
      <c r="D445" s="324"/>
      <c r="E445" s="463"/>
      <c r="F445" s="279"/>
      <c r="G445" s="279"/>
      <c r="H445" s="322"/>
      <c r="I445" s="324"/>
      <c r="J445" s="322"/>
      <c r="K445" s="324"/>
      <c r="L445" s="324"/>
      <c r="M445" s="324"/>
      <c r="N445" s="324"/>
      <c r="O445" s="324"/>
      <c r="R445" s="295"/>
      <c r="X445" s="276"/>
      <c r="Y445" s="330"/>
      <c r="Z445" s="328"/>
      <c r="AA445" s="465"/>
      <c r="AB445" s="278"/>
      <c r="AC445" s="278"/>
      <c r="AD445" s="329"/>
      <c r="AE445" s="319"/>
      <c r="AF445" s="278"/>
      <c r="AG445" s="319"/>
      <c r="AH445" s="278"/>
      <c r="AI445" s="278"/>
      <c r="AJ445" s="329"/>
      <c r="AK445" s="329"/>
      <c r="AL445" s="278"/>
      <c r="AM445" s="319"/>
      <c r="AN445" s="278"/>
      <c r="AO445" s="319"/>
      <c r="AP445" s="278"/>
    </row>
    <row r="446" spans="1:42" s="22" customFormat="1">
      <c r="A446" s="214">
        <v>16040</v>
      </c>
      <c r="B446" s="214">
        <v>173</v>
      </c>
      <c r="C446" s="462" t="s">
        <v>969</v>
      </c>
      <c r="D446" s="324">
        <v>30</v>
      </c>
      <c r="E446" s="463">
        <v>0</v>
      </c>
      <c r="F446" s="279"/>
      <c r="G446" s="279">
        <v>11</v>
      </c>
      <c r="H446" s="322"/>
      <c r="I446" s="324">
        <v>330</v>
      </c>
      <c r="J446" s="322"/>
      <c r="K446" s="324">
        <f>I446</f>
        <v>330</v>
      </c>
      <c r="L446" s="324"/>
      <c r="M446" s="324">
        <v>0</v>
      </c>
      <c r="N446" s="324"/>
      <c r="O446" s="324">
        <f>K446-M446</f>
        <v>330</v>
      </c>
      <c r="R446" s="295"/>
      <c r="X446" s="276"/>
      <c r="Y446" s="330"/>
      <c r="Z446" s="328"/>
      <c r="AA446" s="465"/>
      <c r="AB446" s="278"/>
      <c r="AC446" s="278"/>
      <c r="AD446" s="329"/>
      <c r="AE446" s="319"/>
      <c r="AF446" s="329"/>
      <c r="AG446" s="278"/>
      <c r="AH446" s="329"/>
      <c r="AI446" s="329"/>
      <c r="AJ446" s="329"/>
      <c r="AK446" s="329"/>
      <c r="AL446" s="278"/>
      <c r="AM446" s="319"/>
      <c r="AN446" s="278"/>
      <c r="AO446" s="319"/>
      <c r="AP446" s="278"/>
    </row>
    <row r="447" spans="1:42" s="22" customFormat="1">
      <c r="A447" s="214"/>
      <c r="B447" s="214"/>
      <c r="C447" s="462"/>
      <c r="D447" s="324"/>
      <c r="E447" s="463"/>
      <c r="F447" s="279"/>
      <c r="G447" s="279"/>
      <c r="H447" s="322"/>
      <c r="I447" s="324"/>
      <c r="J447" s="322"/>
      <c r="K447" s="324"/>
      <c r="L447" s="324"/>
      <c r="M447" s="324"/>
      <c r="N447" s="324"/>
      <c r="O447" s="324"/>
      <c r="R447" s="295"/>
      <c r="X447" s="276"/>
      <c r="Y447" s="330"/>
      <c r="Z447" s="328"/>
      <c r="AA447" s="465"/>
      <c r="AB447" s="278"/>
      <c r="AC447" s="278"/>
      <c r="AD447" s="329"/>
      <c r="AE447" s="319"/>
      <c r="AF447" s="329"/>
      <c r="AG447" s="278"/>
      <c r="AH447" s="329"/>
      <c r="AI447" s="329"/>
      <c r="AJ447" s="329"/>
      <c r="AK447" s="329"/>
      <c r="AL447" s="278"/>
      <c r="AM447" s="319"/>
      <c r="AN447" s="278"/>
      <c r="AO447" s="319"/>
      <c r="AP447" s="278"/>
    </row>
    <row r="448" spans="1:42" s="22" customFormat="1">
      <c r="A448" s="214">
        <v>16050</v>
      </c>
      <c r="B448" s="214">
        <v>173</v>
      </c>
      <c r="C448" s="462" t="s">
        <v>512</v>
      </c>
      <c r="D448" s="324">
        <v>45</v>
      </c>
      <c r="E448" s="463">
        <v>0</v>
      </c>
      <c r="F448" s="279"/>
      <c r="G448" s="279">
        <v>11</v>
      </c>
      <c r="H448" s="322"/>
      <c r="I448" s="324">
        <v>495</v>
      </c>
      <c r="J448" s="322"/>
      <c r="K448" s="324">
        <f>I448</f>
        <v>495</v>
      </c>
      <c r="L448" s="324"/>
      <c r="M448" s="324">
        <v>0</v>
      </c>
      <c r="N448" s="324"/>
      <c r="O448" s="324">
        <f>K448-M448</f>
        <v>495</v>
      </c>
      <c r="R448" s="295"/>
      <c r="X448" s="276"/>
      <c r="Y448" s="330"/>
      <c r="Z448" s="328"/>
      <c r="AA448" s="465"/>
      <c r="AB448" s="278"/>
      <c r="AC448" s="278"/>
      <c r="AD448" s="329"/>
      <c r="AE448" s="319"/>
      <c r="AF448" s="329"/>
      <c r="AG448" s="278"/>
      <c r="AH448" s="329"/>
      <c r="AI448" s="329"/>
      <c r="AJ448" s="329"/>
      <c r="AK448" s="329"/>
      <c r="AL448" s="278"/>
      <c r="AM448" s="319"/>
      <c r="AN448" s="278"/>
      <c r="AO448" s="319"/>
      <c r="AP448" s="278"/>
    </row>
    <row r="449" spans="1:42" s="22" customFormat="1">
      <c r="A449" s="214"/>
      <c r="B449" s="214"/>
      <c r="C449" s="462"/>
      <c r="D449" s="324"/>
      <c r="E449" s="463"/>
      <c r="F449" s="279"/>
      <c r="G449" s="279"/>
      <c r="H449" s="322"/>
      <c r="I449" s="324"/>
      <c r="J449" s="322"/>
      <c r="K449" s="324"/>
      <c r="L449" s="324"/>
      <c r="M449" s="324"/>
      <c r="N449" s="324"/>
      <c r="O449" s="324"/>
      <c r="R449" s="295"/>
      <c r="X449" s="276"/>
      <c r="Y449" s="330"/>
      <c r="Z449" s="328"/>
      <c r="AA449" s="465"/>
      <c r="AB449" s="278"/>
      <c r="AC449" s="278"/>
      <c r="AD449" s="329"/>
      <c r="AE449" s="319"/>
      <c r="AF449" s="329"/>
      <c r="AG449" s="278"/>
      <c r="AH449" s="329"/>
      <c r="AI449" s="329"/>
      <c r="AJ449" s="329"/>
      <c r="AK449" s="329"/>
      <c r="AL449" s="278"/>
      <c r="AM449" s="319"/>
      <c r="AN449" s="278"/>
      <c r="AO449" s="319"/>
      <c r="AP449" s="278"/>
    </row>
    <row r="450" spans="1:42" s="22" customFormat="1">
      <c r="A450" s="214">
        <v>16055</v>
      </c>
      <c r="B450" s="214">
        <v>173</v>
      </c>
      <c r="C450" s="462" t="s">
        <v>512</v>
      </c>
      <c r="D450" s="324">
        <v>315</v>
      </c>
      <c r="E450" s="463">
        <v>0</v>
      </c>
      <c r="F450" s="279"/>
      <c r="G450" s="279">
        <v>11</v>
      </c>
      <c r="H450" s="322"/>
      <c r="I450" s="324">
        <v>3465</v>
      </c>
      <c r="J450" s="322"/>
      <c r="K450" s="324">
        <f>I450</f>
        <v>3465</v>
      </c>
      <c r="L450" s="324"/>
      <c r="M450" s="324">
        <v>0</v>
      </c>
      <c r="N450" s="324"/>
      <c r="O450" s="324">
        <f>K450-M450</f>
        <v>3465</v>
      </c>
      <c r="R450" s="295"/>
      <c r="X450" s="276"/>
      <c r="Y450" s="330"/>
      <c r="Z450" s="328"/>
      <c r="AA450" s="465"/>
      <c r="AB450" s="278"/>
      <c r="AC450" s="278"/>
      <c r="AD450" s="329"/>
      <c r="AE450" s="278"/>
      <c r="AF450" s="319"/>
      <c r="AG450" s="278"/>
      <c r="AH450" s="278"/>
      <c r="AI450" s="278"/>
      <c r="AJ450" s="329"/>
      <c r="AK450" s="329"/>
      <c r="AL450" s="278"/>
      <c r="AM450" s="319"/>
      <c r="AN450" s="278"/>
      <c r="AO450" s="319"/>
      <c r="AP450" s="278"/>
    </row>
    <row r="451" spans="1:42" s="22" customFormat="1">
      <c r="A451" s="214"/>
      <c r="B451" s="214"/>
      <c r="C451" s="462"/>
      <c r="D451" s="324"/>
      <c r="E451" s="463"/>
      <c r="F451" s="279"/>
      <c r="G451" s="279"/>
      <c r="H451" s="322"/>
      <c r="I451" s="279"/>
      <c r="J451" s="322"/>
      <c r="K451" s="279"/>
      <c r="L451" s="279"/>
      <c r="M451" s="279"/>
      <c r="N451" s="322"/>
      <c r="O451" s="279"/>
      <c r="R451" s="295"/>
      <c r="X451" s="276"/>
      <c r="Y451" s="330"/>
      <c r="Z451" s="328"/>
      <c r="AA451" s="465"/>
      <c r="AB451" s="278"/>
      <c r="AC451" s="278"/>
      <c r="AD451" s="329"/>
      <c r="AE451" s="278"/>
      <c r="AF451" s="319"/>
      <c r="AG451" s="278"/>
      <c r="AH451" s="278"/>
      <c r="AI451" s="278"/>
      <c r="AJ451" s="329"/>
      <c r="AK451" s="329"/>
      <c r="AL451" s="278"/>
      <c r="AM451" s="319"/>
      <c r="AN451" s="278"/>
      <c r="AO451" s="319"/>
      <c r="AP451" s="278"/>
    </row>
    <row r="452" spans="1:42" s="22" customFormat="1">
      <c r="A452" s="214">
        <v>16056</v>
      </c>
      <c r="B452" s="214">
        <v>171</v>
      </c>
      <c r="C452" s="462" t="s">
        <v>968</v>
      </c>
      <c r="D452" s="324">
        <v>30</v>
      </c>
      <c r="E452" s="463">
        <v>0</v>
      </c>
      <c r="F452" s="279"/>
      <c r="G452" s="279">
        <v>11</v>
      </c>
      <c r="H452" s="322"/>
      <c r="I452" s="318">
        <v>330</v>
      </c>
      <c r="J452" s="322"/>
      <c r="K452" s="318">
        <f>I452</f>
        <v>330</v>
      </c>
      <c r="L452" s="318"/>
      <c r="M452" s="318">
        <v>0</v>
      </c>
      <c r="N452" s="318"/>
      <c r="O452" s="318">
        <f>K452-M452</f>
        <v>330</v>
      </c>
      <c r="R452" s="295"/>
      <c r="X452" s="276"/>
      <c r="Y452" s="330"/>
      <c r="Z452" s="328"/>
      <c r="AA452" s="465"/>
      <c r="AB452" s="278"/>
      <c r="AC452" s="278"/>
      <c r="AD452" s="329"/>
      <c r="AE452" s="278"/>
      <c r="AF452" s="319"/>
      <c r="AG452" s="278"/>
      <c r="AH452" s="278"/>
      <c r="AI452" s="278"/>
      <c r="AJ452" s="329"/>
      <c r="AK452" s="329"/>
      <c r="AL452" s="278"/>
      <c r="AM452" s="319"/>
      <c r="AN452" s="278"/>
      <c r="AO452" s="319"/>
      <c r="AP452" s="278"/>
    </row>
    <row r="453" spans="1:42" s="22" customFormat="1">
      <c r="A453" s="214"/>
      <c r="B453" s="214"/>
      <c r="C453" s="462"/>
      <c r="D453" s="324"/>
      <c r="E453" s="463"/>
      <c r="F453" s="279"/>
      <c r="G453" s="279"/>
      <c r="H453" s="322"/>
      <c r="I453" s="318"/>
      <c r="J453" s="322"/>
      <c r="K453" s="318"/>
      <c r="L453" s="318"/>
      <c r="M453" s="318"/>
      <c r="N453" s="318"/>
      <c r="O453" s="318"/>
      <c r="R453" s="295"/>
      <c r="X453" s="276"/>
      <c r="Y453" s="330"/>
      <c r="Z453" s="328"/>
      <c r="AA453" s="465"/>
      <c r="AB453" s="278"/>
      <c r="AC453" s="278"/>
      <c r="AD453" s="329"/>
      <c r="AE453" s="278"/>
      <c r="AF453" s="319"/>
      <c r="AG453" s="278"/>
      <c r="AH453" s="278"/>
      <c r="AI453" s="278"/>
      <c r="AJ453" s="329"/>
      <c r="AK453" s="329"/>
      <c r="AL453" s="278"/>
      <c r="AM453" s="319"/>
      <c r="AN453" s="278"/>
      <c r="AO453" s="319"/>
      <c r="AP453" s="278"/>
    </row>
    <row r="454" spans="1:42" s="22" customFormat="1">
      <c r="A454" s="214">
        <v>16056</v>
      </c>
      <c r="B454" s="214">
        <v>173</v>
      </c>
      <c r="C454" s="462" t="s">
        <v>968</v>
      </c>
      <c r="D454" s="324">
        <v>30</v>
      </c>
      <c r="E454" s="463">
        <v>0</v>
      </c>
      <c r="F454" s="279"/>
      <c r="G454" s="279">
        <v>11</v>
      </c>
      <c r="H454" s="322"/>
      <c r="I454" s="318">
        <v>330</v>
      </c>
      <c r="J454" s="322"/>
      <c r="K454" s="318">
        <f>I454</f>
        <v>330</v>
      </c>
      <c r="L454" s="318"/>
      <c r="M454" s="318">
        <v>0</v>
      </c>
      <c r="N454" s="318"/>
      <c r="O454" s="318">
        <f>K454-M454</f>
        <v>330</v>
      </c>
      <c r="R454" s="295"/>
      <c r="X454" s="276"/>
      <c r="Y454" s="330"/>
      <c r="Z454" s="328"/>
      <c r="AA454" s="465"/>
      <c r="AB454" s="278"/>
      <c r="AC454" s="278"/>
      <c r="AD454" s="329"/>
      <c r="AE454" s="319"/>
      <c r="AF454" s="319"/>
      <c r="AG454" s="319"/>
      <c r="AH454" s="278"/>
      <c r="AI454" s="278"/>
      <c r="AJ454" s="329"/>
      <c r="AK454" s="329"/>
      <c r="AL454" s="278"/>
      <c r="AM454" s="319"/>
      <c r="AN454" s="278"/>
      <c r="AO454" s="278"/>
      <c r="AP454" s="278"/>
    </row>
    <row r="455" spans="1:42" s="22" customFormat="1">
      <c r="A455" s="214"/>
      <c r="B455" s="214"/>
      <c r="C455" s="462"/>
      <c r="D455" s="324"/>
      <c r="E455" s="463"/>
      <c r="F455" s="279"/>
      <c r="G455" s="279"/>
      <c r="H455" s="322"/>
      <c r="I455" s="318"/>
      <c r="J455" s="322"/>
      <c r="K455" s="318"/>
      <c r="L455" s="318"/>
      <c r="M455" s="318"/>
      <c r="N455" s="318"/>
      <c r="O455" s="318"/>
      <c r="R455" s="295"/>
      <c r="X455" s="276"/>
      <c r="Y455" s="330"/>
      <c r="Z455" s="328"/>
      <c r="AA455" s="465"/>
      <c r="AB455" s="278"/>
      <c r="AC455" s="278"/>
      <c r="AD455" s="329"/>
      <c r="AE455" s="319"/>
      <c r="AF455" s="319"/>
      <c r="AG455" s="319"/>
      <c r="AH455" s="278"/>
      <c r="AI455" s="278"/>
      <c r="AJ455" s="329"/>
      <c r="AK455" s="329"/>
      <c r="AL455" s="278"/>
      <c r="AM455" s="319"/>
      <c r="AN455" s="278"/>
      <c r="AO455" s="278"/>
      <c r="AP455" s="278"/>
    </row>
    <row r="456" spans="1:42" s="22" customFormat="1">
      <c r="A456" s="214">
        <v>16058</v>
      </c>
      <c r="B456" s="214">
        <v>172</v>
      </c>
      <c r="C456" s="462" t="s">
        <v>968</v>
      </c>
      <c r="D456" s="324">
        <v>105</v>
      </c>
      <c r="E456" s="463">
        <v>0</v>
      </c>
      <c r="F456" s="279"/>
      <c r="G456" s="279">
        <v>11</v>
      </c>
      <c r="H456" s="322"/>
      <c r="I456" s="318">
        <v>1155</v>
      </c>
      <c r="J456" s="322"/>
      <c r="K456" s="318">
        <f>I456</f>
        <v>1155</v>
      </c>
      <c r="L456" s="318"/>
      <c r="M456" s="318">
        <v>0</v>
      </c>
      <c r="N456" s="318"/>
      <c r="O456" s="318">
        <f>K456-M456</f>
        <v>1155</v>
      </c>
      <c r="R456" s="295"/>
      <c r="X456" s="276"/>
      <c r="Y456" s="330"/>
      <c r="Z456" s="328"/>
      <c r="AA456" s="465"/>
      <c r="AB456" s="278"/>
      <c r="AC456" s="278"/>
      <c r="AD456" s="329"/>
      <c r="AE456" s="319"/>
      <c r="AF456" s="319"/>
      <c r="AG456" s="319"/>
      <c r="AH456" s="278"/>
      <c r="AI456" s="278"/>
      <c r="AJ456" s="329"/>
      <c r="AK456" s="329"/>
      <c r="AL456" s="278"/>
      <c r="AM456" s="319"/>
      <c r="AN456" s="278"/>
      <c r="AO456" s="278"/>
      <c r="AP456" s="278"/>
    </row>
    <row r="457" spans="1:42" s="22" customFormat="1">
      <c r="A457" s="214"/>
      <c r="B457" s="214"/>
      <c r="C457" s="462"/>
      <c r="D457" s="324"/>
      <c r="E457" s="463"/>
      <c r="F457" s="279"/>
      <c r="G457" s="279"/>
      <c r="H457" s="322"/>
      <c r="I457" s="318"/>
      <c r="J457" s="322"/>
      <c r="K457" s="318"/>
      <c r="L457" s="318"/>
      <c r="M457" s="318"/>
      <c r="N457" s="318"/>
      <c r="O457" s="318"/>
      <c r="R457" s="295"/>
      <c r="X457" s="276"/>
      <c r="Y457" s="330"/>
      <c r="Z457" s="328"/>
      <c r="AA457" s="465"/>
      <c r="AB457" s="278"/>
      <c r="AC457" s="278"/>
      <c r="AD457" s="329"/>
      <c r="AE457" s="319"/>
      <c r="AF457" s="319"/>
      <c r="AG457" s="319"/>
      <c r="AH457" s="278"/>
      <c r="AI457" s="278"/>
      <c r="AJ457" s="329"/>
      <c r="AK457" s="329"/>
      <c r="AL457" s="278"/>
      <c r="AM457" s="319"/>
      <c r="AN457" s="278"/>
      <c r="AO457" s="278"/>
      <c r="AP457" s="278"/>
    </row>
    <row r="458" spans="1:42" s="22" customFormat="1">
      <c r="A458" s="214">
        <v>16060</v>
      </c>
      <c r="B458" s="214">
        <v>173</v>
      </c>
      <c r="C458" s="462" t="s">
        <v>969</v>
      </c>
      <c r="D458" s="324">
        <v>45</v>
      </c>
      <c r="E458" s="463">
        <v>0</v>
      </c>
      <c r="F458" s="279"/>
      <c r="G458" s="279">
        <v>11</v>
      </c>
      <c r="H458" s="322"/>
      <c r="I458" s="324">
        <v>495</v>
      </c>
      <c r="J458" s="322"/>
      <c r="K458" s="324">
        <f>I458</f>
        <v>495</v>
      </c>
      <c r="L458" s="324"/>
      <c r="M458" s="324">
        <v>0</v>
      </c>
      <c r="N458" s="324"/>
      <c r="O458" s="324">
        <f>K458-M458</f>
        <v>495</v>
      </c>
      <c r="R458" s="295"/>
      <c r="X458" s="276"/>
      <c r="Y458" s="330"/>
      <c r="Z458" s="328"/>
      <c r="AA458" s="465"/>
      <c r="AB458" s="278"/>
      <c r="AC458" s="278"/>
      <c r="AD458" s="329"/>
      <c r="AE458" s="319"/>
      <c r="AF458" s="278"/>
      <c r="AG458" s="319"/>
      <c r="AH458" s="278"/>
      <c r="AI458" s="278"/>
      <c r="AJ458" s="329"/>
      <c r="AK458" s="329"/>
      <c r="AL458" s="278"/>
      <c r="AM458" s="319"/>
      <c r="AN458" s="278"/>
      <c r="AO458" s="319"/>
      <c r="AP458" s="278"/>
    </row>
    <row r="459" spans="1:42" s="22" customFormat="1">
      <c r="A459" s="214"/>
      <c r="B459" s="214"/>
      <c r="C459" s="462"/>
      <c r="D459" s="324"/>
      <c r="E459" s="463"/>
      <c r="F459" s="279"/>
      <c r="G459" s="279"/>
      <c r="H459" s="322"/>
      <c r="I459" s="324"/>
      <c r="J459" s="322"/>
      <c r="K459" s="324"/>
      <c r="L459" s="324"/>
      <c r="M459" s="324"/>
      <c r="N459" s="324"/>
      <c r="O459" s="324"/>
      <c r="R459" s="295"/>
      <c r="X459" s="276"/>
      <c r="Y459" s="330"/>
      <c r="Z459" s="328"/>
      <c r="AA459" s="465"/>
      <c r="AB459" s="278"/>
      <c r="AC459" s="278"/>
      <c r="AD459" s="329"/>
      <c r="AE459" s="319"/>
      <c r="AF459" s="278"/>
      <c r="AG459" s="319"/>
      <c r="AH459" s="278"/>
      <c r="AI459" s="278"/>
      <c r="AJ459" s="329"/>
      <c r="AK459" s="329"/>
      <c r="AL459" s="278"/>
      <c r="AM459" s="319"/>
      <c r="AN459" s="278"/>
      <c r="AO459" s="319"/>
      <c r="AP459" s="278"/>
    </row>
    <row r="460" spans="1:42" s="22" customFormat="1">
      <c r="A460" s="214">
        <v>16070</v>
      </c>
      <c r="B460" s="214">
        <v>172</v>
      </c>
      <c r="C460" s="462" t="s">
        <v>969</v>
      </c>
      <c r="D460" s="324">
        <v>60</v>
      </c>
      <c r="E460" s="463">
        <v>0</v>
      </c>
      <c r="F460" s="279"/>
      <c r="G460" s="279">
        <v>11</v>
      </c>
      <c r="H460" s="322"/>
      <c r="I460" s="324">
        <v>660</v>
      </c>
      <c r="J460" s="322"/>
      <c r="K460" s="324">
        <f>I460</f>
        <v>660</v>
      </c>
      <c r="L460" s="324"/>
      <c r="M460" s="324">
        <v>0</v>
      </c>
      <c r="N460" s="324"/>
      <c r="O460" s="324">
        <f>K460-M460</f>
        <v>660</v>
      </c>
      <c r="R460" s="295"/>
      <c r="X460" s="276"/>
      <c r="Y460" s="330"/>
      <c r="Z460" s="328"/>
      <c r="AA460" s="465"/>
      <c r="AB460" s="278"/>
      <c r="AC460" s="278"/>
      <c r="AD460" s="329"/>
      <c r="AE460" s="319"/>
      <c r="AF460" s="329"/>
      <c r="AG460" s="278"/>
      <c r="AH460" s="329"/>
      <c r="AI460" s="329"/>
      <c r="AJ460" s="329"/>
      <c r="AK460" s="329"/>
      <c r="AL460" s="278"/>
      <c r="AM460" s="278"/>
      <c r="AN460" s="278"/>
      <c r="AO460" s="278"/>
      <c r="AP460" s="278"/>
    </row>
    <row r="461" spans="1:42" s="22" customFormat="1">
      <c r="A461" s="214"/>
      <c r="B461" s="214"/>
      <c r="C461" s="462"/>
      <c r="D461" s="324"/>
      <c r="E461" s="463"/>
      <c r="F461" s="279"/>
      <c r="G461" s="279"/>
      <c r="H461" s="322"/>
      <c r="I461" s="324"/>
      <c r="J461" s="322"/>
      <c r="K461" s="324"/>
      <c r="L461" s="324"/>
      <c r="M461" s="324"/>
      <c r="N461" s="324"/>
      <c r="O461" s="324"/>
      <c r="R461" s="295"/>
      <c r="X461" s="276"/>
      <c r="Y461" s="330"/>
      <c r="Z461" s="328"/>
      <c r="AA461" s="465"/>
      <c r="AB461" s="278"/>
      <c r="AC461" s="278"/>
      <c r="AD461" s="329"/>
      <c r="AE461" s="278"/>
      <c r="AF461" s="278"/>
      <c r="AG461" s="278"/>
      <c r="AH461" s="278"/>
      <c r="AI461" s="278"/>
      <c r="AJ461" s="329"/>
      <c r="AK461" s="329"/>
      <c r="AL461" s="319"/>
      <c r="AM461" s="319"/>
      <c r="AN461" s="319"/>
      <c r="AO461" s="319"/>
      <c r="AP461" s="319"/>
    </row>
    <row r="462" spans="1:42" s="22" customFormat="1">
      <c r="A462" s="214">
        <v>16088</v>
      </c>
      <c r="B462" s="214">
        <v>170</v>
      </c>
      <c r="C462" s="462" t="s">
        <v>4</v>
      </c>
      <c r="D462" s="324">
        <v>60</v>
      </c>
      <c r="E462" s="463">
        <v>0</v>
      </c>
      <c r="F462" s="279"/>
      <c r="G462" s="279">
        <v>11</v>
      </c>
      <c r="H462" s="322"/>
      <c r="I462" s="324">
        <v>660</v>
      </c>
      <c r="J462" s="322"/>
      <c r="K462" s="324">
        <f>I462</f>
        <v>660</v>
      </c>
      <c r="L462" s="324"/>
      <c r="M462" s="324">
        <v>0</v>
      </c>
      <c r="N462" s="324"/>
      <c r="O462" s="324">
        <f>K462-M462</f>
        <v>660</v>
      </c>
      <c r="R462" s="295"/>
      <c r="X462" s="276"/>
      <c r="Y462" s="330"/>
      <c r="Z462" s="328"/>
      <c r="AA462" s="465"/>
      <c r="AB462" s="278"/>
      <c r="AC462" s="278"/>
      <c r="AD462" s="329"/>
      <c r="AE462" s="278"/>
      <c r="AF462" s="278"/>
      <c r="AG462" s="278"/>
      <c r="AH462" s="278"/>
      <c r="AI462" s="278"/>
      <c r="AJ462" s="329"/>
      <c r="AK462" s="329"/>
      <c r="AL462" s="278"/>
      <c r="AM462" s="319"/>
      <c r="AN462" s="278"/>
      <c r="AO462" s="278"/>
      <c r="AP462" s="278"/>
    </row>
    <row r="463" spans="1:42" s="22" customFormat="1">
      <c r="A463" s="214"/>
      <c r="B463" s="214"/>
      <c r="C463" s="462"/>
      <c r="D463" s="324"/>
      <c r="E463" s="463"/>
      <c r="F463" s="279"/>
      <c r="G463" s="279"/>
      <c r="H463" s="322"/>
      <c r="I463" s="324"/>
      <c r="J463" s="322"/>
      <c r="K463" s="324"/>
      <c r="L463" s="324"/>
      <c r="M463" s="324"/>
      <c r="N463" s="324"/>
      <c r="O463" s="324"/>
      <c r="R463" s="295"/>
      <c r="X463" s="276"/>
      <c r="Y463" s="330"/>
      <c r="Z463" s="328"/>
      <c r="AA463" s="465"/>
      <c r="AB463" s="278"/>
      <c r="AC463" s="278"/>
      <c r="AD463" s="329"/>
      <c r="AE463" s="278"/>
      <c r="AF463" s="278"/>
      <c r="AG463" s="278"/>
      <c r="AH463" s="278"/>
      <c r="AI463" s="278"/>
      <c r="AJ463" s="329"/>
      <c r="AK463" s="329"/>
      <c r="AL463" s="278"/>
      <c r="AM463" s="319"/>
      <c r="AN463" s="278"/>
      <c r="AO463" s="319"/>
      <c r="AP463" s="278"/>
    </row>
    <row r="464" spans="1:42" s="22" customFormat="1">
      <c r="A464" s="214">
        <v>16089</v>
      </c>
      <c r="B464" s="214">
        <v>171</v>
      </c>
      <c r="C464" s="48" t="s">
        <v>4</v>
      </c>
      <c r="D464" s="324">
        <v>75</v>
      </c>
      <c r="E464" s="325">
        <v>0</v>
      </c>
      <c r="F464" s="49"/>
      <c r="G464" s="49">
        <v>11</v>
      </c>
      <c r="H464" s="49"/>
      <c r="I464" s="324">
        <v>825</v>
      </c>
      <c r="J464" s="322"/>
      <c r="K464" s="324">
        <f>I464</f>
        <v>825</v>
      </c>
      <c r="L464" s="324"/>
      <c r="M464" s="324">
        <v>0</v>
      </c>
      <c r="N464" s="324"/>
      <c r="O464" s="324">
        <f>K464-M464</f>
        <v>825</v>
      </c>
      <c r="R464" s="295"/>
      <c r="X464" s="276"/>
      <c r="Y464" s="330"/>
      <c r="Z464" s="328"/>
      <c r="AA464" s="465"/>
      <c r="AB464" s="278"/>
      <c r="AC464" s="278"/>
      <c r="AD464" s="329"/>
      <c r="AE464" s="278"/>
      <c r="AF464" s="278"/>
      <c r="AG464" s="278"/>
      <c r="AH464" s="278"/>
      <c r="AI464" s="278"/>
      <c r="AJ464" s="329"/>
      <c r="AK464" s="329"/>
      <c r="AL464" s="319"/>
      <c r="AM464" s="319"/>
      <c r="AN464" s="319"/>
      <c r="AO464" s="319"/>
      <c r="AP464" s="319"/>
    </row>
    <row r="465" spans="1:42">
      <c r="A465" s="214"/>
      <c r="B465" s="214"/>
      <c r="C465" s="48"/>
      <c r="D465" s="324"/>
      <c r="E465" s="325"/>
      <c r="F465" s="49"/>
      <c r="G465" s="49"/>
      <c r="H465" s="49"/>
      <c r="I465" s="324"/>
      <c r="J465" s="322"/>
      <c r="K465" s="324"/>
      <c r="L465" s="324"/>
      <c r="M465" s="324"/>
      <c r="N465" s="324"/>
      <c r="O465" s="324"/>
      <c r="P465" s="22"/>
      <c r="Q465" s="22"/>
      <c r="AC465" s="276"/>
      <c r="AD465" s="464"/>
      <c r="AE465" s="329"/>
      <c r="AF465" s="465"/>
      <c r="AG465" s="278"/>
      <c r="AH465" s="465"/>
      <c r="AI465" s="329"/>
      <c r="AJ465" s="739"/>
      <c r="AK465" s="278"/>
      <c r="AL465" s="739"/>
      <c r="AM465" s="278"/>
      <c r="AN465" s="739"/>
      <c r="AO465" s="329"/>
      <c r="AP465" s="739"/>
    </row>
    <row r="466" spans="1:42">
      <c r="A466" s="214">
        <v>16098</v>
      </c>
      <c r="B466" s="214"/>
      <c r="C466" s="462" t="s">
        <v>5</v>
      </c>
      <c r="D466" s="324">
        <v>3.33</v>
      </c>
      <c r="E466" s="463">
        <v>0</v>
      </c>
      <c r="F466" s="279"/>
      <c r="G466" s="279">
        <v>11</v>
      </c>
      <c r="H466" s="322"/>
      <c r="I466" s="318">
        <v>10076</v>
      </c>
      <c r="J466" s="322"/>
      <c r="K466" s="318">
        <f>I466</f>
        <v>10076</v>
      </c>
      <c r="L466" s="318"/>
      <c r="M466" s="318">
        <v>0</v>
      </c>
      <c r="N466" s="318"/>
      <c r="O466" s="318">
        <f>K466-M466</f>
        <v>10076</v>
      </c>
      <c r="P466" s="22"/>
      <c r="Q466" s="22"/>
      <c r="AC466" s="276"/>
      <c r="AD466" s="330"/>
      <c r="AE466" s="328"/>
      <c r="AF466" s="465"/>
      <c r="AG466" s="278"/>
      <c r="AH466" s="278"/>
      <c r="AI466" s="329"/>
      <c r="AJ466" s="319"/>
      <c r="AK466" s="278"/>
      <c r="AL466" s="319"/>
      <c r="AM466" s="278"/>
      <c r="AN466" s="278"/>
      <c r="AO466" s="329"/>
      <c r="AP466" s="329"/>
    </row>
    <row r="467" spans="1:42">
      <c r="A467" s="214"/>
      <c r="B467" s="214"/>
      <c r="C467" s="462"/>
      <c r="D467" s="324"/>
      <c r="E467" s="463"/>
      <c r="F467" s="279"/>
      <c r="G467" s="279"/>
      <c r="H467" s="322"/>
      <c r="I467" s="279"/>
      <c r="J467" s="322"/>
      <c r="K467" s="279"/>
      <c r="L467" s="279"/>
      <c r="M467" s="279"/>
      <c r="N467" s="279"/>
      <c r="O467" s="279"/>
      <c r="P467" s="22"/>
      <c r="Q467" s="22"/>
      <c r="AC467" s="276"/>
      <c r="AD467" s="330"/>
      <c r="AE467" s="328"/>
      <c r="AF467" s="278"/>
      <c r="AG467" s="278"/>
      <c r="AH467" s="278"/>
      <c r="AI467" s="278"/>
      <c r="AJ467" s="278"/>
      <c r="AK467" s="278"/>
      <c r="AL467" s="278"/>
      <c r="AM467" s="319"/>
      <c r="AN467" s="319"/>
      <c r="AO467" s="319"/>
      <c r="AP467" s="319"/>
    </row>
    <row r="468" spans="1:42">
      <c r="A468" s="214"/>
      <c r="B468" s="214"/>
      <c r="C468" s="462" t="s">
        <v>32</v>
      </c>
      <c r="D468" s="324"/>
      <c r="E468" s="463"/>
      <c r="F468" s="279"/>
      <c r="G468" s="279">
        <f>SUM(G430:G466)</f>
        <v>460</v>
      </c>
      <c r="H468" s="322"/>
      <c r="I468" s="318">
        <v>164758.01999999999</v>
      </c>
      <c r="J468" s="322"/>
      <c r="K468" s="318">
        <f>I468</f>
        <v>164758.01999999999</v>
      </c>
      <c r="L468" s="279"/>
      <c r="M468" s="318">
        <v>0</v>
      </c>
      <c r="N468" s="279"/>
      <c r="O468" s="318">
        <f>K468-M468</f>
        <v>164758.01999999999</v>
      </c>
      <c r="P468" s="22"/>
      <c r="Q468" s="22"/>
      <c r="AC468" s="740"/>
      <c r="AD468" s="740"/>
      <c r="AE468" s="326"/>
      <c r="AF468" s="741"/>
      <c r="AG468" s="326"/>
      <c r="AH468" s="326"/>
      <c r="AI468" s="326"/>
      <c r="AJ468" s="326"/>
      <c r="AK468" s="326"/>
      <c r="AL468" s="326"/>
      <c r="AM468" s="326"/>
      <c r="AN468" s="326"/>
      <c r="AO468" s="326"/>
      <c r="AP468" s="320"/>
    </row>
    <row r="469" spans="1:42">
      <c r="A469" s="276"/>
      <c r="B469" s="276"/>
      <c r="C469" s="464"/>
      <c r="D469" s="329"/>
      <c r="E469" s="465"/>
      <c r="F469" s="278"/>
      <c r="G469" s="278">
        <v>99</v>
      </c>
      <c r="H469" s="329"/>
      <c r="I469" s="278"/>
      <c r="J469" s="322"/>
      <c r="K469" s="278"/>
      <c r="L469" s="278"/>
      <c r="M469" s="278"/>
      <c r="N469" s="329"/>
      <c r="O469" s="329"/>
      <c r="P469" s="22"/>
      <c r="Q469" s="22"/>
      <c r="AC469" s="740"/>
      <c r="AD469" s="740"/>
      <c r="AE469" s="326"/>
      <c r="AF469" s="741"/>
      <c r="AG469" s="326"/>
      <c r="AH469" s="326"/>
      <c r="AI469" s="326"/>
      <c r="AJ469" s="326"/>
      <c r="AK469" s="326"/>
      <c r="AL469" s="326"/>
      <c r="AM469" s="326"/>
      <c r="AN469" s="326"/>
      <c r="AO469" s="326"/>
      <c r="AP469" s="326"/>
    </row>
    <row r="470" spans="1:42">
      <c r="A470" s="276"/>
      <c r="B470" s="276"/>
      <c r="C470" s="464"/>
      <c r="D470" s="22"/>
      <c r="E470" s="727"/>
      <c r="F470" s="727"/>
      <c r="G470" s="727">
        <f>SUM(G468:G469)</f>
        <v>559</v>
      </c>
      <c r="H470" s="727"/>
      <c r="I470" s="275">
        <f>G470/11</f>
        <v>50.81818181818182</v>
      </c>
      <c r="J470" s="322"/>
      <c r="K470" s="275">
        <f>I470*12</f>
        <v>609.81818181818187</v>
      </c>
      <c r="L470" s="275"/>
      <c r="M470" s="275"/>
      <c r="N470" s="275"/>
      <c r="O470" s="275"/>
      <c r="P470" s="22"/>
      <c r="Q470" s="22"/>
      <c r="AC470" s="276"/>
      <c r="AD470" s="330"/>
      <c r="AE470" s="328"/>
      <c r="AF470" s="465"/>
      <c r="AG470" s="278"/>
      <c r="AH470" s="278"/>
      <c r="AI470" s="329"/>
      <c r="AJ470" s="319"/>
      <c r="AK470" s="278"/>
      <c r="AL470" s="319"/>
      <c r="AM470" s="278"/>
      <c r="AN470" s="278"/>
      <c r="AO470" s="329"/>
      <c r="AP470" s="329"/>
    </row>
    <row r="471" spans="1:42">
      <c r="A471" s="332" t="s">
        <v>990</v>
      </c>
      <c r="B471" s="332"/>
      <c r="C471" s="330"/>
      <c r="D471" s="327"/>
      <c r="E471" s="465"/>
      <c r="F471" s="278"/>
      <c r="G471" s="278"/>
      <c r="H471" s="329"/>
      <c r="I471" s="278"/>
      <c r="J471" s="322"/>
      <c r="K471" s="278"/>
      <c r="L471" s="278"/>
      <c r="M471" s="278"/>
      <c r="N471" s="329"/>
      <c r="O471" s="329"/>
      <c r="P471" s="22"/>
      <c r="Q471" s="22"/>
      <c r="AC471" s="276"/>
      <c r="AD471" s="276"/>
      <c r="AE471" s="327"/>
      <c r="AF471" s="278"/>
      <c r="AG471" s="278"/>
      <c r="AH471" s="278"/>
      <c r="AI471" s="278"/>
      <c r="AJ471" s="278"/>
      <c r="AK471" s="278"/>
      <c r="AL471" s="278"/>
      <c r="AM471" s="319"/>
      <c r="AN471" s="319"/>
      <c r="AO471" s="319"/>
      <c r="AP471" s="319"/>
    </row>
    <row r="472" spans="1:42">
      <c r="A472" s="315"/>
      <c r="B472" s="315"/>
      <c r="C472" s="48"/>
      <c r="D472" s="49"/>
      <c r="E472" s="279"/>
      <c r="F472" s="279"/>
      <c r="G472" s="279"/>
      <c r="H472" s="279"/>
      <c r="I472" s="279"/>
      <c r="J472" s="322"/>
      <c r="K472" s="279"/>
      <c r="L472" s="318"/>
      <c r="M472" s="279"/>
      <c r="N472" s="279"/>
      <c r="O472" s="279"/>
      <c r="AC472" s="331"/>
      <c r="AD472" s="51"/>
      <c r="AE472" s="274"/>
      <c r="AF472" s="278"/>
      <c r="AG472" s="278"/>
      <c r="AH472" s="278"/>
      <c r="AI472" s="278"/>
      <c r="AJ472" s="278"/>
      <c r="AK472" s="278"/>
      <c r="AL472" s="278"/>
      <c r="AM472" s="319"/>
      <c r="AN472" s="278"/>
      <c r="AO472" s="278"/>
      <c r="AP472" s="278"/>
    </row>
    <row r="473" spans="1:42">
      <c r="A473" s="214"/>
      <c r="B473" s="214"/>
      <c r="C473" s="462" t="s">
        <v>1561</v>
      </c>
      <c r="D473" s="323"/>
      <c r="E473" s="279">
        <v>753500</v>
      </c>
      <c r="F473" s="279"/>
      <c r="G473" s="279">
        <v>236.99999999999994</v>
      </c>
      <c r="H473" s="279"/>
      <c r="I473" s="325">
        <v>6457.9400000000005</v>
      </c>
      <c r="J473" s="322"/>
      <c r="K473" s="325">
        <f t="shared" ref="K473:K478" si="4">I473</f>
        <v>6457.9400000000005</v>
      </c>
      <c r="L473" s="325"/>
      <c r="M473" s="325">
        <v>0</v>
      </c>
      <c r="N473" s="325"/>
      <c r="O473" s="279">
        <f t="shared" ref="O473:O478" si="5">K473-M473</f>
        <v>6457.9400000000005</v>
      </c>
      <c r="Q473" s="22"/>
      <c r="AC473" s="276"/>
      <c r="AD473" s="330"/>
      <c r="AE473" s="328"/>
      <c r="AF473" s="465"/>
      <c r="AG473" s="278"/>
      <c r="AH473" s="278"/>
      <c r="AI473" s="329"/>
      <c r="AJ473" s="278"/>
      <c r="AK473" s="278"/>
      <c r="AL473" s="278"/>
      <c r="AM473" s="278"/>
      <c r="AN473" s="278"/>
      <c r="AO473" s="329"/>
      <c r="AP473" s="329"/>
    </row>
    <row r="474" spans="1:42">
      <c r="A474" s="276"/>
      <c r="B474" s="276"/>
      <c r="C474" s="462" t="s">
        <v>1562</v>
      </c>
      <c r="D474" s="323"/>
      <c r="E474" s="279">
        <v>205800</v>
      </c>
      <c r="F474" s="279"/>
      <c r="G474" s="279">
        <v>48</v>
      </c>
      <c r="H474" s="279"/>
      <c r="I474" s="325">
        <v>1672.54</v>
      </c>
      <c r="J474" s="322"/>
      <c r="K474" s="325">
        <f t="shared" si="4"/>
        <v>1672.54</v>
      </c>
      <c r="L474" s="325"/>
      <c r="M474" s="325">
        <v>0</v>
      </c>
      <c r="N474" s="325"/>
      <c r="O474" s="279">
        <f t="shared" si="5"/>
        <v>1672.54</v>
      </c>
      <c r="Q474" s="22"/>
      <c r="AC474" s="276"/>
      <c r="AD474" s="330"/>
      <c r="AE474" s="328"/>
      <c r="AF474" s="465"/>
      <c r="AG474" s="278"/>
      <c r="AH474" s="278"/>
      <c r="AI474" s="329"/>
      <c r="AJ474" s="278"/>
      <c r="AK474" s="278"/>
      <c r="AL474" s="278"/>
      <c r="AM474" s="278"/>
      <c r="AN474" s="278"/>
      <c r="AO474" s="329"/>
      <c r="AP474" s="329"/>
    </row>
    <row r="475" spans="1:42">
      <c r="A475" s="276"/>
      <c r="B475" s="276"/>
      <c r="C475" s="462" t="s">
        <v>1563</v>
      </c>
      <c r="D475" s="323"/>
      <c r="E475" s="279">
        <v>16400</v>
      </c>
      <c r="F475" s="279"/>
      <c r="G475" s="279">
        <v>25</v>
      </c>
      <c r="H475" s="279"/>
      <c r="I475" s="325">
        <v>291</v>
      </c>
      <c r="J475" s="322"/>
      <c r="K475" s="325">
        <f t="shared" si="4"/>
        <v>291</v>
      </c>
      <c r="L475" s="325"/>
      <c r="M475" s="325">
        <v>0</v>
      </c>
      <c r="N475" s="325"/>
      <c r="O475" s="279">
        <f t="shared" si="5"/>
        <v>291</v>
      </c>
      <c r="Q475" s="22"/>
      <c r="AC475" s="276"/>
      <c r="AD475" s="330"/>
      <c r="AE475" s="328"/>
      <c r="AF475" s="465"/>
      <c r="AG475" s="278"/>
      <c r="AH475" s="278"/>
      <c r="AI475" s="329"/>
      <c r="AJ475" s="278"/>
      <c r="AK475" s="278"/>
      <c r="AL475" s="278"/>
      <c r="AM475" s="278"/>
      <c r="AN475" s="278"/>
      <c r="AO475" s="329"/>
      <c r="AP475" s="329"/>
    </row>
    <row r="476" spans="1:42">
      <c r="A476" s="214"/>
      <c r="B476" s="214"/>
      <c r="C476" s="462" t="s">
        <v>1605</v>
      </c>
      <c r="D476" s="323"/>
      <c r="E476" s="279">
        <v>19502907</v>
      </c>
      <c r="F476" s="279"/>
      <c r="G476" s="279">
        <v>5776.0000000000018</v>
      </c>
      <c r="H476" s="279"/>
      <c r="I476" s="325">
        <v>162045.75999999989</v>
      </c>
      <c r="J476" s="322"/>
      <c r="K476" s="325">
        <f t="shared" si="4"/>
        <v>162045.75999999989</v>
      </c>
      <c r="L476" s="325"/>
      <c r="M476" s="325">
        <v>0</v>
      </c>
      <c r="N476" s="325"/>
      <c r="O476" s="279">
        <f t="shared" si="5"/>
        <v>162045.75999999989</v>
      </c>
      <c r="Q476" s="22"/>
      <c r="AC476" s="276"/>
      <c r="AD476" s="330"/>
      <c r="AE476" s="328"/>
      <c r="AF476" s="465"/>
      <c r="AG476" s="278"/>
      <c r="AH476" s="278"/>
      <c r="AI476" s="329"/>
      <c r="AJ476" s="278"/>
      <c r="AK476" s="278"/>
      <c r="AL476" s="278"/>
      <c r="AM476" s="278"/>
      <c r="AN476" s="278"/>
      <c r="AO476" s="329"/>
      <c r="AP476" s="329"/>
    </row>
    <row r="477" spans="1:42">
      <c r="A477" s="214"/>
      <c r="B477" s="214"/>
      <c r="C477" s="462" t="s">
        <v>1606</v>
      </c>
      <c r="D477" s="323"/>
      <c r="E477" s="279">
        <v>2174730</v>
      </c>
      <c r="F477" s="279"/>
      <c r="G477" s="279">
        <v>730.00000000000023</v>
      </c>
      <c r="H477" s="279"/>
      <c r="I477" s="325">
        <v>19335.050000000007</v>
      </c>
      <c r="J477" s="322"/>
      <c r="K477" s="325">
        <f t="shared" si="4"/>
        <v>19335.050000000007</v>
      </c>
      <c r="L477" s="325"/>
      <c r="M477" s="325">
        <v>0</v>
      </c>
      <c r="N477" s="325"/>
      <c r="O477" s="279">
        <f t="shared" si="5"/>
        <v>19335.050000000007</v>
      </c>
      <c r="Q477" s="22"/>
      <c r="AC477" s="276"/>
      <c r="AD477" s="330"/>
      <c r="AE477" s="328"/>
      <c r="AF477" s="465"/>
      <c r="AG477" s="278"/>
      <c r="AH477" s="278"/>
      <c r="AI477" s="329"/>
      <c r="AJ477" s="278"/>
      <c r="AK477" s="278"/>
      <c r="AL477" s="278"/>
      <c r="AM477" s="278"/>
      <c r="AN477" s="278"/>
      <c r="AO477" s="329"/>
      <c r="AP477" s="329"/>
    </row>
    <row r="478" spans="1:42">
      <c r="A478" s="214"/>
      <c r="B478" s="214"/>
      <c r="C478" s="462" t="s">
        <v>1607</v>
      </c>
      <c r="D478" s="323"/>
      <c r="E478" s="279">
        <v>136900</v>
      </c>
      <c r="F478" s="279"/>
      <c r="G478" s="279">
        <v>72</v>
      </c>
      <c r="H478" s="279"/>
      <c r="I478" s="325">
        <v>1411.41</v>
      </c>
      <c r="J478" s="322"/>
      <c r="K478" s="325">
        <f t="shared" si="4"/>
        <v>1411.41</v>
      </c>
      <c r="L478" s="325"/>
      <c r="M478" s="325">
        <v>0</v>
      </c>
      <c r="N478" s="325"/>
      <c r="O478" s="279">
        <f t="shared" si="5"/>
        <v>1411.41</v>
      </c>
      <c r="Q478" s="22" t="s">
        <v>669</v>
      </c>
      <c r="AC478" s="276"/>
      <c r="AD478" s="464"/>
      <c r="AE478" s="329"/>
      <c r="AF478" s="465"/>
      <c r="AG478" s="278"/>
      <c r="AH478" s="278"/>
      <c r="AI478" s="329"/>
      <c r="AJ478" s="278"/>
      <c r="AK478" s="278"/>
      <c r="AL478" s="278"/>
      <c r="AM478" s="278"/>
      <c r="AN478" s="278"/>
      <c r="AO478" s="329"/>
      <c r="AP478" s="329"/>
    </row>
    <row r="479" spans="1:42" ht="15.75" thickBot="1">
      <c r="A479" s="214"/>
      <c r="B479" s="214"/>
      <c r="C479" s="214"/>
      <c r="D479" s="323"/>
      <c r="E479" s="385">
        <f>SUM(E473:E478)</f>
        <v>22790237</v>
      </c>
      <c r="F479" s="279"/>
      <c r="G479" s="385">
        <f>SUM(G473:G478)</f>
        <v>6888.0000000000018</v>
      </c>
      <c r="H479" s="279"/>
      <c r="I479" s="386">
        <f>SUM(I473:I478)</f>
        <v>191213.69999999992</v>
      </c>
      <c r="J479" s="322"/>
      <c r="K479" s="386">
        <f>SUM(K473:K478)</f>
        <v>191213.69999999992</v>
      </c>
      <c r="L479" s="319"/>
      <c r="M479" s="386">
        <f>SUM(M473:M478)</f>
        <v>0</v>
      </c>
      <c r="N479" s="278"/>
      <c r="O479" s="386">
        <f>SUM(O473:O478)</f>
        <v>191213.69999999992</v>
      </c>
      <c r="AC479" s="276"/>
      <c r="AD479" s="464"/>
      <c r="AE479" s="329"/>
      <c r="AF479" s="465"/>
      <c r="AG479" s="278"/>
      <c r="AH479" s="278"/>
      <c r="AI479" s="329"/>
      <c r="AJ479" s="278"/>
      <c r="AK479" s="278"/>
      <c r="AL479" s="278"/>
      <c r="AM479" s="278"/>
      <c r="AN479" s="278"/>
      <c r="AO479" s="329"/>
      <c r="AP479" s="329"/>
    </row>
    <row r="480" spans="1:42" ht="15.75" thickTop="1">
      <c r="A480" s="214"/>
      <c r="B480" s="214"/>
      <c r="C480" s="214"/>
      <c r="D480" s="323"/>
      <c r="E480" s="279"/>
      <c r="F480" s="279"/>
      <c r="G480" s="279"/>
      <c r="H480" s="279"/>
      <c r="I480" s="319"/>
      <c r="J480" s="322"/>
      <c r="K480" s="319"/>
      <c r="L480" s="319"/>
      <c r="M480" s="319"/>
      <c r="N480" s="278"/>
      <c r="O480" s="319"/>
      <c r="AC480" s="276"/>
      <c r="AD480" s="464"/>
      <c r="AE480" s="329"/>
      <c r="AF480" s="465"/>
      <c r="AG480" s="278"/>
      <c r="AH480" s="278"/>
      <c r="AI480" s="329"/>
      <c r="AJ480" s="278"/>
      <c r="AK480" s="278"/>
      <c r="AL480" s="278"/>
      <c r="AM480" s="278"/>
      <c r="AN480" s="278"/>
      <c r="AO480" s="329"/>
      <c r="AP480" s="329"/>
    </row>
    <row r="481" spans="1:42">
      <c r="A481" s="48"/>
      <c r="B481" s="48"/>
      <c r="C481" s="316" t="s">
        <v>971</v>
      </c>
      <c r="D481" s="323"/>
      <c r="E481" s="279"/>
      <c r="F481" s="279"/>
      <c r="G481" s="279"/>
      <c r="H481" s="279"/>
      <c r="I481" s="278"/>
      <c r="J481" s="322"/>
      <c r="K481" s="278"/>
      <c r="L481" s="319"/>
      <c r="M481" s="278"/>
      <c r="N481" s="278"/>
      <c r="O481" s="320"/>
      <c r="AC481" s="276"/>
      <c r="AD481" s="464"/>
      <c r="AE481" s="329"/>
      <c r="AF481" s="465"/>
      <c r="AG481" s="278"/>
      <c r="AH481" s="278"/>
      <c r="AI481" s="329"/>
      <c r="AJ481" s="278"/>
      <c r="AK481" s="278"/>
      <c r="AL481" s="278"/>
      <c r="AM481" s="278"/>
      <c r="AN481" s="278"/>
      <c r="AO481" s="329"/>
      <c r="AP481" s="329"/>
    </row>
    <row r="482" spans="1:42">
      <c r="A482" s="48"/>
      <c r="B482" s="48"/>
      <c r="C482" s="316" t="s">
        <v>582</v>
      </c>
      <c r="D482" s="324">
        <v>11.64</v>
      </c>
      <c r="E482" s="279"/>
      <c r="F482" s="279"/>
      <c r="G482" s="279"/>
      <c r="H482" s="279"/>
      <c r="I482" s="278"/>
      <c r="J482" s="322"/>
      <c r="K482" s="278"/>
      <c r="L482" s="319"/>
      <c r="M482" s="278"/>
      <c r="N482" s="278"/>
      <c r="O482" s="278"/>
      <c r="AC482" s="51"/>
      <c r="AD482" s="330"/>
      <c r="AE482" s="328"/>
      <c r="AF482" s="278"/>
      <c r="AG482" s="278"/>
      <c r="AH482" s="278"/>
      <c r="AI482" s="278"/>
      <c r="AJ482" s="278"/>
      <c r="AK482" s="278"/>
      <c r="AL482" s="278"/>
      <c r="AM482" s="319"/>
      <c r="AN482" s="278"/>
      <c r="AO482" s="278"/>
      <c r="AP482" s="278"/>
    </row>
    <row r="483" spans="1:42">
      <c r="A483" s="48"/>
      <c r="B483" s="48"/>
      <c r="C483" s="316" t="s">
        <v>642</v>
      </c>
      <c r="D483" s="325">
        <v>6.59</v>
      </c>
      <c r="E483" s="279"/>
      <c r="F483" s="279"/>
      <c r="G483" s="279"/>
      <c r="H483" s="279"/>
      <c r="I483" s="278"/>
      <c r="J483" s="322"/>
      <c r="K483" s="278"/>
      <c r="L483" s="319"/>
      <c r="M483" s="278"/>
      <c r="N483" s="278"/>
      <c r="O483" s="278"/>
      <c r="R483" s="295"/>
      <c r="S483" s="22"/>
      <c r="T483" s="22"/>
      <c r="U483" s="22"/>
      <c r="V483" s="22"/>
      <c r="W483" s="22"/>
      <c r="X483" s="22" t="s">
        <v>501</v>
      </c>
      <c r="AC483" s="331"/>
      <c r="AD483" s="51"/>
      <c r="AE483" s="274"/>
      <c r="AF483" s="278"/>
      <c r="AG483" s="278"/>
      <c r="AH483" s="278"/>
      <c r="AI483" s="278"/>
      <c r="AJ483" s="278"/>
      <c r="AK483" s="278"/>
      <c r="AL483" s="278"/>
      <c r="AM483" s="319"/>
      <c r="AN483" s="278"/>
      <c r="AO483" s="278"/>
      <c r="AP483" s="278"/>
    </row>
    <row r="484" spans="1:42">
      <c r="A484" s="48"/>
      <c r="B484" s="48"/>
      <c r="C484" s="316" t="s">
        <v>862</v>
      </c>
      <c r="D484" s="325">
        <v>6.05</v>
      </c>
      <c r="E484" s="279"/>
      <c r="F484" s="279"/>
      <c r="G484" s="279"/>
      <c r="H484" s="279"/>
      <c r="I484" s="279"/>
      <c r="J484" s="322"/>
      <c r="K484" s="279"/>
      <c r="L484" s="318"/>
      <c r="M484" s="279"/>
      <c r="N484" s="279"/>
      <c r="O484" s="279"/>
      <c r="R484" s="295"/>
      <c r="S484" s="22"/>
      <c r="T484" s="22"/>
      <c r="U484" s="22"/>
      <c r="V484" s="22"/>
      <c r="W484" s="22"/>
      <c r="X484" s="22" t="s">
        <v>924</v>
      </c>
      <c r="AC484" s="276"/>
      <c r="AD484" s="330"/>
      <c r="AE484" s="328"/>
      <c r="AF484" s="278"/>
      <c r="AG484" s="278"/>
      <c r="AH484" s="278"/>
      <c r="AI484" s="278"/>
      <c r="AJ484" s="278"/>
      <c r="AK484" s="278"/>
      <c r="AL484" s="278"/>
      <c r="AM484" s="319"/>
      <c r="AN484" s="319"/>
      <c r="AO484" s="319"/>
      <c r="AP484" s="319"/>
    </row>
    <row r="485" spans="1:42">
      <c r="A485" s="48"/>
      <c r="B485" s="48"/>
      <c r="C485" s="316" t="s">
        <v>863</v>
      </c>
      <c r="D485" s="325">
        <v>5.51</v>
      </c>
      <c r="E485" s="279"/>
      <c r="F485" s="279"/>
      <c r="G485" s="279"/>
      <c r="H485" s="279"/>
      <c r="I485" s="279"/>
      <c r="J485" s="322"/>
      <c r="K485" s="279"/>
      <c r="L485" s="318"/>
      <c r="M485" s="279"/>
      <c r="N485" s="279"/>
      <c r="O485" s="279"/>
      <c r="R485" s="295"/>
      <c r="S485" s="22"/>
      <c r="T485" s="22"/>
      <c r="U485" s="22"/>
      <c r="V485" s="22"/>
      <c r="W485" s="22"/>
      <c r="X485" s="732" t="e">
        <f>SUM(#REF!)/12</f>
        <v>#REF!</v>
      </c>
      <c r="AC485" s="276"/>
      <c r="AD485" s="330"/>
      <c r="AE485" s="328"/>
      <c r="AF485" s="278"/>
      <c r="AG485" s="278"/>
      <c r="AH485" s="278"/>
      <c r="AI485" s="278"/>
      <c r="AJ485" s="319"/>
      <c r="AK485" s="319"/>
      <c r="AL485" s="319"/>
      <c r="AM485" s="319"/>
      <c r="AN485" s="319"/>
      <c r="AO485" s="319"/>
      <c r="AP485" s="319"/>
    </row>
    <row r="486" spans="1:42">
      <c r="A486" s="48"/>
      <c r="B486" s="48"/>
      <c r="C486" s="316" t="s">
        <v>864</v>
      </c>
      <c r="D486" s="325">
        <v>4.8899999999999997</v>
      </c>
      <c r="E486" s="279"/>
      <c r="F486" s="279"/>
      <c r="G486" s="279"/>
      <c r="H486" s="279"/>
      <c r="I486" s="279"/>
      <c r="J486" s="322"/>
      <c r="K486" s="279"/>
      <c r="L486" s="318"/>
      <c r="M486" s="279"/>
      <c r="N486" s="279"/>
      <c r="O486" s="279"/>
      <c r="R486" s="295"/>
      <c r="S486" s="22"/>
      <c r="T486" s="22"/>
      <c r="U486" s="22"/>
      <c r="V486" s="22"/>
      <c r="W486" s="22"/>
      <c r="X486" s="22"/>
      <c r="AC486" s="276"/>
      <c r="AD486" s="330"/>
      <c r="AE486" s="328"/>
      <c r="AF486" s="278"/>
      <c r="AG486" s="278"/>
      <c r="AH486" s="278"/>
      <c r="AI486" s="278"/>
      <c r="AJ486" s="319"/>
      <c r="AK486" s="319"/>
      <c r="AL486" s="319"/>
      <c r="AM486" s="319"/>
      <c r="AN486" s="319"/>
      <c r="AO486" s="319"/>
      <c r="AP486" s="319"/>
    </row>
    <row r="487" spans="1:42">
      <c r="A487" s="48"/>
      <c r="B487" s="48"/>
      <c r="C487" s="316" t="s">
        <v>876</v>
      </c>
      <c r="D487" s="325">
        <v>4.2699999999999996</v>
      </c>
      <c r="E487" s="279"/>
      <c r="F487" s="279"/>
      <c r="G487" s="279"/>
      <c r="H487" s="279"/>
      <c r="I487" s="279"/>
      <c r="J487" s="322"/>
      <c r="K487" s="279"/>
      <c r="L487" s="318"/>
      <c r="M487" s="279"/>
      <c r="N487" s="279"/>
      <c r="O487" s="279"/>
      <c r="R487" s="295"/>
      <c r="S487" s="22"/>
      <c r="T487" s="22"/>
      <c r="U487" s="22"/>
      <c r="V487" s="22"/>
      <c r="W487" s="22"/>
      <c r="X487" s="22"/>
      <c r="AC487" s="276"/>
      <c r="AD487" s="330"/>
      <c r="AE487" s="328"/>
      <c r="AF487" s="278"/>
      <c r="AG487" s="278"/>
      <c r="AH487" s="278"/>
      <c r="AI487" s="278"/>
      <c r="AJ487" s="319"/>
      <c r="AK487" s="319"/>
      <c r="AL487" s="319"/>
      <c r="AM487" s="319"/>
      <c r="AN487" s="319"/>
      <c r="AO487" s="319"/>
      <c r="AP487" s="319"/>
    </row>
    <row r="488" spans="1:42">
      <c r="A488" s="315"/>
      <c r="B488" s="315"/>
      <c r="C488" s="48"/>
      <c r="D488" s="49"/>
      <c r="E488" s="279"/>
      <c r="F488" s="279"/>
      <c r="G488" s="279"/>
      <c r="H488" s="279"/>
      <c r="I488" s="279"/>
      <c r="J488" s="322"/>
      <c r="K488" s="279"/>
      <c r="L488" s="318"/>
      <c r="M488" s="279"/>
      <c r="N488" s="279"/>
      <c r="O488" s="279"/>
      <c r="AC488" s="331"/>
      <c r="AD488" s="51"/>
      <c r="AE488" s="274"/>
      <c r="AF488" s="278"/>
      <c r="AG488" s="278"/>
      <c r="AH488" s="278"/>
      <c r="AI488" s="278"/>
      <c r="AJ488" s="278"/>
      <c r="AK488" s="278"/>
      <c r="AL488" s="278"/>
      <c r="AM488" s="319"/>
      <c r="AN488" s="319"/>
      <c r="AO488" s="319"/>
      <c r="AP488" s="319"/>
    </row>
    <row r="489" spans="1:42">
      <c r="A489" s="214"/>
      <c r="B489" s="214"/>
      <c r="C489" s="214"/>
      <c r="D489" s="323"/>
      <c r="E489" s="279"/>
      <c r="F489" s="279"/>
      <c r="G489" s="279"/>
      <c r="H489" s="279"/>
      <c r="I489" s="318"/>
      <c r="J489" s="322"/>
      <c r="K489" s="279"/>
      <c r="L489" s="318"/>
      <c r="M489" s="318"/>
      <c r="N489" s="318"/>
      <c r="O489" s="318"/>
      <c r="AC489" s="276"/>
      <c r="AD489" s="330"/>
      <c r="AE489" s="327"/>
      <c r="AF489" s="278"/>
      <c r="AG489" s="278"/>
      <c r="AH489" s="278"/>
      <c r="AI489" s="278"/>
      <c r="AJ489" s="278"/>
      <c r="AK489" s="278"/>
      <c r="AL489" s="278"/>
      <c r="AM489" s="319"/>
      <c r="AN489" s="319"/>
      <c r="AO489" s="319"/>
      <c r="AP489" s="320"/>
    </row>
    <row r="490" spans="1:42">
      <c r="A490" s="214">
        <v>16244</v>
      </c>
      <c r="B490" s="214"/>
      <c r="C490" s="462" t="s">
        <v>1565</v>
      </c>
      <c r="D490" s="323"/>
      <c r="E490" s="279">
        <v>1272500</v>
      </c>
      <c r="F490" s="279"/>
      <c r="G490" s="279">
        <v>84</v>
      </c>
      <c r="H490" s="279"/>
      <c r="I490" s="279">
        <v>8788.57</v>
      </c>
      <c r="J490" s="322"/>
      <c r="K490" s="279">
        <f>I490</f>
        <v>8788.57</v>
      </c>
      <c r="L490" s="279"/>
      <c r="M490" s="279">
        <v>0</v>
      </c>
      <c r="N490" s="279"/>
      <c r="O490" s="279">
        <f>K490-M490</f>
        <v>8788.57</v>
      </c>
      <c r="Q490" s="22" t="s">
        <v>669</v>
      </c>
      <c r="AC490" s="276"/>
      <c r="AD490" s="330"/>
      <c r="AE490" s="328"/>
      <c r="AF490" s="278"/>
      <c r="AG490" s="278"/>
      <c r="AH490" s="278"/>
      <c r="AI490" s="278"/>
      <c r="AJ490" s="278"/>
      <c r="AK490" s="278"/>
      <c r="AL490" s="278"/>
      <c r="AM490" s="319"/>
      <c r="AN490" s="319"/>
      <c r="AO490" s="319"/>
      <c r="AP490" s="278"/>
    </row>
    <row r="491" spans="1:42">
      <c r="A491" s="214">
        <v>16247</v>
      </c>
      <c r="B491" s="214"/>
      <c r="C491" s="462" t="s">
        <v>1566</v>
      </c>
      <c r="D491" s="323"/>
      <c r="E491" s="279">
        <v>487700</v>
      </c>
      <c r="F491" s="279"/>
      <c r="G491" s="279">
        <v>36</v>
      </c>
      <c r="H491" s="279"/>
      <c r="I491" s="279">
        <v>3496.73</v>
      </c>
      <c r="J491" s="322"/>
      <c r="K491" s="279">
        <f>I491</f>
        <v>3496.73</v>
      </c>
      <c r="L491" s="279"/>
      <c r="M491" s="279">
        <v>0</v>
      </c>
      <c r="N491" s="279"/>
      <c r="O491" s="279">
        <f>K491-M491</f>
        <v>3496.73</v>
      </c>
      <c r="Q491" s="732">
        <f>E493/G493</f>
        <v>12644.871794871795</v>
      </c>
      <c r="AC491" s="276"/>
      <c r="AD491" s="330"/>
      <c r="AE491" s="328"/>
      <c r="AF491" s="278"/>
      <c r="AG491" s="278"/>
      <c r="AH491" s="278"/>
      <c r="AI491" s="278"/>
      <c r="AJ491" s="278"/>
      <c r="AK491" s="278"/>
      <c r="AL491" s="278"/>
      <c r="AM491" s="319"/>
      <c r="AN491" s="319"/>
      <c r="AO491" s="319"/>
      <c r="AP491" s="278"/>
    </row>
    <row r="492" spans="1:42">
      <c r="A492" s="276">
        <v>16279</v>
      </c>
      <c r="B492" s="276"/>
      <c r="C492" s="462" t="s">
        <v>1567</v>
      </c>
      <c r="D492" s="323"/>
      <c r="E492" s="279">
        <v>212400</v>
      </c>
      <c r="F492" s="279"/>
      <c r="G492" s="279">
        <v>36</v>
      </c>
      <c r="H492" s="279"/>
      <c r="I492" s="279">
        <v>2124</v>
      </c>
      <c r="J492" s="322"/>
      <c r="K492" s="325">
        <f>I492</f>
        <v>2124</v>
      </c>
      <c r="L492" s="325"/>
      <c r="M492" s="325">
        <v>0</v>
      </c>
      <c r="N492" s="325"/>
      <c r="O492" s="279">
        <f>K492-M492</f>
        <v>2124</v>
      </c>
      <c r="Q492" s="22"/>
      <c r="AC492" s="276"/>
      <c r="AD492" s="330"/>
      <c r="AE492" s="328"/>
      <c r="AF492" s="278"/>
      <c r="AG492" s="278"/>
      <c r="AH492" s="278"/>
      <c r="AI492" s="278"/>
      <c r="AJ492" s="278"/>
      <c r="AK492" s="278"/>
      <c r="AL492" s="278"/>
      <c r="AM492" s="319"/>
      <c r="AN492" s="319"/>
      <c r="AO492" s="319"/>
      <c r="AP492" s="319"/>
    </row>
    <row r="493" spans="1:42" ht="15.75" thickBot="1">
      <c r="A493" s="48"/>
      <c r="B493" s="48"/>
      <c r="C493" s="48"/>
      <c r="D493" s="49"/>
      <c r="E493" s="742">
        <f>SUM(E490:E492)</f>
        <v>1972600</v>
      </c>
      <c r="F493" s="49"/>
      <c r="G493" s="742">
        <f>SUM(G490:G492)</f>
        <v>156</v>
      </c>
      <c r="H493" s="49"/>
      <c r="I493" s="386">
        <f>SUM(I490:I492)</f>
        <v>14409.3</v>
      </c>
      <c r="J493" s="322"/>
      <c r="K493" s="386">
        <f>SUM(K490:K492)</f>
        <v>14409.3</v>
      </c>
      <c r="L493" s="274"/>
      <c r="M493" s="386">
        <f>SUM(M490:M491)</f>
        <v>0</v>
      </c>
      <c r="N493" s="274"/>
      <c r="O493" s="386">
        <f>SUM(O490:O492)</f>
        <v>14409.3</v>
      </c>
      <c r="AC493" s="276"/>
      <c r="AD493" s="330"/>
      <c r="AE493" s="328"/>
      <c r="AF493" s="278"/>
      <c r="AG493" s="278"/>
      <c r="AH493" s="278"/>
      <c r="AI493" s="278"/>
      <c r="AJ493" s="278"/>
      <c r="AK493" s="278"/>
      <c r="AL493" s="278"/>
      <c r="AM493" s="319"/>
      <c r="AN493" s="319"/>
      <c r="AO493" s="319"/>
      <c r="AP493" s="319"/>
    </row>
    <row r="494" spans="1:42" ht="15.75" thickTop="1">
      <c r="A494" s="214"/>
      <c r="B494" s="214"/>
      <c r="C494" s="316" t="s">
        <v>1133</v>
      </c>
      <c r="D494" s="323"/>
      <c r="E494" s="279"/>
      <c r="F494" s="279"/>
      <c r="G494" s="279"/>
      <c r="H494" s="279"/>
      <c r="I494" s="319"/>
      <c r="J494" s="322"/>
      <c r="K494" s="278"/>
      <c r="L494" s="319"/>
      <c r="M494" s="319"/>
      <c r="N494" s="319"/>
      <c r="O494" s="320"/>
      <c r="R494" s="295"/>
      <c r="S494" s="22"/>
      <c r="T494" s="22"/>
      <c r="U494" s="22"/>
      <c r="V494" s="22"/>
      <c r="W494" s="22"/>
      <c r="X494" s="22" t="s">
        <v>501</v>
      </c>
      <c r="AC494" s="276"/>
      <c r="AD494" s="330"/>
      <c r="AE494" s="328"/>
      <c r="AF494" s="278"/>
      <c r="AG494" s="278"/>
      <c r="AH494" s="278"/>
      <c r="AI494" s="278"/>
      <c r="AJ494" s="278"/>
      <c r="AK494" s="278"/>
      <c r="AL494" s="278"/>
      <c r="AM494" s="319"/>
      <c r="AN494" s="319"/>
      <c r="AO494" s="319"/>
      <c r="AP494" s="319"/>
    </row>
    <row r="495" spans="1:42">
      <c r="A495" s="214"/>
      <c r="B495" s="214"/>
      <c r="C495" s="316" t="s">
        <v>972</v>
      </c>
      <c r="D495" s="324">
        <v>39.979999999999997</v>
      </c>
      <c r="E495" s="279"/>
      <c r="F495" s="279"/>
      <c r="G495" s="279"/>
      <c r="H495" s="279"/>
      <c r="I495" s="319"/>
      <c r="J495" s="322"/>
      <c r="K495" s="278"/>
      <c r="L495" s="319"/>
      <c r="M495" s="319"/>
      <c r="N495" s="319"/>
      <c r="O495" s="319"/>
      <c r="R495" s="295"/>
      <c r="S495" s="22"/>
      <c r="T495" s="22"/>
      <c r="U495" s="22"/>
      <c r="V495" s="22"/>
      <c r="W495" s="22"/>
      <c r="X495" s="22" t="s">
        <v>924</v>
      </c>
      <c r="AC495" s="276"/>
      <c r="AD495" s="330"/>
      <c r="AE495" s="328"/>
      <c r="AF495" s="278"/>
      <c r="AG495" s="278"/>
      <c r="AH495" s="278"/>
      <c r="AI495" s="278"/>
      <c r="AJ495" s="278"/>
      <c r="AK495" s="278"/>
      <c r="AL495" s="278"/>
      <c r="AM495" s="319"/>
      <c r="AN495" s="319"/>
      <c r="AO495" s="319"/>
      <c r="AP495" s="319"/>
    </row>
    <row r="496" spans="1:42">
      <c r="A496" s="214"/>
      <c r="B496" s="214"/>
      <c r="C496" s="316" t="s">
        <v>973</v>
      </c>
      <c r="D496" s="325">
        <v>6.59</v>
      </c>
      <c r="E496" s="279"/>
      <c r="F496" s="279"/>
      <c r="G496" s="279"/>
      <c r="H496" s="279"/>
      <c r="I496" s="319"/>
      <c r="J496" s="322"/>
      <c r="K496" s="278"/>
      <c r="L496" s="319"/>
      <c r="M496" s="319"/>
      <c r="N496" s="319"/>
      <c r="O496" s="319"/>
      <c r="R496" s="295"/>
      <c r="S496" s="22"/>
      <c r="T496" s="22"/>
      <c r="U496" s="22"/>
      <c r="V496" s="22"/>
      <c r="W496" s="22"/>
      <c r="X496" s="22"/>
      <c r="AC496" s="276"/>
      <c r="AD496" s="330"/>
      <c r="AE496" s="328"/>
      <c r="AF496" s="278"/>
      <c r="AG496" s="278"/>
      <c r="AH496" s="278"/>
      <c r="AI496" s="278"/>
      <c r="AJ496" s="278"/>
      <c r="AK496" s="278"/>
      <c r="AL496" s="278"/>
      <c r="AM496" s="319"/>
      <c r="AN496" s="319"/>
      <c r="AO496" s="319"/>
      <c r="AP496" s="319"/>
    </row>
    <row r="497" spans="1:42">
      <c r="A497" s="214"/>
      <c r="B497" s="214"/>
      <c r="C497" s="316" t="s">
        <v>862</v>
      </c>
      <c r="D497" s="325">
        <v>6.05</v>
      </c>
      <c r="E497" s="279"/>
      <c r="F497" s="279"/>
      <c r="G497" s="279"/>
      <c r="H497" s="279"/>
      <c r="I497" s="319"/>
      <c r="J497" s="322"/>
      <c r="K497" s="278"/>
      <c r="L497" s="319"/>
      <c r="M497" s="319"/>
      <c r="N497" s="319"/>
      <c r="O497" s="319"/>
      <c r="R497" s="295"/>
      <c r="S497" s="22"/>
      <c r="T497" s="22"/>
      <c r="U497" s="22"/>
      <c r="V497" s="22"/>
      <c r="W497" s="22"/>
      <c r="X497" s="732" t="e">
        <f>SUM(#REF!)/12</f>
        <v>#REF!</v>
      </c>
      <c r="AC497" s="276"/>
      <c r="AD497" s="330"/>
      <c r="AE497" s="328"/>
      <c r="AF497" s="278"/>
      <c r="AG497" s="278"/>
      <c r="AH497" s="278"/>
      <c r="AI497" s="278"/>
      <c r="AJ497" s="278"/>
      <c r="AK497" s="278"/>
      <c r="AL497" s="278"/>
      <c r="AM497" s="319"/>
      <c r="AN497" s="319"/>
      <c r="AO497" s="319"/>
      <c r="AP497" s="319"/>
    </row>
    <row r="498" spans="1:42">
      <c r="A498" s="214"/>
      <c r="B498" s="214"/>
      <c r="C498" s="316" t="s">
        <v>863</v>
      </c>
      <c r="D498" s="325">
        <v>5.51</v>
      </c>
      <c r="E498" s="279"/>
      <c r="F498" s="279"/>
      <c r="G498" s="279"/>
      <c r="H498" s="279"/>
      <c r="I498" s="318"/>
      <c r="J498" s="322"/>
      <c r="K498" s="279"/>
      <c r="L498" s="318"/>
      <c r="M498" s="318"/>
      <c r="N498" s="318"/>
      <c r="O498" s="318"/>
      <c r="AC498" s="276"/>
      <c r="AD498" s="276"/>
      <c r="AE498" s="327"/>
      <c r="AF498" s="278"/>
      <c r="AG498" s="278"/>
      <c r="AH498" s="278"/>
      <c r="AI498" s="278"/>
      <c r="AJ498" s="278"/>
      <c r="AK498" s="278"/>
      <c r="AL498" s="278"/>
      <c r="AM498" s="319"/>
      <c r="AN498" s="319"/>
      <c r="AO498" s="319"/>
      <c r="AP498" s="319"/>
    </row>
    <row r="499" spans="1:42">
      <c r="A499" s="214"/>
      <c r="B499" s="214"/>
      <c r="C499" s="316" t="s">
        <v>864</v>
      </c>
      <c r="D499" s="325">
        <v>4.8899999999999997</v>
      </c>
      <c r="E499" s="279"/>
      <c r="F499" s="279"/>
      <c r="G499" s="279"/>
      <c r="H499" s="279"/>
      <c r="I499" s="318"/>
      <c r="J499" s="322"/>
      <c r="K499" s="279"/>
      <c r="L499" s="318"/>
      <c r="M499" s="318"/>
      <c r="N499" s="318"/>
      <c r="O499" s="318"/>
      <c r="AC499" s="276"/>
      <c r="AD499" s="276"/>
      <c r="AE499" s="327"/>
      <c r="AF499" s="278"/>
      <c r="AG499" s="278"/>
      <c r="AH499" s="278"/>
      <c r="AI499" s="278"/>
      <c r="AJ499" s="278"/>
      <c r="AK499" s="278"/>
      <c r="AL499" s="278"/>
      <c r="AM499" s="319"/>
      <c r="AN499" s="319"/>
      <c r="AO499" s="319"/>
      <c r="AP499" s="319"/>
    </row>
    <row r="500" spans="1:42">
      <c r="A500" s="214"/>
      <c r="B500" s="214"/>
      <c r="C500" s="316" t="s">
        <v>876</v>
      </c>
      <c r="D500" s="325">
        <v>4.2699999999999996</v>
      </c>
      <c r="E500" s="279"/>
      <c r="F500" s="279"/>
      <c r="G500" s="279"/>
      <c r="H500" s="279"/>
      <c r="I500" s="318"/>
      <c r="J500" s="322"/>
      <c r="K500" s="279"/>
      <c r="L500" s="318"/>
      <c r="M500" s="318"/>
      <c r="N500" s="318"/>
      <c r="O500" s="318"/>
      <c r="AC500" s="51"/>
      <c r="AD500" s="51"/>
      <c r="AE500" s="274"/>
      <c r="AF500" s="274"/>
      <c r="AG500" s="274"/>
      <c r="AH500" s="274"/>
      <c r="AI500" s="274"/>
      <c r="AJ500" s="274"/>
      <c r="AK500" s="274"/>
      <c r="AL500" s="319"/>
      <c r="AM500" s="274"/>
      <c r="AN500" s="319"/>
      <c r="AO500" s="274"/>
      <c r="AP500" s="319"/>
    </row>
    <row r="501" spans="1:42">
      <c r="A501" s="214"/>
      <c r="B501" s="214"/>
      <c r="C501" s="316"/>
      <c r="D501" s="325"/>
      <c r="E501" s="279"/>
      <c r="F501" s="279"/>
      <c r="G501" s="279"/>
      <c r="H501" s="279"/>
      <c r="I501" s="318"/>
      <c r="J501" s="322"/>
      <c r="K501" s="279"/>
      <c r="L501" s="318"/>
      <c r="M501" s="318"/>
      <c r="N501" s="318"/>
      <c r="O501" s="318"/>
      <c r="AC501" s="51"/>
      <c r="AD501" s="51"/>
      <c r="AE501" s="274"/>
      <c r="AF501" s="274"/>
      <c r="AG501" s="274"/>
      <c r="AH501" s="274"/>
      <c r="AI501" s="274"/>
      <c r="AJ501" s="274"/>
      <c r="AK501" s="274"/>
      <c r="AL501" s="319"/>
      <c r="AM501" s="274"/>
      <c r="AN501" s="319"/>
      <c r="AO501" s="274"/>
      <c r="AP501" s="319"/>
    </row>
    <row r="502" spans="1:42">
      <c r="A502" s="214"/>
      <c r="B502" s="214"/>
      <c r="C502" s="462"/>
      <c r="D502" s="323"/>
      <c r="E502" s="279"/>
      <c r="F502" s="279"/>
      <c r="G502" s="279"/>
      <c r="H502" s="279"/>
      <c r="I502" s="318"/>
      <c r="J502" s="322"/>
      <c r="K502" s="279"/>
      <c r="L502" s="318"/>
      <c r="M502" s="318"/>
      <c r="N502" s="318"/>
      <c r="O502" s="318"/>
      <c r="Q502" s="22"/>
      <c r="AC502" s="276"/>
      <c r="AD502" s="330"/>
      <c r="AE502" s="328"/>
      <c r="AF502" s="278"/>
      <c r="AG502" s="278"/>
      <c r="AH502" s="278"/>
      <c r="AI502" s="278"/>
      <c r="AJ502" s="278"/>
      <c r="AK502" s="278"/>
      <c r="AL502" s="278"/>
      <c r="AM502" s="319"/>
      <c r="AN502" s="319"/>
      <c r="AO502" s="319"/>
      <c r="AP502" s="319"/>
    </row>
    <row r="503" spans="1:42">
      <c r="A503" s="214"/>
      <c r="B503" s="214"/>
      <c r="C503" s="214"/>
      <c r="D503" s="323"/>
      <c r="E503" s="279"/>
      <c r="F503" s="279"/>
      <c r="G503" s="279"/>
      <c r="H503" s="279"/>
      <c r="I503" s="318"/>
      <c r="J503" s="322"/>
      <c r="K503" s="279"/>
      <c r="L503" s="318"/>
      <c r="M503" s="318"/>
      <c r="N503" s="318"/>
      <c r="O503" s="318"/>
      <c r="AC503" s="276"/>
      <c r="AD503" s="330"/>
      <c r="AE503" s="328"/>
      <c r="AF503" s="278"/>
      <c r="AG503" s="278"/>
      <c r="AH503" s="278"/>
      <c r="AI503" s="278"/>
      <c r="AJ503" s="278"/>
      <c r="AK503" s="278"/>
      <c r="AL503" s="278"/>
      <c r="AM503" s="319"/>
      <c r="AN503" s="278"/>
      <c r="AO503" s="278"/>
      <c r="AP503" s="278"/>
    </row>
    <row r="504" spans="1:42">
      <c r="A504" s="214">
        <v>16238</v>
      </c>
      <c r="B504" s="214"/>
      <c r="C504" s="462" t="s">
        <v>1576</v>
      </c>
      <c r="D504" s="323"/>
      <c r="E504" s="279">
        <v>1323700</v>
      </c>
      <c r="F504" s="279"/>
      <c r="G504" s="279">
        <v>24</v>
      </c>
      <c r="H504" s="279"/>
      <c r="I504" s="318">
        <v>6819.5119999999997</v>
      </c>
      <c r="J504" s="322"/>
      <c r="K504" s="318">
        <f>I504</f>
        <v>6819.5119999999997</v>
      </c>
      <c r="L504" s="318"/>
      <c r="M504" s="318">
        <v>0</v>
      </c>
      <c r="N504" s="318"/>
      <c r="O504" s="318">
        <f>K504-M504</f>
        <v>6819.5119999999997</v>
      </c>
      <c r="AC504" s="276"/>
      <c r="AD504" s="330"/>
      <c r="AE504" s="328"/>
      <c r="AF504" s="278"/>
      <c r="AG504" s="278"/>
      <c r="AH504" s="278"/>
      <c r="AI504" s="278"/>
      <c r="AJ504" s="278"/>
      <c r="AK504" s="278"/>
      <c r="AL504" s="278"/>
      <c r="AM504" s="319"/>
      <c r="AN504" s="319"/>
      <c r="AO504" s="319"/>
      <c r="AP504" s="319"/>
    </row>
    <row r="505" spans="1:42">
      <c r="A505" s="214">
        <v>16252</v>
      </c>
      <c r="B505" s="214"/>
      <c r="C505" s="462" t="s">
        <v>1577</v>
      </c>
      <c r="D505" s="323"/>
      <c r="E505" s="279">
        <v>1724000</v>
      </c>
      <c r="F505" s="279"/>
      <c r="G505" s="279">
        <v>24</v>
      </c>
      <c r="H505" s="279"/>
      <c r="I505" s="318">
        <v>8967.9639999999999</v>
      </c>
      <c r="J505" s="322"/>
      <c r="K505" s="325">
        <f>I505</f>
        <v>8967.9639999999999</v>
      </c>
      <c r="L505" s="318"/>
      <c r="M505" s="325">
        <v>0</v>
      </c>
      <c r="N505" s="318"/>
      <c r="O505" s="279">
        <f>K505-M505</f>
        <v>8967.9639999999999</v>
      </c>
      <c r="Q505" s="22" t="s">
        <v>669</v>
      </c>
      <c r="AC505" s="276"/>
      <c r="AD505" s="330"/>
      <c r="AE505" s="328"/>
      <c r="AF505" s="278"/>
      <c r="AG505" s="278"/>
      <c r="AH505" s="278"/>
      <c r="AI505" s="278"/>
      <c r="AJ505" s="278"/>
      <c r="AK505" s="278"/>
      <c r="AL505" s="278"/>
      <c r="AM505" s="319"/>
      <c r="AN505" s="319"/>
      <c r="AO505" s="319"/>
      <c r="AP505" s="319"/>
    </row>
    <row r="506" spans="1:42" ht="15.75" thickBot="1">
      <c r="A506" s="214"/>
      <c r="B506" s="214"/>
      <c r="C506" s="214"/>
      <c r="D506" s="323"/>
      <c r="E506" s="385">
        <f>SUM(E504:E505)</f>
        <v>3047700</v>
      </c>
      <c r="F506" s="279"/>
      <c r="G506" s="385">
        <f>SUM(G504:G505)</f>
        <v>48</v>
      </c>
      <c r="H506" s="279"/>
      <c r="I506" s="386">
        <f>SUM(I504:I505)</f>
        <v>15787.475999999999</v>
      </c>
      <c r="J506" s="322"/>
      <c r="K506" s="386">
        <f>SUM(K504:K505)</f>
        <v>15787.475999999999</v>
      </c>
      <c r="L506" s="318"/>
      <c r="M506" s="386">
        <f>SUM(M504:M505)</f>
        <v>0</v>
      </c>
      <c r="N506" s="318"/>
      <c r="O506" s="386">
        <f>SUM(O504:O505)</f>
        <v>15787.475999999999</v>
      </c>
      <c r="AC506" s="276"/>
      <c r="AD506" s="330"/>
      <c r="AE506" s="328"/>
      <c r="AF506" s="278"/>
      <c r="AG506" s="278"/>
      <c r="AH506" s="278"/>
      <c r="AI506" s="278"/>
      <c r="AJ506" s="278"/>
      <c r="AK506" s="278"/>
      <c r="AL506" s="278"/>
      <c r="AM506" s="319"/>
      <c r="AN506" s="319"/>
      <c r="AO506" s="319"/>
      <c r="AP506" s="319"/>
    </row>
    <row r="507" spans="1:42" ht="15.75" thickTop="1">
      <c r="A507" s="214"/>
      <c r="B507" s="214"/>
      <c r="C507" s="214"/>
      <c r="D507" s="323"/>
      <c r="E507" s="279"/>
      <c r="F507" s="279"/>
      <c r="G507" s="279"/>
      <c r="H507" s="279"/>
      <c r="I507" s="318"/>
      <c r="J507" s="322"/>
      <c r="K507" s="279"/>
      <c r="L507" s="318"/>
      <c r="M507" s="318"/>
      <c r="N507" s="318"/>
      <c r="O507" s="318"/>
      <c r="AC507" s="276"/>
      <c r="AD507" s="330"/>
      <c r="AE507" s="328"/>
      <c r="AF507" s="278"/>
      <c r="AG507" s="278"/>
      <c r="AH507" s="278"/>
      <c r="AI507" s="278"/>
      <c r="AJ507" s="278"/>
      <c r="AK507" s="278"/>
      <c r="AL507" s="278"/>
      <c r="AM507" s="319"/>
      <c r="AN507" s="319"/>
      <c r="AO507" s="319"/>
      <c r="AP507" s="319"/>
    </row>
    <row r="508" spans="1:42">
      <c r="A508" s="214"/>
      <c r="B508" s="214"/>
      <c r="C508" s="316" t="s">
        <v>974</v>
      </c>
      <c r="D508" s="323"/>
      <c r="E508" s="279"/>
      <c r="F508" s="279"/>
      <c r="G508" s="279"/>
      <c r="H508" s="279"/>
      <c r="I508" s="318"/>
      <c r="J508" s="322"/>
      <c r="K508" s="279"/>
      <c r="L508" s="318"/>
      <c r="M508" s="318"/>
      <c r="N508" s="318"/>
      <c r="O508" s="318"/>
      <c r="AC508" s="276"/>
      <c r="AD508" s="330"/>
      <c r="AE508" s="328"/>
      <c r="AF508" s="278"/>
      <c r="AG508" s="278"/>
      <c r="AH508" s="278"/>
      <c r="AI508" s="278"/>
      <c r="AJ508" s="278"/>
      <c r="AK508" s="278"/>
      <c r="AL508" s="278"/>
      <c r="AM508" s="319"/>
      <c r="AN508" s="319"/>
      <c r="AO508" s="319"/>
      <c r="AP508" s="319"/>
    </row>
    <row r="509" spans="1:42">
      <c r="A509" s="214"/>
      <c r="B509" s="214"/>
      <c r="C509" s="316" t="s">
        <v>975</v>
      </c>
      <c r="D509" s="324">
        <v>78.23</v>
      </c>
      <c r="E509" s="279"/>
      <c r="F509" s="279"/>
      <c r="G509" s="279"/>
      <c r="H509" s="279"/>
      <c r="I509" s="318"/>
      <c r="J509" s="322"/>
      <c r="K509" s="279"/>
      <c r="L509" s="318"/>
      <c r="M509" s="318"/>
      <c r="N509" s="318"/>
      <c r="O509" s="318"/>
      <c r="R509" s="295"/>
      <c r="S509" s="22"/>
      <c r="T509" s="22"/>
      <c r="U509" s="22"/>
      <c r="V509" s="22"/>
      <c r="W509" s="22"/>
      <c r="X509" s="22" t="s">
        <v>501</v>
      </c>
      <c r="AC509" s="276"/>
      <c r="AD509" s="330"/>
      <c r="AE509" s="328"/>
      <c r="AF509" s="278"/>
      <c r="AG509" s="278"/>
      <c r="AH509" s="278"/>
      <c r="AI509" s="278"/>
      <c r="AJ509" s="278"/>
      <c r="AK509" s="278"/>
      <c r="AL509" s="278"/>
      <c r="AM509" s="319"/>
      <c r="AN509" s="278"/>
      <c r="AO509" s="278"/>
      <c r="AP509" s="278"/>
    </row>
    <row r="510" spans="1:42">
      <c r="A510" s="214"/>
      <c r="B510" s="214"/>
      <c r="C510" s="316" t="s">
        <v>976</v>
      </c>
      <c r="D510" s="325">
        <v>6.05</v>
      </c>
      <c r="E510" s="279"/>
      <c r="F510" s="279"/>
      <c r="G510" s="279"/>
      <c r="H510" s="279"/>
      <c r="I510" s="318"/>
      <c r="J510" s="322"/>
      <c r="K510" s="279"/>
      <c r="L510" s="318"/>
      <c r="M510" s="318"/>
      <c r="N510" s="318"/>
      <c r="O510" s="318"/>
      <c r="R510" s="295"/>
      <c r="S510" s="22"/>
      <c r="T510" s="22"/>
      <c r="U510" s="22"/>
      <c r="V510" s="22"/>
      <c r="W510" s="22"/>
      <c r="X510" s="22" t="s">
        <v>924</v>
      </c>
      <c r="AC510" s="276"/>
      <c r="AD510" s="276"/>
      <c r="AE510" s="327"/>
      <c r="AF510" s="278"/>
      <c r="AG510" s="278"/>
      <c r="AH510" s="278"/>
      <c r="AI510" s="278"/>
      <c r="AJ510" s="278"/>
      <c r="AK510" s="278"/>
      <c r="AL510" s="278"/>
      <c r="AM510" s="319"/>
      <c r="AN510" s="319"/>
      <c r="AO510" s="319"/>
      <c r="AP510" s="319"/>
    </row>
    <row r="511" spans="1:42">
      <c r="A511" s="214"/>
      <c r="B511" s="214"/>
      <c r="C511" s="316" t="s">
        <v>863</v>
      </c>
      <c r="D511" s="325">
        <v>5.51</v>
      </c>
      <c r="E511" s="279"/>
      <c r="F511" s="279"/>
      <c r="G511" s="279"/>
      <c r="H511" s="279"/>
      <c r="I511" s="318"/>
      <c r="J511" s="322"/>
      <c r="K511" s="279"/>
      <c r="L511" s="318"/>
      <c r="M511" s="318"/>
      <c r="N511" s="318"/>
      <c r="O511" s="318"/>
      <c r="R511" s="295"/>
      <c r="S511" s="22"/>
      <c r="T511" s="22"/>
      <c r="U511" s="22"/>
      <c r="V511" s="22"/>
      <c r="W511" s="22"/>
      <c r="X511" s="732">
        <f>SUM(G515:G526)/12</f>
        <v>16</v>
      </c>
      <c r="AC511" s="276"/>
      <c r="AD511" s="330"/>
      <c r="AE511" s="328"/>
      <c r="AF511" s="278"/>
      <c r="AG511" s="278"/>
      <c r="AH511" s="278"/>
      <c r="AI511" s="278"/>
      <c r="AJ511" s="278"/>
      <c r="AK511" s="278"/>
      <c r="AL511" s="278"/>
      <c r="AM511" s="319"/>
      <c r="AN511" s="319"/>
      <c r="AO511" s="319"/>
      <c r="AP511" s="319"/>
    </row>
    <row r="512" spans="1:42">
      <c r="A512" s="214"/>
      <c r="B512" s="214"/>
      <c r="C512" s="316" t="s">
        <v>864</v>
      </c>
      <c r="D512" s="325">
        <v>4.59</v>
      </c>
      <c r="E512" s="279"/>
      <c r="F512" s="279"/>
      <c r="G512" s="279"/>
      <c r="H512" s="279"/>
      <c r="I512" s="318"/>
      <c r="J512" s="322"/>
      <c r="K512" s="279"/>
      <c r="L512" s="318"/>
      <c r="M512" s="318"/>
      <c r="N512" s="318"/>
      <c r="O512" s="318"/>
      <c r="R512" s="295"/>
      <c r="S512" s="22"/>
      <c r="T512" s="22"/>
      <c r="U512" s="22"/>
      <c r="V512" s="22"/>
      <c r="W512" s="22"/>
      <c r="X512" s="22"/>
      <c r="AC512" s="276"/>
      <c r="AD512" s="330"/>
      <c r="AE512" s="328"/>
      <c r="AF512" s="278"/>
      <c r="AG512" s="278"/>
      <c r="AH512" s="278"/>
      <c r="AI512" s="278"/>
      <c r="AJ512" s="319"/>
      <c r="AK512" s="319"/>
      <c r="AL512" s="319"/>
      <c r="AM512" s="319"/>
      <c r="AN512" s="319"/>
      <c r="AO512" s="319"/>
      <c r="AP512" s="319"/>
    </row>
    <row r="513" spans="1:42">
      <c r="A513" s="214"/>
      <c r="B513" s="214"/>
      <c r="C513" s="316" t="s">
        <v>876</v>
      </c>
      <c r="D513" s="325">
        <v>4.2699999999999996</v>
      </c>
      <c r="E513" s="279"/>
      <c r="F513" s="279"/>
      <c r="G513" s="279"/>
      <c r="H513" s="279"/>
      <c r="I513" s="318"/>
      <c r="J513" s="322"/>
      <c r="K513" s="279"/>
      <c r="L513" s="318"/>
      <c r="M513" s="318"/>
      <c r="N513" s="318"/>
      <c r="O513" s="318"/>
      <c r="R513" s="295"/>
      <c r="S513" s="22"/>
      <c r="T513" s="22"/>
      <c r="U513" s="22"/>
      <c r="V513" s="22"/>
      <c r="W513" s="22"/>
      <c r="X513" s="22"/>
      <c r="AC513" s="276"/>
      <c r="AD513" s="330"/>
      <c r="AE513" s="328"/>
      <c r="AF513" s="278"/>
      <c r="AG513" s="278"/>
      <c r="AH513" s="278"/>
      <c r="AI513" s="278"/>
      <c r="AJ513" s="319"/>
      <c r="AK513" s="319"/>
      <c r="AL513" s="319"/>
      <c r="AM513" s="319"/>
      <c r="AN513" s="319"/>
      <c r="AO513" s="319"/>
      <c r="AP513" s="319"/>
    </row>
    <row r="514" spans="1:42">
      <c r="A514" s="214"/>
      <c r="B514" s="214"/>
      <c r="C514" s="214"/>
      <c r="D514" s="323"/>
      <c r="E514" s="279"/>
      <c r="F514" s="279"/>
      <c r="G514" s="279"/>
      <c r="H514" s="279"/>
      <c r="I514" s="318"/>
      <c r="J514" s="322"/>
      <c r="K514" s="279"/>
      <c r="L514" s="318"/>
      <c r="M514" s="318"/>
      <c r="N514" s="318"/>
      <c r="O514" s="318"/>
      <c r="AC514" s="276"/>
      <c r="AD514" s="330"/>
      <c r="AE514" s="328"/>
      <c r="AF514" s="278"/>
      <c r="AG514" s="278"/>
      <c r="AH514" s="278"/>
      <c r="AI514" s="278"/>
      <c r="AJ514" s="278"/>
      <c r="AK514" s="278"/>
      <c r="AL514" s="278"/>
      <c r="AM514" s="319"/>
      <c r="AN514" s="278"/>
      <c r="AO514" s="278"/>
      <c r="AP514" s="278"/>
    </row>
    <row r="515" spans="1:42">
      <c r="A515" s="214"/>
      <c r="B515" s="214"/>
      <c r="C515" s="316"/>
      <c r="D515" s="325"/>
      <c r="E515" s="279"/>
      <c r="F515" s="279"/>
      <c r="G515" s="279"/>
      <c r="H515" s="279"/>
      <c r="I515" s="318"/>
      <c r="J515" s="322"/>
      <c r="K515" s="279"/>
      <c r="L515" s="318"/>
      <c r="M515" s="318"/>
      <c r="N515" s="318"/>
      <c r="O515" s="318"/>
    </row>
    <row r="516" spans="1:42">
      <c r="A516" s="214">
        <v>16262</v>
      </c>
      <c r="B516" s="214"/>
      <c r="C516" s="462" t="s">
        <v>1579</v>
      </c>
      <c r="D516" s="323"/>
      <c r="E516" s="279">
        <v>494000</v>
      </c>
      <c r="F516" s="279"/>
      <c r="G516" s="279">
        <v>12</v>
      </c>
      <c r="H516" s="279"/>
      <c r="I516" s="279">
        <v>2966.2200000000003</v>
      </c>
      <c r="J516" s="322"/>
      <c r="K516" s="279">
        <f>I516</f>
        <v>2966.2200000000003</v>
      </c>
      <c r="L516" s="279"/>
      <c r="M516" s="279">
        <v>0</v>
      </c>
      <c r="N516" s="279"/>
      <c r="O516" s="279">
        <f>K516-M516</f>
        <v>2966.2200000000003</v>
      </c>
      <c r="Q516" s="22" t="s">
        <v>669</v>
      </c>
      <c r="AC516" s="276"/>
      <c r="AD516" s="330"/>
      <c r="AE516" s="328"/>
      <c r="AF516" s="278"/>
      <c r="AG516" s="278"/>
      <c r="AH516" s="278"/>
      <c r="AI516" s="278"/>
      <c r="AJ516" s="278"/>
      <c r="AK516" s="278"/>
      <c r="AL516" s="278"/>
      <c r="AM516" s="319"/>
      <c r="AN516" s="319"/>
      <c r="AO516" s="319"/>
      <c r="AP516" s="319"/>
    </row>
    <row r="517" spans="1:42">
      <c r="A517" s="214">
        <v>16264</v>
      </c>
      <c r="B517" s="214"/>
      <c r="C517" s="462" t="s">
        <v>1580</v>
      </c>
      <c r="D517" s="323"/>
      <c r="E517" s="279">
        <v>6673400</v>
      </c>
      <c r="F517" s="279"/>
      <c r="G517" s="279">
        <v>72</v>
      </c>
      <c r="H517" s="279"/>
      <c r="I517" s="279">
        <v>29535.576666666668</v>
      </c>
      <c r="J517" s="322"/>
      <c r="K517" s="279">
        <f>I517</f>
        <v>29535.576666666668</v>
      </c>
      <c r="L517" s="279"/>
      <c r="M517" s="279">
        <v>0</v>
      </c>
      <c r="N517" s="279"/>
      <c r="O517" s="279">
        <f>K517-M517</f>
        <v>29535.576666666668</v>
      </c>
      <c r="Q517" s="732">
        <f>E519/G519</f>
        <v>112366.66666666667</v>
      </c>
      <c r="AC517" s="276"/>
      <c r="AD517" s="330"/>
      <c r="AE517" s="328"/>
      <c r="AF517" s="278"/>
      <c r="AG517" s="278"/>
      <c r="AH517" s="278"/>
      <c r="AI517" s="278"/>
      <c r="AJ517" s="278"/>
      <c r="AK517" s="278"/>
      <c r="AL517" s="278"/>
      <c r="AM517" s="319"/>
      <c r="AN517" s="319"/>
      <c r="AO517" s="319"/>
      <c r="AP517" s="319"/>
    </row>
    <row r="518" spans="1:42">
      <c r="A518" s="276">
        <v>16278</v>
      </c>
      <c r="B518" s="276"/>
      <c r="C518" s="462" t="s">
        <v>1581</v>
      </c>
      <c r="D518" s="323"/>
      <c r="E518" s="279">
        <v>3619800</v>
      </c>
      <c r="F518" s="279"/>
      <c r="G518" s="279">
        <v>12</v>
      </c>
      <c r="H518" s="279"/>
      <c r="I518" s="279">
        <v>23747.947333333326</v>
      </c>
      <c r="J518" s="322"/>
      <c r="K518" s="279">
        <f>I518</f>
        <v>23747.947333333326</v>
      </c>
      <c r="L518" s="325"/>
      <c r="M518" s="325">
        <v>0</v>
      </c>
      <c r="N518" s="325"/>
      <c r="O518" s="279">
        <f>K518-M518</f>
        <v>23747.947333333326</v>
      </c>
      <c r="Q518" s="22"/>
      <c r="AC518" s="276"/>
      <c r="AD518" s="330"/>
      <c r="AE518" s="328"/>
      <c r="AF518" s="278"/>
      <c r="AG518" s="278"/>
      <c r="AH518" s="278"/>
      <c r="AI518" s="278"/>
      <c r="AJ518" s="278"/>
      <c r="AK518" s="278"/>
      <c r="AL518" s="278"/>
      <c r="AM518" s="319"/>
      <c r="AN518" s="319"/>
      <c r="AO518" s="319"/>
      <c r="AP518" s="319"/>
    </row>
    <row r="519" spans="1:42" ht="15.75" thickBot="1">
      <c r="A519" s="214"/>
      <c r="B519" s="214"/>
      <c r="C519" s="214"/>
      <c r="D519" s="323"/>
      <c r="E519" s="385">
        <f>SUM(E516:E518)</f>
        <v>10787200</v>
      </c>
      <c r="F519" s="279"/>
      <c r="G519" s="385">
        <f>SUM(G516:G518)</f>
        <v>96</v>
      </c>
      <c r="H519" s="279"/>
      <c r="I519" s="386">
        <f>SUM(I516:I518)</f>
        <v>56249.743999999992</v>
      </c>
      <c r="J519" s="322"/>
      <c r="K519" s="386">
        <f>SUM(K516:K518)</f>
        <v>56249.743999999992</v>
      </c>
      <c r="L519" s="318"/>
      <c r="M519" s="386">
        <f>SUM(M516:M517)</f>
        <v>0</v>
      </c>
      <c r="N519" s="279"/>
      <c r="O519" s="386">
        <f>SUM(O516:O517)</f>
        <v>32501.796666666669</v>
      </c>
      <c r="AC519" s="276"/>
      <c r="AD519" s="330"/>
      <c r="AE519" s="328"/>
      <c r="AF519" s="278"/>
      <c r="AG519" s="278"/>
      <c r="AH519" s="278"/>
      <c r="AI519" s="278"/>
      <c r="AJ519" s="278"/>
      <c r="AK519" s="278"/>
      <c r="AL519" s="278"/>
      <c r="AM519" s="319"/>
      <c r="AN519" s="278"/>
      <c r="AO519" s="278"/>
      <c r="AP519" s="278"/>
    </row>
    <row r="520" spans="1:42" ht="15.75" thickTop="1">
      <c r="A520" s="214"/>
      <c r="B520" s="214"/>
      <c r="C520" s="214"/>
      <c r="D520" s="323"/>
      <c r="E520" s="279"/>
      <c r="F520" s="279"/>
      <c r="G520" s="279"/>
      <c r="H520" s="279"/>
      <c r="I520" s="279"/>
      <c r="J520" s="322"/>
      <c r="K520" s="279"/>
      <c r="L520" s="318"/>
      <c r="M520" s="279"/>
      <c r="N520" s="279"/>
      <c r="O520" s="318"/>
    </row>
    <row r="521" spans="1:42">
      <c r="A521" s="214"/>
      <c r="B521" s="214"/>
      <c r="C521" s="316" t="s">
        <v>977</v>
      </c>
      <c r="D521" s="323"/>
      <c r="E521" s="279"/>
      <c r="F521" s="279"/>
      <c r="G521" s="279"/>
      <c r="H521" s="279"/>
      <c r="I521" s="318"/>
      <c r="J521" s="322"/>
      <c r="K521" s="279"/>
      <c r="L521" s="318"/>
      <c r="M521" s="318"/>
      <c r="N521" s="318"/>
      <c r="O521" s="318"/>
    </row>
    <row r="522" spans="1:42">
      <c r="A522" s="214"/>
      <c r="B522" s="214"/>
      <c r="C522" s="316" t="s">
        <v>978</v>
      </c>
      <c r="D522" s="324">
        <v>116.95</v>
      </c>
      <c r="E522" s="279"/>
      <c r="F522" s="279"/>
      <c r="G522" s="279"/>
      <c r="H522" s="279"/>
      <c r="I522" s="318"/>
      <c r="J522" s="322"/>
      <c r="K522" s="279"/>
      <c r="L522" s="318"/>
      <c r="M522" s="318"/>
      <c r="N522" s="318"/>
      <c r="O522" s="318"/>
    </row>
    <row r="523" spans="1:42">
      <c r="A523" s="214"/>
      <c r="B523" s="214"/>
      <c r="C523" s="316" t="s">
        <v>979</v>
      </c>
      <c r="D523" s="325">
        <v>6.05</v>
      </c>
      <c r="E523" s="279"/>
      <c r="F523" s="279"/>
      <c r="G523" s="279"/>
      <c r="H523" s="279"/>
      <c r="I523" s="318"/>
      <c r="J523" s="322"/>
      <c r="K523" s="279"/>
      <c r="L523" s="318"/>
      <c r="M523" s="318"/>
      <c r="N523" s="318"/>
      <c r="O523" s="318"/>
    </row>
    <row r="524" spans="1:42">
      <c r="A524" s="214"/>
      <c r="B524" s="214"/>
      <c r="C524" s="316" t="s">
        <v>863</v>
      </c>
      <c r="D524" s="325">
        <v>5.51</v>
      </c>
      <c r="E524" s="279"/>
      <c r="F524" s="279"/>
      <c r="G524" s="279"/>
      <c r="H524" s="279"/>
      <c r="I524" s="318"/>
      <c r="J524" s="322"/>
      <c r="K524" s="279"/>
      <c r="L524" s="318"/>
      <c r="M524" s="318"/>
      <c r="N524" s="318"/>
      <c r="O524" s="318"/>
    </row>
    <row r="525" spans="1:42">
      <c r="A525" s="214"/>
      <c r="B525" s="214"/>
      <c r="C525" s="316" t="s">
        <v>864</v>
      </c>
      <c r="D525" s="325">
        <v>4.8899999999999997</v>
      </c>
      <c r="E525" s="279"/>
      <c r="F525" s="279"/>
      <c r="G525" s="279"/>
      <c r="H525" s="279"/>
      <c r="I525" s="318"/>
      <c r="J525" s="322"/>
      <c r="K525" s="279"/>
      <c r="L525" s="318"/>
      <c r="M525" s="318"/>
      <c r="N525" s="318"/>
      <c r="O525" s="318"/>
    </row>
    <row r="526" spans="1:42">
      <c r="A526" s="214"/>
      <c r="B526" s="214"/>
      <c r="C526" s="316" t="s">
        <v>876</v>
      </c>
      <c r="D526" s="325">
        <v>4.2699999999999996</v>
      </c>
      <c r="E526" s="279"/>
      <c r="F526" s="279"/>
      <c r="G526" s="279"/>
      <c r="H526" s="279"/>
      <c r="I526" s="318"/>
      <c r="J526" s="322"/>
      <c r="K526" s="279"/>
      <c r="L526" s="318"/>
      <c r="M526" s="318"/>
      <c r="N526" s="318"/>
      <c r="O526" s="318"/>
    </row>
    <row r="527" spans="1:42">
      <c r="C527" s="16"/>
      <c r="D527" s="720"/>
      <c r="J527" s="322"/>
    </row>
    <row r="528" spans="1:42">
      <c r="A528" s="214"/>
      <c r="B528" s="214"/>
      <c r="C528" s="462" t="s">
        <v>1598</v>
      </c>
      <c r="D528" s="323"/>
      <c r="E528" s="279"/>
      <c r="F528" s="279"/>
      <c r="G528" s="279"/>
      <c r="H528" s="279"/>
      <c r="I528" s="318"/>
      <c r="J528" s="322"/>
      <c r="K528" s="318"/>
      <c r="L528" s="318"/>
      <c r="M528" s="318"/>
      <c r="N528" s="318"/>
      <c r="O528" s="318"/>
      <c r="Q528" s="22" t="s">
        <v>669</v>
      </c>
    </row>
    <row r="529" spans="1:17">
      <c r="A529" s="15">
        <v>16280</v>
      </c>
      <c r="C529" s="462" t="s">
        <v>1599</v>
      </c>
      <c r="E529" s="720">
        <v>0</v>
      </c>
      <c r="F529" s="720"/>
      <c r="G529" s="720">
        <v>0</v>
      </c>
      <c r="H529" s="720"/>
      <c r="I529" s="318">
        <v>0</v>
      </c>
      <c r="J529" s="322"/>
      <c r="K529" s="318">
        <f>I529</f>
        <v>0</v>
      </c>
      <c r="L529" s="720"/>
      <c r="M529" s="318">
        <f>K529</f>
        <v>0</v>
      </c>
      <c r="N529" s="720"/>
      <c r="O529" s="318">
        <f>K529-M529</f>
        <v>0</v>
      </c>
      <c r="Q529" s="732">
        <v>0</v>
      </c>
    </row>
    <row r="530" spans="1:17" ht="15.75" thickBot="1">
      <c r="E530" s="743">
        <f>SUM(E529)</f>
        <v>0</v>
      </c>
      <c r="F530" s="213"/>
      <c r="G530" s="743">
        <f>SUM(G529)</f>
        <v>0</v>
      </c>
      <c r="I530" s="734">
        <v>0</v>
      </c>
      <c r="J530" s="322"/>
      <c r="K530" s="734">
        <f>SUM(K529)</f>
        <v>0</v>
      </c>
      <c r="M530" s="734">
        <f>SUM(M529)</f>
        <v>0</v>
      </c>
      <c r="O530" s="734">
        <f>SUM(O529)</f>
        <v>0</v>
      </c>
    </row>
    <row r="531" spans="1:17" ht="15.75" thickTop="1">
      <c r="J531" s="322"/>
    </row>
    <row r="532" spans="1:17">
      <c r="C532" s="16" t="s">
        <v>870</v>
      </c>
      <c r="D532" s="744">
        <v>1186.5999999999999</v>
      </c>
      <c r="J532" s="322"/>
    </row>
    <row r="533" spans="1:17">
      <c r="C533" s="16" t="s">
        <v>354</v>
      </c>
      <c r="D533" s="720">
        <v>4.2699999999999996</v>
      </c>
      <c r="J533" s="322"/>
    </row>
    <row r="534" spans="1:17">
      <c r="C534" s="745"/>
      <c r="D534" s="720"/>
      <c r="J534" s="322"/>
    </row>
    <row r="535" spans="1:17">
      <c r="A535" s="214">
        <v>16285</v>
      </c>
      <c r="B535" s="214"/>
      <c r="C535" s="214" t="s">
        <v>164</v>
      </c>
      <c r="D535" s="324">
        <v>15</v>
      </c>
      <c r="E535" s="279">
        <v>0</v>
      </c>
      <c r="F535" s="279"/>
      <c r="G535" s="279">
        <v>22</v>
      </c>
      <c r="H535" s="279"/>
      <c r="I535" s="318">
        <v>330</v>
      </c>
      <c r="J535" s="322"/>
      <c r="K535" s="318">
        <f>I535</f>
        <v>330</v>
      </c>
      <c r="L535" s="318"/>
      <c r="M535" s="318">
        <v>0</v>
      </c>
      <c r="N535" s="318"/>
      <c r="O535" s="318">
        <f>K535-M535</f>
        <v>330</v>
      </c>
    </row>
    <row r="536" spans="1:17">
      <c r="A536" s="214"/>
      <c r="B536" s="214"/>
      <c r="C536" s="214"/>
      <c r="D536" s="324"/>
      <c r="E536" s="279"/>
      <c r="F536" s="279"/>
      <c r="G536" s="279"/>
      <c r="H536" s="279"/>
      <c r="I536" s="279"/>
      <c r="J536" s="322"/>
      <c r="K536" s="279"/>
      <c r="L536" s="318"/>
      <c r="M536" s="279"/>
      <c r="N536" s="318"/>
      <c r="O536" s="279"/>
    </row>
    <row r="537" spans="1:17">
      <c r="A537" s="214">
        <v>16286</v>
      </c>
      <c r="B537" s="214"/>
      <c r="C537" s="214" t="s">
        <v>162</v>
      </c>
      <c r="D537" s="324">
        <v>15</v>
      </c>
      <c r="E537" s="279">
        <v>0</v>
      </c>
      <c r="F537" s="279"/>
      <c r="G537" s="279">
        <v>66</v>
      </c>
      <c r="H537" s="279"/>
      <c r="I537" s="318">
        <v>990</v>
      </c>
      <c r="J537" s="322"/>
      <c r="K537" s="318">
        <f>I537</f>
        <v>990</v>
      </c>
      <c r="L537" s="318"/>
      <c r="M537" s="318">
        <v>0</v>
      </c>
      <c r="N537" s="318"/>
      <c r="O537" s="318">
        <f>K537-M537</f>
        <v>990</v>
      </c>
    </row>
    <row r="538" spans="1:17">
      <c r="A538" s="214"/>
      <c r="B538" s="214"/>
      <c r="C538" s="214"/>
      <c r="D538" s="324"/>
      <c r="E538" s="279"/>
      <c r="F538" s="279"/>
      <c r="G538" s="279"/>
      <c r="H538" s="279"/>
      <c r="I538" s="318"/>
      <c r="J538" s="322"/>
      <c r="K538" s="318"/>
      <c r="L538" s="318"/>
      <c r="M538" s="318"/>
      <c r="N538" s="318"/>
      <c r="O538" s="318"/>
    </row>
    <row r="539" spans="1:17">
      <c r="A539" s="214">
        <v>16299</v>
      </c>
      <c r="B539" s="214"/>
      <c r="C539" s="214" t="s">
        <v>163</v>
      </c>
      <c r="D539" s="324">
        <v>3.3334000000000001</v>
      </c>
      <c r="E539" s="279">
        <v>0</v>
      </c>
      <c r="F539" s="279"/>
      <c r="G539" s="279">
        <v>11</v>
      </c>
      <c r="H539" s="279"/>
      <c r="I539" s="318">
        <v>1980</v>
      </c>
      <c r="J539" s="322"/>
      <c r="K539" s="318">
        <f>I539</f>
        <v>1980</v>
      </c>
      <c r="L539" s="318"/>
      <c r="M539" s="318">
        <v>0</v>
      </c>
      <c r="N539" s="318"/>
      <c r="O539" s="318">
        <f>K539-M539</f>
        <v>1980</v>
      </c>
    </row>
    <row r="540" spans="1:17">
      <c r="A540" s="214"/>
      <c r="B540" s="214"/>
      <c r="C540" s="214"/>
      <c r="D540" s="324"/>
      <c r="E540" s="279"/>
      <c r="F540" s="279"/>
      <c r="G540" s="279"/>
      <c r="H540" s="279"/>
      <c r="I540" s="318"/>
      <c r="J540" s="318"/>
      <c r="K540" s="318"/>
      <c r="L540" s="318"/>
      <c r="M540" s="318"/>
      <c r="N540" s="318"/>
      <c r="O540" s="318"/>
    </row>
    <row r="541" spans="1:17">
      <c r="A541" s="214"/>
      <c r="B541" s="214"/>
      <c r="C541" s="214"/>
      <c r="D541" s="324"/>
      <c r="E541" s="279"/>
      <c r="F541" s="279"/>
      <c r="G541" s="279"/>
      <c r="H541" s="279"/>
      <c r="I541" s="279"/>
      <c r="J541" s="279"/>
      <c r="K541" s="279"/>
      <c r="L541" s="318"/>
      <c r="M541" s="279"/>
      <c r="N541" s="318"/>
      <c r="O541" s="279"/>
    </row>
    <row r="542" spans="1:17">
      <c r="A542" s="48"/>
      <c r="B542" s="48"/>
      <c r="C542" s="48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</row>
    <row r="543" spans="1:17" ht="15.75" thickBot="1">
      <c r="C543" s="15" t="s">
        <v>556</v>
      </c>
      <c r="E543" s="746">
        <f>SUM(E530,E519,E506,E493,E479,E423,E414,E404,E393,E381,E367,E352)</f>
        <v>436288444.33333337</v>
      </c>
      <c r="G543" s="746">
        <f>SUM(G530,G519,G506,G493,G479,G423,G414,G404,G393,G381,G367,G352)</f>
        <v>76454.266666666634</v>
      </c>
      <c r="I543" s="746">
        <f>SUM(I530,I519,I506,I493,I479,I423,I414,I404,I393,I381,I367,I352)</f>
        <v>2034550.8053333336</v>
      </c>
      <c r="K543" s="746">
        <f>SUM(K530,K519,K506,K493,K479,K423,K414,K404,K393,K381,K367,K352)</f>
        <v>2034550.8053333336</v>
      </c>
      <c r="M543" s="746">
        <f>M216+M245+M272+M296+M320+M341+M366+M373+M375+M377+M379+M381+M383+M385+M387+M389+M391+M393+M395+M397+M399+M401+M403+M405+M407+M409+M422+M452+M476+M499+M523+M535+M537+M539</f>
        <v>0</v>
      </c>
      <c r="O543" s="388">
        <f>K543-M543</f>
        <v>2034550.8053333336</v>
      </c>
    </row>
    <row r="544" spans="1:17" ht="15.75" thickTop="1">
      <c r="F544" s="22"/>
      <c r="H544" s="22"/>
      <c r="J544" s="22"/>
      <c r="L544" s="748"/>
      <c r="M544" s="43"/>
      <c r="N544" s="295"/>
      <c r="O544" s="76" t="e">
        <f>O543/M543</f>
        <v>#DIV/0!</v>
      </c>
    </row>
    <row r="545" spans="1:30">
      <c r="M545" s="724"/>
      <c r="O545" s="724"/>
    </row>
    <row r="546" spans="1:30">
      <c r="M546" s="749"/>
    </row>
    <row r="547" spans="1:30">
      <c r="A547" s="723" t="str">
        <f>A1</f>
        <v>WATER SERVICE CORPORATION OF KENTUCKY</v>
      </c>
      <c r="B547" s="723"/>
      <c r="N547" s="725" t="s">
        <v>94</v>
      </c>
    </row>
    <row r="548" spans="1:30">
      <c r="A548" s="225" t="s">
        <v>1069</v>
      </c>
      <c r="B548" s="225"/>
    </row>
    <row r="549" spans="1:30">
      <c r="A549" s="1781">
        <v>39629</v>
      </c>
      <c r="B549" s="1781"/>
      <c r="C549" s="1781"/>
    </row>
    <row r="550" spans="1:30">
      <c r="A550" s="750" t="s">
        <v>989</v>
      </c>
      <c r="B550" s="338"/>
      <c r="C550" s="338"/>
    </row>
    <row r="551" spans="1:30">
      <c r="A551" s="338"/>
      <c r="B551" s="338"/>
      <c r="C551" s="338" t="s">
        <v>263</v>
      </c>
    </row>
    <row r="552" spans="1:30" ht="15.75" thickBot="1">
      <c r="A552" s="338"/>
      <c r="B552" s="338"/>
      <c r="C552" s="751" t="s">
        <v>582</v>
      </c>
      <c r="D552" s="724" t="e">
        <f>K562</f>
        <v>#REF!</v>
      </c>
    </row>
    <row r="553" spans="1:30" ht="15.75" thickBot="1">
      <c r="A553" s="338"/>
      <c r="B553" s="338"/>
      <c r="C553" s="316" t="s">
        <v>642</v>
      </c>
      <c r="D553" s="324" t="e">
        <f>D20*Q553</f>
        <v>#REF!</v>
      </c>
      <c r="Q553" s="752" t="e">
        <f>$Q$562</f>
        <v>#REF!</v>
      </c>
      <c r="R553" s="729"/>
      <c r="S553" s="22"/>
      <c r="T553" s="728"/>
      <c r="U553" s="728"/>
      <c r="V553" s="728"/>
      <c r="W553" s="22"/>
      <c r="X553" s="758"/>
      <c r="Y553" s="758"/>
      <c r="Z553" s="729"/>
      <c r="AA553" s="22"/>
      <c r="AB553" s="22"/>
      <c r="AD553" s="22"/>
    </row>
    <row r="554" spans="1:30" ht="15.75" thickBot="1">
      <c r="A554" s="338"/>
      <c r="B554" s="338"/>
      <c r="C554" s="316" t="s">
        <v>862</v>
      </c>
      <c r="D554" s="324" t="e">
        <f>D21*Q554</f>
        <v>#REF!</v>
      </c>
      <c r="Q554" s="752" t="e">
        <f>$Q$562</f>
        <v>#REF!</v>
      </c>
      <c r="R554" s="729"/>
      <c r="S554" s="22"/>
      <c r="T554" s="728"/>
      <c r="U554" s="728"/>
      <c r="V554" s="728"/>
      <c r="W554" s="22"/>
      <c r="X554" s="758"/>
      <c r="Y554" s="758"/>
      <c r="Z554" s="729"/>
      <c r="AA554" s="22"/>
      <c r="AB554" s="22"/>
      <c r="AD554" s="22"/>
    </row>
    <row r="555" spans="1:30" ht="15.75" thickBot="1">
      <c r="A555" s="338"/>
      <c r="B555" s="338"/>
      <c r="C555" s="316" t="s">
        <v>863</v>
      </c>
      <c r="D555" s="324" t="e">
        <f>D22*Q555</f>
        <v>#REF!</v>
      </c>
      <c r="Q555" s="752" t="e">
        <f>$Q$562</f>
        <v>#REF!</v>
      </c>
      <c r="R555" s="729"/>
      <c r="S555" s="22"/>
      <c r="T555" s="728"/>
      <c r="U555" s="728"/>
      <c r="V555" s="728"/>
      <c r="W555" s="22"/>
      <c r="X555" s="758"/>
      <c r="Y555" s="758"/>
      <c r="Z555" s="729"/>
      <c r="AA555" s="22"/>
      <c r="AB555" s="22"/>
      <c r="AD555" s="22"/>
    </row>
    <row r="556" spans="1:30" ht="15.75" thickBot="1">
      <c r="A556" s="338"/>
      <c r="B556" s="338"/>
      <c r="C556" s="316" t="s">
        <v>864</v>
      </c>
      <c r="D556" s="324" t="e">
        <f>D23*Q556</f>
        <v>#REF!</v>
      </c>
      <c r="Q556" s="752" t="e">
        <f>$Q$562</f>
        <v>#REF!</v>
      </c>
      <c r="R556" s="295"/>
      <c r="S556" s="22"/>
      <c r="T556" s="22"/>
      <c r="U556" s="22"/>
      <c r="V556" s="22"/>
      <c r="W556" s="22"/>
      <c r="X556" s="761"/>
      <c r="Y556" s="761"/>
      <c r="Z556" s="295"/>
      <c r="AA556" s="22"/>
      <c r="AB556" s="22"/>
      <c r="AD556" s="22"/>
    </row>
    <row r="557" spans="1:30" ht="15.75" thickBot="1">
      <c r="C557" s="316" t="s">
        <v>876</v>
      </c>
      <c r="D557" s="324" t="e">
        <f>D24*Q557</f>
        <v>#REF!</v>
      </c>
      <c r="Q557" s="752" t="e">
        <f>$Q$562</f>
        <v>#REF!</v>
      </c>
      <c r="R557" s="295"/>
      <c r="S557" s="22"/>
      <c r="T557" s="22"/>
      <c r="U557" s="22"/>
      <c r="V557" s="22"/>
      <c r="W557" s="22"/>
      <c r="X557" s="761"/>
      <c r="Y557" s="761"/>
      <c r="Z557" s="295"/>
      <c r="AA557" s="22"/>
      <c r="AB557" s="22"/>
      <c r="AD557" s="22"/>
    </row>
    <row r="558" spans="1:30">
      <c r="R558" s="295"/>
      <c r="S558" s="22"/>
      <c r="T558" s="22"/>
      <c r="U558" s="22"/>
      <c r="V558" s="22"/>
      <c r="X558" s="761"/>
      <c r="Y558" s="761"/>
      <c r="Z558" s="295"/>
      <c r="AA558" s="22"/>
      <c r="AB558" s="22"/>
      <c r="AD558" s="22"/>
    </row>
    <row r="559" spans="1:30">
      <c r="B559" s="750"/>
      <c r="E559" s="727"/>
      <c r="F559" s="727"/>
      <c r="G559" s="727"/>
      <c r="H559" s="727"/>
      <c r="I559" s="727"/>
      <c r="J559" s="275"/>
      <c r="K559" s="727"/>
      <c r="L559" s="748"/>
      <c r="M559" s="22"/>
      <c r="N559" s="295"/>
      <c r="S559" s="22"/>
      <c r="T559" s="22"/>
      <c r="U559" s="22"/>
      <c r="V559" s="22"/>
      <c r="W559" s="22"/>
      <c r="X559" s="761"/>
      <c r="Y559" s="761"/>
      <c r="Z559" s="295"/>
      <c r="AA559" s="22"/>
      <c r="AB559" s="22"/>
      <c r="AD559" s="22"/>
    </row>
    <row r="560" spans="1:30">
      <c r="C560" s="753"/>
      <c r="D560" s="753"/>
      <c r="E560" s="317" t="s">
        <v>904</v>
      </c>
      <c r="F560" s="275"/>
      <c r="G560" s="754" t="s">
        <v>859</v>
      </c>
      <c r="H560" s="275"/>
      <c r="I560" s="317" t="s">
        <v>658</v>
      </c>
      <c r="J560" s="275"/>
      <c r="K560" s="317" t="s">
        <v>905</v>
      </c>
      <c r="L560" s="748"/>
      <c r="M560" s="754" t="s">
        <v>892</v>
      </c>
      <c r="N560" s="295"/>
      <c r="P560" s="755" t="s">
        <v>657</v>
      </c>
      <c r="Q560" s="756" t="s">
        <v>884</v>
      </c>
      <c r="S560" s="22"/>
      <c r="T560" s="22"/>
      <c r="U560" s="22"/>
      <c r="V560" s="22"/>
      <c r="W560" s="22"/>
      <c r="X560" s="761"/>
      <c r="Y560" s="761"/>
      <c r="Z560" s="295"/>
      <c r="AA560" s="22"/>
      <c r="AB560" s="22"/>
      <c r="AD560" s="22"/>
    </row>
    <row r="561" spans="1:30" ht="15.75" thickBot="1">
      <c r="F561" s="312"/>
      <c r="H561" s="728"/>
      <c r="I561" s="312"/>
      <c r="J561" s="728"/>
      <c r="K561" s="728"/>
      <c r="L561" s="757"/>
      <c r="M561" s="728"/>
      <c r="N561" s="729"/>
      <c r="P561" s="728"/>
      <c r="Q561" s="728"/>
      <c r="S561" s="22"/>
      <c r="T561" s="22"/>
      <c r="U561" s="22"/>
      <c r="V561" s="22"/>
      <c r="W561" s="22"/>
      <c r="X561" s="761"/>
      <c r="Y561" s="761"/>
      <c r="Z561" s="295"/>
      <c r="AA561" s="22"/>
      <c r="AB561" s="22"/>
      <c r="AD561" s="22"/>
    </row>
    <row r="562" spans="1:30" ht="15.75" thickBot="1">
      <c r="A562" s="214">
        <v>16001</v>
      </c>
      <c r="B562" s="214">
        <v>170</v>
      </c>
      <c r="C562" s="462" t="s">
        <v>554</v>
      </c>
      <c r="D562" s="322"/>
      <c r="E562" s="463" t="e">
        <f>#REF!</f>
        <v>#REF!</v>
      </c>
      <c r="F562" s="279"/>
      <c r="G562" s="744" t="e">
        <f>P562*D24</f>
        <v>#REF!</v>
      </c>
      <c r="H562" s="728"/>
      <c r="I562" s="279" t="e">
        <f>#REF!</f>
        <v>#REF!</v>
      </c>
      <c r="J562" s="728"/>
      <c r="K562" s="757" t="e">
        <f>Q562*D19</f>
        <v>#REF!</v>
      </c>
      <c r="L562" s="757"/>
      <c r="M562" s="269" t="e">
        <f>#REF!</f>
        <v>#REF!</v>
      </c>
      <c r="N562" s="729"/>
      <c r="P562" s="752" t="e">
        <f>Q562</f>
        <v>#REF!</v>
      </c>
      <c r="Q562" s="922" t="e">
        <f>#REF!</f>
        <v>#REF!</v>
      </c>
      <c r="S562" s="22"/>
      <c r="T562" s="22"/>
      <c r="U562" s="22"/>
      <c r="V562" s="22"/>
      <c r="W562" s="22"/>
      <c r="X562" s="761"/>
      <c r="Y562" s="761"/>
      <c r="Z562" s="295"/>
      <c r="AA562" s="22"/>
      <c r="AB562" s="22"/>
      <c r="AD562" s="22"/>
    </row>
    <row r="563" spans="1:30" ht="15.75" thickBot="1">
      <c r="A563" s="214">
        <v>16001</v>
      </c>
      <c r="B563" s="214">
        <v>171</v>
      </c>
      <c r="C563" s="462" t="s">
        <v>554</v>
      </c>
      <c r="D563" s="322"/>
      <c r="E563" s="463" t="e">
        <f>#REF!</f>
        <v>#REF!</v>
      </c>
      <c r="F563" s="279"/>
      <c r="G563" s="720" t="e">
        <f>$G$562</f>
        <v>#REF!</v>
      </c>
      <c r="H563" s="22"/>
      <c r="I563" s="279" t="e">
        <f>#REF!</f>
        <v>#REF!</v>
      </c>
      <c r="J563" s="728"/>
      <c r="K563" s="759" t="e">
        <f>$K$562</f>
        <v>#REF!</v>
      </c>
      <c r="L563" s="757"/>
      <c r="M563" s="760" t="e">
        <f>#REF!</f>
        <v>#REF!</v>
      </c>
      <c r="N563" s="729"/>
      <c r="P563" s="752" t="e">
        <f>$P$562</f>
        <v>#REF!</v>
      </c>
      <c r="Q563" s="752" t="e">
        <f>$Q$562</f>
        <v>#REF!</v>
      </c>
      <c r="S563" s="22"/>
      <c r="T563" s="22"/>
      <c r="U563" s="22"/>
      <c r="V563" s="22"/>
      <c r="W563" s="22"/>
      <c r="X563" s="761"/>
      <c r="Y563" s="761"/>
      <c r="Z563" s="295"/>
      <c r="AA563" s="22"/>
      <c r="AB563" s="22"/>
      <c r="AD563" s="22"/>
    </row>
    <row r="564" spans="1:30" ht="15.75" thickBot="1">
      <c r="A564" s="214">
        <v>16001</v>
      </c>
      <c r="B564" s="214">
        <v>172</v>
      </c>
      <c r="C564" s="462" t="s">
        <v>554</v>
      </c>
      <c r="D564" s="322"/>
      <c r="E564" s="463" t="e">
        <f>#REF!</f>
        <v>#REF!</v>
      </c>
      <c r="F564" s="279"/>
      <c r="G564" s="720" t="e">
        <f t="shared" ref="G564:G663" si="6">$G$562</f>
        <v>#REF!</v>
      </c>
      <c r="H564" s="22"/>
      <c r="I564" s="279" t="e">
        <f>#REF!</f>
        <v>#REF!</v>
      </c>
      <c r="J564" s="22"/>
      <c r="K564" s="759" t="e">
        <f t="shared" ref="K564:K588" si="7">$K$562</f>
        <v>#REF!</v>
      </c>
      <c r="L564" s="748"/>
      <c r="M564" s="760" t="e">
        <f>#REF!</f>
        <v>#REF!</v>
      </c>
      <c r="N564" s="295"/>
      <c r="P564" s="752" t="e">
        <f t="shared" ref="P564:P588" si="8">$P$562</f>
        <v>#REF!</v>
      </c>
      <c r="Q564" s="752" t="e">
        <f>$Q$562</f>
        <v>#REF!</v>
      </c>
      <c r="S564" s="22"/>
      <c r="T564" s="22"/>
      <c r="U564" s="22"/>
      <c r="V564" s="22"/>
      <c r="W564" s="22"/>
      <c r="X564" s="761"/>
      <c r="Y564" s="761"/>
      <c r="Z564" s="295"/>
      <c r="AA564" s="22"/>
      <c r="AB564" s="22"/>
      <c r="AD564" s="22"/>
    </row>
    <row r="565" spans="1:30" ht="15.75" thickBot="1">
      <c r="A565" s="214">
        <v>16001</v>
      </c>
      <c r="B565" s="214">
        <v>173</v>
      </c>
      <c r="C565" s="462" t="s">
        <v>554</v>
      </c>
      <c r="D565" s="322"/>
      <c r="E565" s="463">
        <f>E11</f>
        <v>25937820.399999999</v>
      </c>
      <c r="F565" s="279"/>
      <c r="G565" s="720" t="e">
        <f t="shared" si="6"/>
        <v>#REF!</v>
      </c>
      <c r="H565" s="762"/>
      <c r="I565" s="279">
        <f>G11</f>
        <v>6431.6666666666652</v>
      </c>
      <c r="J565" s="135"/>
      <c r="K565" s="759" t="e">
        <f t="shared" si="7"/>
        <v>#REF!</v>
      </c>
      <c r="L565" s="748"/>
      <c r="M565" s="760" t="e">
        <f>#REF!</f>
        <v>#REF!</v>
      </c>
      <c r="N565" s="295"/>
      <c r="P565" s="752" t="e">
        <f t="shared" si="8"/>
        <v>#REF!</v>
      </c>
      <c r="Q565" s="752" t="e">
        <f>$Q$562</f>
        <v>#REF!</v>
      </c>
      <c r="S565" s="22"/>
      <c r="T565" s="22"/>
      <c r="U565" s="22"/>
      <c r="V565" s="22"/>
      <c r="W565" s="22"/>
      <c r="X565" s="761"/>
      <c r="Y565" s="761"/>
      <c r="Z565" s="295"/>
      <c r="AA565" s="22"/>
      <c r="AB565" s="22"/>
      <c r="AD565" s="22"/>
    </row>
    <row r="566" spans="1:30" ht="15.75" thickBot="1">
      <c r="A566" s="214">
        <v>16011</v>
      </c>
      <c r="B566" s="214">
        <v>170</v>
      </c>
      <c r="C566" s="462" t="s">
        <v>623</v>
      </c>
      <c r="D566" s="322"/>
      <c r="E566" s="463" t="e">
        <f>#REF!</f>
        <v>#REF!</v>
      </c>
      <c r="F566" s="279"/>
      <c r="G566" s="720" t="e">
        <f t="shared" si="6"/>
        <v>#REF!</v>
      </c>
      <c r="H566" s="762"/>
      <c r="I566" s="279" t="e">
        <f>#REF!</f>
        <v>#REF!</v>
      </c>
      <c r="J566" s="135"/>
      <c r="K566" s="759" t="e">
        <f t="shared" si="7"/>
        <v>#REF!</v>
      </c>
      <c r="L566" s="748"/>
      <c r="M566" s="760" t="e">
        <f>'16011-170'!T72</f>
        <v>#REF!</v>
      </c>
      <c r="N566" s="295"/>
      <c r="P566" s="752" t="e">
        <f t="shared" si="8"/>
        <v>#REF!</v>
      </c>
      <c r="Q566" s="752" t="e">
        <f t="shared" ref="Q566:Q588" si="9">$Q$562</f>
        <v>#REF!</v>
      </c>
      <c r="S566" s="22"/>
      <c r="T566" s="22"/>
      <c r="U566" s="22"/>
      <c r="V566" s="22"/>
      <c r="W566" s="22"/>
      <c r="X566" s="761"/>
      <c r="Y566" s="761"/>
      <c r="Z566" s="295"/>
      <c r="AA566" s="22"/>
      <c r="AB566" s="22"/>
      <c r="AD566" s="22"/>
    </row>
    <row r="567" spans="1:30" ht="15.75" thickBot="1">
      <c r="A567" s="214">
        <v>16011</v>
      </c>
      <c r="B567" s="214">
        <v>171</v>
      </c>
      <c r="C567" s="462" t="s">
        <v>623</v>
      </c>
      <c r="D567" s="322"/>
      <c r="E567" s="463" t="e">
        <f>#REF!</f>
        <v>#REF!</v>
      </c>
      <c r="F567" s="279"/>
      <c r="G567" s="720" t="e">
        <f t="shared" si="6"/>
        <v>#REF!</v>
      </c>
      <c r="H567" s="335"/>
      <c r="I567" s="279" t="e">
        <f>#REF!</f>
        <v>#REF!</v>
      </c>
      <c r="J567" s="135"/>
      <c r="K567" s="759" t="e">
        <f t="shared" si="7"/>
        <v>#REF!</v>
      </c>
      <c r="L567" s="335"/>
      <c r="M567" s="760" t="e">
        <f>'16011-171'!T49</f>
        <v>#REF!</v>
      </c>
      <c r="N567" s="135"/>
      <c r="P567" s="752" t="e">
        <f t="shared" si="8"/>
        <v>#REF!</v>
      </c>
      <c r="Q567" s="752" t="e">
        <f t="shared" si="9"/>
        <v>#REF!</v>
      </c>
      <c r="S567" s="22"/>
      <c r="T567" s="22"/>
      <c r="U567" s="22"/>
      <c r="V567" s="22"/>
      <c r="W567" s="22"/>
      <c r="X567" s="761"/>
      <c r="Y567" s="761"/>
      <c r="Z567" s="295"/>
      <c r="AA567" s="22"/>
      <c r="AB567" s="22"/>
      <c r="AD567" s="22"/>
    </row>
    <row r="568" spans="1:30" ht="15.75" thickBot="1">
      <c r="A568" s="214">
        <v>16011</v>
      </c>
      <c r="B568" s="214">
        <v>172</v>
      </c>
      <c r="C568" s="462" t="s">
        <v>623</v>
      </c>
      <c r="D568" s="322"/>
      <c r="E568" s="463" t="e">
        <f>#REF!</f>
        <v>#REF!</v>
      </c>
      <c r="F568" s="279"/>
      <c r="G568" s="720" t="e">
        <f t="shared" si="6"/>
        <v>#REF!</v>
      </c>
      <c r="H568" s="22"/>
      <c r="I568" s="279" t="e">
        <f>#REF!</f>
        <v>#REF!</v>
      </c>
      <c r="J568" s="135"/>
      <c r="K568" s="759" t="e">
        <f t="shared" si="7"/>
        <v>#REF!</v>
      </c>
      <c r="L568" s="748"/>
      <c r="M568" s="760" t="e">
        <f>'16011-172'!T67</f>
        <v>#REF!</v>
      </c>
      <c r="N568" s="295"/>
      <c r="P568" s="752" t="e">
        <f t="shared" si="8"/>
        <v>#REF!</v>
      </c>
      <c r="Q568" s="752" t="e">
        <f t="shared" si="9"/>
        <v>#REF!</v>
      </c>
      <c r="S568" s="22"/>
      <c r="T568" s="22"/>
      <c r="U568" s="22"/>
      <c r="V568" s="22"/>
      <c r="W568" s="22"/>
      <c r="X568" s="761"/>
      <c r="Y568" s="761"/>
      <c r="Z568" s="295"/>
      <c r="AA568" s="22"/>
      <c r="AB568" s="22"/>
      <c r="AD568" s="22"/>
    </row>
    <row r="569" spans="1:30" ht="15.75" thickBot="1">
      <c r="A569" s="214">
        <v>16011</v>
      </c>
      <c r="B569" s="214">
        <v>173</v>
      </c>
      <c r="C569" s="462" t="s">
        <v>623</v>
      </c>
      <c r="D569" s="322"/>
      <c r="E569" s="463" t="e">
        <f>#REF!</f>
        <v>#REF!</v>
      </c>
      <c r="F569" s="279"/>
      <c r="G569" s="720" t="e">
        <f t="shared" si="6"/>
        <v>#REF!</v>
      </c>
      <c r="H569" s="762"/>
      <c r="I569" s="279" t="e">
        <f>#REF!</f>
        <v>#REF!</v>
      </c>
      <c r="J569" s="135"/>
      <c r="K569" s="759" t="e">
        <f t="shared" si="7"/>
        <v>#REF!</v>
      </c>
      <c r="L569" s="748"/>
      <c r="M569" s="760" t="e">
        <f>'16011-173'!T46</f>
        <v>#REF!</v>
      </c>
      <c r="N569" s="295"/>
      <c r="P569" s="752" t="e">
        <f t="shared" si="8"/>
        <v>#REF!</v>
      </c>
      <c r="Q569" s="752" t="e">
        <f t="shared" si="9"/>
        <v>#REF!</v>
      </c>
      <c r="S569" s="22"/>
      <c r="T569" s="22"/>
      <c r="U569" s="22"/>
      <c r="V569" s="22"/>
      <c r="W569" s="22"/>
      <c r="X569" s="761"/>
      <c r="Y569" s="761"/>
      <c r="Z569" s="295"/>
      <c r="AA569" s="22"/>
      <c r="AB569" s="22"/>
      <c r="AD569" s="22"/>
    </row>
    <row r="570" spans="1:30" ht="15.75" thickBot="1">
      <c r="A570" s="214">
        <v>16012</v>
      </c>
      <c r="B570" s="214">
        <v>171</v>
      </c>
      <c r="C570" s="462" t="s">
        <v>359</v>
      </c>
      <c r="D570" s="322"/>
      <c r="E570" s="463" t="e">
        <f>#REF!</f>
        <v>#REF!</v>
      </c>
      <c r="F570" s="279"/>
      <c r="G570" s="720" t="e">
        <f t="shared" si="6"/>
        <v>#REF!</v>
      </c>
      <c r="H570" s="22"/>
      <c r="I570" s="279" t="e">
        <f>#REF!</f>
        <v>#REF!</v>
      </c>
      <c r="J570" s="135"/>
      <c r="K570" s="759" t="e">
        <f t="shared" si="7"/>
        <v>#REF!</v>
      </c>
      <c r="L570" s="748"/>
      <c r="M570" s="760" t="e">
        <f>'16012-171'!T17</f>
        <v>#REF!</v>
      </c>
      <c r="N570" s="295"/>
      <c r="P570" s="752" t="e">
        <f t="shared" si="8"/>
        <v>#REF!</v>
      </c>
      <c r="Q570" s="752" t="e">
        <f t="shared" si="9"/>
        <v>#REF!</v>
      </c>
      <c r="S570" s="22"/>
      <c r="T570" s="22"/>
      <c r="U570" s="22"/>
      <c r="V570" s="22"/>
      <c r="W570" s="22"/>
      <c r="X570" s="761"/>
      <c r="Y570" s="761"/>
      <c r="Z570" s="295"/>
      <c r="AA570" s="22"/>
      <c r="AB570" s="22"/>
      <c r="AD570" s="22"/>
    </row>
    <row r="571" spans="1:30" ht="15.75" thickBot="1">
      <c r="A571" s="214">
        <v>16031</v>
      </c>
      <c r="B571" s="214">
        <v>170</v>
      </c>
      <c r="C571" s="462" t="s">
        <v>797</v>
      </c>
      <c r="D571" s="322"/>
      <c r="E571" s="463" t="e">
        <f>#REF!</f>
        <v>#REF!</v>
      </c>
      <c r="F571" s="279"/>
      <c r="G571" s="720" t="e">
        <f t="shared" si="6"/>
        <v>#REF!</v>
      </c>
      <c r="H571" s="762"/>
      <c r="I571" s="279" t="e">
        <f>#REF!</f>
        <v>#REF!</v>
      </c>
      <c r="J571" s="135"/>
      <c r="K571" s="759" t="e">
        <f t="shared" si="7"/>
        <v>#REF!</v>
      </c>
      <c r="L571" s="748"/>
      <c r="M571" s="760" t="e">
        <f>'16031-170'!T47</f>
        <v>#REF!</v>
      </c>
      <c r="N571" s="295"/>
      <c r="P571" s="752" t="e">
        <f t="shared" si="8"/>
        <v>#REF!</v>
      </c>
      <c r="Q571" s="752" t="e">
        <f t="shared" si="9"/>
        <v>#REF!</v>
      </c>
      <c r="S571" s="22"/>
      <c r="T571" s="22"/>
      <c r="U571" s="22"/>
      <c r="V571" s="22"/>
      <c r="W571" s="22"/>
      <c r="X571" s="761"/>
      <c r="Y571" s="761"/>
      <c r="Z571" s="295"/>
      <c r="AA571" s="22"/>
      <c r="AB571" s="22"/>
      <c r="AD571" s="22"/>
    </row>
    <row r="572" spans="1:30" ht="15.75" thickBot="1">
      <c r="A572" s="214">
        <v>16031</v>
      </c>
      <c r="B572" s="214">
        <v>171</v>
      </c>
      <c r="C572" s="462" t="s">
        <v>797</v>
      </c>
      <c r="D572" s="322"/>
      <c r="E572" s="463" t="e">
        <f>#REF!</f>
        <v>#REF!</v>
      </c>
      <c r="F572" s="279"/>
      <c r="G572" s="720" t="e">
        <f t="shared" si="6"/>
        <v>#REF!</v>
      </c>
      <c r="H572" s="335"/>
      <c r="I572" s="279" t="e">
        <f>#REF!</f>
        <v>#REF!</v>
      </c>
      <c r="J572" s="135"/>
      <c r="K572" s="759" t="e">
        <f t="shared" si="7"/>
        <v>#REF!</v>
      </c>
      <c r="L572" s="335"/>
      <c r="M572" s="760" t="e">
        <f>#REF!</f>
        <v>#REF!</v>
      </c>
      <c r="N572" s="135"/>
      <c r="P572" s="752" t="e">
        <f t="shared" si="8"/>
        <v>#REF!</v>
      </c>
      <c r="Q572" s="752" t="e">
        <f t="shared" si="9"/>
        <v>#REF!</v>
      </c>
      <c r="S572" s="22"/>
      <c r="T572" s="22"/>
      <c r="U572" s="22"/>
      <c r="V572" s="22"/>
      <c r="W572" s="22"/>
      <c r="X572" s="761"/>
      <c r="Y572" s="761"/>
      <c r="Z572" s="295"/>
      <c r="AA572" s="22"/>
      <c r="AB572" s="22"/>
      <c r="AD572" s="22"/>
    </row>
    <row r="573" spans="1:30" ht="15.75" thickBot="1">
      <c r="A573" s="214">
        <v>16031</v>
      </c>
      <c r="B573" s="214">
        <v>172</v>
      </c>
      <c r="C573" s="462" t="s">
        <v>797</v>
      </c>
      <c r="D573" s="322"/>
      <c r="E573" s="463" t="e">
        <f>#REF!</f>
        <v>#REF!</v>
      </c>
      <c r="F573" s="279"/>
      <c r="G573" s="720" t="e">
        <f t="shared" si="6"/>
        <v>#REF!</v>
      </c>
      <c r="H573" s="335"/>
      <c r="I573" s="279" t="e">
        <f>#REF!</f>
        <v>#REF!</v>
      </c>
      <c r="J573" s="135"/>
      <c r="K573" s="759" t="e">
        <f t="shared" si="7"/>
        <v>#REF!</v>
      </c>
      <c r="L573" s="335"/>
      <c r="M573" s="760" t="e">
        <f>'16031-172'!T55</f>
        <v>#REF!</v>
      </c>
      <c r="N573" s="135"/>
      <c r="P573" s="752" t="e">
        <f t="shared" si="8"/>
        <v>#REF!</v>
      </c>
      <c r="Q573" s="752" t="e">
        <f t="shared" si="9"/>
        <v>#REF!</v>
      </c>
      <c r="S573" s="22"/>
      <c r="T573" s="22"/>
      <c r="U573" s="22"/>
      <c r="V573" s="22"/>
      <c r="W573" s="22"/>
      <c r="X573" s="761"/>
      <c r="Y573" s="761"/>
      <c r="Z573" s="295"/>
      <c r="AA573" s="22"/>
      <c r="AB573" s="22"/>
      <c r="AD573" s="22"/>
    </row>
    <row r="574" spans="1:30" ht="15.75" thickBot="1">
      <c r="A574" s="214">
        <v>16031</v>
      </c>
      <c r="B574" s="214">
        <v>173</v>
      </c>
      <c r="C574" s="462" t="s">
        <v>797</v>
      </c>
      <c r="D574" s="322"/>
      <c r="E574" s="463" t="e">
        <f>#REF!</f>
        <v>#REF!</v>
      </c>
      <c r="F574" s="279"/>
      <c r="G574" s="720" t="e">
        <f t="shared" si="6"/>
        <v>#REF!</v>
      </c>
      <c r="H574" s="22"/>
      <c r="I574" s="279" t="e">
        <f>#REF!</f>
        <v>#REF!</v>
      </c>
      <c r="J574" s="135"/>
      <c r="K574" s="759" t="e">
        <f t="shared" si="7"/>
        <v>#REF!</v>
      </c>
      <c r="L574" s="748"/>
      <c r="M574" s="760" t="e">
        <f>'16031-173'!T44</f>
        <v>#REF!</v>
      </c>
      <c r="N574" s="295"/>
      <c r="P574" s="752" t="e">
        <f t="shared" si="8"/>
        <v>#REF!</v>
      </c>
      <c r="Q574" s="752" t="e">
        <f t="shared" si="9"/>
        <v>#REF!</v>
      </c>
      <c r="S574" s="22"/>
      <c r="T574" s="22"/>
      <c r="U574" s="22"/>
      <c r="V574" s="22"/>
      <c r="W574" s="22"/>
      <c r="X574" s="761"/>
      <c r="Y574" s="761"/>
      <c r="Z574" s="295"/>
      <c r="AA574" s="22"/>
      <c r="AB574" s="22"/>
      <c r="AD574" s="22"/>
    </row>
    <row r="575" spans="1:30" ht="15.75" thickBot="1">
      <c r="A575" s="214">
        <v>16041</v>
      </c>
      <c r="B575" s="214">
        <v>171</v>
      </c>
      <c r="C575" s="462" t="s">
        <v>560</v>
      </c>
      <c r="D575" s="322"/>
      <c r="E575" s="463" t="e">
        <f>#REF!</f>
        <v>#REF!</v>
      </c>
      <c r="F575" s="279"/>
      <c r="G575" s="720" t="e">
        <f t="shared" si="6"/>
        <v>#REF!</v>
      </c>
      <c r="H575" s="762"/>
      <c r="I575" s="279" t="e">
        <f>#REF!</f>
        <v>#REF!</v>
      </c>
      <c r="J575" s="135"/>
      <c r="K575" s="759" t="e">
        <f t="shared" si="7"/>
        <v>#REF!</v>
      </c>
      <c r="L575" s="748"/>
      <c r="M575" s="760" t="e">
        <f>#REF!</f>
        <v>#REF!</v>
      </c>
      <c r="N575" s="295"/>
      <c r="P575" s="752" t="e">
        <f t="shared" si="8"/>
        <v>#REF!</v>
      </c>
      <c r="Q575" s="752" t="e">
        <f t="shared" si="9"/>
        <v>#REF!</v>
      </c>
      <c r="R575" s="295"/>
      <c r="S575" s="22"/>
      <c r="T575" s="22"/>
      <c r="U575" s="22"/>
      <c r="V575" s="22"/>
      <c r="W575" s="22"/>
      <c r="X575" s="761"/>
      <c r="Y575" s="761"/>
      <c r="Z575" s="295"/>
      <c r="AA575" s="22"/>
      <c r="AB575" s="22"/>
      <c r="AD575" s="22"/>
    </row>
    <row r="576" spans="1:30" ht="15.75" thickBot="1">
      <c r="A576" s="214">
        <v>16041</v>
      </c>
      <c r="B576" s="214">
        <v>172</v>
      </c>
      <c r="C576" s="462" t="s">
        <v>560</v>
      </c>
      <c r="D576" s="322"/>
      <c r="E576" s="463" t="e">
        <f>#REF!</f>
        <v>#REF!</v>
      </c>
      <c r="F576" s="279"/>
      <c r="G576" s="720" t="e">
        <f t="shared" si="6"/>
        <v>#REF!</v>
      </c>
      <c r="H576" s="22"/>
      <c r="I576" s="279" t="e">
        <f>#REF!</f>
        <v>#REF!</v>
      </c>
      <c r="J576" s="135"/>
      <c r="K576" s="759" t="e">
        <f t="shared" si="7"/>
        <v>#REF!</v>
      </c>
      <c r="L576" s="748"/>
      <c r="M576" s="760" t="e">
        <f>'16041-172'!T22</f>
        <v>#REF!</v>
      </c>
      <c r="N576" s="295"/>
      <c r="P576" s="752" t="e">
        <f t="shared" si="8"/>
        <v>#REF!</v>
      </c>
      <c r="Q576" s="752" t="e">
        <f t="shared" si="9"/>
        <v>#REF!</v>
      </c>
      <c r="R576" s="295"/>
      <c r="S576" s="22"/>
      <c r="T576" s="22"/>
      <c r="U576" s="22"/>
      <c r="V576" s="22"/>
      <c r="W576" s="22"/>
      <c r="X576" s="761"/>
      <c r="Y576" s="761"/>
      <c r="Z576" s="295"/>
      <c r="AA576" s="22"/>
      <c r="AB576" s="22"/>
      <c r="AD576" s="22"/>
    </row>
    <row r="577" spans="1:30" ht="15.75" thickBot="1">
      <c r="A577" s="214">
        <v>16041</v>
      </c>
      <c r="B577" s="214">
        <v>173</v>
      </c>
      <c r="C577" s="462" t="s">
        <v>560</v>
      </c>
      <c r="D577" s="322"/>
      <c r="E577" s="463" t="e">
        <f>#REF!</f>
        <v>#REF!</v>
      </c>
      <c r="F577" s="279"/>
      <c r="G577" s="720" t="e">
        <f t="shared" si="6"/>
        <v>#REF!</v>
      </c>
      <c r="H577" s="762"/>
      <c r="I577" s="279" t="e">
        <f>#REF!</f>
        <v>#REF!</v>
      </c>
      <c r="J577" s="135"/>
      <c r="K577" s="759" t="e">
        <f t="shared" si="7"/>
        <v>#REF!</v>
      </c>
      <c r="L577" s="748"/>
      <c r="M577" s="760" t="e">
        <f>'16041-173'!T12</f>
        <v>#REF!</v>
      </c>
      <c r="N577" s="295"/>
      <c r="P577" s="752" t="e">
        <f t="shared" si="8"/>
        <v>#REF!</v>
      </c>
      <c r="Q577" s="752" t="e">
        <f t="shared" si="9"/>
        <v>#REF!</v>
      </c>
      <c r="R577" s="295"/>
      <c r="S577" s="22"/>
      <c r="T577" s="22"/>
      <c r="U577" s="22"/>
      <c r="V577" s="22"/>
      <c r="W577" s="22"/>
      <c r="X577" s="761"/>
      <c r="Y577" s="761"/>
      <c r="Z577" s="295"/>
      <c r="AA577" s="22"/>
      <c r="AB577" s="22"/>
      <c r="AD577" s="22"/>
    </row>
    <row r="578" spans="1:30" ht="15.75" thickBot="1">
      <c r="A578" s="214">
        <v>16071</v>
      </c>
      <c r="B578" s="214">
        <v>170</v>
      </c>
      <c r="C578" s="462" t="s">
        <v>799</v>
      </c>
      <c r="D578" s="322"/>
      <c r="E578" s="463" t="e">
        <f>#REF!</f>
        <v>#REF!</v>
      </c>
      <c r="F578" s="279"/>
      <c r="G578" s="720" t="e">
        <f t="shared" si="6"/>
        <v>#REF!</v>
      </c>
      <c r="H578" s="22"/>
      <c r="I578" s="279" t="e">
        <f>#REF!</f>
        <v>#REF!</v>
      </c>
      <c r="J578" s="135"/>
      <c r="K578" s="759" t="e">
        <f t="shared" si="7"/>
        <v>#REF!</v>
      </c>
      <c r="L578" s="748"/>
      <c r="M578" s="760" t="e">
        <f>'16071-170'!T25</f>
        <v>#REF!</v>
      </c>
      <c r="N578" s="295"/>
      <c r="P578" s="752" t="e">
        <f t="shared" si="8"/>
        <v>#REF!</v>
      </c>
      <c r="Q578" s="752" t="e">
        <f t="shared" si="9"/>
        <v>#REF!</v>
      </c>
      <c r="R578" s="295"/>
      <c r="S578" s="22"/>
      <c r="T578" s="22"/>
      <c r="U578" s="22"/>
      <c r="V578" s="22"/>
      <c r="W578" s="22"/>
      <c r="X578" s="761"/>
      <c r="Y578" s="761"/>
      <c r="Z578" s="295"/>
      <c r="AA578" s="763"/>
      <c r="AB578" s="295"/>
      <c r="AD578" s="22"/>
    </row>
    <row r="579" spans="1:30" ht="15.75" thickBot="1">
      <c r="A579" s="214">
        <v>16071</v>
      </c>
      <c r="B579" s="214">
        <v>171</v>
      </c>
      <c r="C579" s="462" t="s">
        <v>799</v>
      </c>
      <c r="D579" s="322"/>
      <c r="E579" s="463" t="e">
        <f>#REF!</f>
        <v>#REF!</v>
      </c>
      <c r="F579" s="279"/>
      <c r="G579" s="720" t="e">
        <f t="shared" si="6"/>
        <v>#REF!</v>
      </c>
      <c r="H579" s="762"/>
      <c r="I579" s="279" t="e">
        <f>#REF!</f>
        <v>#REF!</v>
      </c>
      <c r="J579" s="135"/>
      <c r="K579" s="759" t="e">
        <f t="shared" si="7"/>
        <v>#REF!</v>
      </c>
      <c r="L579" s="748"/>
      <c r="M579" s="760" t="e">
        <f>'16071-171'!T23</f>
        <v>#REF!</v>
      </c>
      <c r="N579" s="295"/>
      <c r="P579" s="752" t="e">
        <f t="shared" si="8"/>
        <v>#REF!</v>
      </c>
      <c r="Q579" s="752" t="e">
        <f t="shared" si="9"/>
        <v>#REF!</v>
      </c>
      <c r="R579" s="295"/>
      <c r="S579" s="22"/>
      <c r="T579" s="22"/>
      <c r="U579" s="22"/>
      <c r="V579" s="22"/>
      <c r="W579" s="22"/>
      <c r="X579" s="761"/>
      <c r="Y579" s="761"/>
      <c r="Z579" s="295"/>
      <c r="AA579" s="22"/>
      <c r="AB579" s="22"/>
      <c r="AD579" s="22"/>
    </row>
    <row r="580" spans="1:30" ht="15.75" thickBot="1">
      <c r="A580" s="214">
        <v>16071</v>
      </c>
      <c r="B580" s="214">
        <v>173</v>
      </c>
      <c r="C580" s="462" t="s">
        <v>799</v>
      </c>
      <c r="D580" s="322"/>
      <c r="E580" s="463" t="e">
        <f>#REF!</f>
        <v>#REF!</v>
      </c>
      <c r="F580" s="279"/>
      <c r="G580" s="720" t="e">
        <f t="shared" si="6"/>
        <v>#REF!</v>
      </c>
      <c r="H580" s="22"/>
      <c r="I580" s="279" t="e">
        <f>#REF!</f>
        <v>#REF!</v>
      </c>
      <c r="J580" s="135"/>
      <c r="K580" s="759" t="e">
        <f t="shared" si="7"/>
        <v>#REF!</v>
      </c>
      <c r="L580" s="748"/>
      <c r="M580" s="760" t="e">
        <f>'16071-173'!T17</f>
        <v>#REF!</v>
      </c>
      <c r="N580" s="295"/>
      <c r="P580" s="752" t="e">
        <f t="shared" si="8"/>
        <v>#REF!</v>
      </c>
      <c r="Q580" s="752" t="e">
        <f t="shared" si="9"/>
        <v>#REF!</v>
      </c>
      <c r="R580" s="295"/>
      <c r="S580" s="22"/>
      <c r="T580" s="22"/>
      <c r="U580" s="22"/>
      <c r="V580" s="22"/>
      <c r="W580" s="22"/>
      <c r="X580" s="761"/>
      <c r="Y580" s="761"/>
      <c r="Z580" s="295"/>
      <c r="AA580" s="22"/>
      <c r="AB580" s="22"/>
      <c r="AD580" s="22"/>
    </row>
    <row r="581" spans="1:30" ht="15.75" thickBot="1">
      <c r="A581" s="214">
        <v>16081</v>
      </c>
      <c r="B581" s="214">
        <v>170</v>
      </c>
      <c r="C581" s="462" t="s">
        <v>809</v>
      </c>
      <c r="D581" s="322"/>
      <c r="E581" s="463" t="e">
        <f>#REF!</f>
        <v>#REF!</v>
      </c>
      <c r="F581" s="279"/>
      <c r="G581" s="720" t="e">
        <f t="shared" si="6"/>
        <v>#REF!</v>
      </c>
      <c r="H581" s="762"/>
      <c r="I581" s="279" t="e">
        <f>#REF!</f>
        <v>#REF!</v>
      </c>
      <c r="J581" s="135"/>
      <c r="K581" s="759" t="e">
        <f t="shared" si="7"/>
        <v>#REF!</v>
      </c>
      <c r="L581" s="748"/>
      <c r="M581" s="760" t="e">
        <f>'16081-170'!T37</f>
        <v>#REF!</v>
      </c>
      <c r="N581" s="295"/>
      <c r="P581" s="752" t="e">
        <f t="shared" si="8"/>
        <v>#REF!</v>
      </c>
      <c r="Q581" s="752" t="e">
        <f t="shared" si="9"/>
        <v>#REF!</v>
      </c>
      <c r="R581" s="295"/>
      <c r="S581" s="22"/>
      <c r="T581" s="22"/>
      <c r="U581" s="22"/>
      <c r="V581" s="22"/>
      <c r="W581" s="22"/>
      <c r="X581" s="761"/>
      <c r="Y581" s="761"/>
      <c r="Z581" s="295"/>
      <c r="AA581" s="22"/>
      <c r="AB581" s="22"/>
      <c r="AD581" s="22"/>
    </row>
    <row r="582" spans="1:30" ht="15.75" thickBot="1">
      <c r="A582" s="214">
        <v>16081</v>
      </c>
      <c r="B582" s="214">
        <v>171</v>
      </c>
      <c r="C582" s="462" t="s">
        <v>809</v>
      </c>
      <c r="D582" s="322"/>
      <c r="E582" s="463" t="e">
        <f>#REF!</f>
        <v>#REF!</v>
      </c>
      <c r="F582" s="279"/>
      <c r="G582" s="720" t="e">
        <f t="shared" si="6"/>
        <v>#REF!</v>
      </c>
      <c r="H582" s="22"/>
      <c r="I582" s="279" t="e">
        <f>#REF!</f>
        <v>#REF!</v>
      </c>
      <c r="J582" s="135"/>
      <c r="K582" s="759" t="e">
        <f t="shared" si="7"/>
        <v>#REF!</v>
      </c>
      <c r="L582" s="748"/>
      <c r="M582" s="760" t="e">
        <f>'16081-171'!T30</f>
        <v>#REF!</v>
      </c>
      <c r="N582" s="295"/>
      <c r="P582" s="752" t="e">
        <f t="shared" si="8"/>
        <v>#REF!</v>
      </c>
      <c r="Q582" s="752" t="e">
        <f t="shared" si="9"/>
        <v>#REF!</v>
      </c>
      <c r="R582" s="295"/>
      <c r="S582" s="22"/>
      <c r="T582" s="22"/>
      <c r="U582" s="22"/>
      <c r="V582" s="22"/>
      <c r="W582" s="22"/>
      <c r="X582" s="761"/>
      <c r="Y582" s="761"/>
      <c r="Z582" s="295"/>
      <c r="AA582" s="22"/>
      <c r="AB582" s="22"/>
      <c r="AD582" s="22"/>
    </row>
    <row r="583" spans="1:30" ht="15.75" thickBot="1">
      <c r="A583" s="214">
        <v>16081</v>
      </c>
      <c r="B583" s="214">
        <v>172</v>
      </c>
      <c r="C583" s="462" t="s">
        <v>809</v>
      </c>
      <c r="D583" s="322"/>
      <c r="E583" s="463" t="e">
        <f>#REF!</f>
        <v>#REF!</v>
      </c>
      <c r="F583" s="279"/>
      <c r="G583" s="720" t="e">
        <f t="shared" si="6"/>
        <v>#REF!</v>
      </c>
      <c r="H583" s="22"/>
      <c r="I583" s="279" t="e">
        <f>#REF!</f>
        <v>#REF!</v>
      </c>
      <c r="J583" s="60"/>
      <c r="K583" s="759" t="e">
        <f t="shared" si="7"/>
        <v>#REF!</v>
      </c>
      <c r="L583" s="748"/>
      <c r="M583" s="760" t="e">
        <f>'16081-172'!T17</f>
        <v>#REF!</v>
      </c>
      <c r="N583" s="295"/>
      <c r="P583" s="752" t="e">
        <f t="shared" si="8"/>
        <v>#REF!</v>
      </c>
      <c r="Q583" s="752" t="e">
        <f t="shared" si="9"/>
        <v>#REF!</v>
      </c>
      <c r="R583" s="295"/>
      <c r="S583" s="22"/>
      <c r="T583" s="22"/>
      <c r="U583" s="22"/>
      <c r="V583" s="22"/>
      <c r="W583" s="22"/>
      <c r="X583" s="761"/>
      <c r="Y583" s="761"/>
      <c r="Z583" s="295"/>
      <c r="AA583" s="22"/>
      <c r="AB583" s="22"/>
      <c r="AD583" s="22"/>
    </row>
    <row r="584" spans="1:30" ht="15.75" thickBot="1">
      <c r="A584" s="214">
        <v>16081</v>
      </c>
      <c r="B584" s="214">
        <v>173</v>
      </c>
      <c r="C584" s="462" t="s">
        <v>809</v>
      </c>
      <c r="D584" s="322"/>
      <c r="E584" s="463" t="e">
        <f>#REF!</f>
        <v>#REF!</v>
      </c>
      <c r="F584" s="279"/>
      <c r="G584" s="720" t="e">
        <f t="shared" si="6"/>
        <v>#REF!</v>
      </c>
      <c r="H584" s="22"/>
      <c r="I584" s="279" t="e">
        <f>#REF!</f>
        <v>#REF!</v>
      </c>
      <c r="J584" s="22"/>
      <c r="K584" s="759" t="e">
        <f t="shared" si="7"/>
        <v>#REF!</v>
      </c>
      <c r="L584" s="748"/>
      <c r="M584" s="760" t="e">
        <f>'16081-173'!T22</f>
        <v>#REF!</v>
      </c>
      <c r="N584" s="295"/>
      <c r="P584" s="752" t="e">
        <f t="shared" si="8"/>
        <v>#REF!</v>
      </c>
      <c r="Q584" s="752" t="e">
        <f t="shared" si="9"/>
        <v>#REF!</v>
      </c>
      <c r="R584" s="295"/>
      <c r="S584" s="22"/>
      <c r="T584" s="22"/>
      <c r="U584" s="22"/>
      <c r="V584" s="22"/>
      <c r="W584" s="22"/>
      <c r="X584" s="761"/>
      <c r="Y584" s="761"/>
      <c r="Z584" s="295"/>
      <c r="AA584" s="22"/>
      <c r="AB584" s="22"/>
      <c r="AD584" s="22"/>
    </row>
    <row r="585" spans="1:30" ht="15.75" thickBot="1">
      <c r="A585" s="214">
        <v>16091</v>
      </c>
      <c r="B585" s="214">
        <v>170</v>
      </c>
      <c r="C585" s="462" t="s">
        <v>660</v>
      </c>
      <c r="D585" s="322"/>
      <c r="E585" s="463" t="e">
        <f>#REF!</f>
        <v>#REF!</v>
      </c>
      <c r="F585" s="279"/>
      <c r="G585" s="720" t="e">
        <f t="shared" si="6"/>
        <v>#REF!</v>
      </c>
      <c r="H585" s="22"/>
      <c r="I585" s="279" t="e">
        <f>#REF!</f>
        <v>#REF!</v>
      </c>
      <c r="J585" s="22"/>
      <c r="K585" s="759" t="e">
        <f t="shared" si="7"/>
        <v>#REF!</v>
      </c>
      <c r="M585" s="760" t="e">
        <f>'16091-170'!T23</f>
        <v>#REF!</v>
      </c>
      <c r="P585" s="752" t="e">
        <f t="shared" si="8"/>
        <v>#REF!</v>
      </c>
      <c r="Q585" s="752" t="e">
        <f t="shared" si="9"/>
        <v>#REF!</v>
      </c>
      <c r="R585" s="295"/>
      <c r="S585" s="22"/>
      <c r="T585" s="22"/>
      <c r="U585" s="22"/>
      <c r="V585" s="22"/>
      <c r="W585" s="22"/>
      <c r="X585" s="761"/>
      <c r="Y585" s="761"/>
      <c r="Z585" s="295"/>
      <c r="AA585" s="22"/>
      <c r="AB585" s="22"/>
      <c r="AD585" s="22"/>
    </row>
    <row r="586" spans="1:30" ht="15.75" thickBot="1">
      <c r="A586" s="214">
        <v>16091</v>
      </c>
      <c r="B586" s="214">
        <v>171</v>
      </c>
      <c r="C586" s="462" t="s">
        <v>660</v>
      </c>
      <c r="D586" s="322"/>
      <c r="E586" s="463">
        <f>E12</f>
        <v>2883298.8</v>
      </c>
      <c r="F586" s="279"/>
      <c r="G586" s="720" t="e">
        <f t="shared" si="6"/>
        <v>#REF!</v>
      </c>
      <c r="H586" s="22"/>
      <c r="I586" s="279">
        <f>G12</f>
        <v>697.46666666666658</v>
      </c>
      <c r="J586" s="22"/>
      <c r="K586" s="759" t="e">
        <f t="shared" si="7"/>
        <v>#REF!</v>
      </c>
      <c r="L586" s="748"/>
      <c r="M586" s="760" t="e">
        <f>'16091-171'!T29</f>
        <v>#REF!</v>
      </c>
      <c r="N586" s="295"/>
      <c r="O586" s="22"/>
      <c r="P586" s="752" t="e">
        <f t="shared" si="8"/>
        <v>#REF!</v>
      </c>
      <c r="Q586" s="752" t="e">
        <f t="shared" si="9"/>
        <v>#REF!</v>
      </c>
      <c r="R586" s="295"/>
      <c r="S586" s="22"/>
      <c r="T586" s="22"/>
      <c r="U586" s="22"/>
      <c r="V586" s="22"/>
      <c r="W586" s="22"/>
      <c r="X586" s="761"/>
      <c r="Y586" s="761"/>
      <c r="Z586" s="295"/>
      <c r="AA586" s="22"/>
      <c r="AB586" s="22"/>
      <c r="AD586" s="22"/>
    </row>
    <row r="587" spans="1:30" ht="15.75" thickBot="1">
      <c r="A587" s="214">
        <v>16091</v>
      </c>
      <c r="B587" s="214">
        <v>172</v>
      </c>
      <c r="C587" s="462" t="s">
        <v>660</v>
      </c>
      <c r="D587" s="322"/>
      <c r="E587" s="463">
        <f>E13</f>
        <v>228333</v>
      </c>
      <c r="F587" s="279"/>
      <c r="G587" s="720" t="e">
        <f t="shared" si="6"/>
        <v>#REF!</v>
      </c>
      <c r="H587" s="22"/>
      <c r="I587" s="279">
        <f>G13</f>
        <v>15.2</v>
      </c>
      <c r="K587" s="759" t="e">
        <f t="shared" si="7"/>
        <v>#REF!</v>
      </c>
      <c r="L587" s="748"/>
      <c r="M587" s="760" t="e">
        <f>'16091-172'!T19</f>
        <v>#REF!</v>
      </c>
      <c r="N587" s="159"/>
      <c r="O587" s="22"/>
      <c r="P587" s="752" t="e">
        <f t="shared" si="8"/>
        <v>#REF!</v>
      </c>
      <c r="Q587" s="752" t="e">
        <f t="shared" si="9"/>
        <v>#REF!</v>
      </c>
      <c r="R587" s="295"/>
      <c r="S587" s="22"/>
      <c r="T587" s="22"/>
      <c r="U587" s="22"/>
      <c r="V587" s="22"/>
      <c r="W587" s="22"/>
      <c r="X587" s="761"/>
      <c r="Y587" s="761"/>
      <c r="Z587" s="295"/>
      <c r="AA587" s="22"/>
      <c r="AB587" s="22"/>
      <c r="AD587" s="22"/>
    </row>
    <row r="588" spans="1:30" ht="15.75" thickBot="1">
      <c r="A588" s="214">
        <v>16091</v>
      </c>
      <c r="B588" s="214">
        <v>173</v>
      </c>
      <c r="C588" s="462" t="s">
        <v>660</v>
      </c>
      <c r="E588" s="463">
        <f>E14</f>
        <v>61640</v>
      </c>
      <c r="G588" s="720" t="e">
        <f t="shared" si="6"/>
        <v>#REF!</v>
      </c>
      <c r="I588" s="15">
        <v>22</v>
      </c>
      <c r="K588" s="759" t="e">
        <f t="shared" si="7"/>
        <v>#REF!</v>
      </c>
      <c r="L588" s="15"/>
      <c r="M588" s="760" t="e">
        <f>'16091-173'!T19</f>
        <v>#REF!</v>
      </c>
      <c r="N588" s="15"/>
      <c r="P588" s="752" t="e">
        <f t="shared" si="8"/>
        <v>#REF!</v>
      </c>
      <c r="Q588" s="752" t="e">
        <f t="shared" si="9"/>
        <v>#REF!</v>
      </c>
      <c r="R588" s="295"/>
      <c r="S588" s="22"/>
      <c r="T588" s="22"/>
      <c r="U588" s="22"/>
      <c r="V588" s="22"/>
      <c r="W588" s="22"/>
      <c r="X588" s="761"/>
      <c r="Y588" s="761"/>
      <c r="Z588" s="295"/>
      <c r="AA588" s="22"/>
      <c r="AB588" s="22"/>
      <c r="AD588" s="22"/>
    </row>
    <row r="589" spans="1:30">
      <c r="A589" s="214"/>
      <c r="B589" s="214"/>
      <c r="C589" s="462"/>
      <c r="L589" s="15"/>
      <c r="N589" s="15"/>
      <c r="P589" s="22"/>
      <c r="Q589" s="22"/>
      <c r="R589" s="295"/>
      <c r="S589" s="22"/>
      <c r="T589" s="22"/>
      <c r="U589" s="22"/>
      <c r="V589" s="22"/>
      <c r="W589" s="22"/>
      <c r="X589" s="761"/>
      <c r="Y589" s="761"/>
      <c r="Z589" s="295"/>
      <c r="AA589" s="22"/>
      <c r="AB589" s="22"/>
      <c r="AD589" s="22"/>
    </row>
    <row r="590" spans="1:30" ht="15.75" thickBot="1">
      <c r="E590" s="733" t="e">
        <f>SUM(E562:E588)</f>
        <v>#REF!</v>
      </c>
      <c r="G590" s="720"/>
      <c r="H590" s="22"/>
      <c r="I590" s="733" t="e">
        <f>SUM(I562:I588)</f>
        <v>#REF!</v>
      </c>
      <c r="L590" s="748"/>
      <c r="M590" s="733" t="e">
        <f>SUM(M562:M588)</f>
        <v>#REF!</v>
      </c>
      <c r="N590" s="733"/>
      <c r="O590" s="22"/>
      <c r="P590" s="22"/>
      <c r="Q590" s="22"/>
      <c r="R590" s="295"/>
      <c r="S590" s="22"/>
      <c r="T590" s="22"/>
      <c r="U590" s="22"/>
      <c r="V590" s="22"/>
      <c r="W590" s="22"/>
      <c r="X590" s="761"/>
      <c r="Y590" s="761"/>
      <c r="Z590" s="295"/>
      <c r="AA590" s="22"/>
      <c r="AB590" s="22"/>
      <c r="AD590" s="22"/>
    </row>
    <row r="591" spans="1:30" ht="15.75" thickTop="1">
      <c r="E591" s="764"/>
      <c r="G591" s="720"/>
      <c r="H591" s="22"/>
      <c r="I591" s="764"/>
      <c r="L591" s="748"/>
      <c r="M591" s="265"/>
      <c r="N591" s="57"/>
      <c r="O591" s="22"/>
      <c r="P591" s="22"/>
      <c r="Q591" s="22"/>
      <c r="R591" s="295"/>
      <c r="S591" s="22"/>
      <c r="T591" s="22"/>
      <c r="U591" s="22"/>
      <c r="V591" s="22"/>
      <c r="W591" s="22"/>
      <c r="X591" s="761"/>
      <c r="Y591" s="761"/>
      <c r="Z591" s="295"/>
      <c r="AA591" s="22"/>
      <c r="AB591" s="22"/>
      <c r="AD591" s="22"/>
    </row>
    <row r="592" spans="1:30">
      <c r="C592" s="338" t="s">
        <v>269</v>
      </c>
      <c r="E592" s="764"/>
      <c r="G592" s="720"/>
      <c r="H592" s="22"/>
      <c r="I592" s="764"/>
      <c r="L592" s="748"/>
      <c r="M592" s="265"/>
      <c r="N592" s="57"/>
      <c r="O592" s="22"/>
      <c r="P592" s="22"/>
      <c r="Q592" s="22"/>
      <c r="R592" s="295"/>
      <c r="S592" s="22"/>
      <c r="T592" s="22"/>
      <c r="U592" s="22"/>
      <c r="V592" s="22"/>
      <c r="W592" s="22"/>
      <c r="X592" s="761"/>
      <c r="Y592" s="761"/>
      <c r="Z592" s="295"/>
      <c r="AA592" s="22"/>
      <c r="AB592" s="22"/>
      <c r="AD592" s="22"/>
    </row>
    <row r="593" spans="1:30" ht="15.75" thickBot="1">
      <c r="C593" s="338" t="s">
        <v>803</v>
      </c>
      <c r="D593" s="724" t="e">
        <f>K601</f>
        <v>#REF!</v>
      </c>
      <c r="E593" s="764"/>
      <c r="G593" s="720"/>
      <c r="H593" s="22"/>
      <c r="I593" s="764"/>
      <c r="L593" s="748"/>
      <c r="M593" s="265"/>
      <c r="N593" s="57"/>
      <c r="O593" s="22"/>
      <c r="P593" s="22"/>
      <c r="Q593" s="22"/>
      <c r="R593" s="295"/>
      <c r="S593" s="22"/>
      <c r="T593" s="22"/>
      <c r="U593" s="22"/>
      <c r="V593" s="22"/>
      <c r="W593" s="22"/>
      <c r="X593" s="761"/>
      <c r="Y593" s="761"/>
      <c r="Z593" s="295"/>
      <c r="AA593" s="22"/>
      <c r="AB593" s="22"/>
      <c r="AD593" s="22"/>
    </row>
    <row r="594" spans="1:30" ht="15.75" thickBot="1">
      <c r="C594" s="316" t="str">
        <f>C49</f>
        <v>Next 4,000</v>
      </c>
      <c r="D594" s="512" t="e">
        <f>D49*Q594</f>
        <v>#REF!</v>
      </c>
      <c r="E594" s="764"/>
      <c r="G594" s="720"/>
      <c r="H594" s="22"/>
      <c r="I594" s="764"/>
      <c r="L594" s="748"/>
      <c r="M594" s="265"/>
      <c r="N594" s="57"/>
      <c r="O594" s="22"/>
      <c r="P594" s="22"/>
      <c r="Q594" s="752" t="e">
        <f>$Q$585</f>
        <v>#REF!</v>
      </c>
      <c r="R594" s="295"/>
      <c r="S594" s="22"/>
      <c r="T594" s="22"/>
      <c r="U594" s="22"/>
      <c r="V594" s="22"/>
      <c r="W594" s="22"/>
      <c r="X594" s="761"/>
      <c r="Y594" s="761"/>
      <c r="Z594" s="295"/>
      <c r="AA594" s="22"/>
      <c r="AB594" s="22"/>
      <c r="AD594" s="22"/>
    </row>
    <row r="595" spans="1:30" ht="15.75" thickBot="1">
      <c r="C595" s="316" t="str">
        <f>C50</f>
        <v>Next 15,000</v>
      </c>
      <c r="D595" s="512" t="e">
        <f>D50*Q595</f>
        <v>#REF!</v>
      </c>
      <c r="E595" s="764"/>
      <c r="G595" s="720"/>
      <c r="H595" s="22"/>
      <c r="I595" s="764"/>
      <c r="L595" s="748"/>
      <c r="M595" s="265"/>
      <c r="N595" s="57"/>
      <c r="O595" s="22"/>
      <c r="P595" s="22"/>
      <c r="Q595" s="752" t="e">
        <f>$Q$585</f>
        <v>#REF!</v>
      </c>
      <c r="R595" s="295"/>
      <c r="S595" s="22"/>
      <c r="T595" s="22"/>
      <c r="U595" s="22"/>
      <c r="V595" s="22"/>
      <c r="W595" s="22"/>
      <c r="X595" s="761"/>
      <c r="Y595" s="761"/>
      <c r="Z595" s="295"/>
      <c r="AA595" s="22"/>
      <c r="AB595" s="22"/>
      <c r="AD595" s="22"/>
    </row>
    <row r="596" spans="1:30" ht="15.75" thickBot="1">
      <c r="C596" s="316" t="str">
        <f>C51</f>
        <v>Next 25,000</v>
      </c>
      <c r="D596" s="512" t="e">
        <f>D51*Q596</f>
        <v>#REF!</v>
      </c>
      <c r="E596" s="764"/>
      <c r="G596" s="720"/>
      <c r="H596" s="22"/>
      <c r="I596" s="764"/>
      <c r="L596" s="748"/>
      <c r="M596" s="265"/>
      <c r="N596" s="57"/>
      <c r="O596" s="22"/>
      <c r="P596" s="22"/>
      <c r="Q596" s="752" t="e">
        <f>$Q$585</f>
        <v>#REF!</v>
      </c>
      <c r="R596" s="295"/>
      <c r="S596" s="22"/>
      <c r="T596" s="22"/>
      <c r="U596" s="22"/>
      <c r="V596" s="22"/>
      <c r="W596" s="22"/>
      <c r="X596" s="761"/>
      <c r="Y596" s="761"/>
      <c r="Z596" s="295"/>
      <c r="AA596" s="22"/>
      <c r="AB596" s="22"/>
      <c r="AD596" s="22"/>
    </row>
    <row r="597" spans="1:30" ht="15.75" thickBot="1">
      <c r="C597" s="316" t="str">
        <f>C52</f>
        <v>Next 50,000</v>
      </c>
      <c r="D597" s="512" t="e">
        <f>D52*Q597</f>
        <v>#REF!</v>
      </c>
      <c r="E597" s="764"/>
      <c r="G597" s="720"/>
      <c r="H597" s="22"/>
      <c r="I597" s="764"/>
      <c r="L597" s="748"/>
      <c r="M597" s="265"/>
      <c r="N597" s="57"/>
      <c r="O597" s="22"/>
      <c r="P597" s="22"/>
      <c r="Q597" s="752" t="e">
        <f>$Q$585</f>
        <v>#REF!</v>
      </c>
      <c r="R597" s="295"/>
      <c r="S597" s="22"/>
      <c r="T597" s="22"/>
      <c r="U597" s="22"/>
      <c r="V597" s="22"/>
      <c r="W597" s="22"/>
      <c r="X597" s="761"/>
      <c r="Y597" s="761"/>
      <c r="Z597" s="295"/>
      <c r="AA597" s="22"/>
      <c r="AB597" s="22"/>
      <c r="AD597" s="22"/>
    </row>
    <row r="598" spans="1:30" ht="15.75" thickBot="1">
      <c r="C598" s="316" t="str">
        <f>C53</f>
        <v>Over 100,000</v>
      </c>
      <c r="D598" s="512" t="e">
        <f>D53*Q598</f>
        <v>#REF!</v>
      </c>
      <c r="E598" s="764"/>
      <c r="G598" s="720"/>
      <c r="H598" s="22"/>
      <c r="I598" s="764"/>
      <c r="L598" s="748"/>
      <c r="M598" s="265"/>
      <c r="N598" s="57"/>
      <c r="O598" s="22"/>
      <c r="P598" s="22"/>
      <c r="Q598" s="752" t="e">
        <f>$Q$585</f>
        <v>#REF!</v>
      </c>
    </row>
    <row r="599" spans="1:30">
      <c r="E599" s="764"/>
      <c r="G599" s="720"/>
      <c r="H599" s="22"/>
      <c r="I599" s="764"/>
      <c r="L599" s="748"/>
      <c r="M599" s="265"/>
      <c r="N599" s="57"/>
      <c r="O599" s="22"/>
      <c r="P599" s="22"/>
      <c r="Q599" s="22"/>
    </row>
    <row r="600" spans="1:30" ht="15.75" thickBot="1">
      <c r="G600" s="720"/>
      <c r="H600" s="22"/>
      <c r="L600" s="748"/>
      <c r="M600" s="728"/>
      <c r="N600" s="57"/>
      <c r="O600" s="22"/>
      <c r="P600" s="22"/>
      <c r="Q600" s="22"/>
    </row>
    <row r="601" spans="1:30" ht="15.75" thickBot="1">
      <c r="A601" s="214">
        <v>16003</v>
      </c>
      <c r="B601" s="214">
        <v>170</v>
      </c>
      <c r="C601" s="462" t="s">
        <v>352</v>
      </c>
      <c r="D601" s="322"/>
      <c r="E601" s="463" t="e">
        <f>#REF!</f>
        <v>#REF!</v>
      </c>
      <c r="F601" s="279"/>
      <c r="G601" s="744" t="e">
        <f t="shared" si="6"/>
        <v>#REF!</v>
      </c>
      <c r="H601" s="22"/>
      <c r="I601" s="279" t="e">
        <f>#REF!</f>
        <v>#REF!</v>
      </c>
      <c r="K601" s="765" t="e">
        <f>D48*Q601</f>
        <v>#REF!</v>
      </c>
      <c r="L601" s="748"/>
      <c r="M601" s="269" t="e">
        <f>'16003-170'!T26</f>
        <v>#REF!</v>
      </c>
      <c r="N601" s="295"/>
      <c r="P601" s="752" t="e">
        <f t="shared" ref="P601:P615" si="10">$P$562</f>
        <v>#REF!</v>
      </c>
      <c r="Q601" s="752" t="e">
        <f t="shared" ref="Q601:Q615" si="11">$Q$585</f>
        <v>#REF!</v>
      </c>
    </row>
    <row r="602" spans="1:30" ht="15.75" thickBot="1">
      <c r="A602" s="214">
        <v>16003</v>
      </c>
      <c r="B602" s="214">
        <v>171</v>
      </c>
      <c r="C602" s="462" t="s">
        <v>352</v>
      </c>
      <c r="D602" s="322"/>
      <c r="E602" s="463" t="e">
        <f>#REF!</f>
        <v>#REF!</v>
      </c>
      <c r="F602" s="279"/>
      <c r="G602" s="720" t="e">
        <f t="shared" si="6"/>
        <v>#REF!</v>
      </c>
      <c r="H602" s="22"/>
      <c r="I602" s="279" t="e">
        <f>#REF!</f>
        <v>#REF!</v>
      </c>
      <c r="K602" s="759" t="e">
        <f>$K$601</f>
        <v>#REF!</v>
      </c>
      <c r="L602" s="748"/>
      <c r="M602" s="760" t="e">
        <f>'16003-171'!T31</f>
        <v>#REF!</v>
      </c>
      <c r="N602" s="295"/>
      <c r="P602" s="752" t="e">
        <f t="shared" si="10"/>
        <v>#REF!</v>
      </c>
      <c r="Q602" s="752" t="e">
        <f t="shared" si="11"/>
        <v>#REF!</v>
      </c>
    </row>
    <row r="603" spans="1:30" ht="15.75" thickBot="1">
      <c r="A603" s="214">
        <v>16003</v>
      </c>
      <c r="B603" s="214">
        <v>172</v>
      </c>
      <c r="C603" s="462" t="s">
        <v>352</v>
      </c>
      <c r="D603" s="322"/>
      <c r="E603" s="463" t="e">
        <f>#REF!</f>
        <v>#REF!</v>
      </c>
      <c r="F603" s="279"/>
      <c r="G603" s="720" t="e">
        <f t="shared" si="6"/>
        <v>#REF!</v>
      </c>
      <c r="H603" s="22"/>
      <c r="I603" s="279" t="e">
        <f>#REF!</f>
        <v>#REF!</v>
      </c>
      <c r="K603" s="759" t="e">
        <f t="shared" ref="K603:K615" si="12">$K$601</f>
        <v>#REF!</v>
      </c>
      <c r="L603" s="748"/>
      <c r="M603" s="760" t="e">
        <f>'16003-172'!T27</f>
        <v>#REF!</v>
      </c>
      <c r="N603" s="295"/>
      <c r="P603" s="752" t="e">
        <f t="shared" si="10"/>
        <v>#REF!</v>
      </c>
      <c r="Q603" s="752" t="e">
        <f t="shared" si="11"/>
        <v>#REF!</v>
      </c>
    </row>
    <row r="604" spans="1:30" ht="15.75" thickBot="1">
      <c r="A604" s="214">
        <v>16013</v>
      </c>
      <c r="B604" s="214">
        <v>170</v>
      </c>
      <c r="C604" s="462" t="s">
        <v>483</v>
      </c>
      <c r="D604" s="322"/>
      <c r="E604" s="463" t="e">
        <f>#REF!</f>
        <v>#REF!</v>
      </c>
      <c r="F604" s="279"/>
      <c r="G604" s="720" t="e">
        <f t="shared" si="6"/>
        <v>#REF!</v>
      </c>
      <c r="H604" s="22"/>
      <c r="I604" s="279" t="e">
        <f>#REF!</f>
        <v>#REF!</v>
      </c>
      <c r="K604" s="759" t="e">
        <f t="shared" si="12"/>
        <v>#REF!</v>
      </c>
      <c r="L604" s="748"/>
      <c r="M604" s="760" t="e">
        <f>#REF!</f>
        <v>#REF!</v>
      </c>
      <c r="N604" s="295"/>
      <c r="P604" s="752" t="e">
        <f t="shared" si="10"/>
        <v>#REF!</v>
      </c>
      <c r="Q604" s="752" t="e">
        <f t="shared" si="11"/>
        <v>#REF!</v>
      </c>
    </row>
    <row r="605" spans="1:30" ht="15.75" thickBot="1">
      <c r="A605" s="214">
        <v>16013</v>
      </c>
      <c r="B605" s="214">
        <v>171</v>
      </c>
      <c r="C605" s="462" t="s">
        <v>483</v>
      </c>
      <c r="D605" s="322"/>
      <c r="E605" s="463" t="e">
        <f>#REF!</f>
        <v>#REF!</v>
      </c>
      <c r="F605" s="279"/>
      <c r="G605" s="720" t="e">
        <f t="shared" si="6"/>
        <v>#REF!</v>
      </c>
      <c r="H605" s="22"/>
      <c r="I605" s="279" t="e">
        <f>#REF!</f>
        <v>#REF!</v>
      </c>
      <c r="K605" s="759" t="e">
        <f t="shared" si="12"/>
        <v>#REF!</v>
      </c>
      <c r="L605" s="748"/>
      <c r="M605" s="760" t="e">
        <f>'16013-171'!T30</f>
        <v>#REF!</v>
      </c>
      <c r="N605" s="295"/>
      <c r="P605" s="752" t="e">
        <f t="shared" si="10"/>
        <v>#REF!</v>
      </c>
      <c r="Q605" s="752" t="e">
        <f t="shared" si="11"/>
        <v>#REF!</v>
      </c>
    </row>
    <row r="606" spans="1:30" ht="15.75" thickBot="1">
      <c r="A606" s="214">
        <v>16013</v>
      </c>
      <c r="B606" s="214">
        <v>172</v>
      </c>
      <c r="C606" s="462" t="s">
        <v>483</v>
      </c>
      <c r="D606" s="322"/>
      <c r="E606" s="463" t="e">
        <f>#REF!</f>
        <v>#REF!</v>
      </c>
      <c r="F606" s="279"/>
      <c r="G606" s="720" t="e">
        <f t="shared" si="6"/>
        <v>#REF!</v>
      </c>
      <c r="H606" s="22"/>
      <c r="I606" s="279" t="e">
        <f>#REF!</f>
        <v>#REF!</v>
      </c>
      <c r="K606" s="759" t="e">
        <f t="shared" si="12"/>
        <v>#REF!</v>
      </c>
      <c r="M606" s="760" t="e">
        <f>'16013-172'!T92</f>
        <v>#REF!</v>
      </c>
      <c r="P606" s="752" t="e">
        <f t="shared" si="10"/>
        <v>#REF!</v>
      </c>
      <c r="Q606" s="752" t="e">
        <f t="shared" si="11"/>
        <v>#REF!</v>
      </c>
    </row>
    <row r="607" spans="1:30" ht="15.75" thickBot="1">
      <c r="A607" s="214">
        <v>16013</v>
      </c>
      <c r="B607" s="214">
        <v>173</v>
      </c>
      <c r="C607" s="462" t="s">
        <v>483</v>
      </c>
      <c r="D607" s="322"/>
      <c r="E607" s="463" t="e">
        <f>#REF!</f>
        <v>#REF!</v>
      </c>
      <c r="F607" s="279"/>
      <c r="G607" s="720" t="e">
        <f t="shared" si="6"/>
        <v>#REF!</v>
      </c>
      <c r="H607" s="22"/>
      <c r="I607" s="279" t="e">
        <f>#REF!</f>
        <v>#REF!</v>
      </c>
      <c r="K607" s="759" t="e">
        <f t="shared" si="12"/>
        <v>#REF!</v>
      </c>
      <c r="M607" s="760" t="e">
        <f>#REF!</f>
        <v>#REF!</v>
      </c>
      <c r="P607" s="752" t="e">
        <f t="shared" si="10"/>
        <v>#REF!</v>
      </c>
      <c r="Q607" s="752" t="e">
        <f t="shared" si="11"/>
        <v>#REF!</v>
      </c>
    </row>
    <row r="608" spans="1:30" ht="15.75" thickBot="1">
      <c r="A608" s="214">
        <v>16033</v>
      </c>
      <c r="B608" s="214">
        <v>170</v>
      </c>
      <c r="C608" s="462" t="s">
        <v>357</v>
      </c>
      <c r="D608" s="322"/>
      <c r="E608" s="463" t="e">
        <f>#REF!</f>
        <v>#REF!</v>
      </c>
      <c r="F608" s="279"/>
      <c r="G608" s="720" t="e">
        <f t="shared" si="6"/>
        <v>#REF!</v>
      </c>
      <c r="H608" s="728"/>
      <c r="I608" s="279" t="e">
        <f>#REF!</f>
        <v>#REF!</v>
      </c>
      <c r="J608" s="728"/>
      <c r="K608" s="759" t="e">
        <f t="shared" si="12"/>
        <v>#REF!</v>
      </c>
      <c r="L608" s="757"/>
      <c r="M608" s="760" t="e">
        <f>'16033-170'!T20</f>
        <v>#REF!</v>
      </c>
      <c r="N608" s="729"/>
      <c r="P608" s="752" t="e">
        <f t="shared" si="10"/>
        <v>#REF!</v>
      </c>
      <c r="Q608" s="752" t="e">
        <f t="shared" si="11"/>
        <v>#REF!</v>
      </c>
    </row>
    <row r="609" spans="1:17" ht="15.75" thickBot="1">
      <c r="A609" s="214">
        <v>16043</v>
      </c>
      <c r="B609" s="214">
        <v>170</v>
      </c>
      <c r="C609" s="462" t="s">
        <v>798</v>
      </c>
      <c r="D609" s="322"/>
      <c r="E609" s="463" t="e">
        <f>#REF!</f>
        <v>#REF!</v>
      </c>
      <c r="F609" s="279"/>
      <c r="G609" s="720" t="e">
        <f t="shared" si="6"/>
        <v>#REF!</v>
      </c>
      <c r="H609" s="728"/>
      <c r="I609" s="279" t="e">
        <f>#REF!</f>
        <v>#REF!</v>
      </c>
      <c r="J609" s="728"/>
      <c r="K609" s="759" t="e">
        <f t="shared" si="12"/>
        <v>#REF!</v>
      </c>
      <c r="L609" s="757"/>
      <c r="M609" s="760" t="e">
        <f>'16043-170'!T22</f>
        <v>#REF!</v>
      </c>
      <c r="N609" s="729"/>
      <c r="O609" s="22"/>
      <c r="P609" s="752" t="e">
        <f t="shared" si="10"/>
        <v>#REF!</v>
      </c>
      <c r="Q609" s="752" t="e">
        <f t="shared" si="11"/>
        <v>#REF!</v>
      </c>
    </row>
    <row r="610" spans="1:17" ht="15.75" thickBot="1">
      <c r="A610" s="214">
        <v>16073</v>
      </c>
      <c r="B610" s="214">
        <v>170</v>
      </c>
      <c r="C610" s="462" t="s">
        <v>871</v>
      </c>
      <c r="D610" s="322"/>
      <c r="E610" s="463" t="e">
        <f>#REF!</f>
        <v>#REF!</v>
      </c>
      <c r="F610" s="279"/>
      <c r="G610" s="720" t="e">
        <f t="shared" si="6"/>
        <v>#REF!</v>
      </c>
      <c r="H610" s="22"/>
      <c r="I610" s="279" t="e">
        <f>#REF!</f>
        <v>#REF!</v>
      </c>
      <c r="J610" s="728"/>
      <c r="K610" s="759" t="e">
        <f t="shared" si="12"/>
        <v>#REF!</v>
      </c>
      <c r="L610" s="757"/>
      <c r="M610" s="760" t="e">
        <f>'16073-170'!T17</f>
        <v>#REF!</v>
      </c>
      <c r="N610" s="729"/>
      <c r="O610" s="22"/>
      <c r="P610" s="752" t="e">
        <f t="shared" si="10"/>
        <v>#REF!</v>
      </c>
      <c r="Q610" s="752" t="e">
        <f t="shared" si="11"/>
        <v>#REF!</v>
      </c>
    </row>
    <row r="611" spans="1:17" ht="15.75" thickBot="1">
      <c r="A611" s="214">
        <v>16082</v>
      </c>
      <c r="B611" s="214">
        <v>170</v>
      </c>
      <c r="C611" s="462" t="s">
        <v>810</v>
      </c>
      <c r="D611" s="322"/>
      <c r="E611" s="463" t="e">
        <f>#REF!</f>
        <v>#REF!</v>
      </c>
      <c r="F611" s="279"/>
      <c r="G611" s="720" t="e">
        <f t="shared" si="6"/>
        <v>#REF!</v>
      </c>
      <c r="H611" s="22"/>
      <c r="I611" s="279" t="e">
        <f>#REF!</f>
        <v>#REF!</v>
      </c>
      <c r="J611" s="728"/>
      <c r="K611" s="759" t="e">
        <f t="shared" si="12"/>
        <v>#REF!</v>
      </c>
      <c r="L611" s="757"/>
      <c r="M611" s="760" t="e">
        <f>'16082-170'!T35</f>
        <v>#REF!</v>
      </c>
      <c r="N611" s="729"/>
      <c r="O611" s="22"/>
      <c r="P611" s="752" t="e">
        <f t="shared" si="10"/>
        <v>#REF!</v>
      </c>
      <c r="Q611" s="752" t="e">
        <f t="shared" si="11"/>
        <v>#REF!</v>
      </c>
    </row>
    <row r="612" spans="1:17" ht="15.75" thickBot="1">
      <c r="A612" s="214">
        <v>16082</v>
      </c>
      <c r="B612" s="214">
        <v>171</v>
      </c>
      <c r="C612" s="462" t="s">
        <v>810</v>
      </c>
      <c r="D612" s="322"/>
      <c r="E612" s="463">
        <f>E41</f>
        <v>181113.33333333334</v>
      </c>
      <c r="F612" s="279"/>
      <c r="G612" s="720" t="e">
        <f t="shared" si="6"/>
        <v>#REF!</v>
      </c>
      <c r="H612" s="22"/>
      <c r="I612" s="279">
        <f>G41</f>
        <v>27.866666666666667</v>
      </c>
      <c r="J612" s="728"/>
      <c r="K612" s="759" t="e">
        <f t="shared" si="12"/>
        <v>#REF!</v>
      </c>
      <c r="L612" s="757"/>
      <c r="M612" s="760" t="e">
        <f>'16082-171'!T25</f>
        <v>#REF!</v>
      </c>
      <c r="N612" s="729"/>
      <c r="O612" s="22"/>
      <c r="P612" s="752" t="e">
        <f t="shared" si="10"/>
        <v>#REF!</v>
      </c>
      <c r="Q612" s="752" t="e">
        <f t="shared" si="11"/>
        <v>#REF!</v>
      </c>
    </row>
    <row r="613" spans="1:17" ht="15.75" thickBot="1">
      <c r="A613" s="214">
        <v>16082</v>
      </c>
      <c r="B613" s="214">
        <v>172</v>
      </c>
      <c r="C613" s="462" t="s">
        <v>810</v>
      </c>
      <c r="D613" s="322"/>
      <c r="E613" s="463">
        <f>E42</f>
        <v>388509.8666666667</v>
      </c>
      <c r="F613" s="279"/>
      <c r="G613" s="720" t="e">
        <f t="shared" si="6"/>
        <v>#REF!</v>
      </c>
      <c r="H613" s="762"/>
      <c r="I613" s="279">
        <f>G42</f>
        <v>83.866666666666646</v>
      </c>
      <c r="J613" s="335"/>
      <c r="K613" s="759" t="e">
        <f t="shared" si="12"/>
        <v>#REF!</v>
      </c>
      <c r="L613" s="766"/>
      <c r="M613" s="760" t="e">
        <f>'16082-172'!T14</f>
        <v>#REF!</v>
      </c>
      <c r="N613" s="295"/>
      <c r="O613" s="22"/>
      <c r="P613" s="752" t="e">
        <f t="shared" si="10"/>
        <v>#REF!</v>
      </c>
      <c r="Q613" s="752" t="e">
        <f t="shared" si="11"/>
        <v>#REF!</v>
      </c>
    </row>
    <row r="614" spans="1:17" ht="15.75" thickBot="1">
      <c r="A614" s="214">
        <v>16082</v>
      </c>
      <c r="B614" s="214">
        <v>173</v>
      </c>
      <c r="C614" s="462" t="s">
        <v>810</v>
      </c>
      <c r="D614" s="322"/>
      <c r="E614" s="463">
        <f>E43</f>
        <v>49973.333333333336</v>
      </c>
      <c r="F614" s="279"/>
      <c r="G614" s="720" t="e">
        <f t="shared" si="6"/>
        <v>#REF!</v>
      </c>
      <c r="H614" s="22"/>
      <c r="I614" s="279">
        <f>G43</f>
        <v>3.8</v>
      </c>
      <c r="J614" s="728"/>
      <c r="K614" s="759" t="e">
        <f t="shared" si="12"/>
        <v>#REF!</v>
      </c>
      <c r="L614" s="757"/>
      <c r="M614" s="760" t="e">
        <f>'16082-173'!T14</f>
        <v>#REF!</v>
      </c>
      <c r="N614" s="729"/>
      <c r="O614" s="22"/>
      <c r="P614" s="752" t="e">
        <f t="shared" si="10"/>
        <v>#REF!</v>
      </c>
      <c r="Q614" s="752" t="e">
        <f t="shared" si="11"/>
        <v>#REF!</v>
      </c>
    </row>
    <row r="615" spans="1:17" ht="15.75" thickBot="1">
      <c r="A615" s="214">
        <v>16092</v>
      </c>
      <c r="B615" s="214">
        <v>170</v>
      </c>
      <c r="C615" s="462" t="s">
        <v>382</v>
      </c>
      <c r="D615" s="322"/>
      <c r="E615" s="463">
        <f>E44</f>
        <v>3786.6666666666665</v>
      </c>
      <c r="F615" s="279"/>
      <c r="G615" s="720" t="e">
        <f t="shared" si="6"/>
        <v>#REF!</v>
      </c>
      <c r="H615" s="335"/>
      <c r="I615" s="279">
        <f>G44</f>
        <v>1.2666666666666666</v>
      </c>
      <c r="J615" s="335"/>
      <c r="K615" s="759" t="e">
        <f t="shared" si="12"/>
        <v>#REF!</v>
      </c>
      <c r="L615" s="767"/>
      <c r="M615" s="760" t="e">
        <f>'16092-170'!T28</f>
        <v>#REF!</v>
      </c>
      <c r="N615" s="295"/>
      <c r="O615" s="22"/>
      <c r="P615" s="752" t="e">
        <f t="shared" si="10"/>
        <v>#REF!</v>
      </c>
      <c r="Q615" s="752" t="e">
        <f t="shared" si="11"/>
        <v>#REF!</v>
      </c>
    </row>
    <row r="616" spans="1:17" ht="15.75" thickBot="1">
      <c r="A616" s="214"/>
      <c r="B616" s="214"/>
      <c r="C616" s="214"/>
      <c r="D616" s="214"/>
      <c r="E616" s="387" t="e">
        <f>SUM(E601:E615)</f>
        <v>#REF!</v>
      </c>
      <c r="F616" s="720"/>
      <c r="G616" s="720"/>
      <c r="H616" s="335"/>
      <c r="I616" s="387" t="e">
        <f>SUM(I601:I615)</f>
        <v>#REF!</v>
      </c>
      <c r="J616" s="335"/>
      <c r="K616" s="60"/>
      <c r="L616" s="767"/>
      <c r="M616" s="388" t="e">
        <f>SUM(M601:M615)</f>
        <v>#REF!</v>
      </c>
      <c r="N616" s="295"/>
      <c r="O616" s="22"/>
      <c r="P616" s="768"/>
      <c r="Q616" s="59"/>
    </row>
    <row r="617" spans="1:17" ht="16.5" thickTop="1" thickBot="1">
      <c r="A617" s="214"/>
      <c r="B617" s="214"/>
      <c r="C617" s="214"/>
      <c r="D617" s="214"/>
      <c r="E617" s="510"/>
      <c r="F617" s="720"/>
      <c r="G617" s="720"/>
      <c r="H617" s="335"/>
      <c r="I617" s="510"/>
      <c r="J617" s="335"/>
      <c r="K617" s="60"/>
      <c r="L617" s="767"/>
      <c r="M617" s="265"/>
      <c r="N617" s="295"/>
      <c r="O617" s="22"/>
      <c r="P617" s="768"/>
      <c r="Q617" s="59"/>
    </row>
    <row r="618" spans="1:17" ht="15.75" thickBot="1">
      <c r="A618" s="214"/>
      <c r="B618" s="214"/>
      <c r="C618" s="338" t="s">
        <v>268</v>
      </c>
      <c r="E618" s="510"/>
      <c r="F618" s="720"/>
      <c r="G618" s="720"/>
      <c r="H618" s="335"/>
      <c r="I618" s="510"/>
      <c r="J618" s="335"/>
      <c r="K618" s="60"/>
      <c r="L618" s="767"/>
      <c r="M618" s="265"/>
      <c r="N618" s="295"/>
      <c r="O618" s="22"/>
      <c r="P618" s="768"/>
      <c r="Q618" s="59"/>
    </row>
    <row r="619" spans="1:17" ht="15.75" thickBot="1">
      <c r="A619" s="214"/>
      <c r="B619" s="214"/>
      <c r="C619" s="751" t="s">
        <v>867</v>
      </c>
      <c r="D619" s="724" t="e">
        <f>K625</f>
        <v>#REF!</v>
      </c>
      <c r="E619" s="510"/>
      <c r="F619" s="720"/>
      <c r="G619" s="720"/>
      <c r="H619" s="335"/>
      <c r="I619" s="510"/>
      <c r="J619" s="335"/>
      <c r="K619" s="60"/>
      <c r="L619" s="767"/>
      <c r="M619" s="265"/>
      <c r="N619" s="295"/>
      <c r="O619" s="22"/>
      <c r="P619" s="768"/>
      <c r="Q619" s="59"/>
    </row>
    <row r="620" spans="1:17" ht="15.75" thickBot="1">
      <c r="A620" s="214"/>
      <c r="B620" s="214"/>
      <c r="C620" s="316" t="str">
        <f>C76</f>
        <v>Next 12,000</v>
      </c>
      <c r="D620" s="512" t="e">
        <f>D76*Q620</f>
        <v>#REF!</v>
      </c>
      <c r="E620" s="510"/>
      <c r="F620" s="720"/>
      <c r="G620" s="720"/>
      <c r="H620" s="335"/>
      <c r="I620" s="510"/>
      <c r="J620" s="335"/>
      <c r="K620" s="60"/>
      <c r="L620" s="767"/>
      <c r="M620" s="265"/>
      <c r="N620" s="295"/>
      <c r="O620" s="22"/>
      <c r="P620" s="768"/>
      <c r="Q620" s="752" t="e">
        <f>$Q$585</f>
        <v>#REF!</v>
      </c>
    </row>
    <row r="621" spans="1:17" ht="15.75" thickBot="1">
      <c r="A621" s="214"/>
      <c r="B621" s="214"/>
      <c r="C621" s="316" t="str">
        <f>C77</f>
        <v>Next 25,000</v>
      </c>
      <c r="D621" s="512" t="e">
        <f>D77*Q621</f>
        <v>#REF!</v>
      </c>
      <c r="E621" s="510"/>
      <c r="F621" s="720"/>
      <c r="G621" s="720"/>
      <c r="H621" s="335"/>
      <c r="I621" s="510"/>
      <c r="J621" s="335"/>
      <c r="K621" s="60"/>
      <c r="L621" s="767"/>
      <c r="M621" s="265"/>
      <c r="N621" s="295"/>
      <c r="O621" s="22"/>
      <c r="P621" s="768"/>
      <c r="Q621" s="752" t="e">
        <f>$Q$585</f>
        <v>#REF!</v>
      </c>
    </row>
    <row r="622" spans="1:17" ht="15.75" thickBot="1">
      <c r="A622" s="214"/>
      <c r="B622" s="214"/>
      <c r="C622" s="316" t="str">
        <f>C78</f>
        <v>Next 50,000</v>
      </c>
      <c r="D622" s="512" t="e">
        <f>D78*Q622</f>
        <v>#REF!</v>
      </c>
      <c r="E622" s="510"/>
      <c r="F622" s="720"/>
      <c r="G622" s="720"/>
      <c r="H622" s="335"/>
      <c r="I622" s="510"/>
      <c r="J622" s="335"/>
      <c r="K622" s="60"/>
      <c r="L622" s="767"/>
      <c r="M622" s="265"/>
      <c r="N622" s="295"/>
      <c r="O622" s="22"/>
      <c r="P622" s="768"/>
      <c r="Q622" s="752" t="e">
        <f>$Q$585</f>
        <v>#REF!</v>
      </c>
    </row>
    <row r="623" spans="1:17" ht="15.75" thickBot="1">
      <c r="A623" s="214"/>
      <c r="B623" s="214"/>
      <c r="C623" s="316" t="str">
        <f>C79</f>
        <v>Over 100,000</v>
      </c>
      <c r="D623" s="512" t="e">
        <f>D79*Q623</f>
        <v>#REF!</v>
      </c>
      <c r="E623" s="510"/>
      <c r="F623" s="720"/>
      <c r="G623" s="720"/>
      <c r="H623" s="335"/>
      <c r="I623" s="510"/>
      <c r="J623" s="335"/>
      <c r="K623" s="60"/>
      <c r="L623" s="767"/>
      <c r="M623" s="265"/>
      <c r="N623" s="295"/>
      <c r="O623" s="22"/>
      <c r="P623" s="768"/>
      <c r="Q623" s="752" t="e">
        <f t="shared" ref="Q623:Q634" si="13">$Q$585</f>
        <v>#REF!</v>
      </c>
    </row>
    <row r="624" spans="1:17" ht="15.75" thickBot="1">
      <c r="A624" s="214"/>
      <c r="B624" s="214"/>
      <c r="C624" s="214"/>
      <c r="D624" s="214"/>
      <c r="E624" s="214"/>
      <c r="F624" s="720"/>
      <c r="G624" s="720"/>
      <c r="H624" s="335"/>
      <c r="J624" s="335"/>
      <c r="K624" s="60"/>
      <c r="L624" s="767"/>
      <c r="M624" s="60"/>
      <c r="N624" s="295"/>
      <c r="O624" s="22"/>
      <c r="P624" s="768"/>
      <c r="Q624" s="59"/>
    </row>
    <row r="625" spans="1:17" ht="15.75" thickBot="1">
      <c r="A625" s="214">
        <v>16015</v>
      </c>
      <c r="B625" s="214">
        <v>170</v>
      </c>
      <c r="C625" s="462" t="s">
        <v>351</v>
      </c>
      <c r="D625" s="322"/>
      <c r="E625" s="463" t="e">
        <f>#REF!</f>
        <v>#REF!</v>
      </c>
      <c r="F625" s="279"/>
      <c r="G625" s="744" t="e">
        <f t="shared" si="6"/>
        <v>#REF!</v>
      </c>
      <c r="H625" s="762"/>
      <c r="I625" s="279" t="e">
        <f>#REF!</f>
        <v>#REF!</v>
      </c>
      <c r="J625" s="60"/>
      <c r="K625" s="765" t="e">
        <f>D75*Q625</f>
        <v>#REF!</v>
      </c>
      <c r="L625" s="766"/>
      <c r="M625" s="269" t="e">
        <f>#REF!</f>
        <v>#REF!</v>
      </c>
      <c r="N625" s="295"/>
      <c r="O625" s="22"/>
      <c r="P625" s="752" t="e">
        <f t="shared" ref="P625:P634" si="14">$P$562</f>
        <v>#REF!</v>
      </c>
      <c r="Q625" s="752" t="e">
        <f t="shared" si="13"/>
        <v>#REF!</v>
      </c>
    </row>
    <row r="626" spans="1:17" ht="15.75" thickBot="1">
      <c r="A626" s="214">
        <v>16015</v>
      </c>
      <c r="B626" s="214">
        <v>171</v>
      </c>
      <c r="C626" s="462" t="s">
        <v>351</v>
      </c>
      <c r="D626" s="322"/>
      <c r="E626" s="463" t="e">
        <f>#REF!</f>
        <v>#REF!</v>
      </c>
      <c r="F626" s="279"/>
      <c r="G626" s="720" t="e">
        <f t="shared" si="6"/>
        <v>#REF!</v>
      </c>
      <c r="H626" s="748"/>
      <c r="I626" s="279" t="e">
        <f>#REF!</f>
        <v>#REF!</v>
      </c>
      <c r="J626" s="60"/>
      <c r="K626" s="759" t="e">
        <f>$K$625</f>
        <v>#REF!</v>
      </c>
      <c r="L626" s="767"/>
      <c r="M626" s="760" t="e">
        <f>#REF!</f>
        <v>#REF!</v>
      </c>
      <c r="N626" s="295"/>
      <c r="O626" s="22"/>
      <c r="P626" s="752" t="e">
        <f t="shared" si="14"/>
        <v>#REF!</v>
      </c>
      <c r="Q626" s="752" t="e">
        <f t="shared" si="13"/>
        <v>#REF!</v>
      </c>
    </row>
    <row r="627" spans="1:17" ht="15.75" thickBot="1">
      <c r="A627" s="214">
        <v>16015</v>
      </c>
      <c r="B627" s="214">
        <v>172</v>
      </c>
      <c r="C627" s="462" t="s">
        <v>351</v>
      </c>
      <c r="D627" s="322"/>
      <c r="E627" s="463" t="e">
        <f>#REF!</f>
        <v>#REF!</v>
      </c>
      <c r="F627" s="279"/>
      <c r="G627" s="720" t="e">
        <f t="shared" si="6"/>
        <v>#REF!</v>
      </c>
      <c r="H627" s="22"/>
      <c r="I627" s="279" t="e">
        <f>#REF!</f>
        <v>#REF!</v>
      </c>
      <c r="J627" s="135"/>
      <c r="K627" s="759" t="e">
        <f t="shared" ref="K627:K634" si="15">$K$625</f>
        <v>#REF!</v>
      </c>
      <c r="L627" s="748"/>
      <c r="M627" s="760" t="e">
        <f>'16015-172'!T41</f>
        <v>#REF!</v>
      </c>
      <c r="N627" s="265"/>
      <c r="O627" s="22"/>
      <c r="P627" s="752" t="e">
        <f t="shared" si="14"/>
        <v>#REF!</v>
      </c>
      <c r="Q627" s="752" t="e">
        <f t="shared" si="13"/>
        <v>#REF!</v>
      </c>
    </row>
    <row r="628" spans="1:17" ht="15.75" thickBot="1">
      <c r="A628" s="214">
        <v>16015</v>
      </c>
      <c r="B628" s="214">
        <v>173</v>
      </c>
      <c r="C628" s="462" t="s">
        <v>351</v>
      </c>
      <c r="D628" s="322"/>
      <c r="E628" s="463" t="e">
        <f>#REF!</f>
        <v>#REF!</v>
      </c>
      <c r="F628" s="279"/>
      <c r="G628" s="720" t="e">
        <f t="shared" si="6"/>
        <v>#REF!</v>
      </c>
      <c r="H628" s="748"/>
      <c r="I628" s="279" t="e">
        <f>#REF!</f>
        <v>#REF!</v>
      </c>
      <c r="J628" s="60"/>
      <c r="K628" s="759" t="e">
        <f t="shared" si="15"/>
        <v>#REF!</v>
      </c>
      <c r="L628" s="767"/>
      <c r="M628" s="760" t="e">
        <f>'16015-173'!T47</f>
        <v>#REF!</v>
      </c>
      <c r="N628" s="295"/>
      <c r="O628" s="22"/>
      <c r="P628" s="752" t="e">
        <f t="shared" si="14"/>
        <v>#REF!</v>
      </c>
      <c r="Q628" s="752" t="e">
        <f t="shared" si="13"/>
        <v>#REF!</v>
      </c>
    </row>
    <row r="629" spans="1:17" ht="15.75" thickBot="1">
      <c r="A629" s="214">
        <v>16045</v>
      </c>
      <c r="B629" s="214">
        <v>173</v>
      </c>
      <c r="C629" s="462" t="s">
        <v>800</v>
      </c>
      <c r="D629" s="322"/>
      <c r="E629" s="463" t="e">
        <f>#REF!</f>
        <v>#REF!</v>
      </c>
      <c r="F629" s="279"/>
      <c r="G629" s="720" t="e">
        <f t="shared" si="6"/>
        <v>#REF!</v>
      </c>
      <c r="H629" s="748"/>
      <c r="I629" s="279" t="e">
        <f>#REF!</f>
        <v>#REF!</v>
      </c>
      <c r="J629" s="60"/>
      <c r="K629" s="759" t="e">
        <f t="shared" si="15"/>
        <v>#REF!</v>
      </c>
      <c r="L629" s="748"/>
      <c r="M629" s="760" t="e">
        <f>'16045-173'!T23</f>
        <v>#REF!</v>
      </c>
      <c r="N629" s="295"/>
      <c r="O629" s="22"/>
      <c r="P629" s="752" t="e">
        <f t="shared" si="14"/>
        <v>#REF!</v>
      </c>
      <c r="Q629" s="752" t="e">
        <f t="shared" si="13"/>
        <v>#REF!</v>
      </c>
    </row>
    <row r="630" spans="1:17" ht="15.75" thickBot="1">
      <c r="A630" s="214">
        <v>16075</v>
      </c>
      <c r="B630" s="214">
        <v>170</v>
      </c>
      <c r="C630" s="462" t="s">
        <v>872</v>
      </c>
      <c r="D630" s="322"/>
      <c r="E630" s="463" t="e">
        <f>#REF!</f>
        <v>#REF!</v>
      </c>
      <c r="F630" s="279"/>
      <c r="G630" s="720" t="e">
        <f t="shared" si="6"/>
        <v>#REF!</v>
      </c>
      <c r="H630" s="748"/>
      <c r="I630" s="279" t="e">
        <f>#REF!</f>
        <v>#REF!</v>
      </c>
      <c r="J630" s="60"/>
      <c r="K630" s="759" t="e">
        <f t="shared" si="15"/>
        <v>#REF!</v>
      </c>
      <c r="L630" s="767"/>
      <c r="M630" s="760" t="e">
        <f>'16075-170'!T26</f>
        <v>#REF!</v>
      </c>
      <c r="N630" s="295"/>
      <c r="O630" s="22"/>
      <c r="P630" s="752" t="e">
        <f t="shared" si="14"/>
        <v>#REF!</v>
      </c>
      <c r="Q630" s="752" t="e">
        <f t="shared" si="13"/>
        <v>#REF!</v>
      </c>
    </row>
    <row r="631" spans="1:17" ht="15.75" thickBot="1">
      <c r="A631" s="214">
        <v>16075</v>
      </c>
      <c r="B631" s="214">
        <v>171</v>
      </c>
      <c r="C631" s="462" t="s">
        <v>872</v>
      </c>
      <c r="D631" s="322"/>
      <c r="E631" s="463" t="e">
        <f>#REF!</f>
        <v>#REF!</v>
      </c>
      <c r="F631" s="279"/>
      <c r="G631" s="720" t="e">
        <f t="shared" si="6"/>
        <v>#REF!</v>
      </c>
      <c r="H631" s="748"/>
      <c r="I631" s="279" t="e">
        <f>#REF!</f>
        <v>#REF!</v>
      </c>
      <c r="J631" s="60"/>
      <c r="K631" s="759" t="e">
        <f t="shared" si="15"/>
        <v>#REF!</v>
      </c>
      <c r="L631" s="748"/>
      <c r="M631" s="760" t="e">
        <f>'16075-171'!T24</f>
        <v>#REF!</v>
      </c>
      <c r="N631" s="295"/>
      <c r="O631" s="22"/>
      <c r="P631" s="752" t="e">
        <f t="shared" si="14"/>
        <v>#REF!</v>
      </c>
      <c r="Q631" s="752" t="e">
        <f t="shared" si="13"/>
        <v>#REF!</v>
      </c>
    </row>
    <row r="632" spans="1:17" ht="15.75" thickBot="1">
      <c r="A632" s="214">
        <v>16093</v>
      </c>
      <c r="B632" s="214">
        <v>170</v>
      </c>
      <c r="C632" s="462" t="s">
        <v>598</v>
      </c>
      <c r="D632" s="322"/>
      <c r="E632" s="463">
        <f>E69</f>
        <v>1028506.6666666666</v>
      </c>
      <c r="F632" s="279"/>
      <c r="G632" s="720" t="e">
        <f t="shared" si="6"/>
        <v>#REF!</v>
      </c>
      <c r="H632" s="748"/>
      <c r="I632" s="279">
        <f>G69</f>
        <v>20.266666666666669</v>
      </c>
      <c r="J632" s="60"/>
      <c r="K632" s="759" t="e">
        <f t="shared" si="15"/>
        <v>#REF!</v>
      </c>
      <c r="L632" s="767"/>
      <c r="M632" s="760" t="e">
        <f>'16093-170'!T32</f>
        <v>#REF!</v>
      </c>
      <c r="N632" s="295"/>
      <c r="O632" s="22"/>
      <c r="P632" s="752" t="e">
        <f t="shared" si="14"/>
        <v>#REF!</v>
      </c>
      <c r="Q632" s="752" t="e">
        <f t="shared" si="13"/>
        <v>#REF!</v>
      </c>
    </row>
    <row r="633" spans="1:17" ht="15.75" thickBot="1">
      <c r="A633" s="214">
        <v>16093</v>
      </c>
      <c r="B633" s="214">
        <v>172</v>
      </c>
      <c r="C633" s="462" t="s">
        <v>598</v>
      </c>
      <c r="D633" s="322"/>
      <c r="E633" s="463">
        <f>E70</f>
        <v>265786.66666666669</v>
      </c>
      <c r="F633" s="279"/>
      <c r="G633" s="720" t="e">
        <f t="shared" si="6"/>
        <v>#REF!</v>
      </c>
      <c r="H633" s="748"/>
      <c r="I633" s="279">
        <f>G70</f>
        <v>6.333333333333333</v>
      </c>
      <c r="J633" s="60"/>
      <c r="K633" s="759" t="e">
        <f t="shared" si="15"/>
        <v>#REF!</v>
      </c>
      <c r="L633" s="748"/>
      <c r="M633" s="760" t="e">
        <f>'16093-172'!T22</f>
        <v>#REF!</v>
      </c>
      <c r="N633" s="295"/>
      <c r="O633" s="22"/>
      <c r="P633" s="752" t="e">
        <f t="shared" si="14"/>
        <v>#REF!</v>
      </c>
      <c r="Q633" s="752" t="e">
        <f t="shared" si="13"/>
        <v>#REF!</v>
      </c>
    </row>
    <row r="634" spans="1:17" ht="15.75" thickBot="1">
      <c r="A634" s="214">
        <v>16093</v>
      </c>
      <c r="B634" s="214">
        <v>173</v>
      </c>
      <c r="C634" s="462" t="s">
        <v>598</v>
      </c>
      <c r="D634" s="322"/>
      <c r="E634" s="463">
        <f>E71</f>
        <v>109533.33333333333</v>
      </c>
      <c r="F634" s="279"/>
      <c r="G634" s="720" t="e">
        <f t="shared" si="6"/>
        <v>#REF!</v>
      </c>
      <c r="H634" s="748"/>
      <c r="I634" s="279">
        <f>G71</f>
        <v>2.5333333333333332</v>
      </c>
      <c r="J634" s="60"/>
      <c r="K634" s="759" t="e">
        <f t="shared" si="15"/>
        <v>#REF!</v>
      </c>
      <c r="L634" s="767"/>
      <c r="M634" s="760" t="e">
        <f>'16093-173'!T13</f>
        <v>#REF!</v>
      </c>
      <c r="N634" s="295"/>
      <c r="O634" s="22"/>
      <c r="P634" s="752" t="e">
        <f t="shared" si="14"/>
        <v>#REF!</v>
      </c>
      <c r="Q634" s="752" t="e">
        <f t="shared" si="13"/>
        <v>#REF!</v>
      </c>
    </row>
    <row r="635" spans="1:17" ht="15.75" thickBot="1">
      <c r="A635" s="214"/>
      <c r="B635" s="214"/>
      <c r="C635" s="462"/>
      <c r="D635" s="322"/>
      <c r="E635" s="735" t="e">
        <f>SUM(E625:E634)</f>
        <v>#REF!</v>
      </c>
      <c r="F635" s="279"/>
      <c r="G635" s="720"/>
      <c r="H635" s="748"/>
      <c r="I635" s="735" t="e">
        <f>SUM(I625:I634)</f>
        <v>#REF!</v>
      </c>
      <c r="J635" s="60"/>
      <c r="K635" s="60"/>
      <c r="L635" s="748"/>
      <c r="M635" s="769" t="e">
        <f>SUM(M625:M634)</f>
        <v>#REF!</v>
      </c>
      <c r="N635" s="295"/>
      <c r="O635" s="22"/>
      <c r="P635" s="770"/>
    </row>
    <row r="636" spans="1:17" ht="15.75" thickTop="1">
      <c r="A636" s="214"/>
      <c r="B636" s="214"/>
      <c r="C636" s="462"/>
      <c r="D636" s="322"/>
      <c r="E636" s="465"/>
      <c r="F636" s="279"/>
      <c r="G636" s="720"/>
      <c r="H636" s="748"/>
      <c r="I636" s="465"/>
      <c r="J636" s="60"/>
      <c r="K636" s="60"/>
      <c r="L636" s="748"/>
      <c r="M636" s="739"/>
      <c r="N636" s="295"/>
      <c r="O636" s="22"/>
      <c r="P636" s="770"/>
    </row>
    <row r="637" spans="1:17">
      <c r="A637" s="214"/>
      <c r="B637" s="214"/>
      <c r="C637" s="338" t="s">
        <v>267</v>
      </c>
      <c r="E637" s="465"/>
      <c r="F637" s="279"/>
      <c r="G637" s="720"/>
      <c r="H637" s="748"/>
      <c r="I637" s="465"/>
      <c r="J637" s="60"/>
      <c r="K637" s="60"/>
      <c r="L637" s="748"/>
      <c r="M637" s="739"/>
      <c r="N637" s="295"/>
      <c r="O637" s="22"/>
      <c r="P637" s="770"/>
    </row>
    <row r="638" spans="1:17" ht="15.75" thickBot="1">
      <c r="A638" s="214"/>
      <c r="B638" s="214"/>
      <c r="C638" s="338" t="s">
        <v>812</v>
      </c>
      <c r="D638" s="724" t="e">
        <f>K644</f>
        <v>#REF!</v>
      </c>
      <c r="E638" s="465"/>
      <c r="F638" s="279"/>
      <c r="G638" s="720"/>
      <c r="H638" s="748"/>
      <c r="I638" s="465"/>
      <c r="J638" s="60"/>
      <c r="K638" s="60"/>
      <c r="L638" s="748"/>
      <c r="M638" s="739"/>
      <c r="N638" s="295"/>
      <c r="O638" s="22"/>
      <c r="P638" s="770"/>
    </row>
    <row r="639" spans="1:17" ht="15.75" thickBot="1">
      <c r="A639" s="214"/>
      <c r="B639" s="214"/>
      <c r="C639" s="316" t="str">
        <f>C100</f>
        <v>Next 3,600</v>
      </c>
      <c r="D639" s="512" t="e">
        <f>D100*Q639</f>
        <v>#REF!</v>
      </c>
      <c r="E639" s="465"/>
      <c r="F639" s="279"/>
      <c r="G639" s="720"/>
      <c r="H639" s="748"/>
      <c r="I639" s="465"/>
      <c r="J639" s="60"/>
      <c r="K639" s="60"/>
      <c r="L639" s="748"/>
      <c r="M639" s="739"/>
      <c r="N639" s="295"/>
      <c r="O639" s="22"/>
      <c r="P639" s="770"/>
      <c r="Q639" s="752" t="e">
        <f t="shared" ref="Q639:Q655" si="16">$Q$585</f>
        <v>#REF!</v>
      </c>
    </row>
    <row r="640" spans="1:17" ht="15.75" thickBot="1">
      <c r="A640" s="214"/>
      <c r="B640" s="214"/>
      <c r="C640" s="316" t="str">
        <f>C101</f>
        <v>Next 25,000</v>
      </c>
      <c r="D640" s="512" t="e">
        <f>D101*Q640</f>
        <v>#REF!</v>
      </c>
      <c r="E640" s="465"/>
      <c r="F640" s="279"/>
      <c r="G640" s="720"/>
      <c r="H640" s="748"/>
      <c r="I640" s="465"/>
      <c r="J640" s="60"/>
      <c r="K640" s="60"/>
      <c r="L640" s="748"/>
      <c r="M640" s="739"/>
      <c r="N640" s="295"/>
      <c r="O640" s="22"/>
      <c r="P640" s="770"/>
      <c r="Q640" s="752" t="e">
        <f t="shared" si="16"/>
        <v>#REF!</v>
      </c>
    </row>
    <row r="641" spans="1:17" ht="15.75" thickBot="1">
      <c r="A641" s="214"/>
      <c r="B641" s="214"/>
      <c r="C641" s="316" t="str">
        <f>C102</f>
        <v>Next 50,000</v>
      </c>
      <c r="D641" s="512" t="e">
        <f>D102*Q641</f>
        <v>#REF!</v>
      </c>
      <c r="E641" s="465"/>
      <c r="F641" s="279"/>
      <c r="G641" s="720"/>
      <c r="H641" s="748"/>
      <c r="I641" s="465"/>
      <c r="J641" s="60"/>
      <c r="K641" s="60"/>
      <c r="L641" s="748"/>
      <c r="M641" s="739"/>
      <c r="N641" s="295"/>
      <c r="O641" s="22"/>
      <c r="P641" s="770"/>
      <c r="Q641" s="752" t="e">
        <f t="shared" si="16"/>
        <v>#REF!</v>
      </c>
    </row>
    <row r="642" spans="1:17" ht="15.75" thickBot="1">
      <c r="A642" s="214"/>
      <c r="B642" s="214"/>
      <c r="C642" s="316" t="str">
        <f>C103</f>
        <v>Over 100,000</v>
      </c>
      <c r="D642" s="512" t="e">
        <f>D103*Q642</f>
        <v>#REF!</v>
      </c>
      <c r="E642" s="465"/>
      <c r="F642" s="279"/>
      <c r="G642" s="720"/>
      <c r="H642" s="748"/>
      <c r="I642" s="465"/>
      <c r="J642" s="60"/>
      <c r="K642" s="60"/>
      <c r="L642" s="748"/>
      <c r="M642" s="739"/>
      <c r="N642" s="295"/>
      <c r="O642" s="22"/>
      <c r="P642" s="770"/>
      <c r="Q642" s="752" t="e">
        <f t="shared" si="16"/>
        <v>#REF!</v>
      </c>
    </row>
    <row r="643" spans="1:17" ht="15.75" thickBot="1">
      <c r="A643" s="214"/>
      <c r="B643" s="214"/>
      <c r="C643" s="462"/>
      <c r="D643" s="322"/>
      <c r="E643" s="463"/>
      <c r="F643" s="279"/>
      <c r="G643" s="720"/>
      <c r="H643" s="748"/>
      <c r="I643" s="279"/>
      <c r="J643" s="60"/>
      <c r="K643" s="60"/>
      <c r="L643" s="748"/>
      <c r="M643" s="22"/>
      <c r="N643" s="295"/>
      <c r="O643" s="22"/>
      <c r="P643" s="770"/>
    </row>
    <row r="644" spans="1:17" ht="15.75" thickBot="1">
      <c r="A644" s="214">
        <v>16016</v>
      </c>
      <c r="B644" s="214">
        <v>170</v>
      </c>
      <c r="C644" s="462" t="s">
        <v>63</v>
      </c>
      <c r="D644" s="322"/>
      <c r="E644" s="463" t="e">
        <f>#REF!</f>
        <v>#REF!</v>
      </c>
      <c r="F644" s="279"/>
      <c r="G644" s="744" t="e">
        <f t="shared" si="6"/>
        <v>#REF!</v>
      </c>
      <c r="H644" s="22"/>
      <c r="I644" s="279" t="e">
        <f>#REF!</f>
        <v>#REF!</v>
      </c>
      <c r="J644" s="60"/>
      <c r="K644" s="765" t="e">
        <f>D99*Q644</f>
        <v>#REF!</v>
      </c>
      <c r="L644" s="767"/>
      <c r="M644" s="269" t="e">
        <f>#REF!</f>
        <v>#REF!</v>
      </c>
      <c r="N644" s="295"/>
      <c r="O644" s="22"/>
      <c r="P644" s="752" t="e">
        <f t="shared" ref="P644:P655" si="17">$P$562</f>
        <v>#REF!</v>
      </c>
      <c r="Q644" s="752" t="e">
        <f t="shared" si="16"/>
        <v>#REF!</v>
      </c>
    </row>
    <row r="645" spans="1:17" ht="15.75" thickBot="1">
      <c r="A645" s="214">
        <v>16016</v>
      </c>
      <c r="B645" s="214">
        <v>171</v>
      </c>
      <c r="C645" s="462" t="s">
        <v>63</v>
      </c>
      <c r="D645" s="322"/>
      <c r="E645" s="463" t="e">
        <f>#REF!</f>
        <v>#REF!</v>
      </c>
      <c r="F645" s="279"/>
      <c r="G645" s="720" t="e">
        <f t="shared" si="6"/>
        <v>#REF!</v>
      </c>
      <c r="H645" s="22"/>
      <c r="I645" s="279" t="e">
        <f>#REF!</f>
        <v>#REF!</v>
      </c>
      <c r="J645" s="60"/>
      <c r="K645" s="759" t="e">
        <f>$K$644</f>
        <v>#REF!</v>
      </c>
      <c r="L645" s="748"/>
      <c r="M645" s="760" t="e">
        <f>#REF!</f>
        <v>#REF!</v>
      </c>
      <c r="N645" s="295"/>
      <c r="O645" s="22"/>
      <c r="P645" s="752" t="e">
        <f t="shared" si="17"/>
        <v>#REF!</v>
      </c>
      <c r="Q645" s="752" t="e">
        <f t="shared" si="16"/>
        <v>#REF!</v>
      </c>
    </row>
    <row r="646" spans="1:17" ht="15.75" thickBot="1">
      <c r="A646" s="214">
        <v>16016</v>
      </c>
      <c r="B646" s="214">
        <v>172</v>
      </c>
      <c r="C646" s="462" t="s">
        <v>63</v>
      </c>
      <c r="D646" s="322"/>
      <c r="E646" s="463" t="e">
        <f>#REF!</f>
        <v>#REF!</v>
      </c>
      <c r="F646" s="279"/>
      <c r="G646" s="720" t="e">
        <f t="shared" si="6"/>
        <v>#REF!</v>
      </c>
      <c r="H646" s="22"/>
      <c r="I646" s="279" t="e">
        <f>#REF!</f>
        <v>#REF!</v>
      </c>
      <c r="J646" s="60"/>
      <c r="K646" s="759" t="e">
        <f t="shared" ref="K646:K655" si="18">$K$644</f>
        <v>#REF!</v>
      </c>
      <c r="L646" s="767"/>
      <c r="M646" s="760" t="e">
        <f>'16016-172'!T66</f>
        <v>#REF!</v>
      </c>
      <c r="N646" s="295"/>
      <c r="O646" s="22"/>
      <c r="P646" s="752" t="e">
        <f t="shared" si="17"/>
        <v>#REF!</v>
      </c>
      <c r="Q646" s="752" t="e">
        <f t="shared" si="16"/>
        <v>#REF!</v>
      </c>
    </row>
    <row r="647" spans="1:17" ht="15.75" thickBot="1">
      <c r="A647" s="214">
        <v>16016</v>
      </c>
      <c r="B647" s="214">
        <v>173</v>
      </c>
      <c r="C647" s="462" t="s">
        <v>63</v>
      </c>
      <c r="D647" s="322"/>
      <c r="E647" s="463" t="e">
        <f>#REF!</f>
        <v>#REF!</v>
      </c>
      <c r="F647" s="279"/>
      <c r="G647" s="720" t="e">
        <f t="shared" si="6"/>
        <v>#REF!</v>
      </c>
      <c r="H647" s="22"/>
      <c r="I647" s="279" t="e">
        <f>#REF!</f>
        <v>#REF!</v>
      </c>
      <c r="J647" s="60"/>
      <c r="K647" s="759" t="e">
        <f t="shared" si="18"/>
        <v>#REF!</v>
      </c>
      <c r="L647" s="748"/>
      <c r="M647" s="760" t="e">
        <f>#REF!</f>
        <v>#REF!</v>
      </c>
      <c r="N647" s="295"/>
      <c r="O647" s="22"/>
      <c r="P647" s="752" t="e">
        <f t="shared" si="17"/>
        <v>#REF!</v>
      </c>
      <c r="Q647" s="752" t="e">
        <f t="shared" si="16"/>
        <v>#REF!</v>
      </c>
    </row>
    <row r="648" spans="1:17" ht="15.75" thickBot="1">
      <c r="A648" s="214">
        <v>16076</v>
      </c>
      <c r="B648" s="214">
        <v>170</v>
      </c>
      <c r="C648" s="462" t="s">
        <v>61</v>
      </c>
      <c r="D648" s="322"/>
      <c r="E648" s="463" t="e">
        <f>#REF!</f>
        <v>#REF!</v>
      </c>
      <c r="F648" s="279"/>
      <c r="G648" s="720" t="e">
        <f t="shared" si="6"/>
        <v>#REF!</v>
      </c>
      <c r="H648" s="22"/>
      <c r="I648" s="279" t="e">
        <f>#REF!</f>
        <v>#REF!</v>
      </c>
      <c r="J648" s="60"/>
      <c r="K648" s="759" t="e">
        <f t="shared" si="18"/>
        <v>#REF!</v>
      </c>
      <c r="L648" s="767"/>
      <c r="M648" s="760" t="e">
        <f>'16076-170'!T27</f>
        <v>#REF!</v>
      </c>
      <c r="N648" s="295"/>
      <c r="O648" s="22"/>
      <c r="P648" s="752" t="e">
        <f t="shared" si="17"/>
        <v>#REF!</v>
      </c>
      <c r="Q648" s="752" t="e">
        <f t="shared" si="16"/>
        <v>#REF!</v>
      </c>
    </row>
    <row r="649" spans="1:17" ht="15.75" thickBot="1">
      <c r="A649" s="214">
        <v>16076</v>
      </c>
      <c r="B649" s="214">
        <v>171</v>
      </c>
      <c r="C649" s="462" t="s">
        <v>61</v>
      </c>
      <c r="D649" s="322"/>
      <c r="E649" s="463" t="e">
        <f>#REF!</f>
        <v>#REF!</v>
      </c>
      <c r="F649" s="279"/>
      <c r="G649" s="720" t="e">
        <f t="shared" si="6"/>
        <v>#REF!</v>
      </c>
      <c r="H649" s="22"/>
      <c r="I649" s="279" t="e">
        <f>#REF!</f>
        <v>#REF!</v>
      </c>
      <c r="J649" s="60"/>
      <c r="K649" s="759" t="e">
        <f t="shared" si="18"/>
        <v>#REF!</v>
      </c>
      <c r="L649" s="748"/>
      <c r="M649" s="760" t="e">
        <f>'16076-171'!T21</f>
        <v>#REF!</v>
      </c>
      <c r="N649" s="295"/>
      <c r="O649" s="22"/>
      <c r="P649" s="752" t="e">
        <f t="shared" si="17"/>
        <v>#REF!</v>
      </c>
      <c r="Q649" s="752" t="e">
        <f t="shared" si="16"/>
        <v>#REF!</v>
      </c>
    </row>
    <row r="650" spans="1:17" ht="15.75" thickBot="1">
      <c r="A650" s="214">
        <v>16083</v>
      </c>
      <c r="B650" s="214">
        <v>171</v>
      </c>
      <c r="C650" s="462" t="s">
        <v>552</v>
      </c>
      <c r="D650" s="322"/>
      <c r="E650" s="463" t="e">
        <f>#REF!</f>
        <v>#REF!</v>
      </c>
      <c r="F650" s="279"/>
      <c r="G650" s="720" t="e">
        <f t="shared" si="6"/>
        <v>#REF!</v>
      </c>
      <c r="H650" s="22"/>
      <c r="I650" s="279" t="e">
        <f>#REF!</f>
        <v>#REF!</v>
      </c>
      <c r="J650" s="22"/>
      <c r="K650" s="759" t="e">
        <f t="shared" si="18"/>
        <v>#REF!</v>
      </c>
      <c r="L650" s="22"/>
      <c r="M650" s="760" t="e">
        <f>'16083-171'!T18</f>
        <v>#REF!</v>
      </c>
      <c r="N650" s="22"/>
      <c r="O650" s="22"/>
      <c r="P650" s="752" t="e">
        <f t="shared" si="17"/>
        <v>#REF!</v>
      </c>
      <c r="Q650" s="752" t="e">
        <f t="shared" si="16"/>
        <v>#REF!</v>
      </c>
    </row>
    <row r="651" spans="1:17" ht="15.75" thickBot="1">
      <c r="A651" s="214">
        <v>16083</v>
      </c>
      <c r="B651" s="214">
        <v>172</v>
      </c>
      <c r="C651" s="462" t="s">
        <v>552</v>
      </c>
      <c r="D651" s="322"/>
      <c r="E651" s="463" t="e">
        <f>#REF!</f>
        <v>#REF!</v>
      </c>
      <c r="F651" s="279"/>
      <c r="G651" s="720" t="e">
        <f t="shared" si="6"/>
        <v>#REF!</v>
      </c>
      <c r="H651" s="22"/>
      <c r="I651" s="279" t="e">
        <f>#REF!</f>
        <v>#REF!</v>
      </c>
      <c r="J651" s="22"/>
      <c r="K651" s="759" t="e">
        <f t="shared" si="18"/>
        <v>#REF!</v>
      </c>
      <c r="L651" s="748"/>
      <c r="M651" s="760" t="e">
        <f>'16083-172'!T44</f>
        <v>#REF!</v>
      </c>
      <c r="N651" s="295"/>
      <c r="O651" s="22"/>
      <c r="P651" s="752" t="e">
        <f t="shared" si="17"/>
        <v>#REF!</v>
      </c>
      <c r="Q651" s="752" t="e">
        <f t="shared" si="16"/>
        <v>#REF!</v>
      </c>
    </row>
    <row r="652" spans="1:17" ht="15.75" thickBot="1">
      <c r="A652" s="214">
        <v>16094</v>
      </c>
      <c r="B652" s="214">
        <v>170</v>
      </c>
      <c r="C652" s="462" t="s">
        <v>743</v>
      </c>
      <c r="D652" s="322"/>
      <c r="E652" s="463" t="e">
        <f>#REF!</f>
        <v>#REF!</v>
      </c>
      <c r="F652" s="279"/>
      <c r="G652" s="720" t="e">
        <f t="shared" si="6"/>
        <v>#REF!</v>
      </c>
      <c r="H652" s="22"/>
      <c r="I652" s="279" t="e">
        <f>#REF!</f>
        <v>#REF!</v>
      </c>
      <c r="J652" s="22"/>
      <c r="K652" s="759" t="e">
        <f t="shared" si="18"/>
        <v>#REF!</v>
      </c>
      <c r="L652" s="748"/>
      <c r="M652" s="760" t="e">
        <f>'16094-170'!T49</f>
        <v>#REF!</v>
      </c>
      <c r="N652" s="295"/>
      <c r="P652" s="752" t="e">
        <f t="shared" si="17"/>
        <v>#REF!</v>
      </c>
      <c r="Q652" s="752" t="e">
        <f t="shared" si="16"/>
        <v>#REF!</v>
      </c>
    </row>
    <row r="653" spans="1:17" ht="15.75" thickBot="1">
      <c r="A653" s="214">
        <v>16094</v>
      </c>
      <c r="B653" s="214">
        <v>171</v>
      </c>
      <c r="C653" s="462" t="s">
        <v>743</v>
      </c>
      <c r="D653" s="322"/>
      <c r="E653" s="463">
        <f>E93</f>
        <v>2289900</v>
      </c>
      <c r="F653" s="279"/>
      <c r="G653" s="720" t="e">
        <f t="shared" si="6"/>
        <v>#REF!</v>
      </c>
      <c r="H653" s="22"/>
      <c r="I653" s="279">
        <f>G93</f>
        <v>37.999999999999986</v>
      </c>
      <c r="J653" s="22"/>
      <c r="K653" s="759" t="e">
        <f t="shared" si="18"/>
        <v>#REF!</v>
      </c>
      <c r="L653" s="748"/>
      <c r="M653" s="760" t="e">
        <f>'16094-171'!T25</f>
        <v>#REF!</v>
      </c>
      <c r="N653" s="295"/>
      <c r="P653" s="752" t="e">
        <f t="shared" si="17"/>
        <v>#REF!</v>
      </c>
      <c r="Q653" s="752" t="e">
        <f t="shared" si="16"/>
        <v>#REF!</v>
      </c>
    </row>
    <row r="654" spans="1:17" ht="15.75" thickBot="1">
      <c r="A654" s="214">
        <v>16094</v>
      </c>
      <c r="B654" s="214">
        <v>172</v>
      </c>
      <c r="C654" s="462" t="s">
        <v>743</v>
      </c>
      <c r="D654" s="322"/>
      <c r="E654" s="463">
        <f>E94</f>
        <v>840173.33333333337</v>
      </c>
      <c r="F654" s="279"/>
      <c r="G654" s="720" t="e">
        <f t="shared" si="6"/>
        <v>#REF!</v>
      </c>
      <c r="H654" s="22"/>
      <c r="I654" s="279">
        <f>G94</f>
        <v>20.266666666666662</v>
      </c>
      <c r="K654" s="759" t="e">
        <f t="shared" si="18"/>
        <v>#REF!</v>
      </c>
      <c r="L654" s="748"/>
      <c r="M654" s="760" t="e">
        <f>'16094-172'!T37</f>
        <v>#REF!</v>
      </c>
      <c r="N654" s="159"/>
      <c r="P654" s="752" t="e">
        <f t="shared" si="17"/>
        <v>#REF!</v>
      </c>
      <c r="Q654" s="752" t="e">
        <f t="shared" si="16"/>
        <v>#REF!</v>
      </c>
    </row>
    <row r="655" spans="1:17" ht="15.75" thickBot="1">
      <c r="A655" s="214">
        <v>16094</v>
      </c>
      <c r="B655" s="214">
        <v>173</v>
      </c>
      <c r="C655" s="462" t="s">
        <v>743</v>
      </c>
      <c r="D655" s="322"/>
      <c r="E655" s="463">
        <f>E95</f>
        <v>73360</v>
      </c>
      <c r="F655" s="279"/>
      <c r="G655" s="720" t="e">
        <f t="shared" si="6"/>
        <v>#REF!</v>
      </c>
      <c r="H655" s="22"/>
      <c r="I655" s="279">
        <f>G95</f>
        <v>5.0666666666666664</v>
      </c>
      <c r="K655" s="759" t="e">
        <f t="shared" si="18"/>
        <v>#REF!</v>
      </c>
      <c r="L655" s="748"/>
      <c r="M655" s="760" t="e">
        <f>'16094-173'!T55</f>
        <v>#REF!</v>
      </c>
      <c r="N655" s="57"/>
      <c r="O655" s="22"/>
      <c r="P655" s="752" t="e">
        <f t="shared" si="17"/>
        <v>#REF!</v>
      </c>
      <c r="Q655" s="752" t="e">
        <f t="shared" si="16"/>
        <v>#REF!</v>
      </c>
    </row>
    <row r="656" spans="1:17" ht="15.75" thickBot="1">
      <c r="A656" s="214"/>
      <c r="B656" s="214"/>
      <c r="C656" s="462"/>
      <c r="D656" s="322"/>
      <c r="E656" s="735" t="e">
        <f>SUM(E644:E655)</f>
        <v>#REF!</v>
      </c>
      <c r="F656" s="279"/>
      <c r="G656" s="720"/>
      <c r="H656" s="22"/>
      <c r="I656" s="735" t="e">
        <f>SUM(I644:I655)</f>
        <v>#REF!</v>
      </c>
      <c r="K656" s="22"/>
      <c r="L656" s="748"/>
      <c r="M656" s="769" t="e">
        <f>SUM(M644:M655)</f>
        <v>#REF!</v>
      </c>
      <c r="N656" s="295"/>
    </row>
    <row r="657" spans="1:17" ht="15.75" thickTop="1">
      <c r="A657" s="214"/>
      <c r="B657" s="214"/>
      <c r="C657" s="462"/>
      <c r="D657" s="322"/>
      <c r="E657" s="465"/>
      <c r="F657" s="279"/>
      <c r="G657" s="720"/>
      <c r="H657" s="22"/>
      <c r="I657" s="465"/>
      <c r="K657" s="22"/>
      <c r="L657" s="748"/>
      <c r="M657" s="739"/>
      <c r="N657" s="295"/>
    </row>
    <row r="658" spans="1:17">
      <c r="A658" s="214"/>
      <c r="B658" s="214"/>
      <c r="C658" s="338" t="s">
        <v>266</v>
      </c>
      <c r="E658" s="465"/>
      <c r="F658" s="279"/>
      <c r="G658" s="720"/>
      <c r="H658" s="22"/>
      <c r="I658" s="465"/>
      <c r="K658" s="22"/>
      <c r="L658" s="748"/>
      <c r="M658" s="739"/>
      <c r="N658" s="295"/>
    </row>
    <row r="659" spans="1:17" ht="15.75" thickBot="1">
      <c r="A659" s="214"/>
      <c r="B659" s="214"/>
      <c r="C659" s="751" t="s">
        <v>585</v>
      </c>
      <c r="D659" s="724" t="e">
        <f>K663</f>
        <v>#REF!</v>
      </c>
      <c r="E659" s="465"/>
      <c r="F659" s="279"/>
      <c r="G659" s="720"/>
      <c r="H659" s="22"/>
      <c r="I659" s="465"/>
      <c r="K659" s="22"/>
      <c r="L659" s="748"/>
      <c r="M659" s="739"/>
      <c r="N659" s="295"/>
    </row>
    <row r="660" spans="1:17" ht="15.75" thickBot="1">
      <c r="A660" s="214"/>
      <c r="B660" s="214"/>
      <c r="C660" s="316" t="str">
        <f>C124</f>
        <v>Next 31,600</v>
      </c>
      <c r="D660" s="512" t="e">
        <f>D124*Q660</f>
        <v>#REF!</v>
      </c>
      <c r="E660" s="465"/>
      <c r="F660" s="279"/>
      <c r="G660" s="720"/>
      <c r="H660" s="22"/>
      <c r="I660" s="465"/>
      <c r="K660" s="22"/>
      <c r="L660" s="748"/>
      <c r="M660" s="739"/>
      <c r="N660" s="295"/>
      <c r="Q660" s="752" t="e">
        <f>$Q$585</f>
        <v>#REF!</v>
      </c>
    </row>
    <row r="661" spans="1:17" ht="15.75" thickBot="1">
      <c r="A661" s="214"/>
      <c r="B661" s="214"/>
      <c r="C661" s="316" t="str">
        <f>C125</f>
        <v>Over 100,000</v>
      </c>
      <c r="D661" s="512" t="e">
        <f>D125*Q661</f>
        <v>#REF!</v>
      </c>
      <c r="E661" s="465"/>
      <c r="F661" s="279"/>
      <c r="G661" s="720"/>
      <c r="H661" s="22"/>
      <c r="I661" s="465"/>
      <c r="K661" s="22"/>
      <c r="L661" s="748"/>
      <c r="M661" s="739"/>
      <c r="N661" s="295"/>
      <c r="Q661" s="752" t="e">
        <f>$Q$585</f>
        <v>#REF!</v>
      </c>
    </row>
    <row r="662" spans="1:17" ht="15.75" thickBot="1">
      <c r="A662" s="214"/>
      <c r="B662" s="214"/>
      <c r="C662" s="462"/>
      <c r="D662" s="322"/>
      <c r="E662" s="463"/>
      <c r="F662" s="279"/>
      <c r="G662" s="720"/>
      <c r="H662" s="22"/>
      <c r="I662" s="279"/>
      <c r="K662" s="22"/>
      <c r="L662" s="748"/>
      <c r="M662" s="22"/>
      <c r="N662" s="295"/>
    </row>
    <row r="663" spans="1:17" ht="15.75" thickBot="1">
      <c r="A663" s="214">
        <v>16017</v>
      </c>
      <c r="B663" s="214">
        <v>170</v>
      </c>
      <c r="C663" s="462" t="s">
        <v>64</v>
      </c>
      <c r="D663" s="322"/>
      <c r="E663" s="463" t="e">
        <f>#REF!</f>
        <v>#REF!</v>
      </c>
      <c r="F663" s="279"/>
      <c r="G663" s="744" t="e">
        <f t="shared" si="6"/>
        <v>#REF!</v>
      </c>
      <c r="H663" s="22"/>
      <c r="I663" s="279" t="e">
        <f>#REF!</f>
        <v>#REF!</v>
      </c>
      <c r="K663" s="765" t="e">
        <f>D123*Q663</f>
        <v>#REF!</v>
      </c>
      <c r="M663" s="269" t="e">
        <f>'16017-170'!T19</f>
        <v>#REF!</v>
      </c>
      <c r="P663" s="752" t="e">
        <f>$P$562</f>
        <v>#REF!</v>
      </c>
      <c r="Q663" s="752" t="e">
        <f>$Q$585</f>
        <v>#REF!</v>
      </c>
    </row>
    <row r="664" spans="1:17" ht="15.75" thickBot="1">
      <c r="A664" s="214">
        <v>16017</v>
      </c>
      <c r="B664" s="214">
        <v>172</v>
      </c>
      <c r="C664" s="462" t="s">
        <v>64</v>
      </c>
      <c r="D664" s="322"/>
      <c r="E664" s="463">
        <f>E117</f>
        <v>391795.53333333333</v>
      </c>
      <c r="F664" s="279"/>
      <c r="G664" s="720" t="e">
        <f>$G$562</f>
        <v>#REF!</v>
      </c>
      <c r="H664" s="22"/>
      <c r="I664" s="279">
        <f>G117</f>
        <v>3.8</v>
      </c>
      <c r="K664" s="759" t="e">
        <f>$K$663</f>
        <v>#REF!</v>
      </c>
      <c r="M664" s="760" t="e">
        <f>'16017-172'!T33</f>
        <v>#REF!</v>
      </c>
      <c r="P664" s="752" t="e">
        <f>$P$562</f>
        <v>#REF!</v>
      </c>
      <c r="Q664" s="752" t="e">
        <f>$Q$585</f>
        <v>#REF!</v>
      </c>
    </row>
    <row r="665" spans="1:17" ht="15.75" thickBot="1">
      <c r="A665" s="214">
        <v>16077</v>
      </c>
      <c r="B665" s="214">
        <v>171</v>
      </c>
      <c r="C665" s="462" t="s">
        <v>558</v>
      </c>
      <c r="D665" s="322"/>
      <c r="E665" s="463">
        <f>E118</f>
        <v>404663.93333333335</v>
      </c>
      <c r="F665" s="279"/>
      <c r="G665" s="720" t="e">
        <f>$G$562</f>
        <v>#REF!</v>
      </c>
      <c r="H665" s="22"/>
      <c r="I665" s="279">
        <f>G118</f>
        <v>5.0666666666666664</v>
      </c>
      <c r="K665" s="759" t="e">
        <f>$K$663</f>
        <v>#REF!</v>
      </c>
      <c r="M665" s="760" t="e">
        <f>'16077-171'!T23</f>
        <v>#REF!</v>
      </c>
      <c r="P665" s="752" t="e">
        <f>$P$562</f>
        <v>#REF!</v>
      </c>
      <c r="Q665" s="752" t="e">
        <f>$Q$585</f>
        <v>#REF!</v>
      </c>
    </row>
    <row r="666" spans="1:17" ht="15.75" thickBot="1">
      <c r="A666" s="214">
        <v>16095</v>
      </c>
      <c r="B666" s="214">
        <v>172</v>
      </c>
      <c r="C666" s="462" t="s">
        <v>661</v>
      </c>
      <c r="D666" s="322"/>
      <c r="E666" s="463">
        <f>E119</f>
        <v>1931826.6666666667</v>
      </c>
      <c r="F666" s="279"/>
      <c r="G666" s="720" t="e">
        <f>$G$562</f>
        <v>#REF!</v>
      </c>
      <c r="H666" s="22"/>
      <c r="I666" s="279">
        <f>G119</f>
        <v>1.2666666666666666</v>
      </c>
      <c r="K666" s="759" t="e">
        <f>$K$663</f>
        <v>#REF!</v>
      </c>
      <c r="M666" s="760" t="e">
        <f>'16095-172'!T43</f>
        <v>#REF!</v>
      </c>
      <c r="P666" s="752" t="e">
        <f>$P$562</f>
        <v>#REF!</v>
      </c>
      <c r="Q666" s="752" t="e">
        <f>$Q$585</f>
        <v>#REF!</v>
      </c>
    </row>
    <row r="667" spans="1:17" ht="15.75" thickBot="1">
      <c r="A667" s="214"/>
      <c r="B667" s="214"/>
      <c r="C667" s="462"/>
      <c r="D667" s="322"/>
      <c r="E667" s="735" t="e">
        <f>SUM(E663:E666)</f>
        <v>#REF!</v>
      </c>
      <c r="F667" s="279"/>
      <c r="G667" s="720"/>
      <c r="H667" s="22"/>
      <c r="I667" s="735" t="e">
        <f>SUM(I663:I666)</f>
        <v>#REF!</v>
      </c>
      <c r="K667" s="759"/>
      <c r="M667" s="769" t="e">
        <f>SUM(M663:M666)</f>
        <v>#REF!</v>
      </c>
    </row>
    <row r="668" spans="1:17" ht="15.75" thickTop="1">
      <c r="A668" s="214"/>
      <c r="B668" s="214"/>
      <c r="C668" s="462"/>
      <c r="D668" s="322"/>
      <c r="E668" s="465"/>
      <c r="F668" s="279"/>
      <c r="G668" s="720"/>
      <c r="H668" s="22"/>
      <c r="I668" s="465"/>
      <c r="K668" s="759"/>
      <c r="M668" s="739"/>
    </row>
    <row r="669" spans="1:17">
      <c r="A669" s="214"/>
      <c r="B669" s="214"/>
      <c r="C669" s="338" t="s">
        <v>265</v>
      </c>
      <c r="E669" s="465"/>
      <c r="F669" s="279"/>
      <c r="G669" s="720"/>
      <c r="H669" s="22"/>
      <c r="I669" s="465"/>
      <c r="K669" s="759"/>
      <c r="M669" s="739"/>
    </row>
    <row r="670" spans="1:17" ht="15.75" thickBot="1">
      <c r="A670" s="214"/>
      <c r="B670" s="214"/>
      <c r="C670" s="751" t="s">
        <v>878</v>
      </c>
      <c r="D670" s="724" t="e">
        <f>K673</f>
        <v>#REF!</v>
      </c>
      <c r="E670" s="465"/>
      <c r="F670" s="279"/>
      <c r="G670" s="720"/>
      <c r="H670" s="22"/>
      <c r="I670" s="465"/>
      <c r="K670" s="759"/>
      <c r="M670" s="739"/>
    </row>
    <row r="671" spans="1:17" ht="15.75" thickBot="1">
      <c r="A671" s="214"/>
      <c r="B671" s="214"/>
      <c r="C671" s="316" t="str">
        <f>C145</f>
        <v>Over 127,500</v>
      </c>
      <c r="D671" s="512" t="e">
        <f>D145*Q671</f>
        <v>#REF!</v>
      </c>
      <c r="E671" s="465"/>
      <c r="F671" s="279"/>
      <c r="G671" s="720"/>
      <c r="H671" s="22"/>
      <c r="I671" s="465"/>
      <c r="K671" s="759"/>
      <c r="M671" s="739"/>
      <c r="Q671" s="752" t="e">
        <f>$Q$585</f>
        <v>#REF!</v>
      </c>
    </row>
    <row r="672" spans="1:17" ht="15.75" thickBot="1">
      <c r="A672" s="214"/>
      <c r="B672" s="214"/>
      <c r="C672" s="462"/>
      <c r="D672" s="322"/>
      <c r="E672" s="463"/>
      <c r="F672" s="279"/>
      <c r="G672" s="720"/>
      <c r="H672" s="22"/>
      <c r="I672" s="279"/>
      <c r="K672" s="759"/>
    </row>
    <row r="673" spans="1:17" ht="15.75" thickBot="1">
      <c r="A673" s="214">
        <v>16018</v>
      </c>
      <c r="B673" s="214">
        <v>172</v>
      </c>
      <c r="C673" s="462" t="s">
        <v>559</v>
      </c>
      <c r="D673" s="738"/>
      <c r="E673" s="463">
        <f>E138</f>
        <v>143960</v>
      </c>
      <c r="F673" s="279"/>
      <c r="G673" s="744" t="e">
        <f>$G$562</f>
        <v>#REF!</v>
      </c>
      <c r="H673" s="22"/>
      <c r="I673" s="279">
        <f>G138</f>
        <v>1.2666666666666666</v>
      </c>
      <c r="K673" s="765" t="e">
        <f>D144*Q673</f>
        <v>#REF!</v>
      </c>
      <c r="M673" s="269" t="e">
        <f>#REF!</f>
        <v>#REF!</v>
      </c>
      <c r="P673" s="752" t="e">
        <f>$P$562</f>
        <v>#REF!</v>
      </c>
      <c r="Q673" s="752" t="e">
        <f>$Q$585</f>
        <v>#REF!</v>
      </c>
    </row>
    <row r="674" spans="1:17" ht="15.75" thickBot="1">
      <c r="A674" s="214">
        <v>16078</v>
      </c>
      <c r="B674" s="214">
        <v>170</v>
      </c>
      <c r="C674" s="462" t="s">
        <v>573</v>
      </c>
      <c r="D674" s="322"/>
      <c r="E674" s="463">
        <f>E139</f>
        <v>36866.666666666664</v>
      </c>
      <c r="F674" s="279"/>
      <c r="G674" s="720" t="e">
        <f>$G$562</f>
        <v>#REF!</v>
      </c>
      <c r="H674" s="22"/>
      <c r="I674" s="279">
        <f>G139</f>
        <v>1.2666666666666666</v>
      </c>
      <c r="K674" s="759" t="e">
        <f>$K$673</f>
        <v>#REF!</v>
      </c>
      <c r="M674" s="760" t="e">
        <f>'16078-170'!T22</f>
        <v>#REF!</v>
      </c>
      <c r="P674" s="752" t="e">
        <f>$P$562</f>
        <v>#REF!</v>
      </c>
      <c r="Q674" s="752" t="e">
        <f>$Q$585</f>
        <v>#REF!</v>
      </c>
    </row>
    <row r="675" spans="1:17" ht="15.75" thickBot="1">
      <c r="A675" s="214">
        <v>16096</v>
      </c>
      <c r="B675" s="214">
        <v>170</v>
      </c>
      <c r="C675" s="462" t="s">
        <v>970</v>
      </c>
      <c r="D675" s="322"/>
      <c r="E675" s="463">
        <f>E140</f>
        <v>112733.33333333333</v>
      </c>
      <c r="F675" s="279"/>
      <c r="G675" s="720" t="e">
        <f>$G$562</f>
        <v>#REF!</v>
      </c>
      <c r="H675" s="22"/>
      <c r="I675" s="279">
        <f>G140</f>
        <v>1.2666666666666666</v>
      </c>
      <c r="K675" s="759" t="e">
        <f>$K$673</f>
        <v>#REF!</v>
      </c>
      <c r="M675" s="760" t="e">
        <f>'16096-170'!T22</f>
        <v>#REF!</v>
      </c>
      <c r="P675" s="752" t="e">
        <f>$P$562</f>
        <v>#REF!</v>
      </c>
      <c r="Q675" s="752" t="e">
        <f>$Q$585</f>
        <v>#REF!</v>
      </c>
    </row>
    <row r="676" spans="1:17" ht="15.75" thickBot="1">
      <c r="A676" s="214"/>
      <c r="B676" s="214"/>
      <c r="C676" s="462"/>
      <c r="D676" s="322"/>
      <c r="E676" s="735">
        <f>SUM(E673:E675)</f>
        <v>293560</v>
      </c>
      <c r="F676" s="279"/>
      <c r="G676" s="720"/>
      <c r="H676" s="22"/>
      <c r="I676" s="735">
        <f>SUM(I673:I675)</f>
        <v>3.8</v>
      </c>
      <c r="M676" s="769" t="e">
        <f>SUM(M673:M675)</f>
        <v>#REF!</v>
      </c>
    </row>
    <row r="677" spans="1:17" ht="15.75" thickTop="1">
      <c r="A677" s="214"/>
      <c r="B677" s="214"/>
      <c r="C677" s="462"/>
      <c r="D677" s="322"/>
      <c r="E677" s="465"/>
      <c r="F677" s="279"/>
      <c r="G677" s="720"/>
      <c r="H677" s="22"/>
      <c r="I677" s="465"/>
      <c r="M677" s="739"/>
    </row>
    <row r="678" spans="1:17">
      <c r="A678" s="214"/>
      <c r="B678" s="214"/>
      <c r="C678" s="338" t="s">
        <v>264</v>
      </c>
      <c r="E678" s="465"/>
      <c r="F678" s="279"/>
      <c r="G678" s="720"/>
      <c r="H678" s="22"/>
      <c r="I678" s="465"/>
      <c r="M678" s="739"/>
    </row>
    <row r="679" spans="1:17" ht="15.75" thickBot="1">
      <c r="A679" s="214"/>
      <c r="B679" s="214"/>
      <c r="C679" s="751" t="s">
        <v>588</v>
      </c>
      <c r="D679" s="724" t="e">
        <f>K682</f>
        <v>#REF!</v>
      </c>
      <c r="E679" s="465"/>
      <c r="F679" s="279"/>
      <c r="G679" s="720"/>
      <c r="H679" s="22"/>
      <c r="I679" s="465"/>
      <c r="M679" s="739"/>
    </row>
    <row r="680" spans="1:17" ht="15.75" thickBot="1">
      <c r="A680" s="214"/>
      <c r="B680" s="214"/>
      <c r="C680" s="511" t="str">
        <f>C170</f>
        <v>Over 281,500</v>
      </c>
      <c r="D680" s="512" t="e">
        <f>D170*Q680</f>
        <v>#REF!</v>
      </c>
      <c r="E680" s="465"/>
      <c r="F680" s="279"/>
      <c r="G680" s="720"/>
      <c r="H680" s="22"/>
      <c r="I680" s="465"/>
      <c r="M680" s="739"/>
      <c r="Q680" s="752" t="e">
        <f>$Q$585</f>
        <v>#REF!</v>
      </c>
    </row>
    <row r="681" spans="1:17" ht="15.75" thickBot="1">
      <c r="A681" s="214"/>
      <c r="B681" s="214"/>
      <c r="C681" s="462"/>
      <c r="D681" s="322"/>
      <c r="E681" s="463"/>
      <c r="F681" s="279"/>
      <c r="G681" s="720"/>
      <c r="H681" s="22"/>
      <c r="I681" s="279"/>
    </row>
    <row r="682" spans="1:17" ht="15.75" thickBot="1">
      <c r="A682" s="214">
        <v>16019</v>
      </c>
      <c r="B682" s="214">
        <v>170</v>
      </c>
      <c r="C682" s="462" t="s">
        <v>0</v>
      </c>
      <c r="D682" s="322"/>
      <c r="E682" s="463">
        <f>E164</f>
        <v>1489960</v>
      </c>
      <c r="F682" s="279"/>
      <c r="G682" s="744" t="e">
        <f>$G$562</f>
        <v>#REF!</v>
      </c>
      <c r="H682" s="22"/>
      <c r="I682" s="279">
        <f>G164</f>
        <v>21.466666666666669</v>
      </c>
      <c r="K682" s="765" t="e">
        <f>D169*Q682</f>
        <v>#REF!</v>
      </c>
      <c r="M682" s="269" t="e">
        <f>#REF!</f>
        <v>#REF!</v>
      </c>
      <c r="P682" s="752" t="e">
        <f>$P$562</f>
        <v>#REF!</v>
      </c>
      <c r="Q682" s="752" t="e">
        <f>$Q$585</f>
        <v>#REF!</v>
      </c>
    </row>
    <row r="683" spans="1:17" ht="15.75" thickBot="1">
      <c r="A683" s="214">
        <v>16079</v>
      </c>
      <c r="B683" s="214">
        <v>171</v>
      </c>
      <c r="C683" s="462" t="s">
        <v>624</v>
      </c>
      <c r="D683" s="322"/>
      <c r="E683" s="463">
        <f>E165</f>
        <v>24244000</v>
      </c>
      <c r="F683" s="279"/>
      <c r="G683" s="720" t="e">
        <f>$G$562</f>
        <v>#REF!</v>
      </c>
      <c r="H683" s="22"/>
      <c r="I683" s="279">
        <f>G165</f>
        <v>10.733333333333333</v>
      </c>
      <c r="K683" s="759" t="e">
        <f>K682</f>
        <v>#REF!</v>
      </c>
      <c r="M683" s="760" t="e">
        <f>'16079-171'!T23</f>
        <v>#REF!</v>
      </c>
      <c r="P683" s="752" t="e">
        <f>$P$562</f>
        <v>#REF!</v>
      </c>
      <c r="Q683" s="752" t="e">
        <f>$Q$585</f>
        <v>#REF!</v>
      </c>
    </row>
    <row r="684" spans="1:17" ht="15.75" thickBot="1">
      <c r="A684" s="214"/>
      <c r="B684" s="214"/>
      <c r="C684" s="462"/>
      <c r="D684" s="322"/>
      <c r="E684" s="735">
        <f>SUM(E682:E683)</f>
        <v>25733960</v>
      </c>
      <c r="F684" s="279"/>
      <c r="H684" s="22"/>
      <c r="I684" s="735">
        <f>SUM(I682:I683)</f>
        <v>32.200000000000003</v>
      </c>
      <c r="M684" s="769" t="e">
        <f>SUM(M682:M683)</f>
        <v>#REF!</v>
      </c>
    </row>
    <row r="685" spans="1:17" ht="16.5" thickTop="1" thickBot="1">
      <c r="A685" s="214"/>
      <c r="B685" s="214"/>
      <c r="C685" s="462"/>
      <c r="D685" s="322"/>
      <c r="E685" s="463"/>
      <c r="F685" s="279"/>
      <c r="H685" s="22"/>
      <c r="I685" s="279"/>
    </row>
    <row r="686" spans="1:17" ht="15.75" thickBot="1">
      <c r="A686" s="214">
        <v>16010</v>
      </c>
      <c r="B686" s="214">
        <v>171</v>
      </c>
      <c r="C686" s="462" t="s">
        <v>511</v>
      </c>
      <c r="D686" s="324" t="e">
        <f>D173*Q686</f>
        <v>#REF!</v>
      </c>
      <c r="E686" s="463"/>
      <c r="F686" s="279"/>
      <c r="H686" s="22"/>
      <c r="I686" s="279">
        <f>11+3</f>
        <v>14</v>
      </c>
      <c r="M686" s="724" t="e">
        <f>#REF!</f>
        <v>#REF!</v>
      </c>
      <c r="P686" s="752">
        <v>0</v>
      </c>
      <c r="Q686" s="752" t="e">
        <f>$Q$585</f>
        <v>#REF!</v>
      </c>
    </row>
    <row r="687" spans="1:17" ht="15.75" thickBot="1">
      <c r="A687" s="214"/>
      <c r="B687" s="214"/>
      <c r="C687" s="462"/>
      <c r="D687" s="324"/>
      <c r="E687" s="463"/>
      <c r="F687" s="279"/>
      <c r="H687" s="22"/>
      <c r="I687" s="279"/>
    </row>
    <row r="688" spans="1:17" ht="15.75" thickBot="1">
      <c r="A688" s="214">
        <v>16037</v>
      </c>
      <c r="B688" s="214">
        <v>170</v>
      </c>
      <c r="C688" s="462" t="s">
        <v>1135</v>
      </c>
      <c r="D688" s="324" t="e">
        <f>D175*Q688</f>
        <v>#REF!</v>
      </c>
      <c r="E688" s="463"/>
      <c r="F688" s="279"/>
      <c r="H688" s="22"/>
      <c r="I688" s="279">
        <f>99+23</f>
        <v>122</v>
      </c>
      <c r="M688" s="724" t="e">
        <f>'16037-170'!Q10</f>
        <v>#REF!</v>
      </c>
      <c r="P688" s="752">
        <v>0</v>
      </c>
      <c r="Q688" s="752" t="e">
        <f>$Q$585</f>
        <v>#REF!</v>
      </c>
    </row>
    <row r="689" spans="1:17" ht="15.75" thickBot="1">
      <c r="A689" s="214"/>
      <c r="B689" s="214"/>
      <c r="C689" s="462"/>
      <c r="D689" s="324"/>
      <c r="E689" s="463"/>
      <c r="F689" s="279"/>
      <c r="H689" s="22"/>
      <c r="I689" s="279"/>
    </row>
    <row r="690" spans="1:17" ht="15.75" thickBot="1">
      <c r="A690" s="214">
        <v>16037</v>
      </c>
      <c r="B690" s="214">
        <v>171</v>
      </c>
      <c r="C690" s="462" t="s">
        <v>1135</v>
      </c>
      <c r="D690" s="324" t="e">
        <f>D177*Q690</f>
        <v>#REF!</v>
      </c>
      <c r="E690" s="463"/>
      <c r="F690" s="279"/>
      <c r="H690" s="22"/>
      <c r="I690" s="279">
        <v>22</v>
      </c>
      <c r="M690" s="724" t="e">
        <f>'16037-171'!P10</f>
        <v>#REF!</v>
      </c>
      <c r="P690" s="752">
        <v>0</v>
      </c>
      <c r="Q690" s="752" t="e">
        <f>$Q$585</f>
        <v>#REF!</v>
      </c>
    </row>
    <row r="691" spans="1:17" ht="15.75" thickBot="1">
      <c r="A691" s="214"/>
      <c r="B691" s="214"/>
      <c r="C691" s="462"/>
      <c r="D691" s="324"/>
      <c r="E691" s="463"/>
      <c r="F691" s="279"/>
      <c r="H691" s="22"/>
      <c r="I691" s="279"/>
    </row>
    <row r="692" spans="1:17" ht="15.75" thickBot="1">
      <c r="A692" s="214">
        <v>16037</v>
      </c>
      <c r="B692" s="214">
        <v>172</v>
      </c>
      <c r="C692" s="462" t="s">
        <v>1135</v>
      </c>
      <c r="D692" s="324" t="e">
        <f>D179*Q692</f>
        <v>#REF!</v>
      </c>
      <c r="E692" s="463"/>
      <c r="F692" s="279"/>
      <c r="H692" s="22"/>
      <c r="I692" s="279">
        <v>88</v>
      </c>
      <c r="M692" s="724" t="e">
        <f>'16037-172'!Q10</f>
        <v>#REF!</v>
      </c>
      <c r="P692" s="752">
        <v>0</v>
      </c>
      <c r="Q692" s="752" t="e">
        <f>$Q$585</f>
        <v>#REF!</v>
      </c>
    </row>
    <row r="693" spans="1:17" ht="15.75" thickBot="1">
      <c r="A693" s="214"/>
      <c r="B693" s="214"/>
      <c r="C693" s="462"/>
      <c r="D693" s="324"/>
      <c r="E693" s="463"/>
      <c r="F693" s="279"/>
      <c r="H693" s="22"/>
      <c r="I693" s="279"/>
    </row>
    <row r="694" spans="1:17" ht="15.75" thickBot="1">
      <c r="A694" s="214">
        <v>16037</v>
      </c>
      <c r="B694" s="214">
        <v>173</v>
      </c>
      <c r="C694" s="462" t="s">
        <v>1135</v>
      </c>
      <c r="D694" s="324" t="e">
        <f>D181*Q694</f>
        <v>#REF!</v>
      </c>
      <c r="E694" s="463"/>
      <c r="F694" s="279"/>
      <c r="H694" s="22"/>
      <c r="I694" s="279">
        <v>33</v>
      </c>
      <c r="M694" s="724" t="e">
        <f>'16037-173'!P10</f>
        <v>#REF!</v>
      </c>
      <c r="P694" s="752">
        <v>0</v>
      </c>
      <c r="Q694" s="752" t="e">
        <f>$Q$585</f>
        <v>#REF!</v>
      </c>
    </row>
    <row r="695" spans="1:17" ht="15.75" thickBot="1">
      <c r="A695" s="214"/>
      <c r="B695" s="214"/>
      <c r="C695" s="462"/>
      <c r="D695" s="324"/>
      <c r="E695" s="463"/>
      <c r="F695" s="279"/>
      <c r="H695" s="22"/>
      <c r="I695" s="279"/>
    </row>
    <row r="696" spans="1:17" ht="15.75" thickBot="1">
      <c r="A696" s="214">
        <v>16039</v>
      </c>
      <c r="B696" s="214">
        <v>170</v>
      </c>
      <c r="C696" s="462" t="s">
        <v>3</v>
      </c>
      <c r="D696" s="324" t="e">
        <f>D183*Q696</f>
        <v>#REF!</v>
      </c>
      <c r="E696" s="463"/>
      <c r="F696" s="279"/>
      <c r="H696" s="22"/>
      <c r="I696" s="279">
        <f>22+5</f>
        <v>27</v>
      </c>
      <c r="M696" s="724" t="e">
        <f>#REF!</f>
        <v>#REF!</v>
      </c>
      <c r="P696" s="752">
        <v>0</v>
      </c>
      <c r="Q696" s="752" t="e">
        <f>$Q$585</f>
        <v>#REF!</v>
      </c>
    </row>
    <row r="697" spans="1:17" ht="15.75" thickBot="1">
      <c r="A697" s="214"/>
      <c r="B697" s="214"/>
      <c r="C697" s="462"/>
      <c r="D697" s="324"/>
      <c r="E697" s="463"/>
      <c r="F697" s="279"/>
      <c r="H697" s="22"/>
      <c r="I697" s="279"/>
    </row>
    <row r="698" spans="1:17" ht="15.75" thickBot="1">
      <c r="A698" s="214">
        <v>16039</v>
      </c>
      <c r="B698" s="214">
        <v>171</v>
      </c>
      <c r="C698" s="462" t="s">
        <v>3</v>
      </c>
      <c r="D698" s="324" t="e">
        <f>D185*Q698</f>
        <v>#REF!</v>
      </c>
      <c r="E698" s="463"/>
      <c r="F698" s="279"/>
      <c r="H698" s="22"/>
      <c r="I698" s="279">
        <v>11</v>
      </c>
      <c r="M698" s="724" t="e">
        <f>'16039-171'!P10</f>
        <v>#REF!</v>
      </c>
      <c r="P698" s="752">
        <v>0</v>
      </c>
      <c r="Q698" s="752" t="e">
        <f>$Q$585</f>
        <v>#REF!</v>
      </c>
    </row>
    <row r="699" spans="1:17" ht="15.75" thickBot="1">
      <c r="A699" s="214"/>
      <c r="B699" s="214"/>
      <c r="C699" s="462"/>
      <c r="D699" s="324"/>
      <c r="E699" s="463"/>
      <c r="F699" s="279"/>
      <c r="H699" s="22"/>
      <c r="I699" s="279"/>
    </row>
    <row r="700" spans="1:17" ht="15.75" thickBot="1">
      <c r="A700" s="214">
        <v>16040</v>
      </c>
      <c r="B700" s="214">
        <v>171</v>
      </c>
      <c r="C700" s="462" t="s">
        <v>969</v>
      </c>
      <c r="D700" s="324" t="e">
        <f>D187*Q700</f>
        <v>#REF!</v>
      </c>
      <c r="E700" s="463"/>
      <c r="F700" s="279"/>
      <c r="H700" s="22"/>
      <c r="I700" s="279">
        <v>22</v>
      </c>
      <c r="M700" s="724" t="e">
        <f>'16040-171'!P10</f>
        <v>#REF!</v>
      </c>
      <c r="P700" s="752">
        <v>0</v>
      </c>
      <c r="Q700" s="752" t="e">
        <f>$Q$585</f>
        <v>#REF!</v>
      </c>
    </row>
    <row r="701" spans="1:17" ht="15.75" thickBot="1">
      <c r="A701" s="214"/>
      <c r="B701" s="214"/>
      <c r="C701" s="462"/>
      <c r="D701" s="324"/>
      <c r="E701" s="463"/>
      <c r="F701" s="279"/>
      <c r="H701" s="22"/>
      <c r="I701" s="279"/>
    </row>
    <row r="702" spans="1:17" ht="15.75" thickBot="1">
      <c r="A702" s="214">
        <v>16040</v>
      </c>
      <c r="B702" s="214">
        <v>173</v>
      </c>
      <c r="C702" s="462" t="s">
        <v>969</v>
      </c>
      <c r="D702" s="324" t="e">
        <f>D189*Q702</f>
        <v>#REF!</v>
      </c>
      <c r="E702" s="463"/>
      <c r="F702" s="279"/>
      <c r="H702" s="22"/>
      <c r="I702" s="279">
        <v>11</v>
      </c>
      <c r="M702" s="724" t="e">
        <f>'16040-173'!P10</f>
        <v>#REF!</v>
      </c>
      <c r="P702" s="752">
        <v>0</v>
      </c>
      <c r="Q702" s="752" t="e">
        <f>$Q$585</f>
        <v>#REF!</v>
      </c>
    </row>
    <row r="703" spans="1:17" ht="15.75" thickBot="1">
      <c r="A703" s="214"/>
      <c r="B703" s="214"/>
      <c r="C703" s="462"/>
      <c r="D703" s="324"/>
      <c r="E703" s="463"/>
      <c r="F703" s="279"/>
      <c r="H703" s="22"/>
      <c r="I703" s="279"/>
    </row>
    <row r="704" spans="1:17" ht="15.75" thickBot="1">
      <c r="A704" s="214">
        <v>16050</v>
      </c>
      <c r="B704" s="214">
        <v>173</v>
      </c>
      <c r="C704" s="462" t="s">
        <v>512</v>
      </c>
      <c r="D704" s="324" t="e">
        <f>D191*Q704</f>
        <v>#REF!</v>
      </c>
      <c r="E704" s="463"/>
      <c r="F704" s="279"/>
      <c r="H704" s="22"/>
      <c r="I704" s="279">
        <v>11</v>
      </c>
      <c r="M704" s="724" t="e">
        <f>'16050-173'!P10</f>
        <v>#REF!</v>
      </c>
      <c r="P704" s="752">
        <v>0</v>
      </c>
      <c r="Q704" s="752" t="e">
        <f>$Q$585</f>
        <v>#REF!</v>
      </c>
    </row>
    <row r="705" spans="1:17" ht="15.75" thickBot="1">
      <c r="A705" s="214"/>
      <c r="B705" s="214"/>
      <c r="C705" s="462"/>
      <c r="D705" s="324"/>
      <c r="E705" s="463"/>
      <c r="F705" s="279"/>
      <c r="H705" s="22"/>
      <c r="I705" s="279"/>
    </row>
    <row r="706" spans="1:17" ht="15.75" thickBot="1">
      <c r="A706" s="214">
        <v>16055</v>
      </c>
      <c r="B706" s="214">
        <v>173</v>
      </c>
      <c r="C706" s="462" t="s">
        <v>512</v>
      </c>
      <c r="D706" s="324" t="e">
        <f>D193*Q706</f>
        <v>#REF!</v>
      </c>
      <c r="E706" s="463"/>
      <c r="F706" s="279"/>
      <c r="H706" s="22"/>
      <c r="I706" s="279">
        <v>11</v>
      </c>
      <c r="M706" s="724" t="e">
        <f>#REF!</f>
        <v>#REF!</v>
      </c>
      <c r="P706" s="752">
        <v>0</v>
      </c>
      <c r="Q706" s="752" t="e">
        <f>$Q$585</f>
        <v>#REF!</v>
      </c>
    </row>
    <row r="707" spans="1:17" ht="15.75" thickBot="1">
      <c r="A707" s="214"/>
      <c r="B707" s="214"/>
      <c r="C707" s="462"/>
      <c r="D707" s="324"/>
      <c r="E707" s="463"/>
      <c r="F707" s="279"/>
      <c r="H707" s="22"/>
      <c r="I707" s="279"/>
    </row>
    <row r="708" spans="1:17" ht="15.75" thickBot="1">
      <c r="A708" s="214">
        <v>16056</v>
      </c>
      <c r="B708" s="214">
        <v>171</v>
      </c>
      <c r="C708" s="462" t="s">
        <v>968</v>
      </c>
      <c r="D708" s="324" t="e">
        <f>D195*Q708</f>
        <v>#REF!</v>
      </c>
      <c r="E708" s="463">
        <v>0</v>
      </c>
      <c r="F708" s="279"/>
      <c r="H708" s="22"/>
      <c r="I708" s="279">
        <v>11</v>
      </c>
      <c r="M708" s="724" t="e">
        <f>'16056-171'!P10</f>
        <v>#REF!</v>
      </c>
      <c r="P708" s="752">
        <v>0</v>
      </c>
      <c r="Q708" s="752" t="e">
        <f>$Q$585</f>
        <v>#REF!</v>
      </c>
    </row>
    <row r="709" spans="1:17" ht="15.75" thickBot="1">
      <c r="A709" s="214"/>
      <c r="B709" s="214"/>
      <c r="C709" s="462"/>
      <c r="D709" s="324"/>
      <c r="E709" s="463"/>
      <c r="F709" s="279"/>
      <c r="H709" s="22"/>
      <c r="I709" s="279"/>
    </row>
    <row r="710" spans="1:17" ht="15.75" thickBot="1">
      <c r="A710" s="214">
        <v>16056</v>
      </c>
      <c r="B710" s="214">
        <v>173</v>
      </c>
      <c r="C710" s="462" t="s">
        <v>968</v>
      </c>
      <c r="D710" s="324" t="e">
        <f>D197*Q710</f>
        <v>#REF!</v>
      </c>
      <c r="E710" s="463">
        <v>0</v>
      </c>
      <c r="F710" s="279"/>
      <c r="H710" s="22"/>
      <c r="I710" s="279">
        <v>11</v>
      </c>
      <c r="M710" s="724" t="e">
        <f>'16056-173'!P10</f>
        <v>#REF!</v>
      </c>
      <c r="P710" s="752">
        <v>0</v>
      </c>
      <c r="Q710" s="752" t="e">
        <f>Q708</f>
        <v>#REF!</v>
      </c>
    </row>
    <row r="711" spans="1:17" ht="15.75" thickBot="1">
      <c r="A711" s="214"/>
      <c r="B711" s="214"/>
      <c r="C711" s="462"/>
      <c r="D711" s="324"/>
      <c r="E711" s="463"/>
      <c r="F711" s="279"/>
      <c r="H711" s="22"/>
      <c r="I711" s="279"/>
    </row>
    <row r="712" spans="1:17" ht="15.75" thickBot="1">
      <c r="A712" s="214">
        <v>16058</v>
      </c>
      <c r="B712" s="214">
        <v>172</v>
      </c>
      <c r="C712" s="462" t="s">
        <v>968</v>
      </c>
      <c r="D712" s="324" t="e">
        <f>D199*Q712</f>
        <v>#REF!</v>
      </c>
      <c r="E712" s="463">
        <v>0</v>
      </c>
      <c r="F712" s="279"/>
      <c r="H712" s="22"/>
      <c r="I712" s="279">
        <v>11</v>
      </c>
      <c r="M712" s="724" t="e">
        <f>'16058-172'!P10</f>
        <v>#REF!</v>
      </c>
      <c r="P712" s="752">
        <v>0</v>
      </c>
      <c r="Q712" s="752" t="e">
        <f>Q708</f>
        <v>#REF!</v>
      </c>
    </row>
    <row r="713" spans="1:17" ht="15.75" thickBot="1">
      <c r="A713" s="214"/>
      <c r="B713" s="214"/>
      <c r="C713" s="462"/>
      <c r="D713" s="324"/>
      <c r="E713" s="463"/>
      <c r="F713" s="279"/>
      <c r="H713" s="22"/>
      <c r="I713" s="279"/>
    </row>
    <row r="714" spans="1:17" ht="15.75" thickBot="1">
      <c r="A714" s="214">
        <v>16060</v>
      </c>
      <c r="B714" s="214">
        <v>173</v>
      </c>
      <c r="C714" s="462" t="s">
        <v>969</v>
      </c>
      <c r="D714" s="324" t="e">
        <f>D201*Q714</f>
        <v>#REF!</v>
      </c>
      <c r="E714" s="463">
        <v>0</v>
      </c>
      <c r="F714" s="279"/>
      <c r="H714" s="22"/>
      <c r="I714" s="279">
        <v>11</v>
      </c>
      <c r="M714" s="724" t="e">
        <f>'16060-173'!P10</f>
        <v>#REF!</v>
      </c>
      <c r="P714" s="752">
        <v>0</v>
      </c>
      <c r="Q714" s="752" t="e">
        <f>$Q$585</f>
        <v>#REF!</v>
      </c>
    </row>
    <row r="715" spans="1:17" ht="15.75" thickBot="1">
      <c r="A715" s="214"/>
      <c r="B715" s="214"/>
      <c r="C715" s="462"/>
      <c r="D715" s="324"/>
      <c r="E715" s="463"/>
      <c r="F715" s="279"/>
      <c r="H715" s="22"/>
      <c r="I715" s="279"/>
    </row>
    <row r="716" spans="1:17" ht="15.75" thickBot="1">
      <c r="A716" s="214">
        <v>16070</v>
      </c>
      <c r="B716" s="214">
        <v>172</v>
      </c>
      <c r="C716" s="462" t="s">
        <v>969</v>
      </c>
      <c r="D716" s="324" t="e">
        <f>D203*Q716</f>
        <v>#REF!</v>
      </c>
      <c r="E716" s="463">
        <v>0</v>
      </c>
      <c r="F716" s="279"/>
      <c r="H716" s="22"/>
      <c r="I716" s="279">
        <v>11</v>
      </c>
      <c r="M716" s="724" t="e">
        <f>'16070-172'!P10</f>
        <v>#REF!</v>
      </c>
      <c r="P716" s="752">
        <v>0</v>
      </c>
      <c r="Q716" s="752" t="e">
        <f>Q708</f>
        <v>#REF!</v>
      </c>
    </row>
    <row r="717" spans="1:17" ht="15.75" thickBot="1">
      <c r="A717" s="214"/>
      <c r="B717" s="214"/>
      <c r="C717" s="462"/>
      <c r="D717" s="324"/>
      <c r="E717" s="463"/>
      <c r="F717" s="279"/>
      <c r="H717" s="22"/>
      <c r="I717" s="279"/>
    </row>
    <row r="718" spans="1:17" ht="15.75" thickBot="1">
      <c r="A718" s="214">
        <v>16088</v>
      </c>
      <c r="B718" s="214">
        <v>170</v>
      </c>
      <c r="C718" s="462" t="s">
        <v>4</v>
      </c>
      <c r="D718" s="324" t="e">
        <f>D205*Q718</f>
        <v>#REF!</v>
      </c>
      <c r="E718" s="325">
        <v>0</v>
      </c>
      <c r="F718" s="49"/>
      <c r="H718" s="22"/>
      <c r="I718" s="279">
        <v>11</v>
      </c>
      <c r="M718" s="724" t="e">
        <f>'16088-170'!P10</f>
        <v>#REF!</v>
      </c>
      <c r="P718" s="752">
        <v>0</v>
      </c>
      <c r="Q718" s="752" t="e">
        <f>Q708</f>
        <v>#REF!</v>
      </c>
    </row>
    <row r="719" spans="1:17" ht="15.75" thickBot="1">
      <c r="A719" s="214"/>
      <c r="B719" s="214"/>
      <c r="C719" s="462"/>
      <c r="D719" s="324"/>
      <c r="E719" s="325"/>
      <c r="F719" s="49"/>
      <c r="H719" s="22"/>
      <c r="I719" s="279"/>
    </row>
    <row r="720" spans="1:17" ht="15.75" thickBot="1">
      <c r="A720" s="214">
        <v>16089</v>
      </c>
      <c r="B720" s="214">
        <v>171</v>
      </c>
      <c r="C720" s="48" t="s">
        <v>4</v>
      </c>
      <c r="D720" s="324" t="e">
        <f>D207*Q720</f>
        <v>#REF!</v>
      </c>
      <c r="E720" s="463">
        <v>0</v>
      </c>
      <c r="F720" s="279"/>
      <c r="H720" s="22"/>
      <c r="I720" s="49">
        <v>11</v>
      </c>
      <c r="M720" s="724" t="e">
        <f>'16089-171'!P10</f>
        <v>#REF!</v>
      </c>
      <c r="P720" s="752">
        <v>0</v>
      </c>
      <c r="Q720" s="752" t="e">
        <f>Q708</f>
        <v>#REF!</v>
      </c>
    </row>
    <row r="721" spans="1:17" ht="15.75" thickBot="1">
      <c r="A721" s="214"/>
      <c r="B721" s="214"/>
      <c r="C721" s="48"/>
      <c r="D721" s="324"/>
      <c r="E721" s="463"/>
      <c r="F721" s="279"/>
      <c r="H721" s="22"/>
      <c r="I721" s="49"/>
    </row>
    <row r="722" spans="1:17" ht="15.75" thickBot="1">
      <c r="A722" s="214">
        <v>16098</v>
      </c>
      <c r="B722" s="214"/>
      <c r="C722" s="462" t="s">
        <v>5</v>
      </c>
      <c r="D722" s="324" t="e">
        <f>D209*Q722</f>
        <v>#REF!</v>
      </c>
      <c r="E722" s="463"/>
      <c r="F722" s="279"/>
      <c r="H722" s="22"/>
      <c r="I722" s="279">
        <v>11</v>
      </c>
      <c r="M722" s="724" t="e">
        <f>'16098-170'!P10</f>
        <v>#REF!</v>
      </c>
      <c r="P722" s="752">
        <v>0</v>
      </c>
      <c r="Q722" s="752" t="e">
        <f>Q710</f>
        <v>#REF!</v>
      </c>
    </row>
    <row r="723" spans="1:17">
      <c r="A723" s="214"/>
      <c r="B723" s="214"/>
      <c r="C723" s="462"/>
      <c r="D723" s="324"/>
      <c r="E723" s="463"/>
      <c r="F723" s="279"/>
      <c r="H723" s="22"/>
      <c r="I723" s="279"/>
    </row>
    <row r="724" spans="1:17">
      <c r="A724" s="214"/>
      <c r="B724" s="214"/>
      <c r="C724" s="462" t="s">
        <v>32</v>
      </c>
      <c r="D724" s="324"/>
      <c r="E724" s="463"/>
      <c r="F724" s="279"/>
      <c r="H724" s="22"/>
      <c r="I724" s="279"/>
      <c r="M724" s="720" t="e">
        <f>164758*#REF!</f>
        <v>#REF!</v>
      </c>
    </row>
    <row r="725" spans="1:17">
      <c r="A725" s="214"/>
      <c r="B725" s="214"/>
      <c r="C725" s="462"/>
      <c r="D725" s="324"/>
      <c r="E725" s="463"/>
      <c r="F725" s="279"/>
      <c r="H725" s="22"/>
      <c r="I725" s="279"/>
    </row>
    <row r="726" spans="1:17">
      <c r="A726" s="214"/>
      <c r="B726" s="214"/>
      <c r="C726" s="462"/>
      <c r="D726" s="324"/>
      <c r="E726" s="463"/>
      <c r="F726" s="279"/>
      <c r="H726" s="22"/>
      <c r="I726" s="279"/>
    </row>
    <row r="727" spans="1:17">
      <c r="A727" s="214"/>
      <c r="B727" s="214"/>
      <c r="C727" s="462"/>
      <c r="D727" s="324"/>
      <c r="E727" s="463"/>
      <c r="F727" s="279"/>
      <c r="H727" s="22"/>
      <c r="I727" s="279"/>
    </row>
    <row r="728" spans="1:17">
      <c r="A728" s="214"/>
      <c r="B728" s="214"/>
      <c r="C728" s="462"/>
      <c r="D728" s="324"/>
      <c r="E728" s="463"/>
      <c r="F728" s="279"/>
      <c r="H728" s="22"/>
      <c r="I728" s="279"/>
    </row>
    <row r="729" spans="1:17" ht="15.75" thickBot="1">
      <c r="A729" s="332" t="s">
        <v>990</v>
      </c>
      <c r="B729" s="332"/>
      <c r="C729" s="464"/>
      <c r="D729" s="329"/>
      <c r="E729" s="465"/>
      <c r="F729" s="278"/>
      <c r="H729" s="22"/>
      <c r="I729" s="278"/>
    </row>
    <row r="730" spans="1:17" ht="15.75" thickBot="1">
      <c r="A730" s="332"/>
      <c r="B730" s="332"/>
      <c r="C730" s="316" t="s">
        <v>262</v>
      </c>
      <c r="D730" s="324"/>
      <c r="E730" s="465"/>
      <c r="F730" s="278"/>
      <c r="H730" s="22"/>
      <c r="I730" s="278"/>
      <c r="Q730" s="752"/>
    </row>
    <row r="731" spans="1:17" ht="15.75" thickBot="1">
      <c r="A731" s="332"/>
      <c r="B731" s="332"/>
      <c r="C731" s="316" t="s">
        <v>582</v>
      </c>
      <c r="D731" s="324" t="e">
        <f>K740</f>
        <v>#REF!</v>
      </c>
      <c r="E731" s="465"/>
      <c r="F731" s="278"/>
      <c r="H731" s="22"/>
      <c r="I731" s="278"/>
      <c r="Q731" s="752"/>
    </row>
    <row r="732" spans="1:17" ht="15.75" thickBot="1">
      <c r="A732" s="332"/>
      <c r="B732" s="332"/>
      <c r="C732" s="316" t="s">
        <v>642</v>
      </c>
      <c r="D732" s="324" t="e">
        <f>D226*Q732</f>
        <v>#REF!</v>
      </c>
      <c r="E732" s="465"/>
      <c r="F732" s="278"/>
      <c r="H732" s="22"/>
      <c r="I732" s="278"/>
      <c r="Q732" s="752" t="e">
        <f>$Q$585</f>
        <v>#REF!</v>
      </c>
    </row>
    <row r="733" spans="1:17" ht="15.75" thickBot="1">
      <c r="A733" s="332"/>
      <c r="B733" s="332"/>
      <c r="C733" s="316" t="s">
        <v>862</v>
      </c>
      <c r="D733" s="324" t="e">
        <f>D227*Q733</f>
        <v>#REF!</v>
      </c>
      <c r="E733" s="465"/>
      <c r="F733" s="278"/>
      <c r="H733" s="22"/>
      <c r="I733" s="278"/>
      <c r="Q733" s="752" t="e">
        <f>$Q$585</f>
        <v>#REF!</v>
      </c>
    </row>
    <row r="734" spans="1:17" ht="15.75" thickBot="1">
      <c r="A734" s="332"/>
      <c r="B734" s="332"/>
      <c r="C734" s="316" t="s">
        <v>863</v>
      </c>
      <c r="D734" s="324" t="e">
        <f>D228*Q734</f>
        <v>#REF!</v>
      </c>
      <c r="E734" s="465"/>
      <c r="F734" s="278"/>
      <c r="H734" s="22"/>
      <c r="I734" s="278"/>
      <c r="Q734" s="752" t="e">
        <f>$Q$585</f>
        <v>#REF!</v>
      </c>
    </row>
    <row r="735" spans="1:17" ht="15.75" thickBot="1">
      <c r="A735" s="332"/>
      <c r="B735" s="332"/>
      <c r="C735" s="316" t="s">
        <v>864</v>
      </c>
      <c r="D735" s="324" t="e">
        <f>D229*Q735</f>
        <v>#REF!</v>
      </c>
      <c r="E735" s="465"/>
      <c r="F735" s="278"/>
      <c r="H735" s="22"/>
      <c r="I735" s="278"/>
      <c r="Q735" s="752" t="e">
        <f>$Q$585</f>
        <v>#REF!</v>
      </c>
    </row>
    <row r="736" spans="1:17" ht="15.75" thickBot="1">
      <c r="A736" s="332"/>
      <c r="B736" s="332"/>
      <c r="C736" s="316" t="s">
        <v>876</v>
      </c>
      <c r="D736" s="324" t="e">
        <f>D230*Q736</f>
        <v>#REF!</v>
      </c>
      <c r="E736" s="465"/>
      <c r="F736" s="278"/>
      <c r="H736" s="22"/>
      <c r="I736" s="278"/>
      <c r="Q736" s="752" t="e">
        <f>$Q$585</f>
        <v>#REF!</v>
      </c>
    </row>
    <row r="737" spans="1:17">
      <c r="A737" s="332"/>
      <c r="B737" s="332"/>
      <c r="C737" s="464"/>
      <c r="D737" s="329"/>
      <c r="E737" s="465"/>
      <c r="F737" s="278"/>
      <c r="H737" s="22"/>
      <c r="I737" s="278"/>
    </row>
    <row r="738" spans="1:17">
      <c r="A738" s="276"/>
      <c r="B738" s="276"/>
      <c r="C738" s="464"/>
      <c r="D738" s="22"/>
      <c r="E738" s="317" t="s">
        <v>904</v>
      </c>
      <c r="F738" s="275"/>
      <c r="G738" s="754" t="s">
        <v>859</v>
      </c>
      <c r="H738" s="275"/>
      <c r="I738" s="317" t="s">
        <v>658</v>
      </c>
      <c r="J738" s="275"/>
      <c r="K738" s="317" t="s">
        <v>905</v>
      </c>
      <c r="L738" s="748"/>
      <c r="M738" s="754" t="s">
        <v>892</v>
      </c>
    </row>
    <row r="739" spans="1:17" ht="15.75" thickBot="1">
      <c r="A739" s="276"/>
      <c r="B739" s="276"/>
      <c r="C739" s="330"/>
      <c r="D739" s="328"/>
      <c r="E739" s="465"/>
      <c r="F739" s="278"/>
      <c r="H739" s="22"/>
      <c r="I739" s="278"/>
      <c r="P739" s="22"/>
      <c r="Q739" s="22"/>
    </row>
    <row r="740" spans="1:17" ht="15.75" thickBot="1">
      <c r="A740" s="214">
        <v>16204</v>
      </c>
      <c r="B740" s="214"/>
      <c r="C740" s="48" t="s">
        <v>818</v>
      </c>
      <c r="D740" s="328"/>
      <c r="E740" s="465" t="e">
        <f t="shared" ref="E740:E760" si="19">INDEX($E$216:$E$339,MATCH(A740,$A$216:$A$339,0))</f>
        <v>#N/A</v>
      </c>
      <c r="F740" s="278"/>
      <c r="G740" s="724" t="e">
        <f>D230*P740</f>
        <v>#REF!</v>
      </c>
      <c r="H740" s="22"/>
      <c r="I740" s="279">
        <f>31+2</f>
        <v>33</v>
      </c>
      <c r="K740" s="724" t="e">
        <f>D225*Q740</f>
        <v>#REF!</v>
      </c>
      <c r="M740" s="269" t="e">
        <f>'16204'!T16</f>
        <v>#REF!</v>
      </c>
      <c r="P740" s="752" t="e">
        <f>$Q$585</f>
        <v>#REF!</v>
      </c>
      <c r="Q740" s="752" t="e">
        <f>$Q$585</f>
        <v>#REF!</v>
      </c>
    </row>
    <row r="741" spans="1:17" ht="15.75" thickBot="1">
      <c r="A741" s="214">
        <v>16205</v>
      </c>
      <c r="B741" s="214"/>
      <c r="C741" s="214" t="s">
        <v>881</v>
      </c>
      <c r="D741" s="328"/>
      <c r="E741" s="465" t="e">
        <f t="shared" si="19"/>
        <v>#N/A</v>
      </c>
      <c r="F741" s="278"/>
      <c r="G741" s="724" t="e">
        <f t="shared" ref="G741:G760" si="20">$G$740</f>
        <v>#REF!</v>
      </c>
      <c r="H741" s="22"/>
      <c r="I741" s="279">
        <f>235.25+19</f>
        <v>254.25</v>
      </c>
      <c r="K741" s="724" t="e">
        <f t="shared" ref="K741:K760" si="21">$K$740</f>
        <v>#REF!</v>
      </c>
      <c r="M741" s="269" t="e">
        <f>'16205'!T30</f>
        <v>#REF!</v>
      </c>
      <c r="P741" s="752" t="e">
        <f t="shared" ref="P741:P760" si="22">$P$740</f>
        <v>#REF!</v>
      </c>
      <c r="Q741" s="752" t="e">
        <f t="shared" ref="Q741:Q760" si="23">$Q$740</f>
        <v>#REF!</v>
      </c>
    </row>
    <row r="742" spans="1:17" ht="15.75" thickBot="1">
      <c r="A742" s="214">
        <v>16206</v>
      </c>
      <c r="B742" s="214"/>
      <c r="C742" s="214" t="s">
        <v>819</v>
      </c>
      <c r="D742" s="328"/>
      <c r="E742" s="465" t="e">
        <f t="shared" si="19"/>
        <v>#N/A</v>
      </c>
      <c r="F742" s="278"/>
      <c r="G742" s="724" t="e">
        <f t="shared" si="20"/>
        <v>#REF!</v>
      </c>
      <c r="H742" s="22"/>
      <c r="I742" s="279">
        <f>22+2</f>
        <v>24</v>
      </c>
      <c r="K742" s="724" t="e">
        <f t="shared" si="21"/>
        <v>#REF!</v>
      </c>
      <c r="M742" s="269" t="e">
        <f>'16206'!T14</f>
        <v>#REF!</v>
      </c>
      <c r="P742" s="752" t="e">
        <f t="shared" si="22"/>
        <v>#REF!</v>
      </c>
      <c r="Q742" s="752" t="e">
        <f t="shared" si="23"/>
        <v>#REF!</v>
      </c>
    </row>
    <row r="743" spans="1:17" ht="15.75" thickBot="1">
      <c r="A743" s="214">
        <v>16214</v>
      </c>
      <c r="B743" s="214"/>
      <c r="C743" s="214" t="s">
        <v>157</v>
      </c>
      <c r="D743" s="328"/>
      <c r="E743" s="465" t="e">
        <f t="shared" si="19"/>
        <v>#N/A</v>
      </c>
      <c r="F743" s="278"/>
      <c r="G743" s="724" t="e">
        <f t="shared" si="20"/>
        <v>#REF!</v>
      </c>
      <c r="H743" s="22"/>
      <c r="I743" s="279">
        <f>470+60</f>
        <v>530</v>
      </c>
      <c r="K743" s="724" t="e">
        <f t="shared" si="21"/>
        <v>#REF!</v>
      </c>
      <c r="M743" s="269" t="e">
        <f>'16214'!T39</f>
        <v>#REF!</v>
      </c>
      <c r="P743" s="752" t="e">
        <f t="shared" si="22"/>
        <v>#REF!</v>
      </c>
      <c r="Q743" s="752" t="e">
        <f t="shared" si="23"/>
        <v>#REF!</v>
      </c>
    </row>
    <row r="744" spans="1:17" ht="15.75" thickBot="1">
      <c r="A744" s="214">
        <v>16234</v>
      </c>
      <c r="B744" s="214"/>
      <c r="C744" s="214" t="s">
        <v>127</v>
      </c>
      <c r="D744" s="328"/>
      <c r="E744" s="465" t="e">
        <f t="shared" si="19"/>
        <v>#N/A</v>
      </c>
      <c r="F744" s="278"/>
      <c r="G744" s="724" t="e">
        <f t="shared" si="20"/>
        <v>#REF!</v>
      </c>
      <c r="H744" s="22"/>
      <c r="I744" s="279">
        <v>28.75</v>
      </c>
      <c r="K744" s="724" t="e">
        <f t="shared" si="21"/>
        <v>#REF!</v>
      </c>
      <c r="M744" s="269">
        <f>'16234'!T22</f>
        <v>1079.1599999999999</v>
      </c>
      <c r="P744" s="752" t="e">
        <f t="shared" si="22"/>
        <v>#REF!</v>
      </c>
      <c r="Q744" s="752" t="e">
        <f t="shared" si="23"/>
        <v>#REF!</v>
      </c>
    </row>
    <row r="745" spans="1:17" ht="15.75" thickBot="1">
      <c r="A745" s="214">
        <v>16235</v>
      </c>
      <c r="B745" s="214"/>
      <c r="C745" s="214" t="s">
        <v>583</v>
      </c>
      <c r="D745" s="328"/>
      <c r="E745" s="465" t="e">
        <f t="shared" si="19"/>
        <v>#N/A</v>
      </c>
      <c r="F745" s="278"/>
      <c r="G745" s="724" t="e">
        <f t="shared" si="20"/>
        <v>#REF!</v>
      </c>
      <c r="H745" s="22"/>
      <c r="I745" s="279">
        <f>4853.25+473</f>
        <v>5326.25</v>
      </c>
      <c r="K745" s="724" t="e">
        <f t="shared" si="21"/>
        <v>#REF!</v>
      </c>
      <c r="M745" s="269">
        <f>'16235'!T54</f>
        <v>167565.16</v>
      </c>
      <c r="P745" s="752" t="e">
        <f t="shared" si="22"/>
        <v>#REF!</v>
      </c>
      <c r="Q745" s="752" t="e">
        <f t="shared" si="23"/>
        <v>#REF!</v>
      </c>
    </row>
    <row r="746" spans="1:17" ht="15.75" thickBot="1">
      <c r="A746" s="214">
        <v>16236</v>
      </c>
      <c r="B746" s="214"/>
      <c r="C746" s="214" t="s">
        <v>811</v>
      </c>
      <c r="D746" s="328"/>
      <c r="E746" s="465" t="e">
        <f t="shared" si="19"/>
        <v>#N/A</v>
      </c>
      <c r="F746" s="278"/>
      <c r="G746" s="724" t="e">
        <f t="shared" si="20"/>
        <v>#REF!</v>
      </c>
      <c r="H746" s="22"/>
      <c r="I746" s="279">
        <f>6+6</f>
        <v>12</v>
      </c>
      <c r="K746" s="724" t="e">
        <f t="shared" si="21"/>
        <v>#REF!</v>
      </c>
      <c r="M746" s="269">
        <f>'16236'!T12</f>
        <v>82.199999999999989</v>
      </c>
      <c r="P746" s="752" t="e">
        <f t="shared" si="22"/>
        <v>#REF!</v>
      </c>
      <c r="Q746" s="752" t="e">
        <f t="shared" si="23"/>
        <v>#REF!</v>
      </c>
    </row>
    <row r="747" spans="1:17" ht="15.75" thickBot="1">
      <c r="A747" s="214">
        <v>16242</v>
      </c>
      <c r="B747" s="214"/>
      <c r="C747" s="214" t="s">
        <v>154</v>
      </c>
      <c r="D747" s="328"/>
      <c r="E747" s="465" t="e">
        <f t="shared" si="19"/>
        <v>#N/A</v>
      </c>
      <c r="F747" s="278"/>
      <c r="G747" s="724" t="e">
        <f t="shared" si="20"/>
        <v>#REF!</v>
      </c>
      <c r="H747" s="22"/>
      <c r="I747" s="279">
        <v>129.25</v>
      </c>
      <c r="K747" s="724" t="e">
        <f t="shared" si="21"/>
        <v>#REF!</v>
      </c>
      <c r="M747" s="269">
        <f>'16242'!T27</f>
        <v>3640.52</v>
      </c>
      <c r="P747" s="752" t="e">
        <f t="shared" si="22"/>
        <v>#REF!</v>
      </c>
      <c r="Q747" s="752" t="e">
        <f t="shared" si="23"/>
        <v>#REF!</v>
      </c>
    </row>
    <row r="748" spans="1:17" ht="15.75" thickBot="1">
      <c r="A748" s="214">
        <v>16246</v>
      </c>
      <c r="B748" s="214"/>
      <c r="C748" s="214" t="s">
        <v>155</v>
      </c>
      <c r="D748" s="328"/>
      <c r="E748" s="465" t="e">
        <f t="shared" si="19"/>
        <v>#N/A</v>
      </c>
      <c r="F748" s="278"/>
      <c r="G748" s="724" t="e">
        <f t="shared" si="20"/>
        <v>#REF!</v>
      </c>
      <c r="H748" s="22"/>
      <c r="I748" s="279">
        <v>55</v>
      </c>
      <c r="K748" s="724" t="e">
        <f t="shared" si="21"/>
        <v>#REF!</v>
      </c>
      <c r="M748" s="269">
        <f>'16246'!T22</f>
        <v>1728.78</v>
      </c>
      <c r="P748" s="752" t="e">
        <f t="shared" si="22"/>
        <v>#REF!</v>
      </c>
      <c r="Q748" s="752" t="e">
        <f t="shared" si="23"/>
        <v>#REF!</v>
      </c>
    </row>
    <row r="749" spans="1:17" ht="15.75" thickBot="1">
      <c r="A749" s="214">
        <v>16263</v>
      </c>
      <c r="B749" s="214"/>
      <c r="C749" s="214" t="s">
        <v>168</v>
      </c>
      <c r="D749" s="328"/>
      <c r="E749" s="465" t="e">
        <f t="shared" si="19"/>
        <v>#N/A</v>
      </c>
      <c r="F749" s="278"/>
      <c r="G749" s="724" t="e">
        <f t="shared" si="20"/>
        <v>#REF!</v>
      </c>
      <c r="H749" s="22"/>
      <c r="I749" s="279">
        <v>7.5</v>
      </c>
      <c r="K749" s="724" t="e">
        <f t="shared" si="21"/>
        <v>#REF!</v>
      </c>
      <c r="M749" s="269">
        <f>'16263'!T15</f>
        <v>140.63999999999999</v>
      </c>
      <c r="P749" s="752" t="e">
        <f t="shared" si="22"/>
        <v>#REF!</v>
      </c>
      <c r="Q749" s="752" t="e">
        <f t="shared" si="23"/>
        <v>#REF!</v>
      </c>
    </row>
    <row r="750" spans="1:17" ht="15.75" thickBot="1">
      <c r="A750" s="214">
        <v>16265</v>
      </c>
      <c r="B750" s="214"/>
      <c r="C750" s="214" t="s">
        <v>865</v>
      </c>
      <c r="D750" s="328"/>
      <c r="E750" s="465" t="e">
        <f t="shared" si="19"/>
        <v>#N/A</v>
      </c>
      <c r="F750" s="278"/>
      <c r="G750" s="724" t="e">
        <f t="shared" si="20"/>
        <v>#REF!</v>
      </c>
      <c r="H750" s="22"/>
      <c r="I750" s="279">
        <v>432.75</v>
      </c>
      <c r="K750" s="724" t="e">
        <f t="shared" si="21"/>
        <v>#REF!</v>
      </c>
      <c r="M750" s="269">
        <f>'16265'!T27</f>
        <v>16884.419999999998</v>
      </c>
      <c r="P750" s="752" t="e">
        <f t="shared" si="22"/>
        <v>#REF!</v>
      </c>
      <c r="Q750" s="752" t="e">
        <f t="shared" si="23"/>
        <v>#REF!</v>
      </c>
    </row>
    <row r="751" spans="1:17" ht="15.75" thickBot="1">
      <c r="A751" s="214">
        <v>16272</v>
      </c>
      <c r="B751" s="214"/>
      <c r="C751" s="214" t="s">
        <v>581</v>
      </c>
      <c r="D751" s="328"/>
      <c r="E751" s="465" t="e">
        <f t="shared" si="19"/>
        <v>#N/A</v>
      </c>
      <c r="F751" s="278"/>
      <c r="G751" s="724" t="e">
        <f t="shared" si="20"/>
        <v>#REF!</v>
      </c>
      <c r="H751" s="22"/>
      <c r="I751" s="279">
        <v>6</v>
      </c>
      <c r="K751" s="724" t="e">
        <f t="shared" si="21"/>
        <v>#REF!</v>
      </c>
      <c r="M751" s="269">
        <f>'16272'!T13</f>
        <v>82.199999999999989</v>
      </c>
      <c r="P751" s="752" t="e">
        <f t="shared" si="22"/>
        <v>#REF!</v>
      </c>
      <c r="Q751" s="752" t="e">
        <f t="shared" si="23"/>
        <v>#REF!</v>
      </c>
    </row>
    <row r="752" spans="1:17" ht="15.75" thickBot="1">
      <c r="A752" s="214">
        <v>16275</v>
      </c>
      <c r="B752" s="214"/>
      <c r="C752" s="214" t="s">
        <v>1122</v>
      </c>
      <c r="D752" s="328"/>
      <c r="E752" s="465" t="e">
        <f t="shared" si="19"/>
        <v>#N/A</v>
      </c>
      <c r="F752" s="278"/>
      <c r="G752" s="724" t="e">
        <f t="shared" si="20"/>
        <v>#REF!</v>
      </c>
      <c r="H752" s="22"/>
      <c r="I752" s="279">
        <f>5+1</f>
        <v>6</v>
      </c>
      <c r="K752" s="724" t="e">
        <f t="shared" si="21"/>
        <v>#REF!</v>
      </c>
      <c r="M752" s="269">
        <f>'16275'!T13</f>
        <v>68.5</v>
      </c>
      <c r="P752" s="752" t="e">
        <f t="shared" si="22"/>
        <v>#REF!</v>
      </c>
      <c r="Q752" s="752" t="e">
        <f t="shared" si="23"/>
        <v>#REF!</v>
      </c>
    </row>
    <row r="753" spans="1:17" ht="15.75" thickBot="1">
      <c r="A753" s="214">
        <v>16276</v>
      </c>
      <c r="B753" s="214"/>
      <c r="C753" s="214" t="s">
        <v>1123</v>
      </c>
      <c r="D753" s="328"/>
      <c r="E753" s="465" t="e">
        <f t="shared" si="19"/>
        <v>#N/A</v>
      </c>
      <c r="F753" s="278"/>
      <c r="G753" s="724" t="e">
        <f t="shared" si="20"/>
        <v>#REF!</v>
      </c>
      <c r="H753" s="22"/>
      <c r="I753" s="279">
        <v>25</v>
      </c>
      <c r="K753" s="724" t="e">
        <f t="shared" si="21"/>
        <v>#REF!</v>
      </c>
      <c r="M753" s="269">
        <f>'16276'!T23</f>
        <v>870.18000000000006</v>
      </c>
      <c r="P753" s="752" t="e">
        <f t="shared" si="22"/>
        <v>#REF!</v>
      </c>
      <c r="Q753" s="752" t="e">
        <f t="shared" si="23"/>
        <v>#REF!</v>
      </c>
    </row>
    <row r="754" spans="1:17" ht="15.75" thickBot="1">
      <c r="A754" s="214">
        <v>16287</v>
      </c>
      <c r="B754" s="214"/>
      <c r="C754" s="214" t="s">
        <v>861</v>
      </c>
      <c r="D754" s="328"/>
      <c r="E754" s="465" t="e">
        <f t="shared" si="19"/>
        <v>#N/A</v>
      </c>
      <c r="F754" s="278"/>
      <c r="G754" s="724" t="e">
        <f t="shared" si="20"/>
        <v>#REF!</v>
      </c>
      <c r="H754" s="22"/>
      <c r="I754" s="279">
        <v>0</v>
      </c>
      <c r="K754" s="724" t="e">
        <f t="shared" si="21"/>
        <v>#REF!</v>
      </c>
      <c r="M754" s="269">
        <v>0</v>
      </c>
      <c r="P754" s="752" t="e">
        <f t="shared" si="22"/>
        <v>#REF!</v>
      </c>
      <c r="Q754" s="752" t="e">
        <f t="shared" si="23"/>
        <v>#REF!</v>
      </c>
    </row>
    <row r="755" spans="1:17" ht="15.75" thickBot="1">
      <c r="A755" s="214">
        <v>16290</v>
      </c>
      <c r="B755" s="214"/>
      <c r="C755" s="214" t="s">
        <v>1126</v>
      </c>
      <c r="D755" s="328"/>
      <c r="E755" s="465" t="e">
        <f t="shared" si="19"/>
        <v>#N/A</v>
      </c>
      <c r="F755" s="278"/>
      <c r="G755" s="724" t="e">
        <f t="shared" si="20"/>
        <v>#REF!</v>
      </c>
      <c r="H755" s="22"/>
      <c r="I755" s="279">
        <v>5</v>
      </c>
      <c r="K755" s="724" t="e">
        <f t="shared" si="21"/>
        <v>#REF!</v>
      </c>
      <c r="M755" s="269">
        <f>'16290'!T12</f>
        <v>68.5</v>
      </c>
      <c r="P755" s="752" t="e">
        <f t="shared" si="22"/>
        <v>#REF!</v>
      </c>
      <c r="Q755" s="752" t="e">
        <f t="shared" si="23"/>
        <v>#REF!</v>
      </c>
    </row>
    <row r="756" spans="1:17" ht="15.75" thickBot="1">
      <c r="A756" s="214">
        <v>16293</v>
      </c>
      <c r="B756" s="214"/>
      <c r="C756" s="214" t="s">
        <v>1129</v>
      </c>
      <c r="D756" s="328"/>
      <c r="E756" s="465" t="e">
        <f t="shared" si="19"/>
        <v>#N/A</v>
      </c>
      <c r="F756" s="278"/>
      <c r="G756" s="724" t="e">
        <f t="shared" si="20"/>
        <v>#REF!</v>
      </c>
      <c r="H756" s="22"/>
      <c r="I756" s="279">
        <v>20</v>
      </c>
      <c r="K756" s="724" t="e">
        <f t="shared" si="21"/>
        <v>#REF!</v>
      </c>
      <c r="M756" s="269">
        <f>'16293'!T16</f>
        <v>367.12</v>
      </c>
      <c r="P756" s="752" t="e">
        <f t="shared" si="22"/>
        <v>#REF!</v>
      </c>
      <c r="Q756" s="752" t="e">
        <f t="shared" si="23"/>
        <v>#REF!</v>
      </c>
    </row>
    <row r="757" spans="1:17" ht="15.75" thickBot="1">
      <c r="A757" s="214">
        <v>16294</v>
      </c>
      <c r="B757" s="214"/>
      <c r="C757" s="214" t="s">
        <v>1130</v>
      </c>
      <c r="D757" s="328"/>
      <c r="E757" s="465" t="e">
        <f t="shared" si="19"/>
        <v>#N/A</v>
      </c>
      <c r="F757" s="278"/>
      <c r="G757" s="724" t="e">
        <f t="shared" si="20"/>
        <v>#REF!</v>
      </c>
      <c r="H757" s="22"/>
      <c r="I757" s="279">
        <v>23.5</v>
      </c>
      <c r="K757" s="724" t="e">
        <f t="shared" si="21"/>
        <v>#REF!</v>
      </c>
      <c r="M757" s="269">
        <f>'16294'!T19</f>
        <v>1033.04</v>
      </c>
      <c r="P757" s="752" t="e">
        <f t="shared" si="22"/>
        <v>#REF!</v>
      </c>
      <c r="Q757" s="752" t="e">
        <f t="shared" si="23"/>
        <v>#REF!</v>
      </c>
    </row>
    <row r="758" spans="1:17" ht="15.75" thickBot="1">
      <c r="A758" s="214">
        <v>16295</v>
      </c>
      <c r="B758" s="214"/>
      <c r="C758" s="214" t="s">
        <v>1131</v>
      </c>
      <c r="D758" s="328"/>
      <c r="E758" s="465" t="e">
        <f t="shared" si="19"/>
        <v>#N/A</v>
      </c>
      <c r="F758" s="278"/>
      <c r="G758" s="724" t="e">
        <f t="shared" si="20"/>
        <v>#REF!</v>
      </c>
      <c r="H758" s="22"/>
      <c r="I758" s="279">
        <v>110</v>
      </c>
      <c r="K758" s="724" t="e">
        <f t="shared" si="21"/>
        <v>#REF!</v>
      </c>
      <c r="M758" s="269">
        <f>'16295'!T27</f>
        <v>3921.7200000000003</v>
      </c>
      <c r="P758" s="752" t="e">
        <f t="shared" si="22"/>
        <v>#REF!</v>
      </c>
      <c r="Q758" s="752" t="e">
        <f t="shared" si="23"/>
        <v>#REF!</v>
      </c>
    </row>
    <row r="759" spans="1:17" ht="15.75" thickBot="1">
      <c r="A759" s="214">
        <v>16296</v>
      </c>
      <c r="B759" s="214"/>
      <c r="C759" s="214" t="s">
        <v>1132</v>
      </c>
      <c r="D759" s="328"/>
      <c r="E759" s="465" t="e">
        <f t="shared" si="19"/>
        <v>#N/A</v>
      </c>
      <c r="F759" s="278"/>
      <c r="G759" s="724" t="e">
        <f t="shared" si="20"/>
        <v>#REF!</v>
      </c>
      <c r="H759" s="22"/>
      <c r="I759" s="279">
        <v>25</v>
      </c>
      <c r="K759" s="724" t="e">
        <f t="shared" si="21"/>
        <v>#REF!</v>
      </c>
      <c r="M759" s="269">
        <f>'16296'!T19</f>
        <v>854.66</v>
      </c>
      <c r="P759" s="752" t="e">
        <f t="shared" si="22"/>
        <v>#REF!</v>
      </c>
      <c r="Q759" s="752" t="e">
        <f t="shared" si="23"/>
        <v>#REF!</v>
      </c>
    </row>
    <row r="760" spans="1:17" ht="15.75" thickBot="1">
      <c r="A760" s="214">
        <v>16297</v>
      </c>
      <c r="B760" s="214"/>
      <c r="C760" s="214" t="s">
        <v>95</v>
      </c>
      <c r="D760" s="328"/>
      <c r="E760" s="465" t="e">
        <f t="shared" si="19"/>
        <v>#N/A</v>
      </c>
      <c r="F760" s="278"/>
      <c r="G760" s="724" t="e">
        <f t="shared" si="20"/>
        <v>#REF!</v>
      </c>
      <c r="H760" s="22"/>
      <c r="I760" s="279">
        <v>30</v>
      </c>
      <c r="K760" s="724" t="e">
        <f t="shared" si="21"/>
        <v>#REF!</v>
      </c>
      <c r="M760" s="269" t="e">
        <f>#REF!</f>
        <v>#REF!</v>
      </c>
      <c r="P760" s="752" t="e">
        <f t="shared" si="22"/>
        <v>#REF!</v>
      </c>
      <c r="Q760" s="752" t="e">
        <f t="shared" si="23"/>
        <v>#REF!</v>
      </c>
    </row>
    <row r="761" spans="1:17" ht="15.75" thickBot="1">
      <c r="A761" s="214"/>
      <c r="B761" s="214"/>
      <c r="C761" s="214"/>
      <c r="D761" s="323"/>
      <c r="E761" s="385" t="e">
        <f>SUM(E740:E760)</f>
        <v>#N/A</v>
      </c>
      <c r="F761" s="279"/>
      <c r="I761" s="385">
        <f>SUM(I740:I760)</f>
        <v>7083.25</v>
      </c>
      <c r="M761" s="385" t="e">
        <f>SUM(M740:M760)</f>
        <v>#REF!</v>
      </c>
    </row>
    <row r="762" spans="1:17" ht="15.75" thickTop="1">
      <c r="A762" s="214"/>
      <c r="B762" s="214"/>
      <c r="C762" s="214"/>
      <c r="D762" s="323"/>
      <c r="E762" s="278"/>
      <c r="F762" s="279"/>
      <c r="I762" s="278"/>
      <c r="M762" s="278"/>
    </row>
    <row r="763" spans="1:17">
      <c r="A763" s="214"/>
      <c r="B763" s="214"/>
      <c r="C763" s="316" t="s">
        <v>269</v>
      </c>
      <c r="D763" s="324"/>
      <c r="E763" s="278"/>
      <c r="F763" s="279"/>
      <c r="I763" s="278"/>
      <c r="M763" s="278"/>
    </row>
    <row r="764" spans="1:17" ht="15.75" thickBot="1">
      <c r="A764" s="214"/>
      <c r="B764" s="214"/>
      <c r="C764" s="316" t="s">
        <v>972</v>
      </c>
      <c r="D764" s="324" t="e">
        <f>K771</f>
        <v>#REF!</v>
      </c>
      <c r="E764" s="278"/>
      <c r="F764" s="279"/>
      <c r="I764" s="278"/>
      <c r="M764" s="278"/>
    </row>
    <row r="765" spans="1:17" ht="15.75" thickBot="1">
      <c r="A765" s="214"/>
      <c r="B765" s="214"/>
      <c r="C765" s="316" t="str">
        <f>C255</f>
        <v>Next 3,700</v>
      </c>
      <c r="D765" s="512" t="e">
        <f>D255*Q765</f>
        <v>#REF!</v>
      </c>
      <c r="E765" s="278"/>
      <c r="F765" s="279"/>
      <c r="I765" s="278"/>
      <c r="M765" s="278"/>
      <c r="Q765" s="752" t="e">
        <f>$Q$740</f>
        <v>#REF!</v>
      </c>
    </row>
    <row r="766" spans="1:17" ht="15.75" thickBot="1">
      <c r="A766" s="214"/>
      <c r="B766" s="214"/>
      <c r="C766" s="316" t="str">
        <f>C256</f>
        <v>Next 15,000</v>
      </c>
      <c r="D766" s="512" t="e">
        <f>D256*Q766</f>
        <v>#REF!</v>
      </c>
      <c r="E766" s="278"/>
      <c r="F766" s="279"/>
      <c r="I766" s="278"/>
      <c r="M766" s="278"/>
      <c r="Q766" s="752" t="e">
        <f>$Q$740</f>
        <v>#REF!</v>
      </c>
    </row>
    <row r="767" spans="1:17" ht="15.75" thickBot="1">
      <c r="A767" s="214"/>
      <c r="B767" s="214"/>
      <c r="C767" s="316" t="str">
        <f>C257</f>
        <v>Next 25,000</v>
      </c>
      <c r="D767" s="512" t="e">
        <f>D257*Q767</f>
        <v>#REF!</v>
      </c>
      <c r="E767" s="278"/>
      <c r="F767" s="279"/>
      <c r="I767" s="278"/>
      <c r="M767" s="278"/>
      <c r="Q767" s="752" t="e">
        <f>$Q$740</f>
        <v>#REF!</v>
      </c>
    </row>
    <row r="768" spans="1:17" ht="15.75" thickBot="1">
      <c r="A768" s="214"/>
      <c r="B768" s="214"/>
      <c r="C768" s="316" t="str">
        <f>C258</f>
        <v>Next 50,000</v>
      </c>
      <c r="D768" s="512" t="e">
        <f>D258*Q768</f>
        <v>#REF!</v>
      </c>
      <c r="E768" s="278"/>
      <c r="F768" s="279"/>
      <c r="I768" s="278"/>
      <c r="M768" s="278"/>
      <c r="Q768" s="752" t="e">
        <f>$Q$740</f>
        <v>#REF!</v>
      </c>
    </row>
    <row r="769" spans="1:17" ht="15.75" thickBot="1">
      <c r="A769" s="214"/>
      <c r="B769" s="214"/>
      <c r="C769" s="316" t="str">
        <f>C259</f>
        <v>Over 100,000</v>
      </c>
      <c r="D769" s="512" t="e">
        <f>D259*Q769</f>
        <v>#REF!</v>
      </c>
      <c r="E769" s="278"/>
      <c r="F769" s="279"/>
      <c r="I769" s="278"/>
      <c r="M769" s="278"/>
      <c r="Q769" s="752" t="e">
        <f>$Q$740</f>
        <v>#REF!</v>
      </c>
    </row>
    <row r="770" spans="1:17" ht="15.75" thickBot="1">
      <c r="A770" s="214"/>
      <c r="B770" s="214"/>
      <c r="C770" s="214"/>
      <c r="D770" s="323"/>
      <c r="E770" s="279"/>
      <c r="F770" s="279"/>
      <c r="I770" s="279"/>
    </row>
    <row r="771" spans="1:17" ht="15.75" thickBot="1">
      <c r="A771" s="214">
        <v>16208</v>
      </c>
      <c r="B771" s="214"/>
      <c r="C771" s="214" t="s">
        <v>820</v>
      </c>
      <c r="D771" s="323"/>
      <c r="E771" s="465" t="e">
        <f t="shared" ref="E771:E776" si="24">INDEX($E$216:$E$339,MATCH(A771,$A$216:$A$339,0))</f>
        <v>#N/A</v>
      </c>
      <c r="F771" s="279"/>
      <c r="G771" s="724" t="e">
        <f t="shared" ref="G771:G776" si="25">$G$740</f>
        <v>#REF!</v>
      </c>
      <c r="I771" s="278" t="e">
        <f>INDEX($G$216:$G$339,MATCH(A771, $A$216:$A$339,0))</f>
        <v>#N/A</v>
      </c>
      <c r="K771" s="724" t="e">
        <f>D254*Q771</f>
        <v>#REF!</v>
      </c>
      <c r="M771" s="269" t="e">
        <f>'16208'!T29</f>
        <v>#REF!</v>
      </c>
      <c r="P771" s="752" t="e">
        <f t="shared" ref="P771:P776" si="26">$P$740</f>
        <v>#REF!</v>
      </c>
      <c r="Q771" s="752" t="e">
        <f t="shared" ref="Q771:Q776" si="27">$Q$740</f>
        <v>#REF!</v>
      </c>
    </row>
    <row r="772" spans="1:17" ht="15.75" thickBot="1">
      <c r="A772" s="214">
        <v>16230</v>
      </c>
      <c r="B772" s="214"/>
      <c r="C772" s="214" t="s">
        <v>874</v>
      </c>
      <c r="D772" s="323"/>
      <c r="E772" s="465" t="e">
        <f t="shared" si="24"/>
        <v>#N/A</v>
      </c>
      <c r="F772" s="279"/>
      <c r="G772" s="724" t="e">
        <f t="shared" si="25"/>
        <v>#REF!</v>
      </c>
      <c r="I772" s="278" t="e">
        <f>INDEX($G$216:$G$339,MATCH(A772, $A$216:$A$339,0))</f>
        <v>#N/A</v>
      </c>
      <c r="K772" s="720" t="e">
        <f>$K$771</f>
        <v>#REF!</v>
      </c>
      <c r="M772" s="760" t="e">
        <f>'16230'!T18</f>
        <v>#REF!</v>
      </c>
      <c r="P772" s="752" t="e">
        <f t="shared" si="26"/>
        <v>#REF!</v>
      </c>
      <c r="Q772" s="752" t="e">
        <f t="shared" si="27"/>
        <v>#REF!</v>
      </c>
    </row>
    <row r="773" spans="1:17" ht="15.75" thickBot="1">
      <c r="A773" s="214">
        <v>16244</v>
      </c>
      <c r="B773" s="214"/>
      <c r="C773" s="214" t="s">
        <v>652</v>
      </c>
      <c r="D773" s="323"/>
      <c r="E773" s="465">
        <f t="shared" si="24"/>
        <v>148573.33333333334</v>
      </c>
      <c r="F773" s="279"/>
      <c r="G773" s="724" t="e">
        <f t="shared" si="25"/>
        <v>#REF!</v>
      </c>
      <c r="I773" s="278">
        <f>INDEX($G$216:$G$339,MATCH(A773, $A$216:$A$339,0))</f>
        <v>8.8666666666666671</v>
      </c>
      <c r="K773" s="720" t="e">
        <f>$K$771</f>
        <v>#REF!</v>
      </c>
      <c r="M773" s="760">
        <f>'16244'!T17</f>
        <v>1078.912</v>
      </c>
      <c r="P773" s="752" t="e">
        <f t="shared" si="26"/>
        <v>#REF!</v>
      </c>
      <c r="Q773" s="752" t="e">
        <f t="shared" si="27"/>
        <v>#REF!</v>
      </c>
    </row>
    <row r="774" spans="1:17" ht="15.75" thickBot="1">
      <c r="A774" s="214">
        <v>16247</v>
      </c>
      <c r="B774" s="214"/>
      <c r="C774" s="214" t="s">
        <v>653</v>
      </c>
      <c r="D774" s="323"/>
      <c r="E774" s="465">
        <f t="shared" si="24"/>
        <v>15620</v>
      </c>
      <c r="F774" s="279"/>
      <c r="G774" s="724" t="e">
        <f t="shared" si="25"/>
        <v>#REF!</v>
      </c>
      <c r="I774" s="278">
        <f>INDEX($G$216:$G$339,MATCH(A774, $A$216:$A$339,0))</f>
        <v>3.8</v>
      </c>
      <c r="K774" s="720" t="e">
        <f>$K$771</f>
        <v>#REF!</v>
      </c>
      <c r="M774" s="760">
        <f>'16247'!T35</f>
        <v>5214.2640000000019</v>
      </c>
      <c r="P774" s="752" t="e">
        <f t="shared" si="26"/>
        <v>#REF!</v>
      </c>
      <c r="Q774" s="752" t="e">
        <f t="shared" si="27"/>
        <v>#REF!</v>
      </c>
    </row>
    <row r="775" spans="1:17" ht="15.75" thickBot="1">
      <c r="A775" s="214">
        <v>16279</v>
      </c>
      <c r="B775" s="214"/>
      <c r="C775" s="214" t="s">
        <v>1125</v>
      </c>
      <c r="D775" s="328"/>
      <c r="E775" s="465">
        <f t="shared" si="24"/>
        <v>22280</v>
      </c>
      <c r="F775" s="278"/>
      <c r="G775" s="724" t="e">
        <f t="shared" si="25"/>
        <v>#REF!</v>
      </c>
      <c r="H775" s="22"/>
      <c r="I775" s="279">
        <f>35+7</f>
        <v>42</v>
      </c>
      <c r="K775" s="724" t="e">
        <f>$K$740</f>
        <v>#REF!</v>
      </c>
      <c r="M775" s="269">
        <f>'16279'!T35</f>
        <v>4800.7560000000003</v>
      </c>
      <c r="P775" s="752" t="e">
        <f t="shared" si="26"/>
        <v>#REF!</v>
      </c>
      <c r="Q775" s="752" t="e">
        <f t="shared" si="27"/>
        <v>#REF!</v>
      </c>
    </row>
    <row r="776" spans="1:17" ht="15.75" thickBot="1">
      <c r="A776" s="214">
        <v>16292</v>
      </c>
      <c r="B776" s="214"/>
      <c r="C776" s="214" t="s">
        <v>1128</v>
      </c>
      <c r="D776" s="328"/>
      <c r="E776" s="465" t="e">
        <f t="shared" si="24"/>
        <v>#N/A</v>
      </c>
      <c r="F776" s="278"/>
      <c r="G776" s="724" t="e">
        <f t="shared" si="25"/>
        <v>#REF!</v>
      </c>
      <c r="H776" s="22"/>
      <c r="I776" s="279">
        <v>5</v>
      </c>
      <c r="K776" s="724" t="e">
        <f>$K$740</f>
        <v>#REF!</v>
      </c>
      <c r="M776" s="269">
        <f>'16292'!T17</f>
        <v>931.26800000000003</v>
      </c>
      <c r="P776" s="752" t="e">
        <f t="shared" si="26"/>
        <v>#REF!</v>
      </c>
      <c r="Q776" s="752" t="e">
        <f t="shared" si="27"/>
        <v>#REF!</v>
      </c>
    </row>
    <row r="777" spans="1:17" ht="15.75" thickBot="1">
      <c r="A777" s="48"/>
      <c r="B777" s="48"/>
      <c r="C777" s="48"/>
      <c r="D777" s="49"/>
      <c r="E777" s="742" t="e">
        <f>SUM(E771:E776)</f>
        <v>#N/A</v>
      </c>
      <c r="F777" s="49"/>
      <c r="I777" s="742" t="e">
        <f>SUM(I771:I776)</f>
        <v>#N/A</v>
      </c>
      <c r="M777" s="742" t="e">
        <f>SUM(M771:M776)</f>
        <v>#REF!</v>
      </c>
    </row>
    <row r="778" spans="1:17" ht="15.75" thickTop="1">
      <c r="A778" s="48"/>
      <c r="B778" s="48"/>
      <c r="C778" s="48"/>
      <c r="D778" s="49"/>
      <c r="E778" s="274"/>
      <c r="F778" s="49"/>
      <c r="I778" s="274"/>
      <c r="M778" s="274"/>
    </row>
    <row r="779" spans="1:17">
      <c r="A779" s="48"/>
      <c r="B779" s="48"/>
      <c r="C779" s="316" t="s">
        <v>268</v>
      </c>
      <c r="D779" s="324"/>
      <c r="E779" s="274"/>
      <c r="F779" s="49"/>
      <c r="I779" s="274"/>
      <c r="M779" s="274"/>
    </row>
    <row r="780" spans="1:17" ht="15.75" thickBot="1">
      <c r="A780" s="48"/>
      <c r="B780" s="48"/>
      <c r="C780" s="316" t="s">
        <v>975</v>
      </c>
      <c r="D780" s="324" t="e">
        <f>K786</f>
        <v>#REF!</v>
      </c>
      <c r="E780" s="274"/>
      <c r="F780" s="49"/>
      <c r="I780" s="274"/>
      <c r="M780" s="274"/>
    </row>
    <row r="781" spans="1:17" ht="15.75" thickBot="1">
      <c r="A781" s="48"/>
      <c r="B781" s="48"/>
      <c r="C781" s="316" t="str">
        <f>C280</f>
        <v>Next 13,800</v>
      </c>
      <c r="D781" s="512" t="e">
        <f>D280*Q781</f>
        <v>#REF!</v>
      </c>
      <c r="E781" s="274"/>
      <c r="F781" s="49"/>
      <c r="I781" s="274"/>
      <c r="M781" s="274"/>
      <c r="Q781" s="752" t="e">
        <f>$Q$740</f>
        <v>#REF!</v>
      </c>
    </row>
    <row r="782" spans="1:17" ht="15.75" thickBot="1">
      <c r="A782" s="48"/>
      <c r="B782" s="48"/>
      <c r="C782" s="316" t="str">
        <f>C281</f>
        <v>Next 25,000</v>
      </c>
      <c r="D782" s="512" t="e">
        <f>D281*Q782</f>
        <v>#REF!</v>
      </c>
      <c r="E782" s="274"/>
      <c r="F782" s="49"/>
      <c r="I782" s="274"/>
      <c r="M782" s="274"/>
      <c r="Q782" s="752" t="e">
        <f>$Q$740</f>
        <v>#REF!</v>
      </c>
    </row>
    <row r="783" spans="1:17" ht="15.75" thickBot="1">
      <c r="A783" s="48"/>
      <c r="B783" s="48"/>
      <c r="C783" s="316" t="str">
        <f>C282</f>
        <v>Next 50,000</v>
      </c>
      <c r="D783" s="512" t="e">
        <f>D282*Q783</f>
        <v>#REF!</v>
      </c>
      <c r="E783" s="274"/>
      <c r="F783" s="49"/>
      <c r="I783" s="274"/>
      <c r="M783" s="274"/>
      <c r="Q783" s="752" t="e">
        <f>$Q$740</f>
        <v>#REF!</v>
      </c>
    </row>
    <row r="784" spans="1:17" ht="15.75" thickBot="1">
      <c r="A784" s="48"/>
      <c r="B784" s="48"/>
      <c r="C784" s="316" t="str">
        <f>C283</f>
        <v>Over 100,000</v>
      </c>
      <c r="D784" s="512" t="e">
        <f>D283*Q784</f>
        <v>#REF!</v>
      </c>
      <c r="E784" s="274"/>
      <c r="F784" s="49"/>
      <c r="I784" s="274"/>
      <c r="M784" s="274"/>
      <c r="Q784" s="752" t="e">
        <f>$Q$740</f>
        <v>#REF!</v>
      </c>
    </row>
    <row r="785" spans="1:17" ht="15.75" thickBot="1">
      <c r="A785" s="48"/>
      <c r="B785" s="48"/>
      <c r="C785" s="48"/>
      <c r="D785" s="49"/>
      <c r="E785" s="49"/>
      <c r="F785" s="49"/>
      <c r="I785" s="49"/>
    </row>
    <row r="786" spans="1:17" ht="15.75" thickBot="1">
      <c r="A786" s="214">
        <v>16238</v>
      </c>
      <c r="B786" s="214"/>
      <c r="C786" s="214" t="s">
        <v>123</v>
      </c>
      <c r="D786" s="323"/>
      <c r="E786" s="465">
        <f>INDEX($E$216:$E$339,MATCH(A786,$A$216:$A$339,0))</f>
        <v>112220</v>
      </c>
      <c r="F786" s="279"/>
      <c r="G786" s="724" t="e">
        <f>$G$740</f>
        <v>#REF!</v>
      </c>
      <c r="I786" s="278">
        <f>INDEX($G$216:$G$339,MATCH(A786, $A$216:$A$339,0))</f>
        <v>2.5333333333333332</v>
      </c>
      <c r="K786" s="724" t="e">
        <f>D279*Q786</f>
        <v>#REF!</v>
      </c>
      <c r="M786" s="269" t="e">
        <f>'16238'!T26</f>
        <v>#REF!</v>
      </c>
      <c r="P786" s="752" t="e">
        <f>$P$740</f>
        <v>#REF!</v>
      </c>
      <c r="Q786" s="752" t="e">
        <f>$Q$740</f>
        <v>#REF!</v>
      </c>
    </row>
    <row r="787" spans="1:17" ht="15.75" thickBot="1">
      <c r="A787" s="214">
        <v>16252</v>
      </c>
      <c r="B787" s="214"/>
      <c r="C787" s="214" t="s">
        <v>860</v>
      </c>
      <c r="D787" s="323"/>
      <c r="E787" s="465">
        <f>INDEX($E$216:$E$339,MATCH(A787,$A$216:$A$339,0))</f>
        <v>145246.66666666666</v>
      </c>
      <c r="F787" s="279"/>
      <c r="G787" s="724" t="e">
        <f>$G$740</f>
        <v>#REF!</v>
      </c>
      <c r="I787" s="278">
        <f>INDEX($G$216:$G$339,MATCH(A787, $A$216:$A$339,0))</f>
        <v>2.5333333333333332</v>
      </c>
      <c r="K787" s="724" t="e">
        <f>$K$786</f>
        <v>#REF!</v>
      </c>
      <c r="M787" s="760">
        <v>0</v>
      </c>
      <c r="P787" s="752" t="e">
        <f>$P$740</f>
        <v>#REF!</v>
      </c>
      <c r="Q787" s="752" t="e">
        <f>$Q$740</f>
        <v>#REF!</v>
      </c>
    </row>
    <row r="788" spans="1:17" ht="15.75" thickBot="1">
      <c r="A788" s="214">
        <v>16254</v>
      </c>
      <c r="B788" s="214"/>
      <c r="C788" s="214" t="s">
        <v>654</v>
      </c>
      <c r="D788" s="323"/>
      <c r="E788" s="465" t="e">
        <f>INDEX($E$216:$E$339,MATCH(A788,$A$216:$A$339,0))</f>
        <v>#N/A</v>
      </c>
      <c r="F788" s="279"/>
      <c r="G788" s="724" t="e">
        <f>$G$740</f>
        <v>#REF!</v>
      </c>
      <c r="I788" s="278" t="e">
        <f>INDEX($G$216:$G$339,MATCH(A788, $A$216:$A$339,0))</f>
        <v>#N/A</v>
      </c>
      <c r="K788" s="724" t="e">
        <f>$K$786</f>
        <v>#REF!</v>
      </c>
      <c r="M788" s="760">
        <f>'16254'!T31</f>
        <v>5371.271999999999</v>
      </c>
      <c r="P788" s="752" t="e">
        <f>$P$740</f>
        <v>#REF!</v>
      </c>
      <c r="Q788" s="752" t="e">
        <f>$Q$740</f>
        <v>#REF!</v>
      </c>
    </row>
    <row r="789" spans="1:17" ht="15.75" thickBot="1">
      <c r="A789" s="214"/>
      <c r="B789" s="214"/>
      <c r="C789" s="214"/>
      <c r="D789" s="323"/>
      <c r="E789" s="385" t="e">
        <f>SUM(E786:E788)</f>
        <v>#N/A</v>
      </c>
      <c r="F789" s="279"/>
      <c r="I789" s="385" t="e">
        <f>SUM(I786:I788)</f>
        <v>#N/A</v>
      </c>
      <c r="M789" s="386" t="e">
        <f>SUM(M786:M788)</f>
        <v>#REF!</v>
      </c>
    </row>
    <row r="790" spans="1:17" ht="15.75" thickTop="1">
      <c r="A790" s="214"/>
      <c r="B790" s="214"/>
      <c r="C790" s="214"/>
      <c r="D790" s="323"/>
      <c r="E790" s="278"/>
      <c r="F790" s="279"/>
      <c r="I790" s="278"/>
      <c r="M790" s="319"/>
    </row>
    <row r="791" spans="1:17">
      <c r="A791" s="214"/>
      <c r="B791" s="214"/>
      <c r="C791" s="316" t="s">
        <v>267</v>
      </c>
      <c r="D791" s="324"/>
      <c r="E791" s="278"/>
      <c r="F791" s="279"/>
      <c r="I791" s="278"/>
      <c r="M791" s="319"/>
    </row>
    <row r="792" spans="1:17" ht="15.75" thickBot="1">
      <c r="A792" s="214"/>
      <c r="B792" s="214"/>
      <c r="C792" s="316" t="s">
        <v>978</v>
      </c>
      <c r="D792" s="324" t="e">
        <f>K798</f>
        <v>#REF!</v>
      </c>
      <c r="E792" s="278"/>
      <c r="F792" s="279"/>
      <c r="I792" s="278"/>
      <c r="M792" s="319"/>
    </row>
    <row r="793" spans="1:17" ht="15.75" thickBot="1">
      <c r="A793" s="214"/>
      <c r="B793" s="214"/>
      <c r="C793" s="316" t="str">
        <f>C303</f>
        <v>Next 7,400</v>
      </c>
      <c r="D793" s="512" t="e">
        <f>D303*Q793</f>
        <v>#REF!</v>
      </c>
      <c r="E793" s="278"/>
      <c r="F793" s="279"/>
      <c r="I793" s="278"/>
      <c r="M793" s="319"/>
      <c r="Q793" s="752" t="e">
        <f>$Q$740</f>
        <v>#REF!</v>
      </c>
    </row>
    <row r="794" spans="1:17" ht="15.75" thickBot="1">
      <c r="A794" s="214"/>
      <c r="B794" s="214"/>
      <c r="C794" s="316" t="str">
        <f>C304</f>
        <v>Next 25,000</v>
      </c>
      <c r="D794" s="512" t="e">
        <f>D304*Q794</f>
        <v>#REF!</v>
      </c>
      <c r="E794" s="278"/>
      <c r="F794" s="279"/>
      <c r="I794" s="278"/>
      <c r="M794" s="319"/>
      <c r="Q794" s="752" t="e">
        <f>$Q$740</f>
        <v>#REF!</v>
      </c>
    </row>
    <row r="795" spans="1:17" ht="15.75" thickBot="1">
      <c r="A795" s="214"/>
      <c r="B795" s="214"/>
      <c r="C795" s="316" t="str">
        <f>C305</f>
        <v>Next 50,000</v>
      </c>
      <c r="D795" s="512" t="e">
        <f>D305*Q795</f>
        <v>#REF!</v>
      </c>
      <c r="E795" s="278"/>
      <c r="F795" s="279"/>
      <c r="I795" s="278"/>
      <c r="M795" s="319"/>
      <c r="Q795" s="752" t="e">
        <f>$Q$740</f>
        <v>#REF!</v>
      </c>
    </row>
    <row r="796" spans="1:17" ht="15.75" thickBot="1">
      <c r="A796" s="214"/>
      <c r="B796" s="214"/>
      <c r="C796" s="316" t="str">
        <f>C306</f>
        <v>Over 100,000</v>
      </c>
      <c r="D796" s="512" t="e">
        <f>D306*Q796</f>
        <v>#REF!</v>
      </c>
      <c r="E796" s="278"/>
      <c r="F796" s="279"/>
      <c r="I796" s="278"/>
      <c r="M796" s="319"/>
      <c r="Q796" s="752" t="e">
        <f>$Q$740</f>
        <v>#REF!</v>
      </c>
    </row>
    <row r="797" spans="1:17" ht="15.75" thickBot="1">
      <c r="A797" s="214"/>
      <c r="B797" s="214"/>
      <c r="C797" s="214"/>
      <c r="D797" s="323"/>
      <c r="E797" s="279"/>
      <c r="F797" s="279"/>
      <c r="I797" s="279"/>
      <c r="M797" s="213"/>
    </row>
    <row r="798" spans="1:17" ht="15.75" thickBot="1">
      <c r="A798" s="214">
        <v>16248</v>
      </c>
      <c r="B798" s="214"/>
      <c r="C798" s="214" t="s">
        <v>655</v>
      </c>
      <c r="D798" s="323"/>
      <c r="E798" s="465" t="e">
        <f t="shared" ref="E798:E803" si="28">INDEX($E$216:$E$339,MATCH(A798,$A$216:$A$339,0))</f>
        <v>#N/A</v>
      </c>
      <c r="F798" s="279"/>
      <c r="G798" s="724" t="e">
        <f t="shared" ref="G798:G803" si="29">$G$740</f>
        <v>#REF!</v>
      </c>
      <c r="I798" s="278" t="e">
        <f>INDEX($G$216:$G$339,MATCH(A798, $A$216:$A$339,0))</f>
        <v>#N/A</v>
      </c>
      <c r="K798" s="724" t="e">
        <f>D302*Q798</f>
        <v>#REF!</v>
      </c>
      <c r="M798" s="269" t="e">
        <f>'16248'!T46</f>
        <v>#REF!</v>
      </c>
      <c r="P798" s="752" t="e">
        <f t="shared" ref="P798:P803" si="30">$P$740</f>
        <v>#REF!</v>
      </c>
      <c r="Q798" s="752" t="e">
        <f t="shared" ref="Q798:Q803" si="31">$Q$740</f>
        <v>#REF!</v>
      </c>
    </row>
    <row r="799" spans="1:17" ht="15.75" thickBot="1">
      <c r="A799" s="214">
        <v>16257</v>
      </c>
      <c r="B799" s="214"/>
      <c r="C799" s="214" t="s">
        <v>62</v>
      </c>
      <c r="D799" s="323"/>
      <c r="E799" s="465" t="e">
        <f t="shared" si="28"/>
        <v>#N/A</v>
      </c>
      <c r="F799" s="279"/>
      <c r="G799" s="724" t="e">
        <f t="shared" si="29"/>
        <v>#REF!</v>
      </c>
      <c r="I799" s="278" t="e">
        <f>INDEX($G$216:$G$339,MATCH(A799, $A$216:$A$339,0))</f>
        <v>#N/A</v>
      </c>
      <c r="K799" s="720" t="e">
        <f>$K$798</f>
        <v>#REF!</v>
      </c>
      <c r="M799" s="760" t="e">
        <f>'16257'!T17</f>
        <v>#REF!</v>
      </c>
      <c r="P799" s="752" t="e">
        <f t="shared" si="30"/>
        <v>#REF!</v>
      </c>
      <c r="Q799" s="752" t="e">
        <f t="shared" si="31"/>
        <v>#REF!</v>
      </c>
    </row>
    <row r="800" spans="1:17" ht="15.75" thickBot="1">
      <c r="A800" s="214">
        <v>16262</v>
      </c>
      <c r="B800" s="214"/>
      <c r="C800" s="214" t="s">
        <v>360</v>
      </c>
      <c r="D800" s="323"/>
      <c r="E800" s="465">
        <f t="shared" si="28"/>
        <v>58420</v>
      </c>
      <c r="F800" s="279"/>
      <c r="G800" s="724" t="e">
        <f t="shared" si="29"/>
        <v>#REF!</v>
      </c>
      <c r="I800" s="278">
        <f>INDEX($G$216:$G$339,MATCH(A800, $A$216:$A$339,0))</f>
        <v>1.2666666666666666</v>
      </c>
      <c r="K800" s="720" t="e">
        <f>$K$798</f>
        <v>#REF!</v>
      </c>
      <c r="M800" s="760">
        <v>0</v>
      </c>
      <c r="P800" s="752" t="e">
        <f t="shared" si="30"/>
        <v>#REF!</v>
      </c>
      <c r="Q800" s="752" t="e">
        <f t="shared" si="31"/>
        <v>#REF!</v>
      </c>
    </row>
    <row r="801" spans="1:17" ht="15.75" thickBot="1">
      <c r="A801" s="214">
        <v>16264</v>
      </c>
      <c r="B801" s="214"/>
      <c r="C801" s="214" t="s">
        <v>169</v>
      </c>
      <c r="D801" s="323"/>
      <c r="E801" s="465">
        <f t="shared" si="28"/>
        <v>298566.66666666669</v>
      </c>
      <c r="F801" s="279"/>
      <c r="G801" s="724" t="e">
        <f t="shared" si="29"/>
        <v>#REF!</v>
      </c>
      <c r="I801" s="278">
        <f>INDEX($G$216:$G$339,MATCH(A801, $A$216:$A$339,0))</f>
        <v>7.6</v>
      </c>
      <c r="K801" s="720" t="e">
        <f>$K$798</f>
        <v>#REF!</v>
      </c>
      <c r="M801" s="760" t="e">
        <f>'16264'!T25</f>
        <v>#REF!</v>
      </c>
      <c r="P801" s="752" t="e">
        <f t="shared" si="30"/>
        <v>#REF!</v>
      </c>
      <c r="Q801" s="752" t="e">
        <f t="shared" si="31"/>
        <v>#REF!</v>
      </c>
    </row>
    <row r="802" spans="1:17" ht="15.75" thickBot="1">
      <c r="A802" s="214">
        <v>16278</v>
      </c>
      <c r="B802" s="214"/>
      <c r="C802" s="214" t="s">
        <v>1124</v>
      </c>
      <c r="D802" s="328"/>
      <c r="E802" s="465">
        <f t="shared" si="28"/>
        <v>298566.66666666669</v>
      </c>
      <c r="F802" s="278"/>
      <c r="G802" s="724" t="e">
        <f t="shared" si="29"/>
        <v>#REF!</v>
      </c>
      <c r="H802" s="22"/>
      <c r="I802" s="279">
        <f>5+1</f>
        <v>6</v>
      </c>
      <c r="K802" s="724" t="e">
        <f>$K$740</f>
        <v>#REF!</v>
      </c>
      <c r="M802" s="269" t="e">
        <f>'16278'!T16</f>
        <v>#REF!</v>
      </c>
      <c r="P802" s="752" t="e">
        <f t="shared" si="30"/>
        <v>#REF!</v>
      </c>
      <c r="Q802" s="752" t="e">
        <f t="shared" si="31"/>
        <v>#REF!</v>
      </c>
    </row>
    <row r="803" spans="1:17" ht="15.75" thickBot="1">
      <c r="A803" s="214">
        <v>16291</v>
      </c>
      <c r="B803" s="214"/>
      <c r="C803" s="214" t="s">
        <v>1127</v>
      </c>
      <c r="D803" s="328"/>
      <c r="E803" s="465" t="e">
        <f t="shared" si="28"/>
        <v>#N/A</v>
      </c>
      <c r="F803" s="278"/>
      <c r="G803" s="724" t="e">
        <f t="shared" si="29"/>
        <v>#REF!</v>
      </c>
      <c r="H803" s="22"/>
      <c r="I803" s="279">
        <v>5</v>
      </c>
      <c r="K803" s="724" t="e">
        <f>$K$740</f>
        <v>#REF!</v>
      </c>
      <c r="M803" s="269" t="e">
        <f>'16291'!T16</f>
        <v>#REF!</v>
      </c>
      <c r="P803" s="752" t="e">
        <f t="shared" si="30"/>
        <v>#REF!</v>
      </c>
      <c r="Q803" s="752" t="e">
        <f t="shared" si="31"/>
        <v>#REF!</v>
      </c>
    </row>
    <row r="804" spans="1:17" ht="15.75" thickBot="1">
      <c r="A804" s="214"/>
      <c r="B804" s="214"/>
      <c r="C804" s="214"/>
      <c r="D804" s="323"/>
      <c r="E804" s="385" t="e">
        <f>SUM(E798:E803)</f>
        <v>#N/A</v>
      </c>
      <c r="F804" s="279"/>
      <c r="I804" s="385" t="e">
        <f>SUM(I798:I803)</f>
        <v>#N/A</v>
      </c>
      <c r="M804" s="386" t="e">
        <f>SUM(M798:M803)</f>
        <v>#REF!</v>
      </c>
    </row>
    <row r="805" spans="1:17" ht="15.75" thickTop="1">
      <c r="A805" s="214"/>
      <c r="B805" s="214"/>
      <c r="C805" s="214"/>
      <c r="D805" s="323"/>
      <c r="E805" s="278"/>
      <c r="F805" s="279"/>
      <c r="I805" s="278"/>
      <c r="M805" s="319"/>
    </row>
    <row r="806" spans="1:17">
      <c r="A806" s="214"/>
      <c r="B806" s="214"/>
      <c r="C806" s="316" t="s">
        <v>264</v>
      </c>
      <c r="D806" s="324"/>
      <c r="E806" s="278"/>
      <c r="F806" s="279"/>
      <c r="I806" s="278"/>
      <c r="M806" s="319"/>
    </row>
    <row r="807" spans="1:17" ht="15.75" thickBot="1">
      <c r="A807" s="214"/>
      <c r="B807" s="214"/>
      <c r="C807" s="316" t="s">
        <v>270</v>
      </c>
      <c r="D807" s="324" t="e">
        <f>K810</f>
        <v>#REF!</v>
      </c>
      <c r="E807" s="278"/>
      <c r="F807" s="279"/>
      <c r="I807" s="278"/>
      <c r="M807" s="319"/>
    </row>
    <row r="808" spans="1:17" ht="15.75" thickBot="1">
      <c r="A808" s="214"/>
      <c r="B808" s="214"/>
      <c r="C808" s="316" t="str">
        <f>C326</f>
        <v>Over 250,500</v>
      </c>
      <c r="D808" s="512" t="e">
        <f>D326*Q808</f>
        <v>#REF!</v>
      </c>
      <c r="E808" s="278"/>
      <c r="F808" s="279"/>
      <c r="I808" s="278"/>
      <c r="M808" s="319"/>
      <c r="Q808" s="752" t="e">
        <f>$Q$740</f>
        <v>#REF!</v>
      </c>
    </row>
    <row r="809" spans="1:17" ht="15.75" thickBot="1">
      <c r="A809" s="214"/>
      <c r="B809" s="214"/>
      <c r="C809" s="214"/>
      <c r="D809" s="323"/>
      <c r="E809" s="279"/>
      <c r="F809" s="279"/>
      <c r="I809" s="279"/>
    </row>
    <row r="810" spans="1:17" ht="15.75" thickBot="1">
      <c r="A810" s="15">
        <v>16280</v>
      </c>
      <c r="C810" s="15" t="s">
        <v>869</v>
      </c>
      <c r="D810" s="323"/>
      <c r="E810" s="465">
        <f>INDEX($E$216:$E$339,MATCH(A810,$A$216:$A$339,0))</f>
        <v>0</v>
      </c>
      <c r="F810" s="279"/>
      <c r="G810" s="724" t="e">
        <f>$G$740</f>
        <v>#REF!</v>
      </c>
      <c r="I810" s="278">
        <f>INDEX($G$216:$G$339,MATCH(A810, $A$216:$A$339,0))</f>
        <v>0</v>
      </c>
      <c r="K810" s="771" t="e">
        <f>D325*Q810</f>
        <v>#REF!</v>
      </c>
      <c r="M810" s="269" t="e">
        <f>'16280'!T10</f>
        <v>#REF!</v>
      </c>
      <c r="P810" s="752" t="e">
        <f>$P$740</f>
        <v>#REF!</v>
      </c>
      <c r="Q810" s="752" t="e">
        <f>$Q$740</f>
        <v>#REF!</v>
      </c>
    </row>
    <row r="811" spans="1:17" ht="15.75" thickBot="1">
      <c r="A811" s="214"/>
      <c r="B811" s="214"/>
      <c r="C811" s="214"/>
      <c r="D811" s="323"/>
      <c r="E811" s="385">
        <f>SUM(E810)</f>
        <v>0</v>
      </c>
      <c r="F811" s="279"/>
      <c r="I811" s="385">
        <f>SUM(I810)</f>
        <v>0</v>
      </c>
      <c r="M811" s="386" t="e">
        <f>SUM(M810)</f>
        <v>#REF!</v>
      </c>
    </row>
    <row r="812" spans="1:17" ht="16.5" thickTop="1" thickBot="1">
      <c r="A812" s="214"/>
      <c r="B812" s="214"/>
      <c r="C812" s="214"/>
      <c r="D812" s="323"/>
      <c r="E812" s="279"/>
      <c r="F812" s="279"/>
      <c r="I812" s="279"/>
    </row>
    <row r="813" spans="1:17" ht="15.75" thickBot="1">
      <c r="A813" s="214">
        <v>16285</v>
      </c>
      <c r="B813" s="214"/>
      <c r="C813" s="214" t="s">
        <v>164</v>
      </c>
      <c r="D813" s="324" t="e">
        <f>D335*Q813</f>
        <v>#REF!</v>
      </c>
      <c r="E813" s="465">
        <f>INDEX($E$216:$E$339,MATCH(A813,$A$216:$A$339,0))</f>
        <v>0</v>
      </c>
      <c r="F813" s="279"/>
      <c r="I813" s="278">
        <f>INDEX($G$216:$G$339,MATCH(A813, $A$216:$A$339,0))</f>
        <v>22</v>
      </c>
      <c r="M813" s="258" t="e">
        <f>'16285'!P10</f>
        <v>#REF!</v>
      </c>
      <c r="P813" s="752" t="e">
        <f>$P$740</f>
        <v>#REF!</v>
      </c>
      <c r="Q813" s="752" t="e">
        <f>$Q$740</f>
        <v>#REF!</v>
      </c>
    </row>
    <row r="814" spans="1:17" ht="15.75" thickBot="1">
      <c r="A814" s="214"/>
      <c r="B814" s="214"/>
      <c r="C814" s="214"/>
      <c r="D814" s="324"/>
      <c r="E814" s="279"/>
      <c r="F814" s="279"/>
      <c r="I814" s="279"/>
    </row>
    <row r="815" spans="1:17" ht="15.75" thickBot="1">
      <c r="A815" s="214">
        <v>16286</v>
      </c>
      <c r="B815" s="214"/>
      <c r="C815" s="214" t="s">
        <v>162</v>
      </c>
      <c r="D815" s="324" t="e">
        <f>D337*Q815</f>
        <v>#REF!</v>
      </c>
      <c r="E815" s="465">
        <f>INDEX($E$216:$E$339,MATCH(A815,$A$216:$A$339,0))</f>
        <v>0</v>
      </c>
      <c r="F815" s="279"/>
      <c r="I815" s="278">
        <f>INDEX($G$216:$G$339,MATCH(A815, $A$216:$A$339,0))</f>
        <v>66</v>
      </c>
      <c r="M815" s="258" t="e">
        <f>'16286'!P10</f>
        <v>#REF!</v>
      </c>
      <c r="P815" s="752" t="e">
        <f>$P$740</f>
        <v>#REF!</v>
      </c>
      <c r="Q815" s="752" t="e">
        <f>$Q$740</f>
        <v>#REF!</v>
      </c>
    </row>
    <row r="816" spans="1:17" ht="15.75" thickBot="1">
      <c r="A816" s="214"/>
      <c r="B816" s="214"/>
      <c r="C816" s="214"/>
      <c r="D816" s="324"/>
      <c r="E816" s="279"/>
      <c r="F816" s="279"/>
      <c r="I816" s="279"/>
    </row>
    <row r="817" spans="1:17" ht="15.75" thickBot="1">
      <c r="A817" s="214">
        <v>16299</v>
      </c>
      <c r="B817" s="214"/>
      <c r="C817" s="214" t="s">
        <v>163</v>
      </c>
      <c r="D817" s="324" t="e">
        <f>D339*Q817</f>
        <v>#REF!</v>
      </c>
      <c r="E817" s="465">
        <f>INDEX($E$216:$E$339,MATCH(A817,$A$216:$A$339,0))</f>
        <v>0</v>
      </c>
      <c r="F817" s="279"/>
      <c r="I817" s="278">
        <f>INDEX($G$216:$G$339,MATCH(A817, $A$216:$A$339,0))</f>
        <v>11</v>
      </c>
      <c r="M817" s="258" t="e">
        <f>#REF!</f>
        <v>#REF!</v>
      </c>
      <c r="P817" s="752" t="e">
        <f>$P$740</f>
        <v>#REF!</v>
      </c>
      <c r="Q817" s="752" t="e">
        <f>$Q$740</f>
        <v>#REF!</v>
      </c>
    </row>
    <row r="819" spans="1:17">
      <c r="M819" s="772"/>
    </row>
    <row r="821" spans="1:17" ht="15.75" thickBot="1">
      <c r="C821" s="15" t="s">
        <v>557</v>
      </c>
      <c r="E821" s="743" t="e">
        <f>E590+E616+E635+E656+E667+E676+E684+E686+E688+E690+E692+E694+E696+E698+E700+E702+E704+E706+E708+E710+E712+E714+E716+E718+E720+E722+E761+E777+E789+E804+E811+E813+E815+E817</f>
        <v>#REF!</v>
      </c>
      <c r="I821" s="743" t="e">
        <f>I590+I616+I635+I656+I667+I676+I684+I686+I688+I690+I692+I694+I696+I698+I700+I702+I704+I706+I708+I710+I712+I714+I716+I718+I720+I722+I761+I777+I789+I804+I811+I813+I815+I817</f>
        <v>#REF!</v>
      </c>
      <c r="M821" s="743" t="e">
        <f>M590+M616+M635+M656+M667+M676+M684+M686+M688+M690+M692+M694+M696+M698+M700+M702+M704+M706+M708+M710+M712+M714+M716+M718+M720+M722+M761+M777+M789+M804+M811+M813+M815+M817+M724</f>
        <v>#REF!</v>
      </c>
      <c r="O821" s="726">
        <f>+'Sch.E ORM '!J45</f>
        <v>0</v>
      </c>
    </row>
    <row r="822" spans="1:17" ht="15.75" thickTop="1">
      <c r="E822" s="773"/>
      <c r="G822" s="774"/>
      <c r="I822" s="773"/>
      <c r="K822" s="773"/>
    </row>
    <row r="825" spans="1:17">
      <c r="I825" s="15" t="s">
        <v>1295</v>
      </c>
      <c r="O825" s="986">
        <f>+K343</f>
        <v>1967459.8813333334</v>
      </c>
    </row>
    <row r="826" spans="1:17">
      <c r="I826" s="15" t="s">
        <v>1296</v>
      </c>
      <c r="O826" s="774" t="e">
        <f>+M821</f>
        <v>#REF!</v>
      </c>
    </row>
    <row r="827" spans="1:17">
      <c r="I827" s="15" t="s">
        <v>1297</v>
      </c>
      <c r="O827" s="774" t="e">
        <f>+O826-O825</f>
        <v>#REF!</v>
      </c>
    </row>
    <row r="829" spans="1:17">
      <c r="I829" s="15" t="s">
        <v>1295</v>
      </c>
      <c r="O829" s="986">
        <f>+O825</f>
        <v>1967459.8813333334</v>
      </c>
    </row>
    <row r="830" spans="1:17">
      <c r="I830" s="15" t="e">
        <f>+'Sch.E ORM '!#REF!</f>
        <v>#REF!</v>
      </c>
      <c r="O830" s="749" t="e">
        <f>+'Sch.E ORM '!#REF!</f>
        <v>#REF!</v>
      </c>
    </row>
    <row r="831" spans="1:17">
      <c r="I831" s="15" t="s">
        <v>1298</v>
      </c>
      <c r="O831" s="749" t="e">
        <f>+O829+O830</f>
        <v>#REF!</v>
      </c>
    </row>
  </sheetData>
  <mergeCells count="2">
    <mergeCell ref="A3:C3"/>
    <mergeCell ref="A549:C549"/>
  </mergeCells>
  <phoneticPr fontId="26" type="noConversion"/>
  <pageMargins left="0.25" right="0" top="0.25" bottom="0" header="0.5" footer="0.5"/>
  <pageSetup scale="47" orientation="landscape" horizontalDpi="4294967292" verticalDpi="4294967292" r:id="rId1"/>
  <headerFooter alignWithMargins="0"/>
  <rowBreaks count="9" manualBreakCount="9">
    <brk id="170" max="14" man="1"/>
    <brk id="212" max="14" man="1"/>
    <brk id="294" max="14" man="1"/>
    <brk id="458" max="14" man="1"/>
    <brk id="544" max="14" man="1"/>
    <brk id="617" max="14" man="1"/>
    <brk id="685" max="14" man="1"/>
    <brk id="727" max="14" man="1"/>
    <brk id="790" max="14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view="pageBreakPreview" zoomScale="75" zoomScaleNormal="100" zoomScaleSheetLayoutView="75" workbookViewId="0">
      <selection activeCell="D26" sqref="D26"/>
    </sheetView>
  </sheetViews>
  <sheetFormatPr defaultRowHeight="15"/>
  <cols>
    <col min="1" max="1" width="12.75" style="499" bestFit="1" customWidth="1"/>
    <col min="2" max="2" width="44.125" style="499" bestFit="1" customWidth="1"/>
    <col min="3" max="3" width="24.875" style="499" bestFit="1" customWidth="1"/>
    <col min="4" max="4" width="16.375" style="499" bestFit="1" customWidth="1"/>
    <col min="5" max="5" width="4.75" style="499" customWidth="1"/>
    <col min="6" max="6" width="12" style="499" bestFit="1" customWidth="1"/>
    <col min="7" max="7" width="4.875" style="499" customWidth="1"/>
    <col min="8" max="8" width="15.125" style="499" bestFit="1" customWidth="1"/>
    <col min="9" max="9" width="4.875" style="499" bestFit="1" customWidth="1"/>
    <col min="10" max="10" width="20.75" style="499" bestFit="1" customWidth="1"/>
    <col min="11" max="11" width="6.625" style="499" customWidth="1"/>
    <col min="12" max="12" width="14.25" style="499" bestFit="1" customWidth="1"/>
    <col min="13" max="13" width="4.875" style="499" bestFit="1" customWidth="1"/>
    <col min="14" max="14" width="26.625" style="499" customWidth="1"/>
    <col min="15" max="15" width="13.875" style="600" bestFit="1" customWidth="1"/>
    <col min="16" max="16384" width="9" style="499"/>
  </cols>
  <sheetData>
    <row r="1" spans="1:15">
      <c r="A1" s="499" t="s">
        <v>176</v>
      </c>
      <c r="C1" s="501"/>
    </row>
    <row r="2" spans="1:15">
      <c r="A2" s="499" t="s">
        <v>178</v>
      </c>
      <c r="C2" s="501"/>
    </row>
    <row r="3" spans="1:15">
      <c r="C3" s="508" t="s">
        <v>183</v>
      </c>
      <c r="D3" s="506" t="s">
        <v>256</v>
      </c>
      <c r="E3" s="506"/>
      <c r="F3" s="506" t="s">
        <v>255</v>
      </c>
      <c r="G3" s="506"/>
      <c r="H3" s="506" t="s">
        <v>254</v>
      </c>
      <c r="I3" s="506"/>
      <c r="J3" s="506" t="s">
        <v>253</v>
      </c>
      <c r="K3" s="506"/>
      <c r="L3" s="507">
        <v>39629</v>
      </c>
      <c r="M3" s="507"/>
      <c r="N3" s="506" t="s">
        <v>391</v>
      </c>
      <c r="O3" s="601"/>
    </row>
    <row r="4" spans="1:15">
      <c r="A4" s="499" t="s">
        <v>239</v>
      </c>
      <c r="C4" s="505" t="s">
        <v>252</v>
      </c>
      <c r="D4" s="505" t="s">
        <v>250</v>
      </c>
      <c r="E4" s="505"/>
      <c r="F4" s="505" t="s">
        <v>250</v>
      </c>
      <c r="G4" s="505"/>
      <c r="H4" s="505" t="s">
        <v>250</v>
      </c>
      <c r="I4" s="505"/>
      <c r="J4" s="505" t="s">
        <v>250</v>
      </c>
      <c r="K4" s="505"/>
      <c r="L4" s="504" t="s">
        <v>251</v>
      </c>
      <c r="M4" s="504"/>
      <c r="N4" s="504" t="s">
        <v>250</v>
      </c>
      <c r="O4" s="504" t="s">
        <v>889</v>
      </c>
    </row>
    <row r="5" spans="1:15">
      <c r="A5" s="499" t="s">
        <v>182</v>
      </c>
      <c r="B5" s="499" t="s">
        <v>830</v>
      </c>
    </row>
    <row r="6" spans="1:15">
      <c r="C6" s="501"/>
      <c r="D6" s="501"/>
      <c r="E6" s="501"/>
      <c r="F6" s="501"/>
      <c r="G6" s="501"/>
      <c r="H6" s="502"/>
      <c r="I6" s="502"/>
      <c r="J6" s="501"/>
      <c r="K6" s="501"/>
      <c r="L6" s="501"/>
      <c r="M6" s="501"/>
      <c r="N6" s="500"/>
      <c r="O6" s="602"/>
    </row>
    <row r="7" spans="1:15">
      <c r="B7" s="499" t="s">
        <v>195</v>
      </c>
      <c r="C7" s="501"/>
      <c r="D7" s="501">
        <v>0</v>
      </c>
      <c r="E7" s="501"/>
      <c r="F7" s="501">
        <v>0</v>
      </c>
      <c r="G7" s="501"/>
      <c r="H7" s="502">
        <v>0</v>
      </c>
      <c r="I7" s="502"/>
      <c r="J7" s="501">
        <v>0</v>
      </c>
      <c r="K7" s="501"/>
      <c r="L7" s="501">
        <v>0</v>
      </c>
      <c r="M7" s="501"/>
      <c r="N7" s="500">
        <v>0</v>
      </c>
      <c r="O7" s="602">
        <v>0</v>
      </c>
    </row>
    <row r="8" spans="1:15">
      <c r="A8" s="499">
        <v>5525</v>
      </c>
      <c r="B8" s="499" t="s">
        <v>959</v>
      </c>
      <c r="C8" s="501">
        <v>509.39</v>
      </c>
      <c r="D8" s="501">
        <v>343.15284254245222</v>
      </c>
      <c r="E8" s="501" t="s">
        <v>257</v>
      </c>
      <c r="F8" s="501">
        <v>122.24954113377115</v>
      </c>
      <c r="G8" s="501" t="str">
        <f t="shared" ref="G8:G13" si="0">+E8</f>
        <v>A</v>
      </c>
      <c r="H8" s="502">
        <v>0</v>
      </c>
      <c r="I8" s="502"/>
      <c r="J8" s="501">
        <v>0</v>
      </c>
      <c r="K8" s="501"/>
      <c r="L8" s="501">
        <v>0</v>
      </c>
      <c r="M8" s="501"/>
      <c r="N8" s="500">
        <v>465.40238367622339</v>
      </c>
      <c r="O8" s="602">
        <v>-43.987616323776592</v>
      </c>
    </row>
    <row r="9" spans="1:15">
      <c r="A9" s="499">
        <v>5530</v>
      </c>
      <c r="B9" s="499" t="s">
        <v>960</v>
      </c>
      <c r="C9" s="501">
        <v>107.42</v>
      </c>
      <c r="D9" s="501">
        <v>83.255045213530607</v>
      </c>
      <c r="E9" s="501" t="s">
        <v>257</v>
      </c>
      <c r="F9" s="501">
        <v>14.824630141721393</v>
      </c>
      <c r="G9" s="501" t="str">
        <f t="shared" si="0"/>
        <v>A</v>
      </c>
      <c r="H9" s="502">
        <v>0</v>
      </c>
      <c r="I9" s="502"/>
      <c r="J9" s="501">
        <v>0</v>
      </c>
      <c r="K9" s="501"/>
      <c r="L9" s="501">
        <v>0</v>
      </c>
      <c r="M9" s="501"/>
      <c r="N9" s="500">
        <v>98.079675355251993</v>
      </c>
      <c r="O9" s="602">
        <v>-9.3403246447480086</v>
      </c>
    </row>
    <row r="10" spans="1:15">
      <c r="A10" s="499">
        <v>5535</v>
      </c>
      <c r="B10" s="499" t="s">
        <v>961</v>
      </c>
      <c r="C10" s="501">
        <v>1914.03</v>
      </c>
      <c r="D10" s="501">
        <v>538.26165566688258</v>
      </c>
      <c r="E10" s="501" t="s">
        <v>257</v>
      </c>
      <c r="F10" s="501">
        <v>1215.8368268233667</v>
      </c>
      <c r="G10" s="501" t="str">
        <f t="shared" si="0"/>
        <v>A</v>
      </c>
      <c r="H10" s="502">
        <v>0</v>
      </c>
      <c r="I10" s="502"/>
      <c r="J10" s="501">
        <v>0</v>
      </c>
      <c r="K10" s="501"/>
      <c r="L10" s="501">
        <v>0</v>
      </c>
      <c r="M10" s="501"/>
      <c r="N10" s="500">
        <v>1754.0984824902494</v>
      </c>
      <c r="O10" s="602">
        <v>-159.93151750975062</v>
      </c>
    </row>
    <row r="11" spans="1:15">
      <c r="A11" s="499">
        <v>5540</v>
      </c>
      <c r="B11" s="499" t="s">
        <v>962</v>
      </c>
      <c r="C11" s="501">
        <v>12573.15</v>
      </c>
      <c r="D11" s="501">
        <v>5658.8247588396462</v>
      </c>
      <c r="E11" s="501" t="s">
        <v>257</v>
      </c>
      <c r="F11" s="501">
        <v>5839.3041450051842</v>
      </c>
      <c r="G11" s="501" t="str">
        <f t="shared" si="0"/>
        <v>A</v>
      </c>
      <c r="H11" s="502">
        <v>0</v>
      </c>
      <c r="I11" s="502"/>
      <c r="J11" s="501">
        <v>0</v>
      </c>
      <c r="K11" s="501"/>
      <c r="L11" s="501">
        <v>0</v>
      </c>
      <c r="M11" s="501"/>
      <c r="N11" s="500">
        <v>11498.12890384483</v>
      </c>
      <c r="O11" s="602">
        <v>-1075.0210961551693</v>
      </c>
    </row>
    <row r="12" spans="1:15">
      <c r="A12" s="499">
        <v>5545</v>
      </c>
      <c r="B12" s="499" t="s">
        <v>963</v>
      </c>
      <c r="C12" s="501">
        <v>661.64</v>
      </c>
      <c r="D12" s="501">
        <v>19.520705951642185</v>
      </c>
      <c r="E12" s="501" t="s">
        <v>257</v>
      </c>
      <c r="F12" s="501">
        <v>573.35563791911511</v>
      </c>
      <c r="G12" s="501" t="str">
        <f t="shared" si="0"/>
        <v>A</v>
      </c>
      <c r="H12" s="502">
        <v>0</v>
      </c>
      <c r="I12" s="502"/>
      <c r="J12" s="501">
        <v>9.8626094559668775</v>
      </c>
      <c r="K12" s="501" t="str">
        <f>+G12</f>
        <v>A</v>
      </c>
      <c r="L12" s="501">
        <v>0</v>
      </c>
      <c r="M12" s="501"/>
      <c r="N12" s="500">
        <v>602.73895332672419</v>
      </c>
      <c r="O12" s="602">
        <v>-58.9010466732758</v>
      </c>
    </row>
    <row r="13" spans="1:15">
      <c r="B13" s="503" t="s">
        <v>195</v>
      </c>
      <c r="C13" s="501">
        <v>15765.63</v>
      </c>
      <c r="D13" s="501">
        <v>6643.0150082141545</v>
      </c>
      <c r="E13" s="501" t="s">
        <v>257</v>
      </c>
      <c r="F13" s="501">
        <v>7765.5707810231588</v>
      </c>
      <c r="G13" s="501" t="str">
        <f t="shared" si="0"/>
        <v>A</v>
      </c>
      <c r="H13" s="502">
        <v>0</v>
      </c>
      <c r="I13" s="502"/>
      <c r="J13" s="501">
        <v>0</v>
      </c>
      <c r="K13" s="501"/>
      <c r="L13" s="501">
        <v>0</v>
      </c>
      <c r="M13" s="501"/>
      <c r="N13" s="500">
        <v>14408.585789237313</v>
      </c>
      <c r="O13" s="602">
        <v>-1357.0442107626859</v>
      </c>
    </row>
    <row r="14" spans="1:15">
      <c r="C14" s="501"/>
      <c r="D14" s="501"/>
      <c r="E14" s="501"/>
      <c r="F14" s="501"/>
      <c r="G14" s="501"/>
      <c r="H14" s="502"/>
      <c r="I14" s="502"/>
      <c r="J14" s="501"/>
      <c r="K14" s="501"/>
      <c r="L14" s="501"/>
      <c r="M14" s="501"/>
      <c r="N14" s="500"/>
      <c r="O14" s="602"/>
    </row>
    <row r="15" spans="1:15">
      <c r="B15" s="499" t="s">
        <v>197</v>
      </c>
      <c r="C15" s="501"/>
      <c r="D15" s="501">
        <v>0</v>
      </c>
      <c r="E15" s="501"/>
      <c r="F15" s="501">
        <v>0</v>
      </c>
      <c r="G15" s="501"/>
      <c r="H15" s="502">
        <v>0</v>
      </c>
      <c r="I15" s="502"/>
      <c r="J15" s="501">
        <v>0</v>
      </c>
      <c r="K15" s="501"/>
      <c r="L15" s="501">
        <v>0</v>
      </c>
      <c r="M15" s="501"/>
      <c r="N15" s="500">
        <v>0</v>
      </c>
      <c r="O15" s="602">
        <v>0</v>
      </c>
    </row>
    <row r="16" spans="1:15">
      <c r="A16" s="499">
        <v>5700</v>
      </c>
      <c r="B16" s="499" t="s">
        <v>1084</v>
      </c>
      <c r="C16" s="501"/>
      <c r="D16" s="501">
        <v>0</v>
      </c>
      <c r="E16" s="501"/>
      <c r="F16" s="501">
        <v>0</v>
      </c>
      <c r="G16" s="501"/>
      <c r="H16" s="502">
        <v>0</v>
      </c>
      <c r="I16" s="502"/>
      <c r="J16" s="501">
        <v>0</v>
      </c>
      <c r="K16" s="501"/>
      <c r="L16" s="501">
        <v>0</v>
      </c>
      <c r="M16" s="501"/>
      <c r="N16" s="500">
        <v>0</v>
      </c>
      <c r="O16" s="602">
        <v>0</v>
      </c>
    </row>
    <row r="17" spans="1:15">
      <c r="A17" s="499">
        <v>5705</v>
      </c>
      <c r="B17" s="499" t="s">
        <v>1085</v>
      </c>
      <c r="C17" s="501"/>
      <c r="D17" s="501">
        <v>0</v>
      </c>
      <c r="E17" s="501"/>
      <c r="F17" s="501">
        <v>0</v>
      </c>
      <c r="G17" s="501"/>
      <c r="H17" s="502">
        <v>0</v>
      </c>
      <c r="I17" s="502"/>
      <c r="J17" s="501">
        <v>0</v>
      </c>
      <c r="K17" s="501"/>
      <c r="L17" s="501">
        <v>0</v>
      </c>
      <c r="M17" s="501"/>
      <c r="N17" s="500">
        <v>0</v>
      </c>
      <c r="O17" s="602">
        <v>0</v>
      </c>
    </row>
    <row r="18" spans="1:15">
      <c r="A18" s="499">
        <v>5710</v>
      </c>
      <c r="B18" s="499" t="s">
        <v>1086</v>
      </c>
      <c r="C18" s="501"/>
      <c r="D18" s="501">
        <v>0</v>
      </c>
      <c r="E18" s="501"/>
      <c r="F18" s="501">
        <v>0</v>
      </c>
      <c r="G18" s="501"/>
      <c r="H18" s="502">
        <v>0</v>
      </c>
      <c r="I18" s="502"/>
      <c r="J18" s="501">
        <v>0</v>
      </c>
      <c r="K18" s="501"/>
      <c r="L18" s="501">
        <v>0</v>
      </c>
      <c r="M18" s="501"/>
      <c r="N18" s="500">
        <v>0</v>
      </c>
      <c r="O18" s="602">
        <v>0</v>
      </c>
    </row>
    <row r="19" spans="1:15">
      <c r="A19" s="499">
        <v>5715</v>
      </c>
      <c r="B19" s="499" t="s">
        <v>1087</v>
      </c>
      <c r="C19" s="501">
        <v>34923.879999999997</v>
      </c>
      <c r="D19" s="501">
        <v>16873.063181976984</v>
      </c>
      <c r="E19" s="501" t="s">
        <v>258</v>
      </c>
      <c r="F19" s="501">
        <v>15036.800622018663</v>
      </c>
      <c r="G19" s="501" t="str">
        <f>+E19</f>
        <v>B</v>
      </c>
      <c r="H19" s="502">
        <v>0</v>
      </c>
      <c r="I19" s="502"/>
      <c r="J19" s="501">
        <v>0</v>
      </c>
      <c r="K19" s="501"/>
      <c r="L19" s="501">
        <v>0</v>
      </c>
      <c r="M19" s="501"/>
      <c r="N19" s="500">
        <v>31909.86380399565</v>
      </c>
      <c r="O19" s="602">
        <v>-3014.0161960043479</v>
      </c>
    </row>
    <row r="20" spans="1:15">
      <c r="B20" s="503" t="s">
        <v>197</v>
      </c>
      <c r="C20" s="501">
        <v>34923.879999999997</v>
      </c>
      <c r="D20" s="501">
        <v>16873.063181976984</v>
      </c>
      <c r="E20" s="501" t="s">
        <v>258</v>
      </c>
      <c r="F20" s="501">
        <v>15036.800622018663</v>
      </c>
      <c r="G20" s="501" t="str">
        <f>+E20</f>
        <v>B</v>
      </c>
      <c r="H20" s="502">
        <v>0</v>
      </c>
      <c r="I20" s="502"/>
      <c r="J20" s="501">
        <v>0</v>
      </c>
      <c r="K20" s="501"/>
      <c r="L20" s="501">
        <v>0</v>
      </c>
      <c r="M20" s="501"/>
      <c r="N20" s="500">
        <v>31909.86380399565</v>
      </c>
      <c r="O20" s="602">
        <v>-3014.0161960043479</v>
      </c>
    </row>
    <row r="21" spans="1:15">
      <c r="C21" s="501"/>
      <c r="D21" s="501"/>
      <c r="E21" s="501"/>
      <c r="F21" s="501"/>
      <c r="G21" s="501"/>
      <c r="H21" s="502"/>
      <c r="I21" s="502"/>
      <c r="J21" s="501"/>
      <c r="K21" s="501"/>
      <c r="L21" s="501"/>
      <c r="M21" s="501"/>
      <c r="N21" s="500"/>
      <c r="O21" s="602"/>
    </row>
    <row r="22" spans="1:15">
      <c r="B22" s="499" t="s">
        <v>198</v>
      </c>
      <c r="C22" s="501"/>
      <c r="D22" s="501"/>
      <c r="E22" s="501"/>
      <c r="F22" s="501"/>
      <c r="G22" s="501"/>
      <c r="H22" s="502"/>
      <c r="I22" s="502"/>
      <c r="J22" s="501"/>
      <c r="K22" s="501"/>
      <c r="L22" s="501"/>
      <c r="M22" s="501"/>
      <c r="N22" s="500"/>
      <c r="O22" s="602"/>
    </row>
    <row r="23" spans="1:15">
      <c r="A23" s="499">
        <v>5735</v>
      </c>
      <c r="B23" s="499" t="s">
        <v>1088</v>
      </c>
      <c r="C23" s="501">
        <v>11406.91</v>
      </c>
      <c r="D23" s="501">
        <v>7125.7045446395241</v>
      </c>
      <c r="E23" s="501" t="s">
        <v>259</v>
      </c>
      <c r="F23" s="501">
        <v>3296.9129014863461</v>
      </c>
      <c r="G23" s="501" t="str">
        <f>+E23</f>
        <v>C</v>
      </c>
      <c r="H23" s="502">
        <v>0</v>
      </c>
      <c r="I23" s="502"/>
      <c r="J23" s="501">
        <v>0</v>
      </c>
      <c r="K23" s="501"/>
      <c r="L23" s="501">
        <v>0</v>
      </c>
      <c r="M23" s="501"/>
      <c r="N23" s="500">
        <v>10422.617446125871</v>
      </c>
      <c r="O23" s="602">
        <v>-984.29255387412923</v>
      </c>
    </row>
    <row r="24" spans="1:15">
      <c r="A24" s="499">
        <v>5740</v>
      </c>
      <c r="B24" s="499" t="s">
        <v>1089</v>
      </c>
      <c r="C24" s="501">
        <v>2291.9899999999998</v>
      </c>
      <c r="D24" s="501">
        <v>587.62370067174572</v>
      </c>
      <c r="E24" s="501" t="s">
        <v>259</v>
      </c>
      <c r="F24" s="501">
        <v>1509.1074524714827</v>
      </c>
      <c r="G24" s="501" t="str">
        <f t="shared" ref="G24:G29" si="1">+E24</f>
        <v>C</v>
      </c>
      <c r="H24" s="502">
        <v>0</v>
      </c>
      <c r="I24" s="502"/>
      <c r="J24" s="501">
        <v>0</v>
      </c>
      <c r="K24" s="501"/>
      <c r="L24" s="501">
        <v>0</v>
      </c>
      <c r="M24" s="501"/>
      <c r="N24" s="500">
        <v>2096.7311531432283</v>
      </c>
      <c r="O24" s="602">
        <v>-195.25884685677147</v>
      </c>
    </row>
    <row r="25" spans="1:15">
      <c r="A25" s="499">
        <v>5745</v>
      </c>
      <c r="B25" s="499" t="s">
        <v>1090</v>
      </c>
      <c r="C25" s="501">
        <v>12.59</v>
      </c>
      <c r="D25" s="501">
        <v>-773.27504542423708</v>
      </c>
      <c r="E25" s="501" t="s">
        <v>259</v>
      </c>
      <c r="F25" s="501">
        <v>706.51419789146212</v>
      </c>
      <c r="G25" s="501" t="str">
        <f t="shared" si="1"/>
        <v>C</v>
      </c>
      <c r="H25" s="502">
        <v>0</v>
      </c>
      <c r="I25" s="502"/>
      <c r="J25" s="501">
        <v>0</v>
      </c>
      <c r="K25" s="501"/>
      <c r="L25" s="501">
        <v>89.93</v>
      </c>
      <c r="M25" s="501" t="s">
        <v>259</v>
      </c>
      <c r="N25" s="500">
        <v>23.169152467225047</v>
      </c>
      <c r="O25" s="602">
        <v>10.579152467225047</v>
      </c>
    </row>
    <row r="26" spans="1:15">
      <c r="A26" s="499">
        <v>5750</v>
      </c>
      <c r="B26" s="499" t="s">
        <v>1091</v>
      </c>
      <c r="C26" s="501">
        <v>360.36</v>
      </c>
      <c r="D26" s="501">
        <v>145.53072630860612</v>
      </c>
      <c r="E26" s="501" t="s">
        <v>259</v>
      </c>
      <c r="F26" s="501">
        <v>184.04888161078466</v>
      </c>
      <c r="G26" s="501" t="str">
        <f t="shared" si="1"/>
        <v>C</v>
      </c>
      <c r="H26" s="502">
        <v>0</v>
      </c>
      <c r="I26" s="502"/>
      <c r="J26" s="501">
        <v>0</v>
      </c>
      <c r="K26" s="501"/>
      <c r="L26" s="501">
        <v>0</v>
      </c>
      <c r="M26" s="501"/>
      <c r="N26" s="500">
        <v>329.57960791939081</v>
      </c>
      <c r="O26" s="602">
        <v>-30.780392080609204</v>
      </c>
    </row>
    <row r="27" spans="1:15">
      <c r="A27" s="499">
        <v>5755</v>
      </c>
      <c r="B27" s="499" t="s">
        <v>1092</v>
      </c>
      <c r="C27" s="501">
        <v>71.150000000000006</v>
      </c>
      <c r="D27" s="501">
        <v>62.994985036442017</v>
      </c>
      <c r="E27" s="501" t="s">
        <v>259</v>
      </c>
      <c r="F27" s="501">
        <v>1.8559194607673695</v>
      </c>
      <c r="G27" s="501" t="str">
        <f t="shared" si="1"/>
        <v>C</v>
      </c>
      <c r="H27" s="502">
        <v>0</v>
      </c>
      <c r="I27" s="502"/>
      <c r="J27" s="501">
        <v>0</v>
      </c>
      <c r="K27" s="501"/>
      <c r="L27" s="501">
        <v>0</v>
      </c>
      <c r="M27" s="501"/>
      <c r="N27" s="500">
        <v>64.850904497209385</v>
      </c>
      <c r="O27" s="602">
        <v>-6.299095502790621</v>
      </c>
    </row>
    <row r="28" spans="1:15">
      <c r="A28" s="499">
        <v>5760</v>
      </c>
      <c r="B28" s="499" t="s">
        <v>1093</v>
      </c>
      <c r="C28" s="501">
        <v>63.91</v>
      </c>
      <c r="D28" s="501">
        <v>58.271138107216963</v>
      </c>
      <c r="E28" s="501" t="s">
        <v>259</v>
      </c>
      <c r="F28" s="501">
        <v>0</v>
      </c>
      <c r="G28" s="501" t="str">
        <f t="shared" si="1"/>
        <v>C</v>
      </c>
      <c r="H28" s="502">
        <v>0</v>
      </c>
      <c r="I28" s="502"/>
      <c r="J28" s="501">
        <v>0</v>
      </c>
      <c r="K28" s="501"/>
      <c r="L28" s="501">
        <v>0</v>
      </c>
      <c r="M28" s="501"/>
      <c r="N28" s="500">
        <v>58.271138107216963</v>
      </c>
      <c r="O28" s="602">
        <v>-5.6388618927830336</v>
      </c>
    </row>
    <row r="29" spans="1:15">
      <c r="B29" s="503" t="s">
        <v>198</v>
      </c>
      <c r="C29" s="501">
        <v>14206.91</v>
      </c>
      <c r="D29" s="501">
        <v>7206.8500493392976</v>
      </c>
      <c r="E29" s="501" t="s">
        <v>259</v>
      </c>
      <c r="F29" s="501">
        <v>5698.4393529208419</v>
      </c>
      <c r="G29" s="501" t="str">
        <f t="shared" si="1"/>
        <v>C</v>
      </c>
      <c r="H29" s="502">
        <v>0</v>
      </c>
      <c r="I29" s="502"/>
      <c r="J29" s="501">
        <v>0</v>
      </c>
      <c r="K29" s="501"/>
      <c r="L29" s="501">
        <v>89.93</v>
      </c>
      <c r="M29" s="501" t="s">
        <v>259</v>
      </c>
      <c r="N29" s="500">
        <v>12995.21940226014</v>
      </c>
      <c r="O29" s="602">
        <v>-1211.6905977398601</v>
      </c>
    </row>
    <row r="30" spans="1:15">
      <c r="C30" s="501"/>
      <c r="D30" s="501"/>
      <c r="E30" s="501"/>
      <c r="F30" s="501"/>
      <c r="G30" s="501"/>
      <c r="H30" s="502"/>
      <c r="I30" s="502"/>
      <c r="J30" s="501"/>
      <c r="K30" s="501"/>
      <c r="L30" s="501"/>
      <c r="M30" s="501"/>
      <c r="N30" s="500"/>
      <c r="O30" s="602"/>
    </row>
    <row r="31" spans="1:15">
      <c r="B31" s="499" t="s">
        <v>199</v>
      </c>
      <c r="C31" s="501"/>
      <c r="D31" s="501"/>
      <c r="E31" s="501"/>
      <c r="F31" s="501"/>
      <c r="G31" s="501"/>
      <c r="H31" s="502"/>
      <c r="I31" s="502"/>
      <c r="J31" s="501"/>
      <c r="K31" s="501"/>
      <c r="L31" s="501"/>
      <c r="M31" s="501"/>
      <c r="N31" s="500"/>
      <c r="O31" s="602"/>
    </row>
    <row r="32" spans="1:15">
      <c r="A32" s="499">
        <v>5785</v>
      </c>
      <c r="B32" s="499" t="s">
        <v>1094</v>
      </c>
      <c r="C32" s="501"/>
      <c r="D32" s="501">
        <v>0</v>
      </c>
      <c r="E32" s="501"/>
      <c r="F32" s="501">
        <v>0</v>
      </c>
      <c r="G32" s="501"/>
      <c r="H32" s="502">
        <v>0</v>
      </c>
      <c r="I32" s="502"/>
      <c r="J32" s="501">
        <v>0</v>
      </c>
      <c r="K32" s="501"/>
      <c r="L32" s="501">
        <v>0</v>
      </c>
      <c r="M32" s="501"/>
      <c r="N32" s="500">
        <v>0</v>
      </c>
      <c r="O32" s="602">
        <v>0</v>
      </c>
    </row>
    <row r="33" spans="1:15">
      <c r="A33" s="499">
        <v>5790</v>
      </c>
      <c r="B33" s="499" t="s">
        <v>1095</v>
      </c>
      <c r="C33" s="501">
        <v>4716.2700000000004</v>
      </c>
      <c r="D33" s="501">
        <v>3889.1478385220362</v>
      </c>
      <c r="E33" s="501" t="s">
        <v>260</v>
      </c>
      <c r="F33" s="501">
        <v>414.28036208088486</v>
      </c>
      <c r="G33" s="501" t="str">
        <f>+E33</f>
        <v>D</v>
      </c>
      <c r="H33" s="502">
        <v>0</v>
      </c>
      <c r="I33" s="502"/>
      <c r="J33" s="501">
        <v>0</v>
      </c>
      <c r="K33" s="501"/>
      <c r="L33" s="501">
        <v>0</v>
      </c>
      <c r="M33" s="501"/>
      <c r="N33" s="500">
        <v>4303.4282006029207</v>
      </c>
      <c r="O33" s="602">
        <v>-412.84179939707974</v>
      </c>
    </row>
    <row r="34" spans="1:15">
      <c r="A34" s="499">
        <v>5795</v>
      </c>
      <c r="B34" s="499" t="s">
        <v>1096</v>
      </c>
      <c r="C34" s="501"/>
      <c r="D34" s="501">
        <v>0</v>
      </c>
      <c r="E34" s="501"/>
      <c r="F34" s="501">
        <v>0</v>
      </c>
      <c r="G34" s="501"/>
      <c r="H34" s="502">
        <v>0</v>
      </c>
      <c r="I34" s="502"/>
      <c r="J34" s="501">
        <v>0</v>
      </c>
      <c r="K34" s="501"/>
      <c r="L34" s="501">
        <v>0</v>
      </c>
      <c r="M34" s="501"/>
      <c r="N34" s="500">
        <v>0</v>
      </c>
      <c r="O34" s="602">
        <v>0</v>
      </c>
    </row>
    <row r="35" spans="1:15">
      <c r="A35" s="499">
        <v>5800</v>
      </c>
      <c r="B35" s="499" t="s">
        <v>1097</v>
      </c>
      <c r="C35" s="501">
        <v>246.01</v>
      </c>
      <c r="D35" s="501">
        <v>224.29375600258555</v>
      </c>
      <c r="E35" s="501" t="s">
        <v>260</v>
      </c>
      <c r="F35" s="501">
        <v>0</v>
      </c>
      <c r="G35" s="501" t="str">
        <f t="shared" ref="G35:G41" si="2">+E35</f>
        <v>D</v>
      </c>
      <c r="H35" s="502">
        <v>0</v>
      </c>
      <c r="I35" s="502"/>
      <c r="J35" s="501">
        <v>0</v>
      </c>
      <c r="K35" s="501"/>
      <c r="L35" s="501">
        <v>0</v>
      </c>
      <c r="M35" s="501"/>
      <c r="N35" s="500">
        <v>224.29375600258555</v>
      </c>
      <c r="O35" s="602">
        <v>-21.716243997414438</v>
      </c>
    </row>
    <row r="36" spans="1:15">
      <c r="A36" s="499">
        <v>5805</v>
      </c>
      <c r="B36" s="499" t="s">
        <v>1098</v>
      </c>
      <c r="C36" s="501"/>
      <c r="D36" s="501">
        <v>0</v>
      </c>
      <c r="E36" s="501"/>
      <c r="F36" s="501">
        <v>0</v>
      </c>
      <c r="G36" s="501"/>
      <c r="H36" s="502">
        <v>0</v>
      </c>
      <c r="I36" s="502"/>
      <c r="J36" s="501">
        <v>0</v>
      </c>
      <c r="K36" s="501"/>
      <c r="L36" s="501">
        <v>0</v>
      </c>
      <c r="M36" s="501"/>
      <c r="N36" s="500">
        <v>0</v>
      </c>
      <c r="O36" s="602">
        <v>0</v>
      </c>
    </row>
    <row r="37" spans="1:15">
      <c r="A37" s="499">
        <v>5810</v>
      </c>
      <c r="B37" s="499" t="s">
        <v>1099</v>
      </c>
      <c r="C37" s="501">
        <v>8.5299999999999994</v>
      </c>
      <c r="D37" s="501">
        <v>3.2569180202291803</v>
      </c>
      <c r="E37" s="501" t="s">
        <v>260</v>
      </c>
      <c r="F37" s="501">
        <v>4.5703594884203245</v>
      </c>
      <c r="G37" s="501" t="str">
        <f t="shared" si="2"/>
        <v>D</v>
      </c>
      <c r="H37" s="502">
        <v>0</v>
      </c>
      <c r="I37" s="502"/>
      <c r="J37" s="501">
        <v>0</v>
      </c>
      <c r="K37" s="501"/>
      <c r="L37" s="501">
        <v>0</v>
      </c>
      <c r="M37" s="501"/>
      <c r="N37" s="500">
        <v>7.8272775086495052</v>
      </c>
      <c r="O37" s="602">
        <v>-0.70272249135049414</v>
      </c>
    </row>
    <row r="38" spans="1:15">
      <c r="A38" s="499">
        <v>5815</v>
      </c>
      <c r="B38" s="499" t="s">
        <v>1100</v>
      </c>
      <c r="C38" s="501">
        <v>-0.45</v>
      </c>
      <c r="D38" s="501">
        <v>0</v>
      </c>
      <c r="E38" s="501"/>
      <c r="F38" s="501">
        <v>0</v>
      </c>
      <c r="G38" s="501"/>
      <c r="H38" s="502">
        <v>0</v>
      </c>
      <c r="I38" s="502"/>
      <c r="J38" s="501">
        <v>0</v>
      </c>
      <c r="K38" s="501"/>
      <c r="L38" s="501">
        <v>0</v>
      </c>
      <c r="M38" s="501"/>
      <c r="N38" s="500">
        <v>0</v>
      </c>
      <c r="O38" s="602">
        <v>0.45</v>
      </c>
    </row>
    <row r="39" spans="1:15">
      <c r="A39" s="499">
        <v>5820</v>
      </c>
      <c r="B39" s="499" t="s">
        <v>1101</v>
      </c>
      <c r="C39" s="501">
        <v>1831.21</v>
      </c>
      <c r="D39" s="501">
        <v>1296.2400887380109</v>
      </c>
      <c r="E39" s="501" t="s">
        <v>260</v>
      </c>
      <c r="F39" s="501">
        <v>320.22438385758721</v>
      </c>
      <c r="G39" s="501" t="str">
        <f t="shared" si="2"/>
        <v>D</v>
      </c>
      <c r="H39" s="502">
        <v>56.613106930383715</v>
      </c>
      <c r="I39" s="502" t="str">
        <f>+G39</f>
        <v>D</v>
      </c>
      <c r="J39" s="501">
        <v>0</v>
      </c>
      <c r="K39" s="501"/>
      <c r="L39" s="501">
        <v>0</v>
      </c>
      <c r="M39" s="501"/>
      <c r="N39" s="500">
        <v>1673.0775795259819</v>
      </c>
      <c r="O39" s="602">
        <v>-158.13242047401809</v>
      </c>
    </row>
    <row r="40" spans="1:15">
      <c r="A40" s="499">
        <v>5825</v>
      </c>
      <c r="B40" s="499" t="s">
        <v>1102</v>
      </c>
      <c r="C40" s="501">
        <v>625.64</v>
      </c>
      <c r="D40" s="501">
        <v>259.69328443130661</v>
      </c>
      <c r="E40" s="501" t="s">
        <v>260</v>
      </c>
      <c r="F40" s="501">
        <v>312.38078845489116</v>
      </c>
      <c r="G40" s="501" t="str">
        <f t="shared" si="2"/>
        <v>D</v>
      </c>
      <c r="H40" s="502">
        <v>0</v>
      </c>
      <c r="I40" s="502"/>
      <c r="J40" s="501">
        <v>0</v>
      </c>
      <c r="K40" s="501"/>
      <c r="L40" s="501">
        <v>0</v>
      </c>
      <c r="M40" s="501"/>
      <c r="N40" s="500">
        <v>572.07407288619777</v>
      </c>
      <c r="O40" s="602">
        <v>-53.565927113802218</v>
      </c>
    </row>
    <row r="41" spans="1:15">
      <c r="B41" s="503" t="s">
        <v>199</v>
      </c>
      <c r="C41" s="501">
        <v>7427.21</v>
      </c>
      <c r="D41" s="501">
        <v>5672.6318857141687</v>
      </c>
      <c r="E41" s="501" t="s">
        <v>260</v>
      </c>
      <c r="F41" s="501">
        <v>1051.4558938817836</v>
      </c>
      <c r="G41" s="501" t="str">
        <f t="shared" si="2"/>
        <v>D</v>
      </c>
      <c r="H41" s="502">
        <v>56.613106930383715</v>
      </c>
      <c r="I41" s="502" t="str">
        <f>+I39</f>
        <v>D</v>
      </c>
      <c r="J41" s="501">
        <v>0</v>
      </c>
      <c r="K41" s="501"/>
      <c r="L41" s="501">
        <v>0</v>
      </c>
      <c r="M41" s="501"/>
      <c r="N41" s="500">
        <v>6780.700886526336</v>
      </c>
      <c r="O41" s="602">
        <v>-646.509113473664</v>
      </c>
    </row>
    <row r="42" spans="1:15">
      <c r="C42" s="501"/>
      <c r="D42" s="501"/>
      <c r="E42" s="501"/>
      <c r="F42" s="501"/>
      <c r="G42" s="501"/>
      <c r="H42" s="502"/>
      <c r="I42" s="502"/>
      <c r="J42" s="501"/>
      <c r="K42" s="501"/>
      <c r="L42" s="501"/>
      <c r="M42" s="501"/>
      <c r="N42" s="500"/>
      <c r="O42" s="602"/>
    </row>
    <row r="43" spans="1:15">
      <c r="B43" s="499" t="s">
        <v>200</v>
      </c>
      <c r="C43" s="501"/>
      <c r="D43" s="501"/>
      <c r="E43" s="501"/>
      <c r="F43" s="501"/>
      <c r="G43" s="501"/>
      <c r="H43" s="502"/>
      <c r="I43" s="502"/>
      <c r="J43" s="501"/>
      <c r="K43" s="501"/>
      <c r="L43" s="501"/>
      <c r="M43" s="501"/>
      <c r="N43" s="500"/>
      <c r="O43" s="602"/>
    </row>
    <row r="44" spans="1:15">
      <c r="A44" s="499">
        <v>5855</v>
      </c>
      <c r="B44" s="499" t="s">
        <v>1103</v>
      </c>
      <c r="C44" s="501">
        <v>31.14</v>
      </c>
      <c r="D44" s="501">
        <v>28.384435286265131</v>
      </c>
      <c r="E44" s="501" t="s">
        <v>261</v>
      </c>
      <c r="F44" s="501">
        <v>0</v>
      </c>
      <c r="G44" s="501" t="str">
        <f>+E44</f>
        <v>E</v>
      </c>
      <c r="H44" s="502">
        <v>0</v>
      </c>
      <c r="I44" s="502"/>
      <c r="J44" s="501">
        <v>0</v>
      </c>
      <c r="K44" s="501"/>
      <c r="L44" s="501">
        <v>0</v>
      </c>
      <c r="M44" s="501"/>
      <c r="N44" s="500">
        <v>28.384435286265131</v>
      </c>
      <c r="O44" s="602">
        <v>-2.75556471373487</v>
      </c>
    </row>
    <row r="45" spans="1:15">
      <c r="A45" s="499">
        <v>5860</v>
      </c>
      <c r="B45" s="499" t="s">
        <v>1104</v>
      </c>
      <c r="C45" s="501">
        <v>51.77</v>
      </c>
      <c r="D45" s="501">
        <v>24.179890714709551</v>
      </c>
      <c r="E45" s="501" t="s">
        <v>261</v>
      </c>
      <c r="F45" s="501">
        <v>23.063397511234015</v>
      </c>
      <c r="G45" s="501" t="str">
        <f t="shared" ref="G45:G54" si="3">+E45</f>
        <v>E</v>
      </c>
      <c r="H45" s="502">
        <v>0</v>
      </c>
      <c r="I45" s="502"/>
      <c r="J45" s="501">
        <v>0</v>
      </c>
      <c r="K45" s="501"/>
      <c r="L45" s="501">
        <v>0</v>
      </c>
      <c r="M45" s="501"/>
      <c r="N45" s="500">
        <v>47.243288225943566</v>
      </c>
      <c r="O45" s="602">
        <v>-4.5267117740564373</v>
      </c>
    </row>
    <row r="46" spans="1:15">
      <c r="A46" s="499">
        <v>5865</v>
      </c>
      <c r="B46" s="499" t="s">
        <v>1105</v>
      </c>
      <c r="C46" s="501">
        <v>57.34</v>
      </c>
      <c r="D46" s="501">
        <v>52.271591853408104</v>
      </c>
      <c r="E46" s="501" t="s">
        <v>261</v>
      </c>
      <c r="F46" s="501">
        <v>0</v>
      </c>
      <c r="G46" s="501" t="str">
        <f t="shared" si="3"/>
        <v>E</v>
      </c>
      <c r="H46" s="502">
        <v>0</v>
      </c>
      <c r="I46" s="502"/>
      <c r="J46" s="501">
        <v>0</v>
      </c>
      <c r="K46" s="501"/>
      <c r="L46" s="501">
        <v>0</v>
      </c>
      <c r="M46" s="501"/>
      <c r="N46" s="500">
        <v>52.271591853408104</v>
      </c>
      <c r="O46" s="602">
        <v>-5.0684081465918993</v>
      </c>
    </row>
    <row r="47" spans="1:15">
      <c r="A47" s="499">
        <v>5870</v>
      </c>
      <c r="B47" s="499" t="s">
        <v>1106</v>
      </c>
      <c r="C47" s="501"/>
      <c r="D47" s="501">
        <v>0</v>
      </c>
      <c r="E47" s="501" t="s">
        <v>261</v>
      </c>
      <c r="F47" s="501">
        <v>0</v>
      </c>
      <c r="G47" s="501" t="str">
        <f t="shared" si="3"/>
        <v>E</v>
      </c>
      <c r="H47" s="502">
        <v>0</v>
      </c>
      <c r="I47" s="502"/>
      <c r="J47" s="501">
        <v>0</v>
      </c>
      <c r="K47" s="501"/>
      <c r="L47" s="501">
        <v>0</v>
      </c>
      <c r="M47" s="501"/>
      <c r="N47" s="500">
        <v>0</v>
      </c>
      <c r="O47" s="602">
        <v>0</v>
      </c>
    </row>
    <row r="48" spans="1:15">
      <c r="A48" s="499">
        <v>5875</v>
      </c>
      <c r="B48" s="499" t="s">
        <v>1107</v>
      </c>
      <c r="C48" s="501">
        <v>14.05</v>
      </c>
      <c r="D48" s="501">
        <v>0</v>
      </c>
      <c r="E48" s="501" t="s">
        <v>261</v>
      </c>
      <c r="F48" s="501">
        <v>12.805339267196681</v>
      </c>
      <c r="G48" s="501" t="str">
        <f t="shared" si="3"/>
        <v>E</v>
      </c>
      <c r="H48" s="502">
        <v>0</v>
      </c>
      <c r="I48" s="502"/>
      <c r="J48" s="501">
        <v>0</v>
      </c>
      <c r="K48" s="501"/>
      <c r="L48" s="501">
        <v>0</v>
      </c>
      <c r="M48" s="501"/>
      <c r="N48" s="500">
        <v>12.805339267196681</v>
      </c>
      <c r="O48" s="602">
        <v>-1.2446607328033199</v>
      </c>
    </row>
    <row r="49" spans="1:15">
      <c r="A49" s="499">
        <v>5880</v>
      </c>
      <c r="B49" s="499" t="s">
        <v>1108</v>
      </c>
      <c r="C49" s="501">
        <v>60.3</v>
      </c>
      <c r="D49" s="501">
        <v>21.770347825407256</v>
      </c>
      <c r="E49" s="501" t="s">
        <v>261</v>
      </c>
      <c r="F49" s="501">
        <v>28.393547701348076</v>
      </c>
      <c r="G49" s="501" t="str">
        <f t="shared" si="3"/>
        <v>E</v>
      </c>
      <c r="H49" s="502">
        <v>528.82968942476862</v>
      </c>
      <c r="I49" s="502" t="str">
        <f>+G49</f>
        <v>E</v>
      </c>
      <c r="J49" s="501">
        <v>-522.51353460801579</v>
      </c>
      <c r="K49" s="501" t="s">
        <v>261</v>
      </c>
      <c r="L49" s="501">
        <v>0</v>
      </c>
      <c r="M49" s="501"/>
      <c r="N49" s="500">
        <v>56.480050343508196</v>
      </c>
      <c r="O49" s="602">
        <v>-3.8199496564918007</v>
      </c>
    </row>
    <row r="50" spans="1:15">
      <c r="A50" s="499">
        <v>5885</v>
      </c>
      <c r="B50" s="499" t="s">
        <v>1109</v>
      </c>
      <c r="C50" s="501">
        <v>66.599999999999994</v>
      </c>
      <c r="D50" s="501">
        <v>27.922025609672374</v>
      </c>
      <c r="E50" s="501" t="s">
        <v>261</v>
      </c>
      <c r="F50" s="501">
        <v>33.106068095402691</v>
      </c>
      <c r="G50" s="501" t="str">
        <f t="shared" si="3"/>
        <v>E</v>
      </c>
      <c r="H50" s="502">
        <v>0</v>
      </c>
      <c r="I50" s="502"/>
      <c r="J50" s="501">
        <v>0</v>
      </c>
      <c r="K50" s="501"/>
      <c r="L50" s="501">
        <v>0</v>
      </c>
      <c r="M50" s="501"/>
      <c r="N50" s="500">
        <v>61.028093705075065</v>
      </c>
      <c r="O50" s="602">
        <v>-5.5719062949249292</v>
      </c>
    </row>
    <row r="51" spans="1:15">
      <c r="A51" s="499">
        <v>5890</v>
      </c>
      <c r="B51" s="499" t="s">
        <v>1110</v>
      </c>
      <c r="C51" s="501">
        <v>52.16</v>
      </c>
      <c r="D51" s="501">
        <v>21.367337115401213</v>
      </c>
      <c r="E51" s="501" t="s">
        <v>261</v>
      </c>
      <c r="F51" s="501">
        <v>26.455311268579329</v>
      </c>
      <c r="G51" s="501" t="str">
        <f t="shared" si="3"/>
        <v>E</v>
      </c>
      <c r="H51" s="502">
        <v>0</v>
      </c>
      <c r="I51" s="502"/>
      <c r="J51" s="501">
        <v>0</v>
      </c>
      <c r="K51" s="501"/>
      <c r="L51" s="501">
        <v>0</v>
      </c>
      <c r="M51" s="501"/>
      <c r="N51" s="500">
        <v>47.822648383980543</v>
      </c>
      <c r="O51" s="602">
        <v>-4.3373516160194541</v>
      </c>
    </row>
    <row r="52" spans="1:15">
      <c r="A52" s="499">
        <v>5895</v>
      </c>
      <c r="B52" s="499" t="s">
        <v>1111</v>
      </c>
      <c r="C52" s="501">
        <v>9.4600000000000009</v>
      </c>
      <c r="D52" s="501">
        <v>0.22030249632792992</v>
      </c>
      <c r="E52" s="501" t="s">
        <v>261</v>
      </c>
      <c r="F52" s="501">
        <v>8.5013736605599721</v>
      </c>
      <c r="G52" s="501" t="str">
        <f t="shared" si="3"/>
        <v>E</v>
      </c>
      <c r="H52" s="502">
        <v>0</v>
      </c>
      <c r="I52" s="502"/>
      <c r="J52" s="501">
        <v>0</v>
      </c>
      <c r="K52" s="501"/>
      <c r="L52" s="501">
        <v>0</v>
      </c>
      <c r="M52" s="501"/>
      <c r="N52" s="500">
        <v>8.7216761568879022</v>
      </c>
      <c r="O52" s="602">
        <v>-0.73832384311209864</v>
      </c>
    </row>
    <row r="53" spans="1:15">
      <c r="A53" s="499">
        <v>5900</v>
      </c>
      <c r="B53" s="499" t="s">
        <v>1112</v>
      </c>
      <c r="C53" s="501">
        <v>1272.68</v>
      </c>
      <c r="D53" s="501">
        <v>599.81552653508152</v>
      </c>
      <c r="E53" s="501" t="s">
        <v>261</v>
      </c>
      <c r="F53" s="501">
        <v>559.27059799516064</v>
      </c>
      <c r="G53" s="501" t="str">
        <f t="shared" si="3"/>
        <v>E</v>
      </c>
      <c r="H53" s="502">
        <v>3.467611820656697</v>
      </c>
      <c r="I53" s="502" t="s">
        <v>261</v>
      </c>
      <c r="J53" s="501">
        <v>0</v>
      </c>
      <c r="K53" s="501"/>
      <c r="L53" s="501">
        <v>0</v>
      </c>
      <c r="M53" s="501"/>
      <c r="N53" s="500">
        <v>1162.5537363508988</v>
      </c>
      <c r="O53" s="602">
        <v>-110.12626364910125</v>
      </c>
    </row>
    <row r="54" spans="1:15">
      <c r="B54" s="503" t="s">
        <v>200</v>
      </c>
      <c r="C54" s="501">
        <v>1615.5</v>
      </c>
      <c r="D54" s="501">
        <v>775.93145743627304</v>
      </c>
      <c r="E54" s="501" t="s">
        <v>261</v>
      </c>
      <c r="F54" s="501">
        <v>691.59563549948143</v>
      </c>
      <c r="G54" s="501" t="str">
        <f t="shared" si="3"/>
        <v>E</v>
      </c>
      <c r="H54" s="502">
        <v>532.29730124542527</v>
      </c>
      <c r="I54" s="502" t="s">
        <v>261</v>
      </c>
      <c r="J54" s="501">
        <v>-522.51353460801579</v>
      </c>
      <c r="K54" s="501" t="s">
        <v>261</v>
      </c>
      <c r="L54" s="501">
        <v>0</v>
      </c>
      <c r="M54" s="501"/>
      <c r="N54" s="500">
        <v>1477.310859573164</v>
      </c>
      <c r="O54" s="602">
        <v>-138.18914042683605</v>
      </c>
    </row>
    <row r="55" spans="1:15">
      <c r="C55" s="501"/>
      <c r="D55" s="501"/>
      <c r="E55" s="501"/>
      <c r="F55" s="501"/>
      <c r="G55" s="501"/>
      <c r="H55" s="502"/>
      <c r="I55" s="502"/>
      <c r="J55" s="501"/>
      <c r="K55" s="501"/>
      <c r="L55" s="501"/>
      <c r="M55" s="501"/>
      <c r="N55" s="500"/>
      <c r="O55" s="602"/>
    </row>
    <row r="56" spans="1:15">
      <c r="B56" s="499" t="s">
        <v>201</v>
      </c>
      <c r="C56" s="501"/>
      <c r="D56" s="501"/>
      <c r="E56" s="501"/>
      <c r="F56" s="501"/>
      <c r="G56" s="501"/>
      <c r="H56" s="502"/>
      <c r="I56" s="502"/>
      <c r="J56" s="501"/>
      <c r="K56" s="501"/>
      <c r="L56" s="501"/>
      <c r="M56" s="501"/>
      <c r="N56" s="500"/>
      <c r="O56" s="602"/>
    </row>
    <row r="57" spans="1:15">
      <c r="A57" s="499">
        <v>5930</v>
      </c>
      <c r="B57" s="499" t="s">
        <v>1113</v>
      </c>
      <c r="C57" s="501">
        <v>492.51</v>
      </c>
      <c r="D57" s="501">
        <v>239.05327137090384</v>
      </c>
      <c r="E57" s="501" t="s">
        <v>1050</v>
      </c>
      <c r="F57" s="501">
        <v>211.06273625993776</v>
      </c>
      <c r="G57" s="501" t="str">
        <f>+E57</f>
        <v>F</v>
      </c>
      <c r="H57" s="502">
        <v>0</v>
      </c>
      <c r="I57" s="502"/>
      <c r="J57" s="501">
        <v>0</v>
      </c>
      <c r="K57" s="501"/>
      <c r="L57" s="501">
        <v>0</v>
      </c>
      <c r="M57" s="501"/>
      <c r="N57" s="500">
        <v>450.11600763084164</v>
      </c>
      <c r="O57" s="602">
        <v>-42.393992369158354</v>
      </c>
    </row>
    <row r="58" spans="1:15">
      <c r="A58" s="499">
        <v>5935</v>
      </c>
      <c r="B58" s="499" t="s">
        <v>1114</v>
      </c>
      <c r="C58" s="501">
        <v>138.72999999999999</v>
      </c>
      <c r="D58" s="501">
        <v>76.71514380376837</v>
      </c>
      <c r="E58" s="501" t="s">
        <v>1050</v>
      </c>
      <c r="F58" s="501">
        <v>50.26334911856204</v>
      </c>
      <c r="G58" s="501" t="str">
        <f t="shared" ref="G58:G69" si="4">+E58</f>
        <v>F</v>
      </c>
      <c r="H58" s="502">
        <v>0</v>
      </c>
      <c r="I58" s="502"/>
      <c r="J58" s="501">
        <v>0</v>
      </c>
      <c r="K58" s="501"/>
      <c r="L58" s="501">
        <v>0</v>
      </c>
      <c r="M58" s="501"/>
      <c r="N58" s="500">
        <v>126.97849292233042</v>
      </c>
      <c r="O58" s="602">
        <v>-11.751507077669572</v>
      </c>
    </row>
    <row r="59" spans="1:15">
      <c r="A59" s="499">
        <v>5940</v>
      </c>
      <c r="B59" s="499" t="s">
        <v>1115</v>
      </c>
      <c r="C59" s="501">
        <v>14.18</v>
      </c>
      <c r="D59" s="501">
        <v>8.5795165577903276</v>
      </c>
      <c r="E59" s="501" t="s">
        <v>1050</v>
      </c>
      <c r="F59" s="501">
        <v>4.3774448669201504</v>
      </c>
      <c r="G59" s="501" t="str">
        <f t="shared" si="4"/>
        <v>F</v>
      </c>
      <c r="H59" s="502">
        <v>0</v>
      </c>
      <c r="I59" s="502"/>
      <c r="J59" s="501">
        <v>0</v>
      </c>
      <c r="K59" s="501"/>
      <c r="L59" s="501">
        <v>0</v>
      </c>
      <c r="M59" s="501"/>
      <c r="N59" s="500">
        <v>12.956961424710478</v>
      </c>
      <c r="O59" s="602">
        <v>-1.2230385752895216</v>
      </c>
    </row>
    <row r="60" spans="1:15">
      <c r="A60" s="499">
        <v>5945</v>
      </c>
      <c r="B60" s="499" t="s">
        <v>1116</v>
      </c>
      <c r="C60" s="501">
        <v>6288.1</v>
      </c>
      <c r="D60" s="501">
        <v>2505.8692159646175</v>
      </c>
      <c r="E60" s="501" t="s">
        <v>1050</v>
      </c>
      <c r="F60" s="501">
        <v>2891.9328422053236</v>
      </c>
      <c r="G60" s="501" t="str">
        <f t="shared" si="4"/>
        <v>F</v>
      </c>
      <c r="H60" s="502">
        <v>17.746013435125448</v>
      </c>
      <c r="I60" s="502" t="s">
        <v>1050</v>
      </c>
      <c r="J60" s="501">
        <v>0</v>
      </c>
      <c r="K60" s="501"/>
      <c r="L60" s="501">
        <v>364.55</v>
      </c>
      <c r="M60" s="501" t="s">
        <v>1050</v>
      </c>
      <c r="N60" s="500">
        <v>5780.0980716050672</v>
      </c>
      <c r="O60" s="602">
        <v>-508.0019283949332</v>
      </c>
    </row>
    <row r="61" spans="1:15">
      <c r="A61" s="499">
        <v>5950</v>
      </c>
      <c r="B61" s="499" t="s">
        <v>1117</v>
      </c>
      <c r="C61" s="501">
        <v>72.290000000000006</v>
      </c>
      <c r="D61" s="501">
        <v>57.988178473139335</v>
      </c>
      <c r="E61" s="501" t="s">
        <v>1050</v>
      </c>
      <c r="F61" s="501">
        <v>7.9903014172139661</v>
      </c>
      <c r="G61" s="501" t="str">
        <f t="shared" si="4"/>
        <v>F</v>
      </c>
      <c r="H61" s="502">
        <v>0</v>
      </c>
      <c r="I61" s="502"/>
      <c r="J61" s="501">
        <v>0</v>
      </c>
      <c r="K61" s="501"/>
      <c r="L61" s="501">
        <v>0</v>
      </c>
      <c r="M61" s="501"/>
      <c r="N61" s="500">
        <v>65.978479890353299</v>
      </c>
      <c r="O61" s="602">
        <v>-6.3115201096467075</v>
      </c>
    </row>
    <row r="62" spans="1:15">
      <c r="A62" s="499">
        <v>5955</v>
      </c>
      <c r="B62" s="499" t="s">
        <v>1118</v>
      </c>
      <c r="C62" s="501">
        <v>356.39</v>
      </c>
      <c r="D62" s="501">
        <v>261.58101867742943</v>
      </c>
      <c r="E62" s="501" t="s">
        <v>1050</v>
      </c>
      <c r="F62" s="501">
        <v>63.606273764258553</v>
      </c>
      <c r="G62" s="501" t="str">
        <f t="shared" si="4"/>
        <v>F</v>
      </c>
      <c r="H62" s="502">
        <v>0</v>
      </c>
      <c r="I62" s="502"/>
      <c r="J62" s="501">
        <v>0</v>
      </c>
      <c r="K62" s="501"/>
      <c r="L62" s="501">
        <v>0</v>
      </c>
      <c r="M62" s="501"/>
      <c r="N62" s="500">
        <v>325.18729244168799</v>
      </c>
      <c r="O62" s="602">
        <v>-31.202707558311999</v>
      </c>
    </row>
    <row r="63" spans="1:15">
      <c r="A63" s="499">
        <v>5960</v>
      </c>
      <c r="B63" s="499" t="s">
        <v>1119</v>
      </c>
      <c r="C63" s="501">
        <v>121.4</v>
      </c>
      <c r="D63" s="501">
        <v>103.85044639185558</v>
      </c>
      <c r="E63" s="501" t="s">
        <v>1050</v>
      </c>
      <c r="F63" s="501">
        <v>6.8681645350846869</v>
      </c>
      <c r="G63" s="501" t="str">
        <f t="shared" si="4"/>
        <v>F</v>
      </c>
      <c r="H63" s="502">
        <v>0</v>
      </c>
      <c r="I63" s="502"/>
      <c r="J63" s="501">
        <v>0</v>
      </c>
      <c r="K63" s="501"/>
      <c r="L63" s="501">
        <v>0</v>
      </c>
      <c r="M63" s="501"/>
      <c r="N63" s="500">
        <v>110.71861092694027</v>
      </c>
      <c r="O63" s="602">
        <v>-10.681389073059734</v>
      </c>
    </row>
    <row r="64" spans="1:15">
      <c r="A64" s="499">
        <v>5965</v>
      </c>
      <c r="B64" s="499" t="s">
        <v>1120</v>
      </c>
      <c r="C64" s="501">
        <v>564.97</v>
      </c>
      <c r="D64" s="501">
        <v>238.61617517796196</v>
      </c>
      <c r="E64" s="501" t="s">
        <v>1050</v>
      </c>
      <c r="F64" s="501">
        <v>277.54656895955753</v>
      </c>
      <c r="G64" s="501" t="str">
        <f t="shared" si="4"/>
        <v>F</v>
      </c>
      <c r="H64" s="502">
        <v>0</v>
      </c>
      <c r="I64" s="502"/>
      <c r="J64" s="501">
        <v>0</v>
      </c>
      <c r="K64" s="501"/>
      <c r="L64" s="501">
        <v>0</v>
      </c>
      <c r="M64" s="501"/>
      <c r="N64" s="500">
        <v>516.16274413751944</v>
      </c>
      <c r="O64" s="602">
        <v>-48.807255862480588</v>
      </c>
    </row>
    <row r="65" spans="1:15">
      <c r="A65" s="499">
        <v>5970</v>
      </c>
      <c r="B65" s="499" t="s">
        <v>1121</v>
      </c>
      <c r="C65" s="501">
        <v>510.32</v>
      </c>
      <c r="D65" s="501">
        <v>276.36860444345962</v>
      </c>
      <c r="E65" s="501" t="s">
        <v>1050</v>
      </c>
      <c r="F65" s="501">
        <v>190.01080193570687</v>
      </c>
      <c r="G65" s="501" t="str">
        <f t="shared" si="4"/>
        <v>F</v>
      </c>
      <c r="H65" s="502">
        <v>0</v>
      </c>
      <c r="I65" s="502"/>
      <c r="J65" s="501">
        <v>0</v>
      </c>
      <c r="K65" s="501"/>
      <c r="L65" s="501">
        <v>0</v>
      </c>
      <c r="M65" s="501"/>
      <c r="N65" s="500">
        <v>466.37940637916648</v>
      </c>
      <c r="O65" s="602">
        <v>-43.940593620833511</v>
      </c>
    </row>
    <row r="66" spans="1:15">
      <c r="A66" s="499">
        <v>5975</v>
      </c>
      <c r="B66" s="499" t="s">
        <v>312</v>
      </c>
      <c r="C66" s="501">
        <v>342.84</v>
      </c>
      <c r="D66" s="501">
        <v>58.977910621033523</v>
      </c>
      <c r="E66" s="501" t="s">
        <v>1050</v>
      </c>
      <c r="F66" s="501">
        <v>254.06931403387486</v>
      </c>
      <c r="G66" s="501" t="str">
        <f t="shared" si="4"/>
        <v>F</v>
      </c>
      <c r="H66" s="502">
        <v>0</v>
      </c>
      <c r="I66" s="502"/>
      <c r="J66" s="501">
        <v>0</v>
      </c>
      <c r="K66" s="501"/>
      <c r="L66" s="501">
        <v>0</v>
      </c>
      <c r="M66" s="501"/>
      <c r="N66" s="500">
        <v>313.0472246549084</v>
      </c>
      <c r="O66" s="602">
        <v>-29.79277534509157</v>
      </c>
    </row>
    <row r="67" spans="1:15">
      <c r="A67" s="499">
        <v>5980</v>
      </c>
      <c r="B67" s="499" t="s">
        <v>313</v>
      </c>
      <c r="C67" s="501">
        <v>79.78</v>
      </c>
      <c r="D67" s="501">
        <v>0</v>
      </c>
      <c r="E67" s="501" t="s">
        <v>1050</v>
      </c>
      <c r="F67" s="501">
        <v>0</v>
      </c>
      <c r="G67" s="501" t="str">
        <f t="shared" si="4"/>
        <v>F</v>
      </c>
      <c r="H67" s="502">
        <v>0</v>
      </c>
      <c r="I67" s="502"/>
      <c r="J67" s="501">
        <v>73.59197387200885</v>
      </c>
      <c r="K67" s="501" t="s">
        <v>1050</v>
      </c>
      <c r="L67" s="501">
        <v>0</v>
      </c>
      <c r="M67" s="501"/>
      <c r="N67" s="500">
        <v>73.59197387200885</v>
      </c>
      <c r="O67" s="602">
        <v>-6.1880261279911508</v>
      </c>
    </row>
    <row r="68" spans="1:15">
      <c r="A68" s="499">
        <v>5985</v>
      </c>
      <c r="B68" s="499" t="s">
        <v>314</v>
      </c>
      <c r="C68" s="501"/>
      <c r="D68" s="501">
        <v>0</v>
      </c>
      <c r="E68" s="501" t="s">
        <v>1050</v>
      </c>
      <c r="F68" s="501">
        <v>0</v>
      </c>
      <c r="G68" s="501" t="str">
        <f t="shared" si="4"/>
        <v>F</v>
      </c>
      <c r="H68" s="502">
        <v>0</v>
      </c>
      <c r="I68" s="502"/>
      <c r="J68" s="501">
        <v>0</v>
      </c>
      <c r="K68" s="501"/>
      <c r="L68" s="501">
        <v>0</v>
      </c>
      <c r="M68" s="501"/>
      <c r="N68" s="500">
        <v>0</v>
      </c>
      <c r="O68" s="602">
        <v>0</v>
      </c>
    </row>
    <row r="69" spans="1:15">
      <c r="B69" s="503" t="s">
        <v>201</v>
      </c>
      <c r="C69" s="501">
        <v>8981.51</v>
      </c>
      <c r="D69" s="501">
        <v>3827.5994814819596</v>
      </c>
      <c r="E69" s="501" t="s">
        <v>1050</v>
      </c>
      <c r="F69" s="501">
        <v>3957.7277970964406</v>
      </c>
      <c r="G69" s="501" t="str">
        <f t="shared" si="4"/>
        <v>F</v>
      </c>
      <c r="H69" s="502">
        <v>17.746013435125448</v>
      </c>
      <c r="I69" s="502" t="s">
        <v>1050</v>
      </c>
      <c r="J69" s="501">
        <v>73.59197387200885</v>
      </c>
      <c r="K69" s="501" t="s">
        <v>1050</v>
      </c>
      <c r="L69" s="501">
        <v>364.55</v>
      </c>
      <c r="M69" s="501" t="s">
        <v>1050</v>
      </c>
      <c r="N69" s="500">
        <v>8241.2152658855339</v>
      </c>
      <c r="O69" s="602">
        <v>-740.29473411446634</v>
      </c>
    </row>
    <row r="70" spans="1:15">
      <c r="C70" s="501"/>
      <c r="D70" s="501"/>
      <c r="E70" s="501"/>
      <c r="F70" s="501"/>
      <c r="G70" s="501"/>
      <c r="H70" s="502"/>
      <c r="I70" s="502"/>
      <c r="J70" s="501"/>
      <c r="K70" s="501"/>
      <c r="L70" s="501"/>
      <c r="M70" s="501"/>
      <c r="N70" s="500"/>
      <c r="O70" s="602"/>
    </row>
    <row r="71" spans="1:15">
      <c r="B71" s="499" t="s">
        <v>202</v>
      </c>
      <c r="C71" s="501"/>
      <c r="D71" s="501"/>
      <c r="E71" s="501"/>
      <c r="F71" s="501"/>
      <c r="G71" s="501"/>
      <c r="H71" s="502"/>
      <c r="I71" s="502"/>
      <c r="J71" s="501"/>
      <c r="K71" s="501"/>
      <c r="L71" s="501"/>
      <c r="M71" s="501"/>
      <c r="N71" s="500"/>
      <c r="O71" s="602"/>
    </row>
    <row r="72" spans="1:15">
      <c r="A72" s="499">
        <v>6005</v>
      </c>
      <c r="B72" s="499" t="s">
        <v>315</v>
      </c>
      <c r="C72" s="501"/>
      <c r="D72" s="501">
        <v>0</v>
      </c>
      <c r="E72" s="501"/>
      <c r="F72" s="501">
        <v>0</v>
      </c>
      <c r="G72" s="501"/>
      <c r="H72" s="502">
        <v>0</v>
      </c>
      <c r="I72" s="502"/>
      <c r="J72" s="501">
        <v>0</v>
      </c>
      <c r="K72" s="501"/>
      <c r="L72" s="501">
        <v>0</v>
      </c>
      <c r="M72" s="501"/>
      <c r="N72" s="500">
        <v>0</v>
      </c>
      <c r="O72" s="602">
        <v>0</v>
      </c>
    </row>
    <row r="73" spans="1:15">
      <c r="A73" s="499">
        <v>6010</v>
      </c>
      <c r="B73" s="499" t="s">
        <v>316</v>
      </c>
      <c r="C73" s="501">
        <v>2243.29</v>
      </c>
      <c r="D73" s="501">
        <v>2681.7254956869742</v>
      </c>
      <c r="E73" s="501" t="s">
        <v>1051</v>
      </c>
      <c r="F73" s="501">
        <v>-643.89042516418942</v>
      </c>
      <c r="G73" s="501" t="str">
        <f>+E73</f>
        <v>G</v>
      </c>
      <c r="H73" s="502">
        <v>0</v>
      </c>
      <c r="I73" s="502"/>
      <c r="J73" s="501">
        <v>0</v>
      </c>
      <c r="K73" s="501"/>
      <c r="L73" s="501">
        <v>0</v>
      </c>
      <c r="M73" s="501"/>
      <c r="N73" s="500">
        <v>2037.8350705227849</v>
      </c>
      <c r="O73" s="602">
        <v>-205.45492947721505</v>
      </c>
    </row>
    <row r="74" spans="1:15">
      <c r="A74" s="499">
        <v>6015</v>
      </c>
      <c r="B74" s="499" t="s">
        <v>317</v>
      </c>
      <c r="C74" s="501">
        <v>9.57</v>
      </c>
      <c r="D74" s="501">
        <v>0</v>
      </c>
      <c r="E74" s="501" t="s">
        <v>1051</v>
      </c>
      <c r="F74" s="501">
        <v>8.8124611130314552</v>
      </c>
      <c r="G74" s="501" t="str">
        <f t="shared" ref="G74:G82" si="5">+E74</f>
        <v>G</v>
      </c>
      <c r="H74" s="502">
        <v>0</v>
      </c>
      <c r="I74" s="502"/>
      <c r="J74" s="501">
        <v>0</v>
      </c>
      <c r="K74" s="501"/>
      <c r="L74" s="501">
        <v>0</v>
      </c>
      <c r="M74" s="501"/>
      <c r="N74" s="500">
        <v>8.8124611130314552</v>
      </c>
      <c r="O74" s="602">
        <v>-0.7575388869685451</v>
      </c>
    </row>
    <row r="75" spans="1:15">
      <c r="A75" s="499">
        <v>6020</v>
      </c>
      <c r="B75" s="499" t="s">
        <v>318</v>
      </c>
      <c r="C75" s="501"/>
      <c r="D75" s="501">
        <v>0</v>
      </c>
      <c r="E75" s="501" t="s">
        <v>1051</v>
      </c>
      <c r="F75" s="501">
        <v>0</v>
      </c>
      <c r="G75" s="501" t="str">
        <f t="shared" si="5"/>
        <v>G</v>
      </c>
      <c r="H75" s="502">
        <v>0</v>
      </c>
      <c r="I75" s="502"/>
      <c r="J75" s="501">
        <v>0</v>
      </c>
      <c r="K75" s="501"/>
      <c r="L75" s="501">
        <v>0</v>
      </c>
      <c r="M75" s="501"/>
      <c r="N75" s="500">
        <v>0</v>
      </c>
      <c r="O75" s="602">
        <v>0</v>
      </c>
    </row>
    <row r="76" spans="1:15">
      <c r="A76" s="499">
        <v>6025</v>
      </c>
      <c r="B76" s="499" t="s">
        <v>319</v>
      </c>
      <c r="C76" s="501">
        <v>1304.83</v>
      </c>
      <c r="D76" s="501">
        <v>149.0946643038088</v>
      </c>
      <c r="E76" s="501" t="s">
        <v>1051</v>
      </c>
      <c r="F76" s="501">
        <v>1049.7623358105773</v>
      </c>
      <c r="G76" s="501" t="str">
        <f t="shared" si="5"/>
        <v>G</v>
      </c>
      <c r="H76" s="502">
        <v>0</v>
      </c>
      <c r="I76" s="502"/>
      <c r="J76" s="501">
        <v>0</v>
      </c>
      <c r="K76" s="501"/>
      <c r="L76" s="501">
        <v>0</v>
      </c>
      <c r="M76" s="501"/>
      <c r="N76" s="500">
        <v>1198.857000114386</v>
      </c>
      <c r="O76" s="602">
        <v>-105.97299988561394</v>
      </c>
    </row>
    <row r="77" spans="1:15">
      <c r="A77" s="499">
        <v>6030</v>
      </c>
      <c r="B77" s="499" t="s">
        <v>320</v>
      </c>
      <c r="C77" s="501"/>
      <c r="D77" s="501">
        <v>0</v>
      </c>
      <c r="E77" s="501" t="s">
        <v>1051</v>
      </c>
      <c r="F77" s="501">
        <v>0</v>
      </c>
      <c r="G77" s="501" t="str">
        <f t="shared" si="5"/>
        <v>G</v>
      </c>
      <c r="H77" s="502">
        <v>0</v>
      </c>
      <c r="I77" s="502"/>
      <c r="J77" s="501">
        <v>0</v>
      </c>
      <c r="K77" s="501"/>
      <c r="L77" s="501">
        <v>0</v>
      </c>
      <c r="M77" s="501"/>
      <c r="N77" s="500">
        <v>0</v>
      </c>
      <c r="O77" s="602">
        <v>0</v>
      </c>
    </row>
    <row r="78" spans="1:15">
      <c r="A78" s="499">
        <v>6035</v>
      </c>
      <c r="B78" s="499" t="s">
        <v>321</v>
      </c>
      <c r="C78" s="501">
        <v>970.73</v>
      </c>
      <c r="D78" s="501">
        <v>434.3620860790312</v>
      </c>
      <c r="E78" s="501" t="s">
        <v>1051</v>
      </c>
      <c r="F78" s="501">
        <v>452.68097701348086</v>
      </c>
      <c r="G78" s="501" t="str">
        <f t="shared" si="5"/>
        <v>G</v>
      </c>
      <c r="H78" s="502">
        <v>0</v>
      </c>
      <c r="I78" s="502"/>
      <c r="J78" s="501">
        <v>0</v>
      </c>
      <c r="K78" s="501"/>
      <c r="L78" s="501">
        <v>0</v>
      </c>
      <c r="M78" s="501"/>
      <c r="N78" s="500">
        <v>887.04306309251206</v>
      </c>
      <c r="O78" s="602">
        <v>-83.686936907487961</v>
      </c>
    </row>
    <row r="79" spans="1:15">
      <c r="A79" s="499">
        <v>6040</v>
      </c>
      <c r="B79" s="499" t="s">
        <v>322</v>
      </c>
      <c r="C79" s="501">
        <v>1140.79</v>
      </c>
      <c r="D79" s="501">
        <v>513.78852954750437</v>
      </c>
      <c r="E79" s="501" t="s">
        <v>1051</v>
      </c>
      <c r="F79" s="501">
        <v>517.63740062219142</v>
      </c>
      <c r="G79" s="501" t="str">
        <f t="shared" si="5"/>
        <v>G</v>
      </c>
      <c r="H79" s="502">
        <v>0</v>
      </c>
      <c r="I79" s="502"/>
      <c r="J79" s="501">
        <v>0</v>
      </c>
      <c r="K79" s="501"/>
      <c r="L79" s="501">
        <v>0</v>
      </c>
      <c r="M79" s="501"/>
      <c r="N79" s="500">
        <v>1031.4259301696957</v>
      </c>
      <c r="O79" s="602">
        <v>-109.36406983030429</v>
      </c>
    </row>
    <row r="80" spans="1:15">
      <c r="A80" s="499">
        <v>6045</v>
      </c>
      <c r="B80" s="499" t="s">
        <v>323</v>
      </c>
      <c r="C80" s="501">
        <v>3164.74</v>
      </c>
      <c r="D80" s="501">
        <v>942.5352829414079</v>
      </c>
      <c r="E80" s="501" t="s">
        <v>1051</v>
      </c>
      <c r="F80" s="501">
        <v>1953.3577575181473</v>
      </c>
      <c r="G80" s="501" t="str">
        <f t="shared" si="5"/>
        <v>G</v>
      </c>
      <c r="H80" s="502">
        <v>0</v>
      </c>
      <c r="I80" s="502"/>
      <c r="J80" s="501">
        <v>0</v>
      </c>
      <c r="K80" s="501"/>
      <c r="L80" s="501">
        <v>0</v>
      </c>
      <c r="M80" s="501"/>
      <c r="N80" s="500">
        <v>2895.8930404595553</v>
      </c>
      <c r="O80" s="602">
        <v>-268.84695954044446</v>
      </c>
    </row>
    <row r="81" spans="1:15">
      <c r="A81" s="499">
        <v>6050</v>
      </c>
      <c r="B81" s="499" t="s">
        <v>324</v>
      </c>
      <c r="C81" s="501">
        <v>3091.36</v>
      </c>
      <c r="D81" s="501">
        <v>2242.4748997207116</v>
      </c>
      <c r="E81" s="501" t="s">
        <v>1051</v>
      </c>
      <c r="F81" s="501">
        <v>581.05050725890089</v>
      </c>
      <c r="G81" s="501" t="str">
        <f t="shared" si="5"/>
        <v>G</v>
      </c>
      <c r="H81" s="502">
        <v>0</v>
      </c>
      <c r="I81" s="502"/>
      <c r="J81" s="501">
        <v>0</v>
      </c>
      <c r="K81" s="501"/>
      <c r="L81" s="501">
        <v>0</v>
      </c>
      <c r="M81" s="501"/>
      <c r="N81" s="500">
        <v>2823.5254069796124</v>
      </c>
      <c r="O81" s="602">
        <v>-267.83459302038773</v>
      </c>
    </row>
    <row r="82" spans="1:15">
      <c r="B82" s="503" t="s">
        <v>202</v>
      </c>
      <c r="C82" s="501">
        <v>11925.31</v>
      </c>
      <c r="D82" s="501">
        <v>6963.9809582794378</v>
      </c>
      <c r="E82" s="501" t="s">
        <v>1051</v>
      </c>
      <c r="F82" s="501">
        <v>3919.4110141721399</v>
      </c>
      <c r="G82" s="501" t="str">
        <f t="shared" si="5"/>
        <v>G</v>
      </c>
      <c r="H82" s="502">
        <v>0</v>
      </c>
      <c r="I82" s="502"/>
      <c r="J82" s="501">
        <v>0</v>
      </c>
      <c r="K82" s="501"/>
      <c r="L82" s="501">
        <v>0</v>
      </c>
      <c r="M82" s="501"/>
      <c r="N82" s="500">
        <v>10883.391972451578</v>
      </c>
      <c r="O82" s="602">
        <v>-1041.9180275484214</v>
      </c>
    </row>
    <row r="83" spans="1:15">
      <c r="C83" s="501"/>
      <c r="D83" s="501"/>
      <c r="E83" s="501"/>
      <c r="F83" s="501"/>
      <c r="G83" s="501"/>
      <c r="H83" s="502"/>
      <c r="I83" s="502"/>
      <c r="J83" s="501"/>
      <c r="K83" s="501"/>
      <c r="L83" s="501"/>
      <c r="M83" s="501"/>
      <c r="N83" s="500"/>
      <c r="O83" s="602">
        <v>0</v>
      </c>
    </row>
    <row r="84" spans="1:15">
      <c r="B84" s="499" t="s">
        <v>204</v>
      </c>
      <c r="C84" s="501"/>
      <c r="D84" s="501"/>
      <c r="E84" s="501"/>
      <c r="F84" s="501"/>
      <c r="G84" s="501"/>
      <c r="H84" s="502"/>
      <c r="I84" s="502"/>
      <c r="J84" s="501"/>
      <c r="K84" s="501"/>
      <c r="L84" s="501"/>
      <c r="M84" s="501"/>
      <c r="N84" s="500"/>
      <c r="O84" s="602"/>
    </row>
    <row r="85" spans="1:15">
      <c r="A85" s="499">
        <v>6090</v>
      </c>
      <c r="B85" s="499" t="s">
        <v>328</v>
      </c>
      <c r="C85" s="501">
        <v>6505.34</v>
      </c>
      <c r="D85" s="501">
        <v>0</v>
      </c>
      <c r="E85" s="501"/>
      <c r="F85" s="501">
        <v>0</v>
      </c>
      <c r="G85" s="501"/>
      <c r="H85" s="502">
        <v>236.08468277891456</v>
      </c>
      <c r="I85" s="502" t="s">
        <v>1056</v>
      </c>
      <c r="J85" s="501">
        <v>0</v>
      </c>
      <c r="K85" s="501"/>
      <c r="L85" s="501">
        <v>6250</v>
      </c>
      <c r="M85" s="501" t="s">
        <v>1056</v>
      </c>
      <c r="N85" s="500">
        <v>6486.0846827789146</v>
      </c>
      <c r="O85" s="602">
        <v>-19.255317221085534</v>
      </c>
    </row>
    <row r="86" spans="1:15">
      <c r="B86" s="503" t="s">
        <v>204</v>
      </c>
      <c r="C86" s="501">
        <v>6505.34</v>
      </c>
      <c r="D86" s="501">
        <v>0</v>
      </c>
      <c r="E86" s="501"/>
      <c r="F86" s="501">
        <v>0</v>
      </c>
      <c r="G86" s="501"/>
      <c r="H86" s="501">
        <v>236.08468277891456</v>
      </c>
      <c r="I86" s="501" t="s">
        <v>1056</v>
      </c>
      <c r="J86" s="501">
        <v>0</v>
      </c>
      <c r="K86" s="501"/>
      <c r="L86" s="501">
        <v>6250</v>
      </c>
      <c r="M86" s="501" t="s">
        <v>1056</v>
      </c>
      <c r="N86" s="501">
        <v>6486.0846827789146</v>
      </c>
      <c r="O86" s="602">
        <v>-19.255317221085534</v>
      </c>
    </row>
    <row r="87" spans="1:15">
      <c r="C87" s="501"/>
      <c r="D87" s="501"/>
      <c r="E87" s="501"/>
      <c r="F87" s="501"/>
      <c r="G87" s="501"/>
      <c r="H87" s="502"/>
      <c r="I87" s="502"/>
      <c r="J87" s="501"/>
      <c r="K87" s="501"/>
      <c r="L87" s="501"/>
      <c r="M87" s="501"/>
      <c r="N87" s="500"/>
      <c r="O87" s="602">
        <v>0</v>
      </c>
    </row>
    <row r="88" spans="1:15">
      <c r="B88" s="499" t="s">
        <v>206</v>
      </c>
      <c r="C88" s="501"/>
      <c r="D88" s="501"/>
      <c r="E88" s="501"/>
      <c r="F88" s="501"/>
      <c r="G88" s="501"/>
      <c r="H88" s="502"/>
      <c r="I88" s="502"/>
      <c r="J88" s="501"/>
      <c r="K88" s="501"/>
      <c r="L88" s="501"/>
      <c r="M88" s="501"/>
      <c r="N88" s="500"/>
      <c r="O88" s="602"/>
    </row>
    <row r="89" spans="1:15">
      <c r="A89" s="499">
        <v>6185</v>
      </c>
      <c r="B89" s="499" t="s">
        <v>758</v>
      </c>
      <c r="C89" s="501">
        <v>2857.33</v>
      </c>
      <c r="D89" s="501">
        <v>2251.3962736220647</v>
      </c>
      <c r="E89" s="501" t="s">
        <v>1052</v>
      </c>
      <c r="F89" s="501">
        <v>316.28251192533713</v>
      </c>
      <c r="G89" s="501" t="str">
        <f>+E89</f>
        <v>H</v>
      </c>
      <c r="H89" s="502">
        <v>56.613106930383715</v>
      </c>
      <c r="I89" s="502" t="str">
        <f>+G89</f>
        <v>H</v>
      </c>
      <c r="J89" s="501">
        <v>0</v>
      </c>
      <c r="K89" s="501"/>
      <c r="L89" s="501">
        <v>0</v>
      </c>
      <c r="M89" s="501"/>
      <c r="N89" s="500">
        <v>2624.2918924777855</v>
      </c>
      <c r="O89" s="602">
        <v>-233.03810752221443</v>
      </c>
    </row>
    <row r="90" spans="1:15">
      <c r="A90" s="499">
        <v>6190</v>
      </c>
      <c r="B90" s="499" t="s">
        <v>759</v>
      </c>
      <c r="C90" s="501">
        <v>838.4</v>
      </c>
      <c r="D90" s="501">
        <v>243.50744197925425</v>
      </c>
      <c r="E90" s="501" t="s">
        <v>1052</v>
      </c>
      <c r="F90" s="501">
        <v>302.36589353612169</v>
      </c>
      <c r="G90" s="501" t="str">
        <f t="shared" ref="G90:G95" si="6">+E90</f>
        <v>H</v>
      </c>
      <c r="H90" s="502">
        <v>160.2542826703272</v>
      </c>
      <c r="I90" s="502" t="str">
        <f t="shared" ref="I90:I95" si="7">+G90</f>
        <v>H</v>
      </c>
      <c r="J90" s="501">
        <v>0</v>
      </c>
      <c r="K90" s="501"/>
      <c r="L90" s="501">
        <v>0</v>
      </c>
      <c r="M90" s="501"/>
      <c r="N90" s="500">
        <v>706.12761818570311</v>
      </c>
      <c r="O90" s="602">
        <v>-132.27238181429686</v>
      </c>
    </row>
    <row r="91" spans="1:15">
      <c r="A91" s="499">
        <v>6195</v>
      </c>
      <c r="B91" s="499" t="s">
        <v>760</v>
      </c>
      <c r="C91" s="501">
        <v>353.42</v>
      </c>
      <c r="D91" s="501">
        <v>226.20479870395127</v>
      </c>
      <c r="E91" s="501" t="s">
        <v>1052</v>
      </c>
      <c r="F91" s="501">
        <v>52.490452471482904</v>
      </c>
      <c r="G91" s="501" t="str">
        <f t="shared" si="6"/>
        <v>H</v>
      </c>
      <c r="H91" s="502">
        <v>43.203496948541364</v>
      </c>
      <c r="I91" s="502" t="str">
        <f t="shared" si="7"/>
        <v>H</v>
      </c>
      <c r="J91" s="501">
        <v>0</v>
      </c>
      <c r="K91" s="501"/>
      <c r="L91" s="501">
        <v>0</v>
      </c>
      <c r="M91" s="501"/>
      <c r="N91" s="500">
        <v>321.89874812397557</v>
      </c>
      <c r="O91" s="602">
        <v>-31.521251876024451</v>
      </c>
    </row>
    <row r="92" spans="1:15">
      <c r="A92" s="499">
        <v>6200</v>
      </c>
      <c r="B92" s="499" t="s">
        <v>761</v>
      </c>
      <c r="C92" s="501">
        <v>377.7</v>
      </c>
      <c r="D92" s="501">
        <v>75.14896598857699</v>
      </c>
      <c r="E92" s="501" t="s">
        <v>1052</v>
      </c>
      <c r="F92" s="501">
        <v>217.238024196336</v>
      </c>
      <c r="G92" s="501" t="str">
        <f t="shared" si="6"/>
        <v>H</v>
      </c>
      <c r="H92" s="502">
        <v>53.626163523864889</v>
      </c>
      <c r="I92" s="502" t="str">
        <f t="shared" si="7"/>
        <v>H</v>
      </c>
      <c r="J92" s="501">
        <v>0</v>
      </c>
      <c r="K92" s="501"/>
      <c r="L92" s="501">
        <v>0</v>
      </c>
      <c r="M92" s="501"/>
      <c r="N92" s="500">
        <v>346.01315370877785</v>
      </c>
      <c r="O92" s="602">
        <v>-31.686846291222139</v>
      </c>
    </row>
    <row r="93" spans="1:15">
      <c r="A93" s="499">
        <v>6205</v>
      </c>
      <c r="B93" s="499" t="s">
        <v>762</v>
      </c>
      <c r="C93" s="501">
        <v>34.53</v>
      </c>
      <c r="D93" s="501">
        <v>17.2314647668193</v>
      </c>
      <c r="E93" s="501" t="s">
        <v>1052</v>
      </c>
      <c r="F93" s="501">
        <v>14.339566021431043</v>
      </c>
      <c r="G93" s="501" t="str">
        <f t="shared" si="6"/>
        <v>H</v>
      </c>
      <c r="H93" s="502">
        <v>0</v>
      </c>
      <c r="I93" s="502" t="str">
        <f t="shared" si="7"/>
        <v>H</v>
      </c>
      <c r="J93" s="501">
        <v>0</v>
      </c>
      <c r="K93" s="501"/>
      <c r="L93" s="501">
        <v>0</v>
      </c>
      <c r="M93" s="501"/>
      <c r="N93" s="500">
        <v>31.571030788250344</v>
      </c>
      <c r="O93" s="602">
        <v>-2.9589692117496575</v>
      </c>
    </row>
    <row r="94" spans="1:15">
      <c r="A94" s="499">
        <v>6207</v>
      </c>
      <c r="B94" s="499" t="s">
        <v>763</v>
      </c>
      <c r="C94" s="501"/>
      <c r="D94" s="501">
        <v>0</v>
      </c>
      <c r="E94" s="501" t="s">
        <v>1052</v>
      </c>
      <c r="F94" s="501">
        <v>0</v>
      </c>
      <c r="G94" s="501" t="str">
        <f t="shared" si="6"/>
        <v>H</v>
      </c>
      <c r="H94" s="502">
        <v>0</v>
      </c>
      <c r="I94" s="502" t="str">
        <f t="shared" si="7"/>
        <v>H</v>
      </c>
      <c r="J94" s="501">
        <v>0</v>
      </c>
      <c r="K94" s="501"/>
      <c r="L94" s="501">
        <v>0</v>
      </c>
      <c r="M94" s="501"/>
      <c r="N94" s="500">
        <v>0</v>
      </c>
      <c r="O94" s="602">
        <v>0</v>
      </c>
    </row>
    <row r="95" spans="1:15">
      <c r="B95" s="503" t="s">
        <v>206</v>
      </c>
      <c r="C95" s="501">
        <v>4461.38</v>
      </c>
      <c r="D95" s="501">
        <v>2813.4889450606665</v>
      </c>
      <c r="E95" s="501" t="s">
        <v>1052</v>
      </c>
      <c r="F95" s="501">
        <v>902.71644815070886</v>
      </c>
      <c r="G95" s="501" t="str">
        <f t="shared" si="6"/>
        <v>H</v>
      </c>
      <c r="H95" s="501">
        <v>313.69705007311717</v>
      </c>
      <c r="I95" s="502" t="str">
        <f t="shared" si="7"/>
        <v>H</v>
      </c>
      <c r="J95" s="501">
        <v>0</v>
      </c>
      <c r="K95" s="501"/>
      <c r="L95" s="501">
        <v>0</v>
      </c>
      <c r="M95" s="501"/>
      <c r="N95" s="500">
        <v>4029.9024432844926</v>
      </c>
      <c r="O95" s="602">
        <v>-431.47755671550749</v>
      </c>
    </row>
    <row r="96" spans="1:15">
      <c r="C96" s="501"/>
      <c r="D96" s="501"/>
      <c r="E96" s="501"/>
      <c r="F96" s="501"/>
      <c r="G96" s="501"/>
      <c r="H96" s="502"/>
      <c r="I96" s="502"/>
      <c r="J96" s="501"/>
      <c r="K96" s="501"/>
      <c r="L96" s="501"/>
      <c r="M96" s="501"/>
      <c r="N96" s="500"/>
      <c r="O96" s="602"/>
    </row>
    <row r="97" spans="1:15">
      <c r="B97" s="499" t="s">
        <v>207</v>
      </c>
      <c r="C97" s="501"/>
      <c r="D97" s="501"/>
      <c r="E97" s="501"/>
      <c r="F97" s="501"/>
      <c r="G97" s="501"/>
      <c r="H97" s="502"/>
      <c r="I97" s="502"/>
      <c r="J97" s="501"/>
      <c r="K97" s="501"/>
      <c r="L97" s="501"/>
      <c r="M97" s="501"/>
      <c r="N97" s="500"/>
      <c r="O97" s="602"/>
    </row>
    <row r="98" spans="1:15">
      <c r="A98" s="499">
        <v>6215</v>
      </c>
      <c r="B98" s="499" t="s">
        <v>764</v>
      </c>
      <c r="C98" s="501">
        <v>17145.21</v>
      </c>
      <c r="D98" s="501">
        <v>-26.731539992428157</v>
      </c>
      <c r="E98" s="501" t="s">
        <v>1053</v>
      </c>
      <c r="F98" s="501">
        <v>0</v>
      </c>
      <c r="G98" s="501"/>
      <c r="H98" s="502">
        <v>0</v>
      </c>
      <c r="I98" s="502"/>
      <c r="J98" s="501">
        <v>0</v>
      </c>
      <c r="K98" s="501"/>
      <c r="L98" s="501">
        <v>17174.53</v>
      </c>
      <c r="M98" s="501" t="s">
        <v>1053</v>
      </c>
      <c r="N98" s="500">
        <v>17147.798460007572</v>
      </c>
      <c r="O98" s="602">
        <v>2.5884600075733033</v>
      </c>
    </row>
    <row r="99" spans="1:15">
      <c r="A99" s="499">
        <v>6220</v>
      </c>
      <c r="B99" s="499" t="s">
        <v>765</v>
      </c>
      <c r="C99" s="501">
        <v>4839.24</v>
      </c>
      <c r="D99" s="501">
        <v>-3.3233345862438575</v>
      </c>
      <c r="E99" s="501" t="s">
        <v>1053</v>
      </c>
      <c r="F99" s="501">
        <v>0</v>
      </c>
      <c r="G99" s="501"/>
      <c r="H99" s="502">
        <v>0</v>
      </c>
      <c r="I99" s="502"/>
      <c r="J99" s="501">
        <v>0</v>
      </c>
      <c r="K99" s="501"/>
      <c r="L99" s="501">
        <v>4842.8900000000003</v>
      </c>
      <c r="M99" s="501" t="s">
        <v>1053</v>
      </c>
      <c r="N99" s="500">
        <v>4839.5666654137567</v>
      </c>
      <c r="O99" s="602">
        <v>0.32666541375692759</v>
      </c>
    </row>
    <row r="100" spans="1:15">
      <c r="A100" s="499">
        <v>6225</v>
      </c>
      <c r="B100" s="499" t="s">
        <v>766</v>
      </c>
      <c r="C100" s="501">
        <v>4.8</v>
      </c>
      <c r="D100" s="501">
        <v>1.9549026977905046</v>
      </c>
      <c r="E100" s="501" t="s">
        <v>1053</v>
      </c>
      <c r="F100" s="501">
        <v>2.4265831316971997</v>
      </c>
      <c r="G100" s="501" t="str">
        <f>+E100</f>
        <v>I</v>
      </c>
      <c r="H100" s="502">
        <v>0</v>
      </c>
      <c r="I100" s="502"/>
      <c r="J100" s="501">
        <v>0</v>
      </c>
      <c r="K100" s="501"/>
      <c r="L100" s="501">
        <v>0</v>
      </c>
      <c r="M100" s="501"/>
      <c r="N100" s="500">
        <v>4.3814858294877048</v>
      </c>
      <c r="O100" s="602">
        <v>-0.418514170512295</v>
      </c>
    </row>
    <row r="101" spans="1:15">
      <c r="A101" s="499">
        <v>6230</v>
      </c>
      <c r="B101" s="499" t="s">
        <v>767</v>
      </c>
      <c r="C101" s="501">
        <v>77.59</v>
      </c>
      <c r="D101" s="501">
        <v>0</v>
      </c>
      <c r="E101" s="501" t="s">
        <v>1053</v>
      </c>
      <c r="F101" s="501">
        <v>0</v>
      </c>
      <c r="G101" s="501"/>
      <c r="H101" s="502">
        <v>0</v>
      </c>
      <c r="I101" s="502"/>
      <c r="J101" s="501">
        <v>71.59690887348755</v>
      </c>
      <c r="K101" s="501" t="s">
        <v>1053</v>
      </c>
      <c r="L101" s="501">
        <v>0</v>
      </c>
      <c r="M101" s="501"/>
      <c r="N101" s="500">
        <v>71.59690887348755</v>
      </c>
      <c r="O101" s="602">
        <v>-5.9930911265124536</v>
      </c>
    </row>
    <row r="102" spans="1:15">
      <c r="B102" s="503" t="s">
        <v>207</v>
      </c>
      <c r="C102" s="501">
        <v>22066.84</v>
      </c>
      <c r="D102" s="501">
        <v>-28.099971880881508</v>
      </c>
      <c r="E102" s="501" t="s">
        <v>1053</v>
      </c>
      <c r="F102" s="501">
        <v>2.4265831316971997</v>
      </c>
      <c r="G102" s="501" t="str">
        <f>+E102</f>
        <v>I</v>
      </c>
      <c r="H102" s="502">
        <v>0</v>
      </c>
      <c r="I102" s="502"/>
      <c r="J102" s="502">
        <v>71.59690887348755</v>
      </c>
      <c r="K102" s="502"/>
      <c r="L102" s="501">
        <v>22017.42</v>
      </c>
      <c r="M102" s="501" t="s">
        <v>1053</v>
      </c>
      <c r="N102" s="500">
        <v>22063.343520124301</v>
      </c>
      <c r="O102" s="602">
        <v>-3.4964798756991513</v>
      </c>
    </row>
    <row r="103" spans="1:15">
      <c r="C103" s="501"/>
      <c r="D103" s="501"/>
      <c r="E103" s="501"/>
      <c r="F103" s="501"/>
      <c r="G103" s="501"/>
      <c r="H103" s="502"/>
      <c r="I103" s="502"/>
      <c r="J103" s="501"/>
      <c r="K103" s="501"/>
      <c r="L103" s="501"/>
      <c r="M103" s="501"/>
      <c r="N103" s="500"/>
      <c r="O103" s="602"/>
    </row>
    <row r="104" spans="1:15">
      <c r="B104" s="499" t="s">
        <v>208</v>
      </c>
      <c r="C104" s="501"/>
      <c r="D104" s="501"/>
      <c r="E104" s="501"/>
      <c r="F104" s="501"/>
      <c r="G104" s="501"/>
      <c r="H104" s="502"/>
      <c r="I104" s="502"/>
      <c r="J104" s="501"/>
      <c r="K104" s="501"/>
      <c r="L104" s="501"/>
      <c r="M104" s="501"/>
      <c r="N104" s="500"/>
      <c r="O104" s="602"/>
    </row>
    <row r="105" spans="1:15">
      <c r="A105" s="499">
        <v>6255</v>
      </c>
      <c r="B105" s="499" t="s">
        <v>768</v>
      </c>
      <c r="C105" s="501"/>
      <c r="D105" s="501"/>
      <c r="E105" s="501"/>
      <c r="F105" s="501"/>
      <c r="G105" s="501"/>
      <c r="H105" s="502"/>
      <c r="I105" s="502"/>
      <c r="J105" s="501"/>
      <c r="K105" s="501"/>
      <c r="L105" s="501"/>
      <c r="M105" s="501"/>
      <c r="N105" s="500"/>
      <c r="O105" s="602"/>
    </row>
    <row r="106" spans="1:15">
      <c r="A106" s="499">
        <v>6355</v>
      </c>
      <c r="B106" s="499" t="s">
        <v>343</v>
      </c>
      <c r="C106" s="501">
        <v>5033.55</v>
      </c>
      <c r="D106" s="501">
        <v>124.51978299272518</v>
      </c>
      <c r="E106" s="501" t="s">
        <v>1054</v>
      </c>
      <c r="F106" s="501">
        <v>4451.3475798479094</v>
      </c>
      <c r="G106" s="501" t="str">
        <f>+E106</f>
        <v>J</v>
      </c>
      <c r="H106" s="502">
        <v>0</v>
      </c>
      <c r="I106" s="502"/>
      <c r="J106" s="501">
        <v>0</v>
      </c>
      <c r="K106" s="501"/>
      <c r="L106" s="501">
        <v>0</v>
      </c>
      <c r="M106" s="501"/>
      <c r="N106" s="500">
        <v>4575.867362840635</v>
      </c>
      <c r="O106" s="602">
        <v>-457.68263715936519</v>
      </c>
    </row>
    <row r="107" spans="1:15">
      <c r="A107" s="499">
        <v>6360</v>
      </c>
      <c r="B107" s="499" t="s">
        <v>344</v>
      </c>
      <c r="C107" s="501">
        <v>3.52</v>
      </c>
      <c r="D107" s="501">
        <v>0</v>
      </c>
      <c r="E107" s="501"/>
      <c r="F107" s="501">
        <v>0</v>
      </c>
      <c r="G107" s="501"/>
      <c r="H107" s="502">
        <v>3.2107516857932383</v>
      </c>
      <c r="I107" s="502" t="str">
        <f>+G106</f>
        <v>J</v>
      </c>
      <c r="J107" s="501">
        <v>0</v>
      </c>
      <c r="K107" s="501"/>
      <c r="L107" s="501">
        <v>0</v>
      </c>
      <c r="M107" s="501"/>
      <c r="N107" s="500">
        <v>3.2107516857932383</v>
      </c>
      <c r="O107" s="602">
        <v>-0.30924831420676169</v>
      </c>
    </row>
    <row r="108" spans="1:15">
      <c r="A108" s="499">
        <v>6365</v>
      </c>
      <c r="B108" s="499" t="s">
        <v>345</v>
      </c>
      <c r="C108" s="501"/>
      <c r="D108" s="501">
        <v>0</v>
      </c>
      <c r="E108" s="501"/>
      <c r="F108" s="501">
        <v>0</v>
      </c>
      <c r="G108" s="501"/>
      <c r="H108" s="502">
        <v>0</v>
      </c>
      <c r="I108" s="502"/>
      <c r="J108" s="501">
        <v>0</v>
      </c>
      <c r="K108" s="501"/>
      <c r="L108" s="501">
        <v>0</v>
      </c>
      <c r="M108" s="501"/>
      <c r="N108" s="500">
        <v>0</v>
      </c>
      <c r="O108" s="602">
        <v>0</v>
      </c>
    </row>
    <row r="109" spans="1:15">
      <c r="A109" s="499">
        <v>6370</v>
      </c>
      <c r="B109" s="499" t="s">
        <v>346</v>
      </c>
      <c r="C109" s="501"/>
      <c r="D109" s="501">
        <v>0</v>
      </c>
      <c r="E109" s="501"/>
      <c r="F109" s="501">
        <v>0</v>
      </c>
      <c r="G109" s="501"/>
      <c r="H109" s="502">
        <v>0</v>
      </c>
      <c r="I109" s="502"/>
      <c r="J109" s="501">
        <v>0</v>
      </c>
      <c r="K109" s="501"/>
      <c r="L109" s="501">
        <v>0</v>
      </c>
      <c r="M109" s="501"/>
      <c r="N109" s="500">
        <v>0</v>
      </c>
      <c r="O109" s="602">
        <v>0</v>
      </c>
    </row>
    <row r="110" spans="1:15">
      <c r="A110" s="499">
        <v>6375</v>
      </c>
      <c r="B110" s="499" t="s">
        <v>33</v>
      </c>
      <c r="C110" s="501"/>
      <c r="D110" s="501">
        <v>0</v>
      </c>
      <c r="E110" s="501"/>
      <c r="F110" s="501">
        <v>0</v>
      </c>
      <c r="G110" s="501"/>
      <c r="H110" s="502">
        <v>0</v>
      </c>
      <c r="I110" s="502"/>
      <c r="J110" s="501">
        <v>0</v>
      </c>
      <c r="K110" s="501"/>
      <c r="L110" s="501">
        <v>0</v>
      </c>
      <c r="M110" s="501"/>
      <c r="N110" s="500">
        <v>0</v>
      </c>
      <c r="O110" s="602">
        <v>0</v>
      </c>
    </row>
    <row r="111" spans="1:15">
      <c r="A111" s="499">
        <v>6380</v>
      </c>
      <c r="B111" s="499" t="s">
        <v>34</v>
      </c>
      <c r="C111" s="501"/>
      <c r="D111" s="501">
        <v>0</v>
      </c>
      <c r="E111" s="501"/>
      <c r="F111" s="501">
        <v>0</v>
      </c>
      <c r="G111" s="501"/>
      <c r="H111" s="502">
        <v>0</v>
      </c>
      <c r="I111" s="502"/>
      <c r="J111" s="501">
        <v>0</v>
      </c>
      <c r="K111" s="501"/>
      <c r="L111" s="501">
        <v>0</v>
      </c>
      <c r="M111" s="501"/>
      <c r="N111" s="500">
        <v>0</v>
      </c>
      <c r="O111" s="602">
        <v>0</v>
      </c>
    </row>
    <row r="112" spans="1:15">
      <c r="A112" s="499">
        <v>6385</v>
      </c>
      <c r="B112" s="499" t="s">
        <v>35</v>
      </c>
      <c r="C112" s="501">
        <v>1.74</v>
      </c>
      <c r="D112" s="501">
        <v>1.5834711852103087</v>
      </c>
      <c r="E112" s="501" t="s">
        <v>1054</v>
      </c>
      <c r="F112" s="501">
        <v>0</v>
      </c>
      <c r="G112" s="501"/>
      <c r="H112" s="502">
        <v>0</v>
      </c>
      <c r="I112" s="502"/>
      <c r="J112" s="501">
        <v>0</v>
      </c>
      <c r="K112" s="501"/>
      <c r="L112" s="501">
        <v>0</v>
      </c>
      <c r="M112" s="501"/>
      <c r="N112" s="500">
        <v>1.5834711852103087</v>
      </c>
      <c r="O112" s="602">
        <v>-0.15652881478969127</v>
      </c>
    </row>
    <row r="113" spans="1:15">
      <c r="A113" s="499">
        <v>6390</v>
      </c>
      <c r="B113" s="499" t="s">
        <v>36</v>
      </c>
      <c r="C113" s="501">
        <v>-2.02</v>
      </c>
      <c r="D113" s="501">
        <v>0</v>
      </c>
      <c r="E113" s="501"/>
      <c r="F113" s="501">
        <v>0</v>
      </c>
      <c r="G113" s="501"/>
      <c r="H113" s="502">
        <v>0</v>
      </c>
      <c r="I113" s="502"/>
      <c r="J113" s="501">
        <v>0</v>
      </c>
      <c r="K113" s="501"/>
      <c r="L113" s="501">
        <v>0</v>
      </c>
      <c r="M113" s="501"/>
      <c r="N113" s="500">
        <v>0</v>
      </c>
      <c r="O113" s="602">
        <v>2.02</v>
      </c>
    </row>
    <row r="114" spans="1:15">
      <c r="B114" s="503" t="s">
        <v>211</v>
      </c>
      <c r="C114" s="501">
        <v>5036.79</v>
      </c>
      <c r="D114" s="501">
        <v>0</v>
      </c>
      <c r="E114" s="501"/>
      <c r="F114" s="501">
        <v>4451.3475798479094</v>
      </c>
      <c r="G114" s="501" t="str">
        <f>+E112</f>
        <v>J</v>
      </c>
      <c r="H114" s="502">
        <v>3.2107516857932383</v>
      </c>
      <c r="I114" s="502" t="str">
        <f>+G114</f>
        <v>J</v>
      </c>
      <c r="J114" s="502">
        <v>0</v>
      </c>
      <c r="K114" s="502"/>
      <c r="L114" s="501">
        <v>0</v>
      </c>
      <c r="M114" s="501"/>
      <c r="N114" s="500">
        <v>4454.5583315337026</v>
      </c>
      <c r="O114" s="602">
        <v>-582.23166846629738</v>
      </c>
    </row>
    <row r="115" spans="1:15">
      <c r="C115" s="501"/>
      <c r="D115" s="501"/>
      <c r="E115" s="501"/>
      <c r="F115" s="501"/>
      <c r="G115" s="501"/>
      <c r="H115" s="502"/>
      <c r="I115" s="502"/>
      <c r="J115" s="501"/>
      <c r="K115" s="501"/>
      <c r="L115" s="501"/>
      <c r="M115" s="501"/>
      <c r="N115" s="500"/>
      <c r="O115" s="602"/>
    </row>
    <row r="116" spans="1:15">
      <c r="B116" s="499" t="s">
        <v>223</v>
      </c>
      <c r="C116" s="501"/>
      <c r="D116" s="501"/>
      <c r="E116" s="501"/>
      <c r="F116" s="501"/>
      <c r="G116" s="501"/>
      <c r="H116" s="502"/>
      <c r="I116" s="502"/>
      <c r="J116" s="501"/>
      <c r="K116" s="501"/>
      <c r="L116" s="501"/>
      <c r="M116" s="501"/>
      <c r="N116" s="500"/>
      <c r="O116" s="602"/>
    </row>
    <row r="117" spans="1:15">
      <c r="A117" s="499">
        <v>7535</v>
      </c>
      <c r="B117" s="499" t="s">
        <v>453</v>
      </c>
      <c r="C117" s="501">
        <v>1.65</v>
      </c>
      <c r="D117" s="501">
        <v>1.5037713059926958</v>
      </c>
      <c r="E117" s="501" t="s">
        <v>1055</v>
      </c>
      <c r="F117" s="501">
        <v>0</v>
      </c>
      <c r="G117" s="501"/>
      <c r="H117" s="502">
        <v>0</v>
      </c>
      <c r="I117" s="502"/>
      <c r="J117" s="501">
        <v>0</v>
      </c>
      <c r="K117" s="501"/>
      <c r="L117" s="501">
        <v>0</v>
      </c>
      <c r="M117" s="501"/>
      <c r="N117" s="500">
        <v>1.5037713059926958</v>
      </c>
      <c r="O117" s="602">
        <v>-0.14622869400730409</v>
      </c>
    </row>
    <row r="118" spans="1:15">
      <c r="A118" s="499">
        <v>7540</v>
      </c>
      <c r="B118" s="499" t="s">
        <v>454</v>
      </c>
      <c r="C118" s="501"/>
      <c r="D118" s="501">
        <v>0</v>
      </c>
      <c r="E118" s="501"/>
      <c r="F118" s="501">
        <v>0</v>
      </c>
      <c r="G118" s="501"/>
      <c r="H118" s="502">
        <v>0</v>
      </c>
      <c r="I118" s="502"/>
      <c r="J118" s="501">
        <v>0</v>
      </c>
      <c r="K118" s="501"/>
      <c r="L118" s="501">
        <v>0</v>
      </c>
      <c r="M118" s="501"/>
      <c r="N118" s="500">
        <v>0</v>
      </c>
      <c r="O118" s="602">
        <v>0</v>
      </c>
    </row>
    <row r="119" spans="1:15">
      <c r="A119" s="499">
        <v>7545</v>
      </c>
      <c r="B119" s="499" t="s">
        <v>455</v>
      </c>
      <c r="C119" s="501"/>
      <c r="D119" s="501">
        <v>0</v>
      </c>
      <c r="E119" s="501"/>
      <c r="F119" s="501">
        <v>0</v>
      </c>
      <c r="G119" s="501"/>
      <c r="H119" s="502">
        <v>0</v>
      </c>
      <c r="I119" s="502"/>
      <c r="J119" s="501">
        <v>0</v>
      </c>
      <c r="K119" s="501"/>
      <c r="L119" s="501">
        <v>0</v>
      </c>
      <c r="M119" s="501"/>
      <c r="N119" s="500">
        <v>0</v>
      </c>
      <c r="O119" s="602">
        <v>0</v>
      </c>
    </row>
    <row r="120" spans="1:15">
      <c r="A120" s="499">
        <v>7550</v>
      </c>
      <c r="B120" s="499" t="s">
        <v>456</v>
      </c>
      <c r="C120" s="501">
        <v>47.66</v>
      </c>
      <c r="D120" s="501">
        <v>-404.3713724094149</v>
      </c>
      <c r="E120" s="501" t="s">
        <v>1055</v>
      </c>
      <c r="F120" s="501">
        <v>450.39503975112336</v>
      </c>
      <c r="G120" s="501" t="str">
        <f>+E120</f>
        <v>K</v>
      </c>
      <c r="H120" s="502">
        <v>0</v>
      </c>
      <c r="I120" s="502"/>
      <c r="J120" s="501">
        <v>0</v>
      </c>
      <c r="K120" s="501"/>
      <c r="L120" s="501">
        <v>0</v>
      </c>
      <c r="M120" s="501"/>
      <c r="N120" s="500">
        <v>46.02366734170846</v>
      </c>
      <c r="O120" s="602">
        <v>-1.6363326582915363</v>
      </c>
    </row>
    <row r="121" spans="1:15">
      <c r="A121" s="499">
        <v>7555</v>
      </c>
      <c r="B121" s="499" t="s">
        <v>457</v>
      </c>
      <c r="C121" s="501">
        <v>932.23</v>
      </c>
      <c r="D121" s="501">
        <v>849.91374751995079</v>
      </c>
      <c r="E121" s="501" t="s">
        <v>1055</v>
      </c>
      <c r="F121" s="501">
        <v>0</v>
      </c>
      <c r="G121" s="501"/>
      <c r="H121" s="502">
        <v>0</v>
      </c>
      <c r="I121" s="502"/>
      <c r="J121" s="501">
        <v>0</v>
      </c>
      <c r="K121" s="501"/>
      <c r="L121" s="501">
        <v>0</v>
      </c>
      <c r="M121" s="501"/>
      <c r="N121" s="500">
        <v>849.91374751995079</v>
      </c>
      <c r="O121" s="602">
        <v>-82.316252480049229</v>
      </c>
    </row>
    <row r="122" spans="1:15">
      <c r="A122" s="499">
        <v>7560</v>
      </c>
      <c r="B122" s="499" t="s">
        <v>458</v>
      </c>
      <c r="C122" s="501"/>
      <c r="D122" s="501">
        <v>0</v>
      </c>
      <c r="E122" s="501"/>
      <c r="F122" s="501">
        <v>0</v>
      </c>
      <c r="G122" s="501"/>
      <c r="H122" s="502">
        <v>0</v>
      </c>
      <c r="I122" s="502"/>
      <c r="J122" s="501">
        <v>0</v>
      </c>
      <c r="K122" s="501"/>
      <c r="L122" s="501">
        <v>0</v>
      </c>
      <c r="M122" s="501"/>
      <c r="N122" s="500">
        <v>0</v>
      </c>
      <c r="O122" s="602">
        <v>0</v>
      </c>
    </row>
    <row r="123" spans="1:15">
      <c r="A123" s="499">
        <v>7565</v>
      </c>
      <c r="B123" s="499" t="s">
        <v>459</v>
      </c>
      <c r="C123" s="501"/>
      <c r="D123" s="501">
        <v>0</v>
      </c>
      <c r="E123" s="501"/>
      <c r="F123" s="501">
        <v>0</v>
      </c>
      <c r="G123" s="501"/>
      <c r="H123" s="502">
        <v>0</v>
      </c>
      <c r="I123" s="502"/>
      <c r="J123" s="501">
        <v>0</v>
      </c>
      <c r="K123" s="501"/>
      <c r="L123" s="501">
        <v>0</v>
      </c>
      <c r="M123" s="501"/>
      <c r="N123" s="500">
        <v>0</v>
      </c>
      <c r="O123" s="602">
        <v>0</v>
      </c>
    </row>
    <row r="124" spans="1:15">
      <c r="A124" s="499">
        <v>7570</v>
      </c>
      <c r="B124" s="499" t="s">
        <v>460</v>
      </c>
      <c r="C124" s="501"/>
      <c r="D124" s="501">
        <v>0</v>
      </c>
      <c r="E124" s="501"/>
      <c r="F124" s="501">
        <v>0</v>
      </c>
      <c r="G124" s="501"/>
      <c r="H124" s="502">
        <v>0</v>
      </c>
      <c r="I124" s="502"/>
      <c r="J124" s="501">
        <v>0</v>
      </c>
      <c r="K124" s="501"/>
      <c r="L124" s="501">
        <v>0</v>
      </c>
      <c r="M124" s="501"/>
      <c r="N124" s="500">
        <v>0</v>
      </c>
      <c r="O124" s="602">
        <v>0</v>
      </c>
    </row>
    <row r="125" spans="1:15">
      <c r="B125" s="503" t="s">
        <v>223</v>
      </c>
      <c r="C125" s="501">
        <v>981.54</v>
      </c>
      <c r="D125" s="501">
        <v>447.04614641652859</v>
      </c>
      <c r="E125" s="501" t="s">
        <v>1055</v>
      </c>
      <c r="F125" s="501">
        <v>450.39503975112336</v>
      </c>
      <c r="G125" s="501" t="str">
        <f>+E125</f>
        <v>K</v>
      </c>
      <c r="H125" s="502">
        <v>0</v>
      </c>
      <c r="I125" s="502"/>
      <c r="J125" s="502">
        <v>0</v>
      </c>
      <c r="K125" s="502"/>
      <c r="L125" s="501">
        <v>0</v>
      </c>
      <c r="M125" s="501"/>
      <c r="N125" s="500">
        <v>897.44118616765195</v>
      </c>
      <c r="O125" s="602">
        <v>-84.098813832348014</v>
      </c>
    </row>
    <row r="126" spans="1:15">
      <c r="O126" s="602"/>
    </row>
  </sheetData>
  <phoneticPr fontId="48" type="noConversion"/>
  <pageMargins left="0.7" right="0.7" top="0.75" bottom="0.75" header="0.3" footer="0.3"/>
  <pageSetup scale="48" orientation="landscape" r:id="rId1"/>
  <rowBreaks count="1" manualBreakCount="1">
    <brk id="62" max="9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43"/>
  <sheetViews>
    <sheetView view="pageBreakPreview" topLeftCell="B1" zoomScale="75" zoomScaleNormal="100" zoomScaleSheetLayoutView="75" workbookViewId="0">
      <selection activeCell="D26" sqref="D26"/>
    </sheetView>
  </sheetViews>
  <sheetFormatPr defaultColWidth="10.875" defaultRowHeight="15"/>
  <cols>
    <col min="1" max="1" width="14.125" style="2" customWidth="1"/>
    <col min="2" max="2" width="3.875" style="2" customWidth="1"/>
    <col min="3" max="3" width="35" style="2" bestFit="1" customWidth="1"/>
    <col min="4" max="4" width="3.875" style="2" customWidth="1"/>
    <col min="5" max="5" width="15.875" style="2" bestFit="1" customWidth="1"/>
    <col min="6" max="6" width="3.875" style="2" customWidth="1"/>
    <col min="7" max="7" width="24.75" style="2" bestFit="1" customWidth="1"/>
    <col min="8" max="8" width="3.875" style="2" customWidth="1"/>
    <col min="9" max="9" width="19.5" style="2" bestFit="1" customWidth="1"/>
    <col min="10" max="10" width="3.875" style="2" customWidth="1"/>
    <col min="11" max="13" width="10.875" style="2"/>
    <col min="14" max="14" width="26.625" style="2" customWidth="1"/>
    <col min="15" max="16384" width="10.875" style="2"/>
  </cols>
  <sheetData>
    <row r="1" spans="1:9">
      <c r="A1" s="38" t="e">
        <f>#REF!</f>
        <v>#REF!</v>
      </c>
      <c r="I1" s="259" t="s">
        <v>161</v>
      </c>
    </row>
    <row r="2" spans="1:9">
      <c r="A2" s="39" t="s">
        <v>358</v>
      </c>
      <c r="G2" s="67">
        <f>+I28*2%</f>
        <v>0</v>
      </c>
    </row>
    <row r="6" spans="1:9">
      <c r="E6" s="33" t="s">
        <v>482</v>
      </c>
      <c r="G6" s="5" t="s">
        <v>380</v>
      </c>
      <c r="H6" s="5"/>
      <c r="I6" s="5" t="s">
        <v>596</v>
      </c>
    </row>
    <row r="7" spans="1:9">
      <c r="A7" s="65" t="s">
        <v>551</v>
      </c>
      <c r="B7" s="5"/>
      <c r="C7" s="65" t="s">
        <v>830</v>
      </c>
      <c r="D7" s="5"/>
      <c r="E7" s="65" t="s">
        <v>647</v>
      </c>
      <c r="F7" s="5"/>
      <c r="G7" s="65" t="s">
        <v>648</v>
      </c>
      <c r="H7" s="33"/>
      <c r="I7" s="65" t="s">
        <v>131</v>
      </c>
    </row>
    <row r="9" spans="1:9">
      <c r="A9" s="2">
        <v>1045</v>
      </c>
      <c r="E9" s="216"/>
      <c r="F9" s="216"/>
      <c r="G9" s="216"/>
      <c r="H9" s="216"/>
      <c r="I9" s="277"/>
    </row>
    <row r="10" spans="1:9">
      <c r="A10" s="11">
        <v>1080</v>
      </c>
      <c r="B10" s="1"/>
      <c r="C10" s="11"/>
      <c r="E10" s="216"/>
      <c r="F10" s="216"/>
      <c r="G10" s="216"/>
      <c r="H10" s="216"/>
      <c r="I10" s="277"/>
    </row>
    <row r="11" spans="1:9">
      <c r="A11" s="11">
        <v>1090</v>
      </c>
      <c r="B11" s="1"/>
      <c r="C11" s="11"/>
      <c r="E11" s="216"/>
      <c r="F11" s="216"/>
      <c r="G11" s="216"/>
      <c r="H11" s="216"/>
      <c r="I11" s="277"/>
    </row>
    <row r="12" spans="1:9">
      <c r="A12" s="11">
        <v>1105</v>
      </c>
      <c r="B12" s="1"/>
      <c r="C12" s="11"/>
      <c r="E12" s="216"/>
      <c r="F12" s="216"/>
      <c r="G12" s="216"/>
      <c r="H12" s="216"/>
      <c r="I12" s="277"/>
    </row>
    <row r="13" spans="1:9">
      <c r="A13" s="11">
        <v>1110</v>
      </c>
      <c r="B13" s="1"/>
      <c r="C13" s="11"/>
      <c r="E13" s="216"/>
      <c r="F13" s="216"/>
      <c r="G13" s="216"/>
      <c r="H13" s="216"/>
      <c r="I13" s="277"/>
    </row>
    <row r="14" spans="1:9">
      <c r="A14" s="11">
        <v>1115</v>
      </c>
      <c r="B14" s="1"/>
      <c r="C14" s="11"/>
      <c r="E14" s="216"/>
      <c r="F14" s="216"/>
      <c r="G14" s="216"/>
      <c r="H14" s="216"/>
      <c r="I14" s="277"/>
    </row>
    <row r="15" spans="1:9">
      <c r="A15" s="11">
        <v>1120</v>
      </c>
      <c r="B15" s="1"/>
      <c r="C15" s="11"/>
      <c r="E15" s="216"/>
      <c r="F15" s="216"/>
      <c r="G15" s="216"/>
      <c r="H15" s="216"/>
      <c r="I15" s="277"/>
    </row>
    <row r="16" spans="1:9">
      <c r="A16" s="11">
        <v>1125</v>
      </c>
      <c r="B16" s="1"/>
      <c r="C16" s="11"/>
      <c r="E16" s="216"/>
      <c r="F16" s="216"/>
      <c r="G16" s="216"/>
      <c r="H16" s="216"/>
      <c r="I16" s="277"/>
    </row>
    <row r="17" spans="1:10">
      <c r="A17" s="11">
        <v>1130</v>
      </c>
      <c r="B17" s="1"/>
      <c r="C17" s="11"/>
      <c r="E17" s="216"/>
      <c r="F17" s="216"/>
      <c r="G17" s="216"/>
      <c r="H17" s="216"/>
      <c r="I17" s="277"/>
    </row>
    <row r="18" spans="1:10">
      <c r="A18" s="11">
        <v>1135</v>
      </c>
      <c r="B18" s="1"/>
      <c r="C18" s="11"/>
      <c r="E18" s="216"/>
      <c r="F18" s="216"/>
      <c r="G18" s="216"/>
      <c r="H18" s="216"/>
      <c r="I18" s="277"/>
    </row>
    <row r="19" spans="1:10">
      <c r="A19" s="11">
        <v>1140</v>
      </c>
      <c r="B19" s="1"/>
      <c r="C19" s="11"/>
      <c r="E19" s="216"/>
      <c r="F19" s="216"/>
      <c r="G19" s="216"/>
      <c r="H19" s="216"/>
      <c r="I19" s="277"/>
    </row>
    <row r="20" spans="1:10">
      <c r="A20" s="11">
        <v>1145</v>
      </c>
      <c r="B20" s="1"/>
      <c r="C20" s="11"/>
      <c r="E20" s="216"/>
      <c r="F20" s="216"/>
      <c r="G20" s="216"/>
      <c r="H20" s="216"/>
      <c r="I20" s="277"/>
    </row>
    <row r="21" spans="1:10">
      <c r="A21" s="11">
        <v>1175</v>
      </c>
      <c r="B21" s="1"/>
      <c r="E21" s="216"/>
      <c r="F21" s="216"/>
      <c r="G21" s="216"/>
      <c r="H21" s="216"/>
      <c r="I21" s="277"/>
    </row>
    <row r="22" spans="1:10">
      <c r="A22" s="11">
        <v>1180</v>
      </c>
      <c r="B22" s="1"/>
      <c r="C22" s="11"/>
      <c r="E22" s="216"/>
      <c r="F22" s="216"/>
      <c r="G22" s="216"/>
      <c r="H22" s="216"/>
      <c r="I22" s="277"/>
    </row>
    <row r="23" spans="1:10">
      <c r="A23" s="11">
        <v>1190</v>
      </c>
      <c r="B23" s="1"/>
      <c r="C23" s="11"/>
      <c r="E23" s="216"/>
      <c r="F23" s="216"/>
      <c r="G23" s="216"/>
      <c r="H23" s="216"/>
      <c r="I23" s="277"/>
    </row>
    <row r="24" spans="1:10">
      <c r="A24" s="11">
        <v>1205</v>
      </c>
      <c r="B24" s="1"/>
      <c r="E24" s="216"/>
      <c r="F24" s="216"/>
      <c r="G24" s="216"/>
      <c r="H24" s="216"/>
      <c r="I24" s="277"/>
    </row>
    <row r="25" spans="1:10">
      <c r="A25" s="11"/>
      <c r="B25" s="1"/>
      <c r="C25"/>
      <c r="E25" s="216"/>
      <c r="F25" s="216"/>
      <c r="G25" s="216"/>
      <c r="H25" s="216"/>
      <c r="I25" s="277"/>
    </row>
    <row r="26" spans="1:10">
      <c r="A26" s="11"/>
      <c r="B26" s="1"/>
      <c r="C26" s="11"/>
      <c r="E26" s="215"/>
      <c r="G26" s="215"/>
      <c r="H26" s="215"/>
      <c r="I26" s="34"/>
    </row>
    <row r="27" spans="1:10">
      <c r="A27" s="11"/>
      <c r="E27" s="340"/>
      <c r="G27" s="340"/>
      <c r="H27" s="215"/>
      <c r="I27" s="340"/>
    </row>
    <row r="28" spans="1:10" ht="15.75" thickBot="1">
      <c r="A28" s="11"/>
      <c r="C28" s="2" t="s">
        <v>391</v>
      </c>
      <c r="E28" s="823">
        <f>SUM(E9:E26)</f>
        <v>0</v>
      </c>
      <c r="F28" s="306"/>
      <c r="G28" s="823">
        <f>SUM(G9:G26)</f>
        <v>0</v>
      </c>
      <c r="H28" s="277"/>
      <c r="I28" s="823">
        <f>SUM(I9:I26)</f>
        <v>0</v>
      </c>
    </row>
    <row r="29" spans="1:10" ht="15.75" thickTop="1">
      <c r="A29" s="11"/>
      <c r="E29" s="215"/>
      <c r="G29" s="215"/>
      <c r="H29" s="215"/>
      <c r="I29" s="215"/>
      <c r="J29" s="215"/>
    </row>
    <row r="30" spans="1:10">
      <c r="A30" s="11"/>
      <c r="E30" s="215"/>
    </row>
    <row r="31" spans="1:10">
      <c r="A31" s="11"/>
      <c r="E31" s="215"/>
    </row>
    <row r="32" spans="1:10">
      <c r="A32" s="293"/>
      <c r="E32" s="215"/>
    </row>
    <row r="33" spans="1:5">
      <c r="A33" s="5"/>
      <c r="E33" s="215"/>
    </row>
    <row r="34" spans="1:5">
      <c r="A34" s="5"/>
      <c r="E34" s="215"/>
    </row>
    <row r="35" spans="1:5">
      <c r="A35" s="5"/>
      <c r="E35" s="215"/>
    </row>
    <row r="36" spans="1:5">
      <c r="A36" s="5"/>
      <c r="E36" s="215"/>
    </row>
    <row r="37" spans="1:5">
      <c r="A37" s="5"/>
      <c r="E37" s="215"/>
    </row>
    <row r="38" spans="1:5">
      <c r="A38" s="5"/>
      <c r="E38" s="215"/>
    </row>
    <row r="39" spans="1:5">
      <c r="A39" s="5"/>
    </row>
    <row r="40" spans="1:5">
      <c r="A40" s="5"/>
    </row>
    <row r="41" spans="1:5">
      <c r="A41" s="5"/>
    </row>
    <row r="42" spans="1:5">
      <c r="A42" s="5"/>
    </row>
    <row r="43" spans="1:5">
      <c r="A43" s="5"/>
    </row>
  </sheetData>
  <phoneticPr fontId="26" type="noConversion"/>
  <pageMargins left="0.75" right="0.75" top="1" bottom="1" header="0.5" footer="0.5"/>
  <pageSetup scale="75" orientation="landscape" horizontalDpi="4294967292" vertic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50"/>
  <sheetViews>
    <sheetView view="pageBreakPreview" zoomScale="75" zoomScaleNormal="100" zoomScaleSheetLayoutView="75" workbookViewId="0">
      <selection activeCell="C22" sqref="C22"/>
    </sheetView>
  </sheetViews>
  <sheetFormatPr defaultRowHeight="12.75"/>
  <cols>
    <col min="1" max="1" width="20.125" style="829" bestFit="1" customWidth="1"/>
    <col min="2" max="2" width="3" style="829" customWidth="1"/>
    <col min="3" max="3" width="25.5" style="829" customWidth="1"/>
    <col min="4" max="4" width="3" style="829" customWidth="1"/>
    <col min="5" max="5" width="10.875" style="829" customWidth="1"/>
    <col min="6" max="6" width="3" style="829" customWidth="1"/>
    <col min="7" max="7" width="19" style="829" customWidth="1"/>
    <col min="8" max="8" width="3" style="829" customWidth="1"/>
    <col min="9" max="9" width="11.125" style="829" bestFit="1" customWidth="1"/>
    <col min="10" max="13" width="9" style="829"/>
    <col min="14" max="14" width="26.625" style="829" customWidth="1"/>
    <col min="15" max="15" width="16" style="829" bestFit="1" customWidth="1"/>
    <col min="16" max="16384" width="9" style="829"/>
  </cols>
  <sheetData>
    <row r="1" spans="1:9">
      <c r="A1" s="1296" t="str">
        <f>'Input Schedule'!G6</f>
        <v>WATER SERVICE CORPORATION OF KENTUCKY</v>
      </c>
      <c r="B1" s="1296"/>
      <c r="I1" s="1208" t="s">
        <v>1725</v>
      </c>
    </row>
    <row r="2" spans="1:9">
      <c r="A2" s="1296" t="str">
        <f>'Sch.A-B.S'!F2</f>
        <v>Case No. 2013 - 00237</v>
      </c>
      <c r="B2" s="1296"/>
      <c r="I2" s="1208"/>
    </row>
    <row r="3" spans="1:9">
      <c r="A3" s="1296" t="s">
        <v>1723</v>
      </c>
      <c r="B3" s="1296"/>
    </row>
    <row r="4" spans="1:9">
      <c r="A4" s="1296" t="str">
        <f>'Sch.B-I.S'!A4</f>
        <v>Test Year 12/31/2012</v>
      </c>
      <c r="B4" s="1296"/>
    </row>
    <row r="6" spans="1:9" ht="60" customHeight="1">
      <c r="A6" s="1304" t="s">
        <v>551</v>
      </c>
      <c r="B6" s="1303"/>
      <c r="C6" s="1304" t="s">
        <v>172</v>
      </c>
      <c r="D6" s="1303"/>
      <c r="E6" s="1304" t="s">
        <v>1964</v>
      </c>
      <c r="F6" s="1303"/>
      <c r="G6" s="1304" t="s">
        <v>1965</v>
      </c>
      <c r="H6" s="1303"/>
      <c r="I6" s="1304" t="s">
        <v>1762</v>
      </c>
    </row>
    <row r="7" spans="1:9">
      <c r="A7" s="829">
        <v>5630</v>
      </c>
      <c r="C7" s="829" t="s">
        <v>1518</v>
      </c>
      <c r="E7" s="1137">
        <v>573961.37</v>
      </c>
      <c r="F7" s="1137"/>
      <c r="G7" s="492"/>
      <c r="H7" s="492"/>
      <c r="I7" s="492"/>
    </row>
    <row r="8" spans="1:9">
      <c r="A8" s="829">
        <v>5635</v>
      </c>
      <c r="C8" s="829" t="s">
        <v>966</v>
      </c>
      <c r="E8" s="1137">
        <v>131369.94</v>
      </c>
      <c r="F8" s="1137"/>
      <c r="G8" s="492"/>
      <c r="H8" s="492"/>
      <c r="I8" s="492"/>
    </row>
    <row r="9" spans="1:9">
      <c r="A9" s="829">
        <v>5640</v>
      </c>
      <c r="C9" s="829" t="s">
        <v>967</v>
      </c>
      <c r="E9" s="1137">
        <v>0</v>
      </c>
      <c r="F9" s="1137"/>
      <c r="G9" s="492"/>
      <c r="H9" s="492"/>
      <c r="I9" s="492"/>
    </row>
    <row r="10" spans="1:9">
      <c r="A10" s="829">
        <v>5645</v>
      </c>
      <c r="C10" s="829" t="s">
        <v>469</v>
      </c>
      <c r="E10" s="1137">
        <v>-864246.86</v>
      </c>
      <c r="F10" s="1137"/>
      <c r="G10" s="492"/>
      <c r="H10" s="492"/>
      <c r="I10" s="492"/>
    </row>
    <row r="11" spans="1:9">
      <c r="A11" s="829">
        <v>5650</v>
      </c>
      <c r="C11" s="829" t="s">
        <v>470</v>
      </c>
      <c r="E11" s="1137">
        <v>15294.42</v>
      </c>
      <c r="F11" s="1137"/>
      <c r="G11" s="492"/>
      <c r="H11" s="492"/>
      <c r="I11" s="492"/>
    </row>
    <row r="12" spans="1:9">
      <c r="A12" s="829">
        <v>5655</v>
      </c>
      <c r="C12" s="829" t="s">
        <v>471</v>
      </c>
      <c r="E12" s="1137">
        <v>3233625.57</v>
      </c>
      <c r="F12" s="1137"/>
      <c r="G12" s="492"/>
      <c r="H12" s="492"/>
      <c r="I12" s="492"/>
    </row>
    <row r="13" spans="1:9" ht="13.5" thickBot="1">
      <c r="A13" s="492"/>
      <c r="B13" s="492"/>
      <c r="C13" s="1138" t="s">
        <v>173</v>
      </c>
      <c r="D13" s="1138"/>
      <c r="E13" s="1139">
        <f>SUM(E7:E12)</f>
        <v>3090004.44</v>
      </c>
      <c r="F13" s="1301"/>
      <c r="G13" s="1140">
        <f>C39</f>
        <v>413</v>
      </c>
      <c r="H13" s="1140"/>
      <c r="I13" s="1140">
        <f>E13/G13</f>
        <v>7481.8509443099274</v>
      </c>
    </row>
    <row r="14" spans="1:9" ht="13.5" thickTop="1">
      <c r="A14" s="492"/>
      <c r="B14" s="492"/>
      <c r="C14" s="1141"/>
      <c r="D14" s="1141"/>
      <c r="E14" s="1142"/>
      <c r="F14" s="1142"/>
      <c r="G14" s="492"/>
      <c r="H14" s="492"/>
      <c r="I14" s="492"/>
    </row>
    <row r="15" spans="1:9">
      <c r="A15" s="829">
        <v>5660</v>
      </c>
      <c r="C15" s="829" t="s">
        <v>1539</v>
      </c>
      <c r="E15" s="1137">
        <v>28222.79</v>
      </c>
      <c r="F15" s="1137"/>
      <c r="G15" s="492"/>
      <c r="H15" s="492"/>
      <c r="I15" s="492"/>
    </row>
    <row r="16" spans="1:9">
      <c r="A16" s="829">
        <v>5670</v>
      </c>
      <c r="C16" s="829" t="s">
        <v>474</v>
      </c>
      <c r="E16" s="1137">
        <v>187547.14</v>
      </c>
      <c r="F16" s="1137"/>
      <c r="G16" s="492"/>
      <c r="H16" s="492"/>
      <c r="I16" s="492"/>
    </row>
    <row r="17" spans="1:9">
      <c r="A17" s="829">
        <v>5675</v>
      </c>
      <c r="C17" s="829" t="s">
        <v>1080</v>
      </c>
      <c r="E17" s="1137">
        <v>-22819.02</v>
      </c>
      <c r="F17" s="1137"/>
      <c r="G17" s="492"/>
      <c r="H17" s="492"/>
      <c r="I17" s="492"/>
    </row>
    <row r="18" spans="1:9">
      <c r="A18" s="829">
        <v>5680</v>
      </c>
      <c r="C18" s="829" t="s">
        <v>1081</v>
      </c>
      <c r="E18" s="1137">
        <v>-14443.13</v>
      </c>
      <c r="F18" s="1137"/>
      <c r="G18" s="492"/>
      <c r="H18" s="492"/>
      <c r="I18" s="492"/>
    </row>
    <row r="19" spans="1:9">
      <c r="A19" s="829">
        <v>5685</v>
      </c>
      <c r="C19" s="829" t="s">
        <v>1082</v>
      </c>
      <c r="E19" s="1137">
        <v>0</v>
      </c>
      <c r="F19" s="1137"/>
      <c r="G19" s="492"/>
      <c r="H19" s="492"/>
      <c r="I19" s="492"/>
    </row>
    <row r="20" spans="1:9">
      <c r="A20" s="829">
        <v>5690</v>
      </c>
      <c r="C20" s="829" t="s">
        <v>1083</v>
      </c>
      <c r="E20" s="1137">
        <v>8797.18</v>
      </c>
      <c r="F20" s="1137"/>
      <c r="G20" s="492"/>
      <c r="H20" s="492"/>
      <c r="I20" s="492"/>
    </row>
    <row r="21" spans="1:9" ht="13.5" thickBot="1">
      <c r="A21" s="492"/>
      <c r="B21" s="492"/>
      <c r="C21" s="1138" t="s">
        <v>174</v>
      </c>
      <c r="D21" s="1138"/>
      <c r="E21" s="1139">
        <f>SUM(E15:E20)</f>
        <v>187304.96000000002</v>
      </c>
      <c r="F21" s="1301"/>
      <c r="G21" s="1140">
        <f>C39</f>
        <v>413</v>
      </c>
      <c r="H21" s="1140"/>
      <c r="I21" s="1140">
        <f>E21/G21</f>
        <v>453.52290556900732</v>
      </c>
    </row>
    <row r="22" spans="1:9" ht="13.5" thickTop="1">
      <c r="A22" s="492"/>
      <c r="B22" s="492"/>
      <c r="C22" s="1141"/>
      <c r="D22" s="1141"/>
      <c r="E22" s="492"/>
      <c r="F22" s="492"/>
      <c r="G22" s="492"/>
      <c r="H22" s="492"/>
      <c r="I22" s="492"/>
    </row>
    <row r="25" spans="1:9">
      <c r="A25" s="1143"/>
      <c r="B25" s="1143"/>
      <c r="C25" s="1143" t="s">
        <v>1541</v>
      </c>
      <c r="D25" s="1143"/>
    </row>
    <row r="26" spans="1:9" ht="15">
      <c r="A26" s="1144" t="s">
        <v>1724</v>
      </c>
      <c r="B26" s="1302"/>
      <c r="C26" s="1144" t="s">
        <v>1540</v>
      </c>
      <c r="D26" s="1302"/>
      <c r="E26" s="1145"/>
      <c r="F26" s="1145"/>
    </row>
    <row r="27" spans="1:9" ht="15">
      <c r="A27" s="1146">
        <v>40939</v>
      </c>
      <c r="B27" s="1146"/>
      <c r="C27" s="1378">
        <v>410</v>
      </c>
      <c r="D27" s="1147"/>
      <c r="E27" s="1145"/>
      <c r="F27" s="1145"/>
      <c r="G27" s="1148"/>
      <c r="H27" s="1148"/>
    </row>
    <row r="28" spans="1:9" ht="15">
      <c r="A28" s="1146">
        <v>40967</v>
      </c>
      <c r="B28" s="1146"/>
      <c r="C28" s="1378">
        <v>415</v>
      </c>
      <c r="D28" s="1147"/>
      <c r="E28" s="1145"/>
      <c r="F28" s="1145"/>
    </row>
    <row r="29" spans="1:9" ht="15">
      <c r="A29" s="1146">
        <v>40999</v>
      </c>
      <c r="B29" s="1146"/>
      <c r="C29" s="1378">
        <v>415</v>
      </c>
      <c r="D29" s="1147"/>
      <c r="E29" s="1145"/>
      <c r="F29" s="1145"/>
    </row>
    <row r="30" spans="1:9" ht="15">
      <c r="A30" s="1146">
        <v>41029</v>
      </c>
      <c r="B30" s="1146"/>
      <c r="C30" s="1378">
        <v>414</v>
      </c>
      <c r="D30" s="1147"/>
      <c r="E30" s="1145"/>
      <c r="F30" s="1145"/>
    </row>
    <row r="31" spans="1:9" ht="15">
      <c r="A31" s="1146">
        <v>41060</v>
      </c>
      <c r="B31" s="1146"/>
      <c r="C31" s="1378">
        <v>412</v>
      </c>
      <c r="D31" s="1147"/>
      <c r="E31" s="1145"/>
      <c r="F31" s="1145"/>
      <c r="G31" s="1149"/>
      <c r="H31" s="1149"/>
    </row>
    <row r="32" spans="1:9" ht="15">
      <c r="A32" s="1146">
        <v>41090</v>
      </c>
      <c r="B32" s="1146"/>
      <c r="C32" s="1378">
        <v>414</v>
      </c>
      <c r="D32" s="1147"/>
      <c r="E32" s="1145"/>
      <c r="F32" s="1145"/>
    </row>
    <row r="33" spans="1:9" ht="15">
      <c r="A33" s="1146">
        <v>41121</v>
      </c>
      <c r="B33" s="1146"/>
      <c r="C33" s="1378">
        <v>412</v>
      </c>
      <c r="D33" s="1147"/>
      <c r="E33" s="1145"/>
      <c r="F33" s="1145"/>
    </row>
    <row r="34" spans="1:9" ht="15">
      <c r="A34" s="1146">
        <v>41152</v>
      </c>
      <c r="B34" s="1146"/>
      <c r="C34" s="1378">
        <v>411</v>
      </c>
      <c r="D34" s="1147"/>
      <c r="E34" s="1145"/>
      <c r="F34" s="1145"/>
    </row>
    <row r="35" spans="1:9">
      <c r="A35" s="1146">
        <v>41182</v>
      </c>
      <c r="B35" s="1146"/>
      <c r="C35" s="1378">
        <v>410</v>
      </c>
      <c r="D35" s="1147"/>
    </row>
    <row r="36" spans="1:9">
      <c r="A36" s="1146">
        <v>41213</v>
      </c>
      <c r="B36" s="1146"/>
      <c r="C36" s="1379">
        <v>410</v>
      </c>
    </row>
    <row r="37" spans="1:9">
      <c r="A37" s="1146">
        <v>41243</v>
      </c>
      <c r="B37" s="1146"/>
      <c r="C37" s="1379">
        <v>415</v>
      </c>
    </row>
    <row r="38" spans="1:9">
      <c r="A38" s="1146">
        <v>41274</v>
      </c>
      <c r="B38" s="1146"/>
      <c r="C38" s="1379">
        <v>418</v>
      </c>
    </row>
    <row r="39" spans="1:9" ht="13.5" thickBot="1">
      <c r="A39" s="1150" t="s">
        <v>1542</v>
      </c>
      <c r="B39" s="1150"/>
      <c r="C39" s="1151">
        <f>ROUND(AVERAGE(C27:C38),0)</f>
        <v>413</v>
      </c>
      <c r="D39" s="1283"/>
    </row>
    <row r="40" spans="1:9" ht="13.5" thickTop="1"/>
    <row r="44" spans="1:9">
      <c r="C44" s="1152"/>
      <c r="D44" s="1152"/>
      <c r="E44" s="1137"/>
      <c r="F44" s="1137"/>
      <c r="G44" s="1153"/>
      <c r="H44" s="1153"/>
      <c r="I44" s="1137"/>
    </row>
    <row r="45" spans="1:9">
      <c r="C45" s="1154"/>
      <c r="D45" s="1154"/>
      <c r="E45" s="1137"/>
      <c r="F45" s="1137"/>
      <c r="G45" s="1153"/>
      <c r="H45" s="1153"/>
      <c r="I45" s="1137"/>
    </row>
    <row r="49" spans="3:9">
      <c r="C49" s="1152"/>
      <c r="D49" s="1152"/>
      <c r="E49" s="1137"/>
      <c r="F49" s="1137"/>
      <c r="G49" s="1153"/>
      <c r="H49" s="1153"/>
      <c r="I49" s="1137"/>
    </row>
    <row r="50" spans="3:9">
      <c r="C50" s="1154"/>
      <c r="D50" s="1154"/>
      <c r="E50" s="1137"/>
      <c r="F50" s="1137"/>
      <c r="G50" s="1153"/>
      <c r="H50" s="1153"/>
      <c r="I50" s="1137"/>
    </row>
  </sheetData>
  <phoneticPr fontId="42" type="noConversion"/>
  <pageMargins left="0.7" right="0.7" top="0.75" bottom="0.75" header="0.3" footer="0.3"/>
  <pageSetup scale="86" orientation="landscape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7030A0"/>
  </sheetPr>
  <dimension ref="A1:O62"/>
  <sheetViews>
    <sheetView view="pageBreakPreview" zoomScale="75" zoomScaleNormal="100" zoomScaleSheetLayoutView="75" workbookViewId="0">
      <selection activeCell="D26" sqref="D26"/>
    </sheetView>
  </sheetViews>
  <sheetFormatPr defaultColWidth="10.875" defaultRowHeight="15"/>
  <cols>
    <col min="1" max="1" width="47.25" style="251" bestFit="1" customWidth="1"/>
    <col min="2" max="2" width="2.125" style="233" customWidth="1"/>
    <col min="3" max="3" width="9" style="265" bestFit="1" customWidth="1"/>
    <col min="4" max="4" width="2.125" style="235" customWidth="1"/>
    <col min="5" max="5" width="9.625" style="265" bestFit="1" customWidth="1"/>
    <col min="6" max="6" width="2.125" style="252" customWidth="1"/>
    <col min="7" max="7" width="9" style="250" bestFit="1" customWidth="1"/>
    <col min="8" max="8" width="2.125" style="250" customWidth="1"/>
    <col min="9" max="9" width="9.125" style="250" bestFit="1" customWidth="1"/>
    <col min="10" max="10" width="2.125" style="250" customWidth="1"/>
    <col min="11" max="11" width="8.125" style="233" bestFit="1" customWidth="1"/>
    <col min="12" max="12" width="2.125" style="250" customWidth="1"/>
    <col min="13" max="13" width="18" style="250" bestFit="1" customWidth="1"/>
    <col min="14" max="14" width="26.625" style="250" customWidth="1"/>
    <col min="15" max="15" width="41.125" style="250" customWidth="1"/>
    <col min="16" max="16384" width="10.875" style="250"/>
  </cols>
  <sheetData>
    <row r="1" spans="1:15" s="233" customFormat="1">
      <c r="A1" s="232" t="e">
        <f>#REF!</f>
        <v>#REF!</v>
      </c>
      <c r="B1" s="234"/>
      <c r="C1" s="265"/>
      <c r="D1" s="235"/>
      <c r="E1" s="267"/>
      <c r="F1" s="142"/>
      <c r="H1" s="234"/>
      <c r="M1" s="259" t="s">
        <v>159</v>
      </c>
    </row>
    <row r="2" spans="1:15" s="233" customFormat="1">
      <c r="A2" s="248" t="s">
        <v>1138</v>
      </c>
      <c r="C2" s="265"/>
      <c r="D2" s="235"/>
      <c r="E2" s="268"/>
      <c r="F2" s="142"/>
      <c r="I2" s="258"/>
    </row>
    <row r="3" spans="1:15" s="233" customFormat="1">
      <c r="A3" s="236"/>
      <c r="C3" s="265"/>
      <c r="D3" s="235"/>
      <c r="E3" s="269"/>
    </row>
    <row r="4" spans="1:15" s="233" customFormat="1">
      <c r="A4" s="236"/>
      <c r="C4" s="265"/>
      <c r="D4" s="235"/>
      <c r="E4" s="270"/>
      <c r="F4" s="231"/>
    </row>
    <row r="5" spans="1:15" s="233" customFormat="1">
      <c r="A5" s="42"/>
      <c r="B5" s="15"/>
      <c r="C5" s="265"/>
      <c r="D5" s="235"/>
      <c r="E5" s="265"/>
      <c r="F5" s="239"/>
      <c r="G5" s="239"/>
    </row>
    <row r="6" spans="1:15" s="240" customFormat="1">
      <c r="C6" s="266"/>
      <c r="D6" s="241"/>
      <c r="E6" s="260" t="s">
        <v>919</v>
      </c>
      <c r="F6" s="241"/>
      <c r="G6" s="241" t="s">
        <v>391</v>
      </c>
      <c r="I6" s="240" t="s">
        <v>85</v>
      </c>
    </row>
    <row r="7" spans="1:15" s="240" customFormat="1">
      <c r="A7" s="240" t="s">
        <v>86</v>
      </c>
      <c r="C7" s="260" t="s">
        <v>873</v>
      </c>
      <c r="D7" s="241"/>
      <c r="E7" s="260" t="s">
        <v>561</v>
      </c>
      <c r="F7" s="241"/>
      <c r="G7" s="241" t="s">
        <v>562</v>
      </c>
      <c r="H7" s="237"/>
      <c r="I7" s="237" t="s">
        <v>899</v>
      </c>
      <c r="J7" s="237"/>
      <c r="K7" s="237" t="s">
        <v>925</v>
      </c>
      <c r="L7" s="237"/>
      <c r="M7" s="240" t="s">
        <v>86</v>
      </c>
    </row>
    <row r="8" spans="1:15" s="240" customFormat="1">
      <c r="A8" s="242" t="s">
        <v>830</v>
      </c>
      <c r="C8" s="309" t="s">
        <v>8</v>
      </c>
      <c r="D8" s="241"/>
      <c r="E8" s="261" t="s">
        <v>912</v>
      </c>
      <c r="F8" s="241"/>
      <c r="G8" s="243" t="s">
        <v>86</v>
      </c>
      <c r="H8" s="237"/>
      <c r="I8" s="242" t="s">
        <v>917</v>
      </c>
      <c r="J8" s="237"/>
      <c r="K8" s="242" t="s">
        <v>791</v>
      </c>
      <c r="L8" s="237"/>
      <c r="M8" s="242" t="s">
        <v>1144</v>
      </c>
      <c r="O8" s="242" t="s">
        <v>572</v>
      </c>
    </row>
    <row r="9" spans="1:15" s="233" customFormat="1">
      <c r="C9" s="258"/>
      <c r="D9" s="239"/>
      <c r="E9" s="265"/>
      <c r="F9" s="239"/>
      <c r="G9" s="239"/>
      <c r="H9" s="239"/>
      <c r="I9" s="244"/>
      <c r="J9" s="244"/>
      <c r="K9" s="239"/>
      <c r="L9" s="239"/>
    </row>
    <row r="10" spans="1:15" s="233" customFormat="1">
      <c r="C10" s="258"/>
      <c r="D10" s="239"/>
      <c r="E10" s="265"/>
      <c r="F10" s="239"/>
      <c r="G10" s="239"/>
      <c r="H10" s="239"/>
      <c r="I10" s="244"/>
      <c r="J10" s="244"/>
      <c r="K10" s="599"/>
      <c r="L10" s="239"/>
    </row>
    <row r="11" spans="1:15" s="233" customFormat="1">
      <c r="A11" s="253"/>
      <c r="C11" s="258"/>
      <c r="D11" s="239"/>
      <c r="E11" s="258"/>
      <c r="F11" s="239"/>
      <c r="G11" s="235"/>
      <c r="H11" s="245"/>
      <c r="I11" s="244"/>
      <c r="J11" s="244"/>
      <c r="K11" s="239"/>
      <c r="L11" s="239"/>
    </row>
    <row r="12" spans="1:15" s="233" customFormat="1">
      <c r="A12" s="253"/>
      <c r="C12" s="263"/>
      <c r="D12" s="239"/>
      <c r="E12" s="263"/>
      <c r="F12" s="239"/>
      <c r="G12" s="246"/>
      <c r="H12" s="235"/>
      <c r="I12" s="247"/>
      <c r="J12" s="247"/>
      <c r="K12" s="235"/>
      <c r="L12" s="235"/>
    </row>
    <row r="13" spans="1:15" s="248" customFormat="1" thickBot="1">
      <c r="A13" s="254"/>
      <c r="C13" s="264">
        <f>SUM(C10)</f>
        <v>0</v>
      </c>
      <c r="D13" s="232"/>
      <c r="E13" s="264">
        <f>SUM(E10)</f>
        <v>0</v>
      </c>
      <c r="F13" s="271"/>
      <c r="G13" s="264">
        <f>SUM(G10)</f>
        <v>0</v>
      </c>
      <c r="H13" s="249"/>
      <c r="I13" s="238"/>
      <c r="J13" s="238"/>
      <c r="K13" s="249"/>
      <c r="L13" s="249"/>
    </row>
    <row r="14" spans="1:15" ht="15.75" customHeight="1" thickTop="1">
      <c r="A14" s="255"/>
      <c r="F14" s="272"/>
    </row>
    <row r="15" spans="1:15" ht="15.75" customHeight="1">
      <c r="A15" s="255"/>
      <c r="F15" s="272"/>
    </row>
    <row r="16" spans="1:15">
      <c r="A16" s="255"/>
    </row>
    <row r="17" spans="1:1">
      <c r="A17" s="255"/>
    </row>
    <row r="18" spans="1:1">
      <c r="A18" s="255"/>
    </row>
    <row r="19" spans="1:1">
      <c r="A19" s="255"/>
    </row>
    <row r="20" spans="1:1">
      <c r="A20" s="255"/>
    </row>
    <row r="21" spans="1:1">
      <c r="A21" s="255"/>
    </row>
    <row r="22" spans="1:1">
      <c r="A22" s="255"/>
    </row>
    <row r="23" spans="1:1">
      <c r="A23" s="255"/>
    </row>
    <row r="24" spans="1:1">
      <c r="A24" s="255"/>
    </row>
    <row r="25" spans="1:1">
      <c r="A25" s="255"/>
    </row>
    <row r="26" spans="1:1">
      <c r="A26" s="255"/>
    </row>
    <row r="27" spans="1:1">
      <c r="A27" s="255"/>
    </row>
    <row r="28" spans="1:1">
      <c r="A28" s="255"/>
    </row>
    <row r="29" spans="1:1">
      <c r="A29" s="255"/>
    </row>
    <row r="30" spans="1:1">
      <c r="A30" s="255"/>
    </row>
    <row r="31" spans="1:1">
      <c r="A31" s="255"/>
    </row>
    <row r="32" spans="1:1">
      <c r="A32" s="255"/>
    </row>
    <row r="33" spans="1:1">
      <c r="A33" s="255"/>
    </row>
    <row r="34" spans="1:1">
      <c r="A34" s="255"/>
    </row>
    <row r="35" spans="1:1">
      <c r="A35" s="255"/>
    </row>
    <row r="36" spans="1:1">
      <c r="A36" s="255"/>
    </row>
    <row r="37" spans="1:1">
      <c r="A37" s="255"/>
    </row>
    <row r="38" spans="1:1">
      <c r="A38" s="255"/>
    </row>
    <row r="39" spans="1:1">
      <c r="A39" s="255"/>
    </row>
    <row r="40" spans="1:1">
      <c r="A40" s="255"/>
    </row>
    <row r="41" spans="1:1">
      <c r="A41" s="255"/>
    </row>
    <row r="42" spans="1:1">
      <c r="A42" s="255"/>
    </row>
    <row r="43" spans="1:1">
      <c r="A43" s="255"/>
    </row>
    <row r="44" spans="1:1">
      <c r="A44" s="255"/>
    </row>
    <row r="45" spans="1:1">
      <c r="A45" s="255"/>
    </row>
    <row r="46" spans="1:1">
      <c r="A46" s="255"/>
    </row>
    <row r="47" spans="1:1">
      <c r="A47" s="255"/>
    </row>
    <row r="48" spans="1:1">
      <c r="A48" s="255"/>
    </row>
    <row r="49" spans="1:1">
      <c r="A49" s="255"/>
    </row>
    <row r="50" spans="1:1">
      <c r="A50" s="255"/>
    </row>
    <row r="51" spans="1:1">
      <c r="A51" s="255"/>
    </row>
    <row r="52" spans="1:1">
      <c r="A52" s="255"/>
    </row>
    <row r="53" spans="1:1">
      <c r="A53" s="255"/>
    </row>
    <row r="54" spans="1:1">
      <c r="A54" s="255"/>
    </row>
    <row r="55" spans="1:1">
      <c r="A55" s="255"/>
    </row>
    <row r="56" spans="1:1">
      <c r="A56" s="255"/>
    </row>
    <row r="57" spans="1:1">
      <c r="A57" s="255"/>
    </row>
    <row r="58" spans="1:1">
      <c r="A58" s="255"/>
    </row>
    <row r="59" spans="1:1">
      <c r="A59" s="255"/>
    </row>
    <row r="60" spans="1:1">
      <c r="A60" s="255"/>
    </row>
    <row r="61" spans="1:1">
      <c r="A61" s="255"/>
    </row>
    <row r="62" spans="1:1">
      <c r="A62" s="255"/>
    </row>
  </sheetData>
  <phoneticPr fontId="26" type="noConversion"/>
  <pageMargins left="0.25" right="0" top="0.25" bottom="0" header="0.5" footer="0.5"/>
  <pageSetup scale="80" orientation="landscape" horizontalDpi="4294967292" verticalDpi="4294967292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6"/>
  <sheetViews>
    <sheetView zoomScaleNormal="100" zoomScaleSheetLayoutView="100" workbookViewId="0">
      <selection activeCell="D26" sqref="D26"/>
    </sheetView>
  </sheetViews>
  <sheetFormatPr defaultColWidth="11" defaultRowHeight="12"/>
  <cols>
    <col min="1" max="1" width="51.625" style="394" bestFit="1" customWidth="1"/>
    <col min="2" max="2" width="2.875" customWidth="1"/>
    <col min="3" max="3" width="11.625" bestFit="1" customWidth="1"/>
    <col min="4" max="4" width="2.875" customWidth="1"/>
    <col min="5" max="5" width="11.5" bestFit="1" customWidth="1"/>
    <col min="6" max="8" width="11" customWidth="1"/>
    <col min="9" max="13" width="0" hidden="1" customWidth="1"/>
  </cols>
  <sheetData>
    <row r="1" spans="1:5" ht="15">
      <c r="A1" s="389" t="e">
        <f>#REF!</f>
        <v>#REF!</v>
      </c>
      <c r="B1" s="234"/>
      <c r="C1" s="233"/>
      <c r="E1" s="259" t="s">
        <v>160</v>
      </c>
    </row>
    <row r="2" spans="1:5" ht="15">
      <c r="A2" s="390" t="s">
        <v>479</v>
      </c>
      <c r="B2" s="233"/>
      <c r="C2" s="233"/>
    </row>
    <row r="6" spans="1:5" s="240" customFormat="1" ht="15">
      <c r="C6" s="241" t="s">
        <v>391</v>
      </c>
    </row>
    <row r="7" spans="1:5" s="240" customFormat="1" ht="15">
      <c r="A7" s="240" t="s">
        <v>86</v>
      </c>
      <c r="C7" s="241" t="s">
        <v>562</v>
      </c>
      <c r="E7" s="273" t="s">
        <v>395</v>
      </c>
    </row>
    <row r="8" spans="1:5" s="240" customFormat="1" ht="15">
      <c r="A8" s="242" t="s">
        <v>830</v>
      </c>
      <c r="C8" s="243" t="s">
        <v>86</v>
      </c>
      <c r="E8" s="242" t="s">
        <v>398</v>
      </c>
    </row>
    <row r="9" spans="1:5" s="233" customFormat="1" ht="15">
      <c r="A9" s="391"/>
      <c r="C9" s="239"/>
    </row>
    <row r="10" spans="1:5" s="233" customFormat="1" ht="15">
      <c r="A10" s="392"/>
      <c r="C10" s="313"/>
      <c r="D10" s="239"/>
      <c r="E10" s="213"/>
    </row>
    <row r="11" spans="1:5" s="233" customFormat="1" ht="15">
      <c r="A11" s="392"/>
      <c r="C11" s="313"/>
      <c r="D11" s="213"/>
      <c r="E11" s="213"/>
    </row>
    <row r="12" spans="1:5" s="233" customFormat="1" ht="15">
      <c r="A12" s="392"/>
      <c r="C12" s="216"/>
      <c r="D12" s="213"/>
      <c r="E12" s="213"/>
    </row>
    <row r="13" spans="1:5" s="233" customFormat="1" ht="15">
      <c r="A13" s="393"/>
      <c r="C13" s="281"/>
      <c r="D13" s="213"/>
      <c r="E13" s="281"/>
    </row>
    <row r="14" spans="1:5" s="233" customFormat="1" ht="15">
      <c r="A14" s="392"/>
      <c r="C14" s="213"/>
      <c r="D14" s="213"/>
      <c r="E14" s="213"/>
    </row>
    <row r="15" spans="1:5" s="233" customFormat="1" ht="15.75" thickBot="1">
      <c r="A15" s="392"/>
      <c r="C15" s="314">
        <f>SUM(C10:C12)</f>
        <v>0</v>
      </c>
      <c r="E15" s="314">
        <f>SUM(E10:E14)</f>
        <v>0</v>
      </c>
    </row>
    <row r="16" spans="1:5" s="233" customFormat="1" ht="15.75" thickTop="1">
      <c r="A16" s="392"/>
      <c r="C16" s="43"/>
      <c r="E16" s="258"/>
    </row>
  </sheetData>
  <phoneticPr fontId="26" type="noConversion"/>
  <pageMargins left="0.75" right="0.75" top="1" bottom="1" header="0.5" footer="0.5"/>
  <pageSetup scale="71" orientation="portrait" horizontalDpi="4294967292" verticalDpi="4294967292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18"/>
  <sheetViews>
    <sheetView view="pageBreakPreview" zoomScale="75" zoomScaleNormal="100" zoomScaleSheetLayoutView="75" workbookViewId="0">
      <selection activeCell="D26" sqref="D26"/>
    </sheetView>
  </sheetViews>
  <sheetFormatPr defaultColWidth="10.875" defaultRowHeight="15"/>
  <cols>
    <col min="1" max="1" width="18" style="2" customWidth="1"/>
    <col min="2" max="2" width="3.875" style="2" customWidth="1"/>
    <col min="3" max="3" width="15.875" style="2" customWidth="1"/>
    <col min="4" max="4" width="3.875" style="2" customWidth="1"/>
    <col min="5" max="5" width="15.875" style="2" customWidth="1"/>
    <col min="6" max="6" width="3.875" style="2" customWidth="1"/>
    <col min="7" max="7" width="20.125" style="2" bestFit="1" customWidth="1"/>
    <col min="8" max="8" width="3.875" style="2" customWidth="1"/>
    <col min="9" max="9" width="9.625" style="2" bestFit="1" customWidth="1"/>
    <col min="10" max="10" width="3.875" style="2" customWidth="1"/>
    <col min="11" max="11" width="10.875" style="2" customWidth="1"/>
    <col min="12" max="12" width="3.875" style="2" customWidth="1"/>
    <col min="13" max="13" width="10.875" style="2"/>
    <col min="14" max="14" width="26.625" style="2" customWidth="1"/>
    <col min="15" max="16384" width="10.875" style="2"/>
  </cols>
  <sheetData>
    <row r="1" spans="1:12">
      <c r="A1" s="39" t="str">
        <f>'Input Schedule'!G6</f>
        <v>WATER SERVICE CORPORATION OF KENTUCKY</v>
      </c>
      <c r="I1" s="74" t="s">
        <v>981</v>
      </c>
    </row>
    <row r="2" spans="1:12">
      <c r="A2" s="39" t="s">
        <v>597</v>
      </c>
    </row>
    <row r="5" spans="1:12">
      <c r="C5" s="216"/>
    </row>
    <row r="6" spans="1:12">
      <c r="A6" s="2" t="s">
        <v>1070</v>
      </c>
      <c r="C6" s="216"/>
      <c r="G6" s="216">
        <f>+'Linked TB'!E490</f>
        <v>-132209.91</v>
      </c>
    </row>
    <row r="7" spans="1:12">
      <c r="A7" s="2" t="s">
        <v>770</v>
      </c>
      <c r="C7" s="216"/>
      <c r="F7" s="30"/>
      <c r="G7" s="306">
        <f>SUM('Linked TB'!E478:E489,'Linked TB'!E404)</f>
        <v>811797.81</v>
      </c>
    </row>
    <row r="8" spans="1:12">
      <c r="C8" s="216"/>
    </row>
    <row r="9" spans="1:12" ht="15.75" thickBot="1">
      <c r="A9" s="2" t="s">
        <v>662</v>
      </c>
      <c r="C9" s="216"/>
      <c r="G9" s="308">
        <f>G6/G7</f>
        <v>-0.16286063890711899</v>
      </c>
    </row>
    <row r="10" spans="1:12" ht="15.75" thickTop="1">
      <c r="C10" s="216"/>
    </row>
    <row r="11" spans="1:12">
      <c r="C11" s="216"/>
    </row>
    <row r="12" spans="1:12">
      <c r="A12" s="2" t="s">
        <v>510</v>
      </c>
      <c r="C12" s="216"/>
      <c r="G12" s="920">
        <f>SUM('Wp b - salary'!D80,'Wp b - salary'!G80,'Wp b - salary'!K80,'Wp b - salary'!O80)</f>
        <v>909450.37418384606</v>
      </c>
    </row>
    <row r="13" spans="1:12">
      <c r="A13" s="2" t="s">
        <v>662</v>
      </c>
      <c r="C13" s="216"/>
      <c r="G13" s="921">
        <f>G9</f>
        <v>-0.16286063890711899</v>
      </c>
      <c r="K13" s="20"/>
      <c r="L13" s="20"/>
    </row>
    <row r="14" spans="1:12">
      <c r="C14" s="216"/>
      <c r="K14" s="20"/>
      <c r="L14" s="20"/>
    </row>
    <row r="15" spans="1:12" ht="15.75" thickBot="1">
      <c r="A15" s="2" t="s">
        <v>663</v>
      </c>
      <c r="C15" s="216"/>
      <c r="G15" s="307">
        <f>G12*G13</f>
        <v>-148113.6689938996</v>
      </c>
      <c r="I15" s="307">
        <f>G15*'Linked TB'!F684</f>
        <v>-148113.6689938996</v>
      </c>
      <c r="J15" s="5" t="s">
        <v>896</v>
      </c>
      <c r="K15" s="277"/>
      <c r="L15" s="33"/>
    </row>
    <row r="16" spans="1:12" ht="15.75" thickTop="1">
      <c r="K16" s="20"/>
      <c r="L16" s="20"/>
    </row>
    <row r="17" spans="11:12">
      <c r="K17" s="20"/>
      <c r="L17" s="20"/>
    </row>
    <row r="18" spans="11:12">
      <c r="K18" s="20"/>
      <c r="L18" s="20"/>
    </row>
  </sheetData>
  <phoneticPr fontId="26" type="noConversion"/>
  <pageMargins left="0.75" right="0.75" top="1" bottom="1" header="0.5" footer="0.5"/>
  <pageSetup scale="59" orientation="portrait" horizontalDpi="4294967292" verticalDpi="4294967292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view="pageBreakPreview" zoomScale="85" zoomScaleNormal="100" zoomScaleSheetLayoutView="85" workbookViewId="0">
      <selection activeCell="F15" sqref="F15"/>
    </sheetView>
  </sheetViews>
  <sheetFormatPr defaultRowHeight="12"/>
  <cols>
    <col min="1" max="1" width="42.875" bestFit="1" customWidth="1"/>
    <col min="2" max="2" width="15.75" bestFit="1" customWidth="1"/>
    <col min="3" max="3" width="9.875" style="1339" bestFit="1" customWidth="1"/>
    <col min="4" max="4" width="14.5" bestFit="1" customWidth="1"/>
  </cols>
  <sheetData>
    <row r="1" spans="1:4" ht="15">
      <c r="A1" s="1491" t="s">
        <v>2012</v>
      </c>
      <c r="D1" s="1200" t="s">
        <v>2186</v>
      </c>
    </row>
    <row r="2" spans="1:4" ht="15">
      <c r="A2" s="1491" t="s">
        <v>2013</v>
      </c>
    </row>
    <row r="3" spans="1:4" ht="15">
      <c r="A3" s="1491" t="s">
        <v>2014</v>
      </c>
    </row>
    <row r="6" spans="1:4" ht="15">
      <c r="A6" s="1702" t="s">
        <v>2006</v>
      </c>
      <c r="B6" s="1703"/>
      <c r="C6" s="1704"/>
      <c r="D6" s="1703"/>
    </row>
    <row r="7" spans="1:4" ht="15">
      <c r="A7" s="1705" t="s">
        <v>2015</v>
      </c>
      <c r="B7" s="1706">
        <v>8000.79</v>
      </c>
      <c r="C7" s="1707">
        <f>+'Input Schedule'!D7</f>
        <v>1</v>
      </c>
      <c r="D7" s="1706">
        <f>+B7*C7</f>
        <v>8000.79</v>
      </c>
    </row>
    <row r="8" spans="1:4" ht="15">
      <c r="A8" s="1705" t="s">
        <v>2016</v>
      </c>
      <c r="B8" s="1706">
        <v>1263.45</v>
      </c>
      <c r="C8" s="1707">
        <f>+'Input Schedule'!D16</f>
        <v>0.21677963406806305</v>
      </c>
      <c r="D8" s="1706">
        <f t="shared" ref="D8:D12" si="0">+B8*C8</f>
        <v>273.89022866329429</v>
      </c>
    </row>
    <row r="9" spans="1:4" ht="15">
      <c r="A9" s="1705" t="s">
        <v>2017</v>
      </c>
      <c r="B9" s="1706">
        <v>110.05</v>
      </c>
      <c r="C9" s="1707">
        <f>+'Input Schedule'!D7</f>
        <v>1</v>
      </c>
      <c r="D9" s="1706">
        <f t="shared" si="0"/>
        <v>110.05</v>
      </c>
    </row>
    <row r="10" spans="1:4" ht="15">
      <c r="A10" s="1708" t="s">
        <v>2018</v>
      </c>
      <c r="B10" s="1706">
        <v>21317.570000000003</v>
      </c>
      <c r="C10" s="1707">
        <v>0</v>
      </c>
      <c r="D10" s="1706">
        <f t="shared" si="0"/>
        <v>0</v>
      </c>
    </row>
    <row r="11" spans="1:4" ht="15">
      <c r="A11" s="1708" t="s">
        <v>2019</v>
      </c>
      <c r="B11" s="1706">
        <v>9622.8599999999969</v>
      </c>
      <c r="C11" s="1707">
        <f>+'Input Schedule'!D15</f>
        <v>6.9774677565532461E-2</v>
      </c>
      <c r="D11" s="1706">
        <f t="shared" si="0"/>
        <v>671.43195375825951</v>
      </c>
    </row>
    <row r="12" spans="1:4" ht="15">
      <c r="A12" s="1705" t="s">
        <v>2020</v>
      </c>
      <c r="B12" s="1710">
        <v>140127.93999999997</v>
      </c>
      <c r="C12" s="1709">
        <f>+'Input Schedule'!D17</f>
        <v>2.775347522522463E-2</v>
      </c>
      <c r="D12" s="1710">
        <f t="shared" si="0"/>
        <v>3889.0373111517629</v>
      </c>
    </row>
    <row r="13" spans="1:4" ht="15">
      <c r="A13" s="1703"/>
      <c r="B13" s="1706">
        <f>SUM(B7:B12)</f>
        <v>180442.65999999997</v>
      </c>
      <c r="C13" s="1707"/>
      <c r="D13" s="1706">
        <f>SUM(D7:D12)</f>
        <v>12945.199493573316</v>
      </c>
    </row>
  </sheetData>
  <pageMargins left="0.7" right="0.7" top="0.75" bottom="0.75" header="0.3" footer="0.3"/>
  <pageSetup fitToHeight="0" orientation="landscape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J112"/>
  <sheetViews>
    <sheetView workbookViewId="0">
      <pane ySplit="1" topLeftCell="A11" activePane="bottomLeft" state="frozen"/>
      <selection activeCell="G48" sqref="G48"/>
      <selection pane="bottomLeft" activeCell="E73" sqref="E73"/>
    </sheetView>
  </sheetViews>
  <sheetFormatPr defaultRowHeight="12"/>
  <cols>
    <col min="1" max="1" width="14.625" bestFit="1" customWidth="1"/>
    <col min="2" max="2" width="31.25" bestFit="1" customWidth="1"/>
    <col min="3" max="3" width="20.125" bestFit="1" customWidth="1"/>
    <col min="4" max="4" width="10.375" bestFit="1" customWidth="1"/>
    <col min="5" max="5" width="27.375" bestFit="1" customWidth="1"/>
    <col min="6" max="6" width="25.375" bestFit="1" customWidth="1"/>
    <col min="7" max="8" width="7.875" bestFit="1" customWidth="1"/>
    <col min="9" max="9" width="8.875" bestFit="1" customWidth="1"/>
    <col min="10" max="10" width="7.875" bestFit="1" customWidth="1"/>
    <col min="11" max="11" width="8.75" bestFit="1" customWidth="1"/>
    <col min="12" max="12" width="10.625" bestFit="1" customWidth="1"/>
    <col min="13" max="13" width="9.875" customWidth="1"/>
    <col min="14" max="14" width="10.625" bestFit="1" customWidth="1"/>
    <col min="15" max="15" width="9.875" bestFit="1" customWidth="1"/>
  </cols>
  <sheetData>
    <row r="4" spans="1:10">
      <c r="A4" s="1343" t="s">
        <v>1828</v>
      </c>
      <c r="B4" s="1343" t="s">
        <v>1287</v>
      </c>
      <c r="C4" s="1343" t="s">
        <v>1829</v>
      </c>
      <c r="D4" s="1343" t="s">
        <v>1265</v>
      </c>
      <c r="E4" s="1343" t="s">
        <v>1830</v>
      </c>
      <c r="F4" t="s">
        <v>1831</v>
      </c>
      <c r="G4" s="1339" t="s">
        <v>1832</v>
      </c>
      <c r="H4" s="1339" t="s">
        <v>1833</v>
      </c>
      <c r="I4" s="1339" t="s">
        <v>1834</v>
      </c>
      <c r="J4" s="1339" t="s">
        <v>1835</v>
      </c>
    </row>
    <row r="5" spans="1:10">
      <c r="A5" s="1337" t="s">
        <v>895</v>
      </c>
      <c r="B5" s="1337" t="s">
        <v>1836</v>
      </c>
      <c r="C5" s="1337" t="s">
        <v>1837</v>
      </c>
      <c r="D5" s="1337" t="s">
        <v>1838</v>
      </c>
      <c r="E5" s="1337" t="s">
        <v>1839</v>
      </c>
      <c r="F5" s="1340">
        <v>930.8</v>
      </c>
      <c r="G5" s="1339">
        <v>3.5087654487176855E-3</v>
      </c>
      <c r="H5" s="1339">
        <v>8.8213449252957758E-3</v>
      </c>
      <c r="I5" s="1339">
        <v>1.3008322783054353E-2</v>
      </c>
      <c r="J5" s="1339">
        <v>0.20196584720203095</v>
      </c>
    </row>
    <row r="6" spans="1:10">
      <c r="E6" s="1337" t="s">
        <v>1840</v>
      </c>
      <c r="F6" s="1340">
        <v>2199.8999999999996</v>
      </c>
      <c r="G6" s="1339">
        <v>8.2927944892931191E-3</v>
      </c>
      <c r="H6" s="1339">
        <v>2.0848814676792192E-2</v>
      </c>
      <c r="I6" s="1339">
        <v>3.0744530823422076E-2</v>
      </c>
      <c r="J6" s="1339">
        <v>0.47733634213552623</v>
      </c>
    </row>
    <row r="7" spans="1:10">
      <c r="E7" s="1337" t="s">
        <v>1841</v>
      </c>
      <c r="F7" s="1340">
        <v>1478</v>
      </c>
      <c r="G7" s="1339">
        <v>5.5715033661417482E-3</v>
      </c>
      <c r="H7" s="1339">
        <v>1.4007249462384139E-2</v>
      </c>
      <c r="I7" s="1339">
        <v>2.0655673692903238E-2</v>
      </c>
      <c r="J7" s="1339">
        <v>0.32069781066244279</v>
      </c>
    </row>
    <row r="8" spans="1:10">
      <c r="D8" s="1337" t="s">
        <v>1842</v>
      </c>
      <c r="F8" s="1340">
        <v>4608.7</v>
      </c>
      <c r="G8" s="1339">
        <v>1.7373063304152551E-2</v>
      </c>
      <c r="H8" s="1339">
        <v>4.3677409064472109E-2</v>
      </c>
      <c r="I8" s="1339">
        <v>6.4408527299379667E-2</v>
      </c>
      <c r="J8" s="1339">
        <v>1</v>
      </c>
    </row>
    <row r="9" spans="1:10">
      <c r="D9" s="1337" t="s">
        <v>1282</v>
      </c>
      <c r="E9" s="1337" t="s">
        <v>1843</v>
      </c>
      <c r="F9" s="1340">
        <v>2457.69</v>
      </c>
      <c r="G9" s="1339">
        <v>9.2645657022550152E-3</v>
      </c>
      <c r="H9" s="1339">
        <v>2.3291932971046599E-2</v>
      </c>
      <c r="I9" s="1339">
        <v>3.4347254856773583E-2</v>
      </c>
      <c r="J9" s="1339">
        <v>4.5813629092826061E-2</v>
      </c>
    </row>
    <row r="10" spans="1:10">
      <c r="E10" s="1337" t="s">
        <v>1844</v>
      </c>
      <c r="F10" s="1340">
        <v>3056.4</v>
      </c>
      <c r="G10" s="1339">
        <v>1.1521476920348876E-2</v>
      </c>
      <c r="H10" s="1339">
        <v>2.8966006263079082E-2</v>
      </c>
      <c r="I10" s="1339">
        <v>4.2714479753037521E-2</v>
      </c>
      <c r="J10" s="1339">
        <v>5.697414074163689E-2</v>
      </c>
    </row>
    <row r="11" spans="1:10">
      <c r="E11" s="1337" t="s">
        <v>1845</v>
      </c>
      <c r="F11" s="1340">
        <v>31571.699999999997</v>
      </c>
      <c r="G11" s="1339">
        <v>0.11901341869067483</v>
      </c>
      <c r="H11" s="1339">
        <v>0.29921020152337841</v>
      </c>
      <c r="I11" s="1339">
        <v>0.44122783026402779</v>
      </c>
      <c r="J11" s="1339">
        <v>0.5885258733322658</v>
      </c>
    </row>
    <row r="12" spans="1:10">
      <c r="E12" s="1337" t="s">
        <v>1846</v>
      </c>
      <c r="F12" s="1340">
        <v>12853</v>
      </c>
      <c r="G12" s="1339">
        <v>4.8450969394465415E-2</v>
      </c>
      <c r="H12" s="1339">
        <v>0.12180999820028643</v>
      </c>
      <c r="I12" s="1339">
        <v>0.17962609876514568</v>
      </c>
      <c r="J12" s="1339">
        <v>0.23959188291855088</v>
      </c>
    </row>
    <row r="13" spans="1:10">
      <c r="E13" s="1337" t="s">
        <v>1847</v>
      </c>
      <c r="F13" s="1340">
        <v>374.79999999999995</v>
      </c>
      <c r="G13" s="1339">
        <v>1.4128548454870953E-3</v>
      </c>
      <c r="H13" s="1339">
        <v>3.5520413386343538E-3</v>
      </c>
      <c r="I13" s="1339">
        <v>5.2379881597429852E-3</v>
      </c>
      <c r="J13" s="1339">
        <v>6.9866208447734272E-3</v>
      </c>
    </row>
    <row r="14" spans="1:10">
      <c r="E14" s="1337" t="s">
        <v>1848</v>
      </c>
      <c r="F14" s="1340">
        <v>105</v>
      </c>
      <c r="G14" s="1339">
        <v>3.9581045564606463E-4</v>
      </c>
      <c r="H14" s="1339">
        <v>9.9510229604217503E-4</v>
      </c>
      <c r="I14" s="1339">
        <v>1.4674193083591611E-3</v>
      </c>
      <c r="J14" s="1339">
        <v>1.9572977286585109E-3</v>
      </c>
    </row>
    <row r="15" spans="1:10">
      <c r="E15" s="1337" t="s">
        <v>1849</v>
      </c>
      <c r="F15" s="1340">
        <v>0</v>
      </c>
      <c r="G15" s="1339">
        <v>0</v>
      </c>
      <c r="H15" s="1339">
        <v>0</v>
      </c>
      <c r="I15" s="1339">
        <v>0</v>
      </c>
      <c r="J15" s="1339">
        <v>0</v>
      </c>
    </row>
    <row r="16" spans="1:10">
      <c r="E16" s="1337" t="s">
        <v>1850</v>
      </c>
      <c r="F16" s="1340">
        <v>3226.8</v>
      </c>
      <c r="G16" s="1339">
        <v>1.2163820745511634E-2</v>
      </c>
      <c r="H16" s="1339">
        <v>3.058091513208467E-2</v>
      </c>
      <c r="I16" s="1339">
        <v>4.5095891659174679E-2</v>
      </c>
      <c r="J16" s="1339">
        <v>6.0150555341288416E-2</v>
      </c>
    </row>
    <row r="17" spans="3:10">
      <c r="D17" s="1337" t="s">
        <v>1851</v>
      </c>
      <c r="F17" s="1340">
        <v>53645.39</v>
      </c>
      <c r="G17" s="1339">
        <v>0.20222291675438894</v>
      </c>
      <c r="H17" s="1339">
        <v>0.50840619772455176</v>
      </c>
      <c r="I17" s="1339">
        <v>0.74971696276626143</v>
      </c>
      <c r="J17" s="1339">
        <v>1</v>
      </c>
    </row>
    <row r="18" spans="3:10">
      <c r="D18" s="1337" t="s">
        <v>1852</v>
      </c>
      <c r="E18" s="1337" t="s">
        <v>1853</v>
      </c>
      <c r="F18" s="1340">
        <v>969.59999999999991</v>
      </c>
      <c r="G18" s="1339">
        <v>3.6550268361373738E-3</v>
      </c>
      <c r="H18" s="1339">
        <v>9.1890589165951695E-3</v>
      </c>
      <c r="I18" s="1339">
        <v>1.3550569156048024E-2</v>
      </c>
      <c r="J18" s="1339">
        <v>1</v>
      </c>
    </row>
    <row r="19" spans="3:10">
      <c r="D19" s="1337" t="s">
        <v>1854</v>
      </c>
      <c r="F19" s="1340">
        <v>969.59999999999991</v>
      </c>
      <c r="G19" s="1339">
        <v>3.6550268361373738E-3</v>
      </c>
      <c r="H19" s="1339">
        <v>9.1890589165951695E-3</v>
      </c>
      <c r="I19" s="1339">
        <v>1.3550569156048024E-2</v>
      </c>
      <c r="J19" s="1339">
        <v>1</v>
      </c>
    </row>
    <row r="20" spans="3:10">
      <c r="D20" s="1337" t="s">
        <v>1855</v>
      </c>
      <c r="E20" s="1337" t="s">
        <v>1856</v>
      </c>
      <c r="F20" s="1340">
        <v>3205</v>
      </c>
      <c r="G20" s="1339">
        <v>1.2081642955672735E-2</v>
      </c>
      <c r="H20" s="1339">
        <v>3.0374312941096864E-2</v>
      </c>
      <c r="I20" s="1339">
        <v>4.4791227459915345E-2</v>
      </c>
      <c r="J20" s="1339">
        <v>0.50548064032804985</v>
      </c>
    </row>
    <row r="21" spans="3:10">
      <c r="E21" s="1337" t="s">
        <v>1857</v>
      </c>
      <c r="F21" s="1340">
        <v>2358</v>
      </c>
      <c r="G21" s="1339">
        <v>8.8887719467944798E-3</v>
      </c>
      <c r="H21" s="1339">
        <v>2.2347154419689985E-2</v>
      </c>
      <c r="I21" s="1339">
        <v>3.2954045039151447E-2</v>
      </c>
      <c r="J21" s="1339">
        <v>0.37189496096522356</v>
      </c>
    </row>
    <row r="22" spans="3:10">
      <c r="E22" s="1337" t="s">
        <v>1858</v>
      </c>
      <c r="F22" s="1340">
        <v>777.5</v>
      </c>
      <c r="G22" s="1339">
        <v>2.9308821834744311E-3</v>
      </c>
      <c r="H22" s="1339">
        <v>7.3684955730742002E-3</v>
      </c>
      <c r="I22" s="1339">
        <v>1.0865890592849979E-2</v>
      </c>
      <c r="J22" s="1339">
        <v>0.1226243987067266</v>
      </c>
    </row>
    <row r="23" spans="3:10">
      <c r="D23" s="1337" t="s">
        <v>1859</v>
      </c>
      <c r="F23" s="1340">
        <v>6340.5</v>
      </c>
      <c r="G23" s="1339">
        <v>2.3901297085941648E-2</v>
      </c>
      <c r="H23" s="1339">
        <v>6.0089962933861048E-2</v>
      </c>
      <c r="I23" s="1339">
        <v>8.8611163091916773E-2</v>
      </c>
      <c r="J23" s="1339">
        <v>1</v>
      </c>
    </row>
    <row r="24" spans="3:10">
      <c r="D24" s="1337" t="s">
        <v>1546</v>
      </c>
      <c r="E24" s="1337" t="s">
        <v>1860</v>
      </c>
      <c r="F24" s="1340">
        <v>169</v>
      </c>
      <c r="G24" s="1339">
        <v>6.3706635242080883E-4</v>
      </c>
      <c r="H24" s="1339">
        <v>1.601640838391691E-3</v>
      </c>
      <c r="I24" s="1339">
        <v>2.3618463153590305E-3</v>
      </c>
      <c r="J24" s="1339">
        <v>2.8213689482470786E-2</v>
      </c>
    </row>
    <row r="25" spans="3:10">
      <c r="E25" s="1337" t="s">
        <v>1861</v>
      </c>
      <c r="F25" s="1340">
        <v>5821</v>
      </c>
      <c r="G25" s="1339">
        <v>2.1942977736340404E-2</v>
      </c>
      <c r="H25" s="1339">
        <v>5.5166575859633339E-2</v>
      </c>
      <c r="I25" s="1339">
        <v>8.135093137103501E-2</v>
      </c>
      <c r="J25" s="1339">
        <v>0.97178631051752917</v>
      </c>
    </row>
    <row r="26" spans="3:10">
      <c r="D26" s="1337" t="s">
        <v>1862</v>
      </c>
      <c r="F26" s="1340">
        <v>5990</v>
      </c>
      <c r="G26" s="1339">
        <v>2.2580044088761211E-2</v>
      </c>
      <c r="H26" s="1339">
        <v>5.676821669802503E-2</v>
      </c>
      <c r="I26" s="1339">
        <v>8.3712777686394041E-2</v>
      </c>
      <c r="J26" s="1339">
        <v>1</v>
      </c>
    </row>
    <row r="27" spans="3:10">
      <c r="C27" s="1337" t="s">
        <v>1863</v>
      </c>
      <c r="F27" s="1340">
        <v>71554.19</v>
      </c>
      <c r="G27" s="1339">
        <v>0.26973234806938173</v>
      </c>
      <c r="H27" s="1339">
        <v>0.67813084533750512</v>
      </c>
      <c r="I27" s="1339">
        <v>1</v>
      </c>
    </row>
    <row r="28" spans="3:10">
      <c r="C28" s="1337" t="s">
        <v>1864</v>
      </c>
      <c r="D28" s="1337" t="s">
        <v>1865</v>
      </c>
      <c r="E28" s="1337" t="s">
        <v>1866</v>
      </c>
      <c r="F28" s="1340">
        <v>2665.5</v>
      </c>
      <c r="G28" s="1339">
        <v>1.0047931138329384E-2</v>
      </c>
      <c r="H28" s="1339">
        <v>2.5261382572384927E-2</v>
      </c>
      <c r="I28" s="1339">
        <v>7.8483390553137855E-2</v>
      </c>
      <c r="J28" s="1339">
        <v>0.15066387062859984</v>
      </c>
    </row>
    <row r="29" spans="3:10">
      <c r="E29" s="1337" t="s">
        <v>1867</v>
      </c>
      <c r="F29" s="1340">
        <v>426</v>
      </c>
      <c r="G29" s="1339">
        <v>1.6058595629068909E-3</v>
      </c>
      <c r="H29" s="1339">
        <v>4.0372721725139673E-3</v>
      </c>
      <c r="I29" s="1339">
        <v>1.2543209294930304E-2</v>
      </c>
      <c r="J29" s="1339">
        <v>2.4079087933889902E-2</v>
      </c>
    </row>
    <row r="30" spans="3:10">
      <c r="E30" s="1337" t="s">
        <v>1868</v>
      </c>
      <c r="F30" s="1340">
        <v>109</v>
      </c>
      <c r="G30" s="1339">
        <v>4.1088894919448618E-4</v>
      </c>
      <c r="H30" s="1339">
        <v>1.0330109549390198E-3</v>
      </c>
      <c r="I30" s="1339">
        <v>3.2094127069187866E-3</v>
      </c>
      <c r="J30" s="1339">
        <v>6.16108118496244E-3</v>
      </c>
    </row>
    <row r="31" spans="3:10">
      <c r="E31" s="1337" t="s">
        <v>1869</v>
      </c>
      <c r="F31" s="1340">
        <v>51</v>
      </c>
      <c r="G31" s="1339">
        <v>1.9225079274237425E-4</v>
      </c>
      <c r="H31" s="1339">
        <v>4.8333540093477067E-4</v>
      </c>
      <c r="I31" s="1339">
        <v>1.5016518169986984E-3</v>
      </c>
      <c r="J31" s="1339">
        <v>2.8827077103952699E-3</v>
      </c>
    </row>
    <row r="32" spans="3:10">
      <c r="E32" s="1337" t="s">
        <v>1870</v>
      </c>
      <c r="F32" s="1340">
        <v>257.60000000000002</v>
      </c>
      <c r="G32" s="1339">
        <v>9.7105498451834538E-4</v>
      </c>
      <c r="H32" s="1339">
        <v>2.441317632956803E-3</v>
      </c>
      <c r="I32" s="1339">
        <v>7.5848138835071513E-3</v>
      </c>
      <c r="J32" s="1339">
        <v>1.4560500121525913E-2</v>
      </c>
    </row>
    <row r="33" spans="5:10">
      <c r="E33" s="1337" t="s">
        <v>1871</v>
      </c>
      <c r="F33" s="1340">
        <v>305.5</v>
      </c>
      <c r="G33" s="1339">
        <v>1.1516199447606928E-3</v>
      </c>
      <c r="H33" s="1339">
        <v>2.8952738232465186E-3</v>
      </c>
      <c r="I33" s="1339">
        <v>8.995188825354947E-3</v>
      </c>
      <c r="J33" s="1339">
        <v>1.7267984422073626E-2</v>
      </c>
    </row>
    <row r="34" spans="5:10">
      <c r="E34" s="1337" t="s">
        <v>1872</v>
      </c>
      <c r="F34" s="1340">
        <v>84.5</v>
      </c>
      <c r="G34" s="1339">
        <v>3.1853317621040442E-4</v>
      </c>
      <c r="H34" s="1339">
        <v>8.0082041919584551E-4</v>
      </c>
      <c r="I34" s="1339">
        <v>2.4880309516939216E-3</v>
      </c>
      <c r="J34" s="1339">
        <v>4.7762510103607908E-3</v>
      </c>
    </row>
    <row r="35" spans="5:10">
      <c r="E35" s="1337" t="s">
        <v>1873</v>
      </c>
      <c r="F35" s="1340">
        <v>752</v>
      </c>
      <c r="G35" s="1339">
        <v>2.834756787103244E-3</v>
      </c>
      <c r="H35" s="1339">
        <v>7.1268278726068146E-3</v>
      </c>
      <c r="I35" s="1339">
        <v>2.2142003262412179E-2</v>
      </c>
      <c r="J35" s="1339">
        <v>4.2505807808181237E-2</v>
      </c>
    </row>
    <row r="36" spans="5:10">
      <c r="E36" s="1337" t="s">
        <v>1874</v>
      </c>
      <c r="F36" s="1340">
        <v>3067.1000000000004</v>
      </c>
      <c r="G36" s="1339">
        <v>1.1561811890590905E-2</v>
      </c>
      <c r="H36" s="1339">
        <v>2.9067411925628145E-2</v>
      </c>
      <c r="I36" s="1339">
        <v>9.0308162508170753E-2</v>
      </c>
      <c r="J36" s="1339">
        <v>0.17336378075594772</v>
      </c>
    </row>
    <row r="37" spans="5:10">
      <c r="E37" s="1337" t="s">
        <v>1875</v>
      </c>
      <c r="F37" s="1340">
        <v>355</v>
      </c>
      <c r="G37" s="1339">
        <v>1.3382163024224091E-3</v>
      </c>
      <c r="H37" s="1339">
        <v>3.3643934770949723E-3</v>
      </c>
      <c r="I37" s="1339">
        <v>1.0452674412441919E-2</v>
      </c>
      <c r="J37" s="1339">
        <v>2.0065906611574917E-2</v>
      </c>
    </row>
    <row r="38" spans="5:10">
      <c r="E38" s="1337" t="s">
        <v>1876</v>
      </c>
      <c r="F38" s="1340">
        <v>627</v>
      </c>
      <c r="G38" s="1339">
        <v>2.3635538637150717E-3</v>
      </c>
      <c r="H38" s="1339">
        <v>5.9421822820804162E-3</v>
      </c>
      <c r="I38" s="1339">
        <v>1.8461484103101646E-2</v>
      </c>
      <c r="J38" s="1339">
        <v>3.5440347733683028E-2</v>
      </c>
    </row>
    <row r="39" spans="5:10">
      <c r="E39" s="1337" t="s">
        <v>1877</v>
      </c>
      <c r="F39" s="1340">
        <v>245</v>
      </c>
      <c r="G39" s="1339">
        <v>9.2355772984081754E-4</v>
      </c>
      <c r="H39" s="1339">
        <v>2.3219053574317417E-3</v>
      </c>
      <c r="I39" s="1339">
        <v>7.2138175522486487E-3</v>
      </c>
      <c r="J39" s="1339">
        <v>1.3848301746016494E-2</v>
      </c>
    </row>
    <row r="40" spans="5:10">
      <c r="E40" s="1337" t="s">
        <v>1878</v>
      </c>
      <c r="F40" s="1340">
        <v>339</v>
      </c>
      <c r="G40" s="1339">
        <v>1.2779023282287231E-3</v>
      </c>
      <c r="H40" s="1339">
        <v>3.2127588415075932E-3</v>
      </c>
      <c r="I40" s="1339">
        <v>9.9815679600501715E-3</v>
      </c>
      <c r="J40" s="1339">
        <v>1.9161527722039148E-2</v>
      </c>
    </row>
    <row r="41" spans="5:10">
      <c r="E41" s="1337" t="s">
        <v>1879</v>
      </c>
      <c r="F41" s="1340">
        <v>2042.5</v>
      </c>
      <c r="G41" s="1339">
        <v>7.699455768162734E-3</v>
      </c>
      <c r="H41" s="1339">
        <v>1.9357108949201354E-2</v>
      </c>
      <c r="I41" s="1339">
        <v>6.0139683063134143E-2</v>
      </c>
      <c r="J41" s="1339">
        <v>0.11544961761730076</v>
      </c>
    </row>
    <row r="42" spans="5:10">
      <c r="E42" s="1337" t="s">
        <v>1880</v>
      </c>
      <c r="F42" s="1340">
        <v>288</v>
      </c>
      <c r="G42" s="1339">
        <v>1.0856515354863488E-3</v>
      </c>
      <c r="H42" s="1339">
        <v>2.7294234405728229E-3</v>
      </c>
      <c r="I42" s="1339">
        <v>8.4799161430514722E-3</v>
      </c>
      <c r="J42" s="1339">
        <v>1.6278820011643876E-2</v>
      </c>
    </row>
    <row r="43" spans="5:10">
      <c r="E43" s="1337" t="s">
        <v>1881</v>
      </c>
      <c r="F43" s="1340">
        <v>1422.5</v>
      </c>
      <c r="G43" s="1339">
        <v>5.3622892681573992E-3</v>
      </c>
      <c r="H43" s="1339">
        <v>1.3481266820190418E-2</v>
      </c>
      <c r="I43" s="1339">
        <v>4.1884308032953892E-2</v>
      </c>
      <c r="J43" s="1339">
        <v>8.0404935647789638E-2</v>
      </c>
    </row>
    <row r="44" spans="5:10">
      <c r="E44" s="1337" t="s">
        <v>1882</v>
      </c>
      <c r="F44" s="1340">
        <v>454.2</v>
      </c>
      <c r="G44" s="1339">
        <v>1.7121629424232624E-3</v>
      </c>
      <c r="H44" s="1339">
        <v>4.3045282177367221E-3</v>
      </c>
      <c r="I44" s="1339">
        <v>1.3373534417270761E-2</v>
      </c>
      <c r="J44" s="1339">
        <v>2.56730557266967E-2</v>
      </c>
    </row>
    <row r="45" spans="5:10">
      <c r="E45" s="1337" t="s">
        <v>1883</v>
      </c>
      <c r="F45" s="1340">
        <v>352</v>
      </c>
      <c r="G45" s="1339">
        <v>1.3269074322610928E-3</v>
      </c>
      <c r="H45" s="1339">
        <v>3.3359619829223387E-3</v>
      </c>
      <c r="I45" s="1339">
        <v>1.0364341952618468E-2</v>
      </c>
      <c r="J45" s="1339">
        <v>1.9896335569786962E-2</v>
      </c>
    </row>
    <row r="46" spans="5:10">
      <c r="E46" s="1337" t="s">
        <v>1884</v>
      </c>
      <c r="F46" s="1340">
        <v>69</v>
      </c>
      <c r="G46" s="1339">
        <v>2.6010401371027108E-4</v>
      </c>
      <c r="H46" s="1339">
        <v>6.5392436597057216E-4</v>
      </c>
      <c r="I46" s="1339">
        <v>2.0316465759394153E-3</v>
      </c>
      <c r="J46" s="1339">
        <v>3.9001339611230124E-3</v>
      </c>
    </row>
    <row r="47" spans="5:10">
      <c r="E47" s="1337" t="s">
        <v>1885</v>
      </c>
      <c r="F47" s="1340">
        <v>218</v>
      </c>
      <c r="G47" s="1339">
        <v>8.2177789838897236E-4</v>
      </c>
      <c r="H47" s="1339">
        <v>2.0660219098780396E-3</v>
      </c>
      <c r="I47" s="1339">
        <v>6.4188254138375731E-3</v>
      </c>
      <c r="J47" s="1339">
        <v>1.232216236992488E-2</v>
      </c>
    </row>
    <row r="48" spans="5:10">
      <c r="E48" s="1337" t="s">
        <v>1886</v>
      </c>
      <c r="F48" s="1340">
        <v>997.8</v>
      </c>
      <c r="G48" s="1339">
        <v>3.7613302156537455E-3</v>
      </c>
      <c r="H48" s="1339">
        <v>9.4563149618179243E-3</v>
      </c>
      <c r="I48" s="1339">
        <v>2.9379376137280415E-2</v>
      </c>
      <c r="J48" s="1339">
        <v>5.6399328498674517E-2</v>
      </c>
    </row>
    <row r="49" spans="2:10">
      <c r="E49" s="1337" t="s">
        <v>1887</v>
      </c>
      <c r="F49" s="1340">
        <v>2369.5</v>
      </c>
      <c r="G49" s="1339">
        <v>8.9321226157461926E-3</v>
      </c>
      <c r="H49" s="1339">
        <v>2.2456141814018414E-2</v>
      </c>
      <c r="I49" s="1339">
        <v>6.9767921183890497E-2</v>
      </c>
      <c r="J49" s="1339">
        <v>0.13393286117218808</v>
      </c>
    </row>
    <row r="50" spans="2:10">
      <c r="E50" s="1337" t="s">
        <v>1888</v>
      </c>
      <c r="F50" s="1340">
        <v>194</v>
      </c>
      <c r="G50" s="1339">
        <v>7.3130693709844326E-4</v>
      </c>
      <c r="H50" s="1339">
        <v>1.8385699564969708E-3</v>
      </c>
      <c r="I50" s="1339">
        <v>5.7121657352499503E-3</v>
      </c>
      <c r="J50" s="1339">
        <v>1.0965594035621223E-2</v>
      </c>
    </row>
    <row r="51" spans="2:10">
      <c r="D51" s="1337" t="s">
        <v>1889</v>
      </c>
      <c r="F51" s="1340">
        <v>17691.7</v>
      </c>
      <c r="G51" s="1339">
        <v>6.6691046077652208E-2</v>
      </c>
      <c r="H51" s="1339">
        <v>0.16766715515132713</v>
      </c>
      <c r="I51" s="1339">
        <v>0.52091712648619359</v>
      </c>
      <c r="J51" s="1339">
        <v>1</v>
      </c>
    </row>
    <row r="52" spans="2:10">
      <c r="D52" s="1337" t="s">
        <v>1890</v>
      </c>
      <c r="E52" s="1337" t="s">
        <v>1891</v>
      </c>
      <c r="F52" s="1340">
        <v>1809.7</v>
      </c>
      <c r="G52" s="1339">
        <v>6.8218874436446024E-3</v>
      </c>
      <c r="H52" s="1339">
        <v>1.7150825001404992E-2</v>
      </c>
      <c r="I52" s="1339">
        <v>5.3285084180834205E-2</v>
      </c>
      <c r="J52" s="1339">
        <v>0.21669161228521824</v>
      </c>
    </row>
    <row r="53" spans="2:10">
      <c r="E53" s="1337" t="s">
        <v>1892</v>
      </c>
      <c r="F53" s="1340">
        <v>6157.4</v>
      </c>
      <c r="G53" s="1339">
        <v>2.3211079043762652E-2</v>
      </c>
      <c r="H53" s="1339">
        <v>5.8354694072857975E-2</v>
      </c>
      <c r="I53" s="1339">
        <v>0.1812994293723095</v>
      </c>
      <c r="J53" s="1339">
        <v>0.73728072801293176</v>
      </c>
    </row>
    <row r="54" spans="2:10">
      <c r="E54" s="1337" t="s">
        <v>1893</v>
      </c>
      <c r="F54" s="1340">
        <v>384.4</v>
      </c>
      <c r="G54" s="1339">
        <v>1.4490432300033071E-3</v>
      </c>
      <c r="H54" s="1339">
        <v>3.6430221199867815E-3</v>
      </c>
      <c r="I54" s="1339">
        <v>1.1318332518711756E-2</v>
      </c>
      <c r="J54" s="1339">
        <v>4.6027659701849966E-2</v>
      </c>
    </row>
    <row r="55" spans="2:10">
      <c r="D55" s="1337" t="s">
        <v>1894</v>
      </c>
      <c r="F55" s="1340">
        <v>8351.5</v>
      </c>
      <c r="G55" s="1339">
        <v>3.148200971741056E-2</v>
      </c>
      <c r="H55" s="1339">
        <v>7.9148541194249758E-2</v>
      </c>
      <c r="I55" s="1339">
        <v>0.24590284607185547</v>
      </c>
      <c r="J55" s="1339">
        <v>1</v>
      </c>
    </row>
    <row r="56" spans="2:10">
      <c r="D56" s="1337" t="s">
        <v>166</v>
      </c>
      <c r="E56" s="1337" t="s">
        <v>1895</v>
      </c>
      <c r="F56" s="1344">
        <v>7362.4</v>
      </c>
      <c r="G56" s="1339">
        <v>2.775347522522463E-2</v>
      </c>
      <c r="H56" s="1339">
        <v>6.9774677565532461E-2</v>
      </c>
      <c r="I56" s="1339">
        <v>0.21677963406806305</v>
      </c>
      <c r="J56" s="1339">
        <v>1</v>
      </c>
    </row>
    <row r="57" spans="2:10">
      <c r="D57" s="1337" t="s">
        <v>1896</v>
      </c>
      <c r="F57" s="1340">
        <v>7362.4</v>
      </c>
      <c r="G57" s="1339">
        <v>2.775347522522463E-2</v>
      </c>
      <c r="H57" s="1339">
        <v>6.9774677565532461E-2</v>
      </c>
      <c r="I57" s="1339">
        <v>0.21677963406806305</v>
      </c>
      <c r="J57" s="1339">
        <v>1</v>
      </c>
    </row>
    <row r="58" spans="2:10">
      <c r="D58" s="1337" t="s">
        <v>1897</v>
      </c>
      <c r="E58" s="1337" t="s">
        <v>1898</v>
      </c>
      <c r="F58" s="1340">
        <v>557</v>
      </c>
      <c r="G58" s="1339">
        <v>2.0996802266176951E-3</v>
      </c>
      <c r="H58" s="1339">
        <v>5.2787807513856328E-3</v>
      </c>
      <c r="I58" s="1339">
        <v>1.6400393373887743E-2</v>
      </c>
      <c r="J58" s="1341">
        <v>1</v>
      </c>
    </row>
    <row r="59" spans="2:10">
      <c r="D59" s="1337" t="s">
        <v>1899</v>
      </c>
      <c r="F59" s="1340">
        <v>557</v>
      </c>
      <c r="G59" s="1339">
        <v>2.0996802266176951E-3</v>
      </c>
      <c r="H59" s="1339">
        <v>5.2787807513856328E-3</v>
      </c>
      <c r="I59" s="1339">
        <v>1.6400393373887743E-2</v>
      </c>
      <c r="J59" s="1341">
        <v>1</v>
      </c>
    </row>
    <row r="60" spans="2:10">
      <c r="C60" s="1337" t="s">
        <v>1900</v>
      </c>
      <c r="F60" s="1344">
        <v>33962.600000000006</v>
      </c>
      <c r="G60" s="1339">
        <v>0.12802621124690511</v>
      </c>
      <c r="H60" s="1339">
        <v>0.32186915466249499</v>
      </c>
      <c r="I60" s="1339">
        <v>1</v>
      </c>
    </row>
    <row r="61" spans="2:10">
      <c r="B61" s="1337" t="s">
        <v>1901</v>
      </c>
      <c r="F61" s="1344">
        <v>105516.79</v>
      </c>
      <c r="G61" s="1339">
        <v>0.39775855931628679</v>
      </c>
      <c r="H61" s="1339">
        <v>1</v>
      </c>
      <c r="I61" s="1339"/>
    </row>
    <row r="62" spans="2:10">
      <c r="B62" s="1337" t="s">
        <v>1902</v>
      </c>
      <c r="C62" s="1337" t="s">
        <v>1903</v>
      </c>
      <c r="D62" s="1337" t="s">
        <v>1904</v>
      </c>
      <c r="E62" s="1337" t="s">
        <v>1905</v>
      </c>
      <c r="F62" s="1340">
        <v>10223.5</v>
      </c>
      <c r="G62" s="1339">
        <v>3.8538744698071829E-2</v>
      </c>
      <c r="H62" s="1339">
        <v>6.4298256868501616E-2</v>
      </c>
      <c r="I62" s="1339">
        <v>0.28491525140318708</v>
      </c>
      <c r="J62" s="1339">
        <v>0.83100995732574678</v>
      </c>
    </row>
    <row r="63" spans="2:10">
      <c r="E63" s="1337" t="s">
        <v>1906</v>
      </c>
      <c r="F63" s="1340">
        <v>2079</v>
      </c>
      <c r="G63" s="1339">
        <v>7.8370470217920801E-3</v>
      </c>
      <c r="H63" s="1339">
        <v>1.3075373016052707E-2</v>
      </c>
      <c r="I63" s="1339">
        <v>5.7938945338409147E-2</v>
      </c>
      <c r="J63" s="1339">
        <v>0.16899004267425319</v>
      </c>
    </row>
    <row r="64" spans="2:10">
      <c r="D64" s="1337" t="s">
        <v>1907</v>
      </c>
      <c r="F64" s="1340">
        <v>12302.5</v>
      </c>
      <c r="G64" s="1339">
        <v>4.6375791719863911E-2</v>
      </c>
      <c r="H64" s="1339">
        <v>7.7373629884554318E-2</v>
      </c>
      <c r="I64" s="1339">
        <v>0.34285419674159623</v>
      </c>
      <c r="J64" s="1339">
        <v>1</v>
      </c>
    </row>
    <row r="65" spans="3:10">
      <c r="D65" s="1337" t="s">
        <v>1908</v>
      </c>
      <c r="E65" s="1337" t="s">
        <v>1909</v>
      </c>
      <c r="F65" s="1340">
        <v>10186.700000000001</v>
      </c>
      <c r="G65" s="1339">
        <v>3.8400022557426354E-2</v>
      </c>
      <c r="H65" s="1339">
        <v>6.4066812074374285E-2</v>
      </c>
      <c r="I65" s="1339">
        <v>0.28388968469397424</v>
      </c>
      <c r="J65" s="1339">
        <v>0.43200410515646676</v>
      </c>
    </row>
    <row r="66" spans="3:10">
      <c r="E66" s="1337" t="s">
        <v>1910</v>
      </c>
      <c r="F66" s="1340">
        <v>13393.399999999998</v>
      </c>
      <c r="G66" s="1339">
        <v>5.0488073872857156E-2</v>
      </c>
      <c r="H66" s="1339">
        <v>8.4234584393073741E-2</v>
      </c>
      <c r="I66" s="1339">
        <v>0.37325611856442953</v>
      </c>
      <c r="J66" s="1339">
        <v>0.5679958948435333</v>
      </c>
    </row>
    <row r="67" spans="3:10">
      <c r="D67" s="1337" t="s">
        <v>1911</v>
      </c>
      <c r="F67" s="1340">
        <v>23580.1</v>
      </c>
      <c r="G67" s="1339">
        <v>8.8888096430283503E-2</v>
      </c>
      <c r="H67" s="1339">
        <v>0.14830139646744803</v>
      </c>
      <c r="I67" s="1339">
        <v>0.65714580325840377</v>
      </c>
      <c r="J67" s="1339">
        <v>1</v>
      </c>
    </row>
    <row r="68" spans="3:10">
      <c r="C68" s="1337" t="s">
        <v>1912</v>
      </c>
      <c r="F68" s="1340">
        <v>35882.6</v>
      </c>
      <c r="G68" s="1339">
        <v>0.13526388815014742</v>
      </c>
      <c r="H68" s="1339">
        <v>0.22567502635200234</v>
      </c>
      <c r="I68" s="1339">
        <v>1</v>
      </c>
    </row>
    <row r="69" spans="3:10">
      <c r="C69" s="1337" t="s">
        <v>1913</v>
      </c>
      <c r="D69" s="1337" t="s">
        <v>1278</v>
      </c>
      <c r="E69" s="1337" t="s">
        <v>1914</v>
      </c>
      <c r="F69" s="1340">
        <v>0</v>
      </c>
      <c r="G69" s="1339">
        <v>0</v>
      </c>
      <c r="H69" s="1339">
        <v>0</v>
      </c>
      <c r="I69" s="1339">
        <v>0</v>
      </c>
      <c r="J69" s="1339">
        <v>0</v>
      </c>
    </row>
    <row r="70" spans="3:10">
      <c r="E70" s="1337" t="s">
        <v>1915</v>
      </c>
      <c r="F70" s="1340">
        <v>0</v>
      </c>
      <c r="G70" s="1339">
        <v>0</v>
      </c>
      <c r="H70" s="1339">
        <v>0</v>
      </c>
      <c r="I70" s="1339">
        <v>0</v>
      </c>
      <c r="J70" s="1339">
        <v>0</v>
      </c>
    </row>
    <row r="71" spans="3:10">
      <c r="E71" s="1337" t="s">
        <v>1916</v>
      </c>
      <c r="F71" s="1340">
        <v>2424.8999999999996</v>
      </c>
      <c r="G71" s="1339">
        <v>9.1409597513918295E-3</v>
      </c>
      <c r="H71" s="1339">
        <v>1.5250828295635501E-2</v>
      </c>
      <c r="I71" s="1339">
        <v>2.5810455102325377E-2</v>
      </c>
      <c r="J71" s="1339">
        <v>3.9398390204750097E-2</v>
      </c>
    </row>
    <row r="72" spans="3:10">
      <c r="E72" s="1337" t="s">
        <v>1917</v>
      </c>
      <c r="F72" s="1340">
        <v>0</v>
      </c>
      <c r="G72" s="1339">
        <v>0</v>
      </c>
      <c r="H72" s="1339">
        <v>0</v>
      </c>
      <c r="I72" s="1339">
        <v>0</v>
      </c>
      <c r="J72" s="1339">
        <v>0</v>
      </c>
    </row>
    <row r="73" spans="3:10">
      <c r="E73" s="1337" t="s">
        <v>1918</v>
      </c>
      <c r="F73" s="1340">
        <v>1516.8</v>
      </c>
      <c r="G73" s="1339">
        <v>5.7177647535614365E-3</v>
      </c>
      <c r="H73" s="1339">
        <v>9.5395506449007916E-3</v>
      </c>
      <c r="I73" s="1339">
        <v>1.6144706296839926E-2</v>
      </c>
      <c r="J73" s="1339">
        <v>2.464410007116374E-2</v>
      </c>
    </row>
    <row r="74" spans="3:10">
      <c r="E74" s="1337" t="s">
        <v>1919</v>
      </c>
      <c r="F74" s="1340">
        <v>249.2</v>
      </c>
      <c r="G74" s="1339">
        <v>9.3939014806666008E-4</v>
      </c>
      <c r="H74" s="1339">
        <v>1.56728376892753E-3</v>
      </c>
      <c r="I74" s="1339">
        <v>2.6524662507730152E-3</v>
      </c>
      <c r="J74" s="1339">
        <v>4.0488592680208357E-3</v>
      </c>
    </row>
    <row r="75" spans="3:10">
      <c r="E75" s="1337" t="s">
        <v>1920</v>
      </c>
      <c r="F75" s="1340">
        <v>13289.5</v>
      </c>
      <c r="G75" s="1339">
        <v>5.0096410002936916E-2</v>
      </c>
      <c r="H75" s="1339">
        <v>8.3581130205306622E-2</v>
      </c>
      <c r="I75" s="1339">
        <v>0.14145244879473512</v>
      </c>
      <c r="J75" s="1339">
        <v>0.21592020562745948</v>
      </c>
    </row>
    <row r="76" spans="3:10">
      <c r="E76" s="1337" t="s">
        <v>1921</v>
      </c>
      <c r="F76" s="1340">
        <v>3355</v>
      </c>
      <c r="G76" s="1339">
        <v>1.2647086463738542E-2</v>
      </c>
      <c r="H76" s="1339">
        <v>2.1100469681989819E-2</v>
      </c>
      <c r="I76" s="1339">
        <v>3.5710370270238628E-2</v>
      </c>
      <c r="J76" s="1339">
        <v>5.4510123772912936E-2</v>
      </c>
    </row>
    <row r="77" spans="3:10">
      <c r="E77" s="1337" t="s">
        <v>1922</v>
      </c>
      <c r="F77" s="1340">
        <v>0</v>
      </c>
      <c r="G77" s="1339">
        <v>0</v>
      </c>
      <c r="H77" s="1339">
        <v>0</v>
      </c>
      <c r="I77" s="1339">
        <v>0</v>
      </c>
      <c r="J77" s="1339">
        <v>0</v>
      </c>
    </row>
    <row r="78" spans="3:10">
      <c r="E78" s="1337" t="s">
        <v>1923</v>
      </c>
      <c r="F78" s="1340">
        <v>0</v>
      </c>
      <c r="G78" s="1339">
        <v>0</v>
      </c>
      <c r="H78" s="1339">
        <v>0</v>
      </c>
      <c r="I78" s="1339">
        <v>0</v>
      </c>
      <c r="J78" s="1339">
        <v>0</v>
      </c>
    </row>
    <row r="79" spans="3:10">
      <c r="E79" s="1337" t="s">
        <v>1924</v>
      </c>
      <c r="F79" s="1340">
        <v>0</v>
      </c>
      <c r="G79" s="1339">
        <v>0</v>
      </c>
      <c r="H79" s="1339">
        <v>0</v>
      </c>
      <c r="I79" s="1339">
        <v>0</v>
      </c>
      <c r="J79" s="1339">
        <v>0</v>
      </c>
    </row>
    <row r="80" spans="3:10">
      <c r="E80" s="1337" t="s">
        <v>1925</v>
      </c>
      <c r="F80" s="1340">
        <v>21082.1</v>
      </c>
      <c r="G80" s="1339">
        <v>7.9471577209294278E-2</v>
      </c>
      <c r="H80" s="1339">
        <v>0.13259082321391283</v>
      </c>
      <c r="I80" s="1339">
        <v>0.22439630315177281</v>
      </c>
      <c r="J80" s="1339">
        <v>0.34252991964021695</v>
      </c>
    </row>
    <row r="81" spans="4:10">
      <c r="E81" s="1337" t="s">
        <v>1926</v>
      </c>
      <c r="F81" s="1340">
        <v>0</v>
      </c>
      <c r="G81" s="1339">
        <v>0</v>
      </c>
      <c r="H81" s="1339">
        <v>0</v>
      </c>
      <c r="I81" s="1339">
        <v>0</v>
      </c>
      <c r="J81" s="1339">
        <v>0</v>
      </c>
    </row>
    <row r="82" spans="4:10">
      <c r="E82" s="1337" t="s">
        <v>1927</v>
      </c>
      <c r="F82" s="1340">
        <v>2094.1999999999998</v>
      </c>
      <c r="G82" s="1339">
        <v>7.894345297276081E-3</v>
      </c>
      <c r="H82" s="1339">
        <v>1.3170969778844435E-2</v>
      </c>
      <c r="I82" s="1339">
        <v>2.2290508918013034E-2</v>
      </c>
      <c r="J82" s="1339">
        <v>3.4025365485911854E-2</v>
      </c>
    </row>
    <row r="83" spans="4:10">
      <c r="E83" s="1337" t="s">
        <v>1928</v>
      </c>
      <c r="F83" s="1340">
        <v>0</v>
      </c>
      <c r="G83" s="1339">
        <v>0</v>
      </c>
      <c r="H83" s="1339">
        <v>0</v>
      </c>
      <c r="I83" s="1339">
        <v>0</v>
      </c>
      <c r="J83" s="1339">
        <v>0</v>
      </c>
    </row>
    <row r="84" spans="4:10">
      <c r="E84" s="1337" t="s">
        <v>1929</v>
      </c>
      <c r="F84" s="1340">
        <v>2499.6</v>
      </c>
      <c r="G84" s="1339">
        <v>9.4225506184086021E-3</v>
      </c>
      <c r="H84" s="1339">
        <v>1.5720636070671163E-2</v>
      </c>
      <c r="I84" s="1339">
        <v>2.6605556342023391E-2</v>
      </c>
      <c r="J84" s="1339">
        <v>4.0612073139425685E-2</v>
      </c>
    </row>
    <row r="85" spans="4:10">
      <c r="E85" s="1337" t="s">
        <v>1930</v>
      </c>
      <c r="F85" s="1340">
        <v>9396.4</v>
      </c>
      <c r="G85" s="1339">
        <v>3.5420889194596968E-2</v>
      </c>
      <c r="H85" s="1339">
        <v>5.9096409335275449E-2</v>
      </c>
      <c r="I85" s="1339">
        <v>0.10001458217802392</v>
      </c>
      <c r="J85" s="1339">
        <v>0.15266734039338276</v>
      </c>
    </row>
    <row r="86" spans="4:10">
      <c r="E86" s="1337" t="s">
        <v>1931</v>
      </c>
      <c r="F86" s="1340">
        <v>1688.5</v>
      </c>
      <c r="G86" s="1339">
        <v>6.3650090891274299E-3</v>
      </c>
      <c r="H86" s="1339">
        <v>1.0619416708804712E-2</v>
      </c>
      <c r="I86" s="1339">
        <v>1.7972268316333213E-2</v>
      </c>
      <c r="J86" s="1339">
        <v>2.743378360374471E-2</v>
      </c>
    </row>
    <row r="87" spans="4:10">
      <c r="E87" s="1337" t="s">
        <v>1932</v>
      </c>
      <c r="F87" s="1340">
        <v>2711</v>
      </c>
      <c r="G87" s="1339">
        <v>1.0219449002442678E-2</v>
      </c>
      <c r="H87" s="1339">
        <v>1.7050185784761373E-2</v>
      </c>
      <c r="I87" s="1339">
        <v>2.8855682206443196E-2</v>
      </c>
      <c r="J87" s="1339">
        <v>4.4046779597128757E-2</v>
      </c>
    </row>
    <row r="88" spans="4:10">
      <c r="E88" s="1337" t="s">
        <v>1933</v>
      </c>
      <c r="F88" s="1340">
        <v>1241</v>
      </c>
      <c r="G88" s="1339">
        <v>4.6781026233977735E-3</v>
      </c>
      <c r="H88" s="1339">
        <v>7.80497254108774E-3</v>
      </c>
      <c r="I88" s="1339">
        <v>1.3209111626040578E-2</v>
      </c>
      <c r="J88" s="1339">
        <v>2.0163059195882252E-2</v>
      </c>
    </row>
    <row r="89" spans="4:10">
      <c r="E89" s="1337" t="s">
        <v>1934</v>
      </c>
      <c r="F89" s="1340">
        <v>0</v>
      </c>
      <c r="G89" s="1339">
        <v>0</v>
      </c>
      <c r="H89" s="1339">
        <v>0</v>
      </c>
      <c r="I89" s="1339">
        <v>0</v>
      </c>
      <c r="J89" s="1339">
        <v>0</v>
      </c>
    </row>
    <row r="90" spans="4:10">
      <c r="D90" s="1337" t="s">
        <v>1935</v>
      </c>
      <c r="F90" s="1340">
        <v>61548.2</v>
      </c>
      <c r="G90" s="1339">
        <v>0.2320135341542392</v>
      </c>
      <c r="H90" s="1339">
        <v>0.38709267603011799</v>
      </c>
      <c r="I90" s="1339">
        <v>0.65511445945356217</v>
      </c>
      <c r="J90" s="1339">
        <v>1</v>
      </c>
    </row>
    <row r="91" spans="4:10">
      <c r="D91" s="1337" t="s">
        <v>1936</v>
      </c>
      <c r="E91" s="1337" t="s">
        <v>1937</v>
      </c>
      <c r="F91" s="1340">
        <v>20963.2</v>
      </c>
      <c r="G91" s="1339">
        <v>7.9023368988567461E-2</v>
      </c>
      <c r="H91" s="1339">
        <v>0.13184303011549597</v>
      </c>
      <c r="I91" s="1339">
        <v>0.22313074040210626</v>
      </c>
      <c r="J91" s="1339">
        <v>0.64697041241154118</v>
      </c>
    </row>
    <row r="92" spans="4:10">
      <c r="E92" s="1337" t="s">
        <v>1938</v>
      </c>
      <c r="F92" s="1340">
        <v>174</v>
      </c>
      <c r="G92" s="1339">
        <v>6.5591446935633565E-4</v>
      </c>
      <c r="H92" s="1339">
        <v>1.0943313635368788E-3</v>
      </c>
      <c r="I92" s="1339">
        <v>1.8520430482925549E-3</v>
      </c>
      <c r="J92" s="1339">
        <v>5.370022313368578E-3</v>
      </c>
    </row>
    <row r="93" spans="4:10">
      <c r="E93" s="1337" t="s">
        <v>1939</v>
      </c>
      <c r="F93" s="1340">
        <v>3463.5</v>
      </c>
      <c r="G93" s="1339">
        <v>1.3056090601239476E-2</v>
      </c>
      <c r="H93" s="1339">
        <v>2.1782854469022873E-2</v>
      </c>
      <c r="I93" s="1339">
        <v>3.6865236194030253E-2</v>
      </c>
      <c r="J93" s="1339">
        <v>0.10689122001351764</v>
      </c>
    </row>
    <row r="94" spans="4:10">
      <c r="E94" s="1337" t="s">
        <v>1940</v>
      </c>
      <c r="F94" s="1340">
        <v>1082.5</v>
      </c>
      <c r="G94" s="1339">
        <v>4.0806173165415715E-3</v>
      </c>
      <c r="H94" s="1339">
        <v>6.8081247185555827E-3</v>
      </c>
      <c r="I94" s="1339">
        <v>1.152204942400397E-2</v>
      </c>
      <c r="J94" s="1339">
        <v>3.3408328472537274E-2</v>
      </c>
    </row>
    <row r="95" spans="4:10">
      <c r="E95" s="1337" t="s">
        <v>1941</v>
      </c>
      <c r="F95" s="1340">
        <v>6718.9000000000005</v>
      </c>
      <c r="G95" s="1339">
        <v>2.5327722575622325E-2</v>
      </c>
      <c r="H95" s="1339">
        <v>4.225691378429848E-2</v>
      </c>
      <c r="I95" s="1339">
        <v>7.1515471478004869E-2</v>
      </c>
      <c r="J95" s="1339">
        <v>0.20736001678903529</v>
      </c>
    </row>
    <row r="96" spans="4:10">
      <c r="D96" s="1337" t="s">
        <v>1942</v>
      </c>
      <c r="F96" s="1340">
        <v>32402.100000000002</v>
      </c>
      <c r="G96" s="1339">
        <v>0.12214371395132716</v>
      </c>
      <c r="H96" s="1339">
        <v>0.20378525445090981</v>
      </c>
      <c r="I96" s="1339">
        <v>0.34488554054643794</v>
      </c>
      <c r="J96" s="1339">
        <v>1</v>
      </c>
    </row>
    <row r="97" spans="1:10">
      <c r="C97" s="1337" t="s">
        <v>1943</v>
      </c>
      <c r="F97" s="1340">
        <v>93950.299999999988</v>
      </c>
      <c r="G97" s="1339">
        <v>0.35415724810556631</v>
      </c>
      <c r="H97" s="1339">
        <v>0.59087793048102766</v>
      </c>
      <c r="I97" s="1339">
        <v>1</v>
      </c>
    </row>
    <row r="98" spans="1:10">
      <c r="C98" s="1337" t="s">
        <v>1944</v>
      </c>
      <c r="D98" s="1337" t="s">
        <v>1945</v>
      </c>
      <c r="E98" s="1337" t="s">
        <v>1946</v>
      </c>
      <c r="F98" s="1340">
        <v>8525.9</v>
      </c>
      <c r="G98" s="1339">
        <v>3.213943203612174E-2</v>
      </c>
      <c r="H98" s="1339">
        <v>5.3621607887236064E-2</v>
      </c>
      <c r="I98" s="1339">
        <v>0.29230020261722484</v>
      </c>
      <c r="J98" s="1339">
        <v>1</v>
      </c>
    </row>
    <row r="99" spans="1:10">
      <c r="D99" s="1337" t="s">
        <v>1947</v>
      </c>
      <c r="F99" s="1340">
        <v>8525.9</v>
      </c>
      <c r="G99" s="1339">
        <v>3.213943203612174E-2</v>
      </c>
      <c r="H99" s="1339">
        <v>5.3621607887236064E-2</v>
      </c>
      <c r="I99" s="1339">
        <v>0.29230020261722484</v>
      </c>
      <c r="J99" s="1339">
        <v>1</v>
      </c>
    </row>
    <row r="100" spans="1:10">
      <c r="D100" s="1337" t="s">
        <v>1280</v>
      </c>
      <c r="E100" s="1337" t="s">
        <v>1948</v>
      </c>
      <c r="F100" s="1340">
        <v>587</v>
      </c>
      <c r="G100" s="1339">
        <v>2.2127689282308567E-3</v>
      </c>
      <c r="H100" s="1339">
        <v>3.6917960367594707E-3</v>
      </c>
      <c r="I100" s="1339">
        <v>2.0124587308824993E-2</v>
      </c>
      <c r="J100" s="1339">
        <v>2.8436615897376272E-2</v>
      </c>
    </row>
    <row r="101" spans="1:10">
      <c r="E101" s="1337" t="s">
        <v>1949</v>
      </c>
      <c r="F101" s="1340">
        <v>4932.7</v>
      </c>
      <c r="G101" s="1339">
        <v>1.8594421281574694E-2</v>
      </c>
      <c r="H101" s="1339">
        <v>3.1023036304128518E-2</v>
      </c>
      <c r="I101" s="1339">
        <v>0.16911167260347706</v>
      </c>
      <c r="J101" s="1339">
        <v>0.23895961709878694</v>
      </c>
    </row>
    <row r="102" spans="1:10">
      <c r="E102" s="1337" t="s">
        <v>1950</v>
      </c>
      <c r="F102" s="1340">
        <v>11715.2</v>
      </c>
      <c r="G102" s="1339">
        <v>4.4161891904616925E-2</v>
      </c>
      <c r="H102" s="1339">
        <v>7.3679947069581864E-2</v>
      </c>
      <c r="I102" s="1339">
        <v>0.40164150807554783</v>
      </c>
      <c r="J102" s="1339">
        <v>0.56753090725884592</v>
      </c>
    </row>
    <row r="103" spans="1:10">
      <c r="E103" s="1337" t="s">
        <v>1951</v>
      </c>
      <c r="F103" s="1340">
        <v>3407.5</v>
      </c>
      <c r="G103" s="1339">
        <v>1.2844991691561574E-2</v>
      </c>
      <c r="H103" s="1339">
        <v>2.1430655869263879E-2</v>
      </c>
      <c r="I103" s="1339">
        <v>0.11682202939492532</v>
      </c>
      <c r="J103" s="1339">
        <v>0.16507285974499089</v>
      </c>
    </row>
    <row r="104" spans="1:10">
      <c r="D104" s="1337" t="s">
        <v>1952</v>
      </c>
      <c r="F104" s="1340">
        <v>20642.400000000001</v>
      </c>
      <c r="G104" s="1339">
        <v>7.7814073805984055E-2</v>
      </c>
      <c r="H104" s="1339">
        <v>0.12982543527973373</v>
      </c>
      <c r="I104" s="1339">
        <v>0.70769979738277522</v>
      </c>
      <c r="J104" s="1339">
        <v>1</v>
      </c>
    </row>
    <row r="105" spans="1:10">
      <c r="C105" s="1337" t="s">
        <v>1953</v>
      </c>
      <c r="F105" s="1340">
        <v>29168.3</v>
      </c>
      <c r="G105" s="1339">
        <v>0.10995350584210578</v>
      </c>
      <c r="H105" s="1339">
        <v>0.1834470431669698</v>
      </c>
      <c r="I105" s="1339">
        <v>1</v>
      </c>
      <c r="J105" s="1339"/>
    </row>
    <row r="106" spans="1:10">
      <c r="B106" s="1337" t="s">
        <v>1954</v>
      </c>
      <c r="F106" s="1340">
        <v>159001.20000000001</v>
      </c>
      <c r="G106" s="1339">
        <v>0.59937464209781965</v>
      </c>
      <c r="H106" s="1339">
        <v>1</v>
      </c>
      <c r="I106" s="1339"/>
    </row>
    <row r="107" spans="1:10">
      <c r="B107" s="1337" t="s">
        <v>1955</v>
      </c>
      <c r="C107" s="1337" t="s">
        <v>1956</v>
      </c>
      <c r="D107" s="1337" t="s">
        <v>1278</v>
      </c>
      <c r="E107" s="1337" t="s">
        <v>1957</v>
      </c>
      <c r="F107" s="1340">
        <v>760.5</v>
      </c>
      <c r="G107" s="1339">
        <v>2.8667985858936399E-3</v>
      </c>
      <c r="H107" s="1339">
        <v>1</v>
      </c>
      <c r="I107" s="1339">
        <v>1</v>
      </c>
      <c r="J107" s="1342">
        <v>1</v>
      </c>
    </row>
    <row r="108" spans="1:10">
      <c r="D108" s="1337" t="s">
        <v>1935</v>
      </c>
      <c r="F108" s="1340">
        <v>760.5</v>
      </c>
      <c r="G108" s="1339">
        <v>2.8667985858936399E-3</v>
      </c>
      <c r="H108" s="1339">
        <v>1</v>
      </c>
      <c r="I108" s="1339">
        <v>1</v>
      </c>
      <c r="J108" s="1342">
        <v>1</v>
      </c>
    </row>
    <row r="109" spans="1:10">
      <c r="C109" s="1337" t="s">
        <v>1958</v>
      </c>
      <c r="F109" s="1340">
        <v>760.5</v>
      </c>
      <c r="G109" s="1339">
        <v>2.8667985858936399E-3</v>
      </c>
      <c r="H109" s="1339">
        <v>1</v>
      </c>
      <c r="I109" s="1339">
        <v>1</v>
      </c>
    </row>
    <row r="110" spans="1:10">
      <c r="B110" s="1337" t="s">
        <v>1959</v>
      </c>
      <c r="F110" s="1340">
        <v>760.5</v>
      </c>
      <c r="G110" s="1339">
        <v>2.8667985858936399E-3</v>
      </c>
      <c r="H110" s="1339">
        <v>1</v>
      </c>
    </row>
    <row r="111" spans="1:10">
      <c r="A111" s="1337" t="s">
        <v>1960</v>
      </c>
      <c r="F111" s="1340">
        <v>265278.49</v>
      </c>
      <c r="G111" s="1339">
        <v>1</v>
      </c>
      <c r="H111" s="1339"/>
    </row>
    <row r="112" spans="1:10">
      <c r="A112" s="1337" t="s">
        <v>1961</v>
      </c>
      <c r="F112" s="1344">
        <v>265278.49</v>
      </c>
    </row>
  </sheetData>
  <pageMargins left="0.7" right="0.7" top="0.75" bottom="0.75" header="0.3" footer="0.3"/>
  <pageSetup scale="77" fitToHeight="0" orientation="landscape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0"/>
  <sheetViews>
    <sheetView workbookViewId="0">
      <selection activeCell="J45" sqref="J45"/>
    </sheetView>
  </sheetViews>
  <sheetFormatPr defaultRowHeight="12"/>
  <cols>
    <col min="1" max="1" width="20.75" bestFit="1" customWidth="1"/>
    <col min="2" max="2" width="18.125" bestFit="1" customWidth="1"/>
    <col min="3" max="4" width="8.125" bestFit="1" customWidth="1"/>
    <col min="5" max="5" width="13.875" bestFit="1" customWidth="1"/>
    <col min="8" max="8" width="18.5" bestFit="1" customWidth="1"/>
  </cols>
  <sheetData>
    <row r="3" spans="1:8">
      <c r="A3" s="1343" t="s">
        <v>1977</v>
      </c>
      <c r="B3" s="1343" t="s">
        <v>1978</v>
      </c>
    </row>
    <row r="4" spans="1:8">
      <c r="A4" s="1343" t="s">
        <v>1828</v>
      </c>
      <c r="B4">
        <v>345101</v>
      </c>
      <c r="C4">
        <v>345102</v>
      </c>
      <c r="D4">
        <v>345103</v>
      </c>
      <c r="E4" t="s">
        <v>1961</v>
      </c>
      <c r="H4" s="1337"/>
    </row>
    <row r="5" spans="1:8">
      <c r="A5" s="1337" t="s">
        <v>1527</v>
      </c>
      <c r="B5" s="1340"/>
      <c r="C5" s="1340">
        <v>100</v>
      </c>
      <c r="D5" s="1340"/>
      <c r="E5" s="1340">
        <v>100</v>
      </c>
      <c r="H5" s="1337"/>
    </row>
    <row r="6" spans="1:8">
      <c r="A6" s="1337" t="s">
        <v>1528</v>
      </c>
      <c r="B6" s="1340"/>
      <c r="C6" s="1340">
        <v>100</v>
      </c>
      <c r="D6" s="1340"/>
      <c r="E6" s="1340">
        <v>100</v>
      </c>
      <c r="H6" s="1337"/>
    </row>
    <row r="7" spans="1:8">
      <c r="A7" s="1337" t="s">
        <v>1966</v>
      </c>
      <c r="B7" s="1340"/>
      <c r="C7" s="1340">
        <v>100</v>
      </c>
      <c r="D7" s="1340"/>
      <c r="E7" s="1340">
        <v>100</v>
      </c>
      <c r="H7" s="1337"/>
    </row>
    <row r="8" spans="1:8">
      <c r="A8" s="1337" t="s">
        <v>1529</v>
      </c>
      <c r="B8" s="1340">
        <v>9.27</v>
      </c>
      <c r="C8" s="1340">
        <v>82.31</v>
      </c>
      <c r="D8" s="1340">
        <v>8.42</v>
      </c>
      <c r="E8" s="1340">
        <v>100</v>
      </c>
      <c r="H8" s="1337"/>
    </row>
    <row r="9" spans="1:8">
      <c r="A9" s="1337" t="s">
        <v>1530</v>
      </c>
      <c r="B9" s="1340"/>
      <c r="C9" s="1340">
        <v>100</v>
      </c>
      <c r="D9" s="1340"/>
      <c r="E9" s="1340">
        <v>100</v>
      </c>
      <c r="H9" s="1337"/>
    </row>
    <row r="10" spans="1:8">
      <c r="A10" s="1337" t="s">
        <v>1531</v>
      </c>
      <c r="B10" s="1340"/>
      <c r="C10" s="1340">
        <v>100</v>
      </c>
      <c r="D10" s="1340"/>
      <c r="E10" s="1340">
        <v>100</v>
      </c>
      <c r="H10" s="1337"/>
    </row>
    <row r="11" spans="1:8">
      <c r="A11" s="1337" t="s">
        <v>1532</v>
      </c>
      <c r="B11" s="1340"/>
      <c r="C11" s="1340">
        <v>100</v>
      </c>
      <c r="D11" s="1340"/>
      <c r="E11" s="1340">
        <v>100</v>
      </c>
      <c r="H11" s="1337"/>
    </row>
    <row r="12" spans="1:8">
      <c r="A12" s="1337" t="s">
        <v>1968</v>
      </c>
      <c r="B12" s="1340">
        <v>52.42</v>
      </c>
      <c r="C12" s="1340"/>
      <c r="D12" s="1340">
        <v>47.58</v>
      </c>
      <c r="E12" s="1340">
        <v>100</v>
      </c>
      <c r="H12" s="1337"/>
    </row>
    <row r="13" spans="1:8">
      <c r="A13" s="1337" t="s">
        <v>1533</v>
      </c>
      <c r="B13" s="1340"/>
      <c r="C13" s="1340">
        <v>100</v>
      </c>
      <c r="D13" s="1340"/>
      <c r="E13" s="1340">
        <v>100</v>
      </c>
      <c r="H13" s="1337"/>
    </row>
    <row r="14" spans="1:8">
      <c r="A14" s="1337" t="s">
        <v>1534</v>
      </c>
      <c r="B14" s="1340">
        <v>52.42</v>
      </c>
      <c r="C14" s="1340"/>
      <c r="D14" s="1340">
        <v>47.58</v>
      </c>
      <c r="E14" s="1340">
        <v>100</v>
      </c>
      <c r="H14" s="1337"/>
    </row>
    <row r="15" spans="1:8">
      <c r="A15" s="1337" t="s">
        <v>1535</v>
      </c>
      <c r="B15" s="1340">
        <v>9.27</v>
      </c>
      <c r="C15" s="1340">
        <v>82.31</v>
      </c>
      <c r="D15" s="1340">
        <v>8.42</v>
      </c>
      <c r="E15" s="1340">
        <v>100</v>
      </c>
      <c r="H15" s="1337"/>
    </row>
    <row r="16" spans="1:8">
      <c r="A16" s="1337" t="s">
        <v>1961</v>
      </c>
      <c r="B16" s="1340">
        <v>123.38</v>
      </c>
      <c r="C16" s="1340">
        <v>864.61999999999989</v>
      </c>
      <c r="D16" s="1340">
        <v>112</v>
      </c>
      <c r="E16" s="1340">
        <v>1100</v>
      </c>
      <c r="H16" s="1337"/>
    </row>
    <row r="17" spans="8:8">
      <c r="H17" s="1337"/>
    </row>
    <row r="18" spans="8:8">
      <c r="H18" s="1337"/>
    </row>
    <row r="19" spans="8:8">
      <c r="H19" s="1337"/>
    </row>
    <row r="20" spans="8:8">
      <c r="H20" s="133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120"/>
  <sheetViews>
    <sheetView view="pageBreakPreview" zoomScale="80" zoomScaleNormal="100" zoomScaleSheetLayoutView="80" workbookViewId="0">
      <selection activeCell="F49" sqref="F49"/>
    </sheetView>
  </sheetViews>
  <sheetFormatPr defaultRowHeight="12.75"/>
  <cols>
    <col min="1" max="1" width="1.75" style="492" customWidth="1"/>
    <col min="2" max="2" width="34.75" style="492" bestFit="1" customWidth="1"/>
    <col min="3" max="3" width="2.75" style="492" bestFit="1" customWidth="1"/>
    <col min="4" max="4" width="13.25" style="492" bestFit="1" customWidth="1"/>
    <col min="5" max="5" width="2.75" style="492" bestFit="1" customWidth="1"/>
    <col min="6" max="6" width="12.25" style="492" bestFit="1" customWidth="1"/>
    <col min="7" max="7" width="2.75" style="492" bestFit="1" customWidth="1"/>
    <col min="8" max="8" width="23" style="492" bestFit="1" customWidth="1"/>
    <col min="9" max="9" width="2.75" style="492" bestFit="1" customWidth="1"/>
    <col min="10" max="16384" width="9" style="492"/>
  </cols>
  <sheetData>
    <row r="1" spans="1:9">
      <c r="A1" s="923" t="s">
        <v>1544</v>
      </c>
      <c r="H1" s="1314" t="s">
        <v>1727</v>
      </c>
    </row>
    <row r="2" spans="1:9">
      <c r="A2" s="923" t="str">
        <f>'Sch.A-B.S'!F2</f>
        <v>Case No. 2013 - 00237</v>
      </c>
      <c r="H2" s="1207"/>
    </row>
    <row r="3" spans="1:9">
      <c r="A3" s="924" t="s">
        <v>1250</v>
      </c>
      <c r="F3" s="1322" t="s">
        <v>1783</v>
      </c>
    </row>
    <row r="4" spans="1:9">
      <c r="A4" s="924" t="str">
        <f>'wp.a-uncoll'!A4</f>
        <v>Test Year Ended December 31, 2012</v>
      </c>
    </row>
    <row r="5" spans="1:9">
      <c r="A5" s="924"/>
    </row>
    <row r="6" spans="1:9">
      <c r="A6" s="924"/>
      <c r="B6" s="925"/>
      <c r="C6" s="926"/>
      <c r="D6" s="1309" t="s">
        <v>83</v>
      </c>
      <c r="E6" s="924"/>
      <c r="F6" s="1310" t="s">
        <v>402</v>
      </c>
      <c r="G6" s="1311"/>
      <c r="H6" s="1310" t="s">
        <v>1726</v>
      </c>
      <c r="I6" s="930"/>
    </row>
    <row r="7" spans="1:9">
      <c r="A7" s="928"/>
      <c r="B7" s="928"/>
      <c r="C7" s="928"/>
      <c r="D7" s="1309" t="s">
        <v>1251</v>
      </c>
      <c r="E7" s="1310"/>
      <c r="F7" s="1310" t="s">
        <v>921</v>
      </c>
      <c r="G7" s="1311"/>
      <c r="H7" s="1310" t="s">
        <v>1252</v>
      </c>
      <c r="I7" s="931"/>
    </row>
    <row r="8" spans="1:9">
      <c r="A8" s="928"/>
      <c r="B8" s="928"/>
      <c r="C8" s="928"/>
      <c r="D8" s="1312" t="s">
        <v>1252</v>
      </c>
      <c r="E8" s="1310"/>
      <c r="F8" s="1313" t="s">
        <v>1253</v>
      </c>
      <c r="G8" s="1311"/>
      <c r="H8" s="1313" t="s">
        <v>889</v>
      </c>
      <c r="I8" s="927"/>
    </row>
    <row r="9" spans="1:9">
      <c r="A9" s="928"/>
      <c r="B9" s="928"/>
      <c r="C9" s="928"/>
      <c r="D9" s="927" t="s">
        <v>909</v>
      </c>
      <c r="E9" s="928"/>
      <c r="F9" s="929" t="s">
        <v>852</v>
      </c>
      <c r="G9" s="929"/>
      <c r="H9" s="929" t="s">
        <v>853</v>
      </c>
      <c r="I9" s="927"/>
    </row>
    <row r="10" spans="1:9">
      <c r="A10" s="932" t="s">
        <v>828</v>
      </c>
      <c r="B10" s="933"/>
      <c r="C10" s="926"/>
      <c r="D10" s="934"/>
      <c r="E10" s="925"/>
      <c r="F10" s="925"/>
      <c r="G10" s="933"/>
      <c r="H10" s="925"/>
      <c r="I10" s="930"/>
    </row>
    <row r="11" spans="1:9">
      <c r="A11" s="935"/>
      <c r="B11" s="985" t="s">
        <v>2225</v>
      </c>
      <c r="C11" s="925"/>
      <c r="D11" s="936">
        <v>-17536.969999999994</v>
      </c>
      <c r="E11" s="937"/>
      <c r="F11" s="938">
        <f>'Wp b - salary'!Y11</f>
        <v>1</v>
      </c>
      <c r="G11" s="939"/>
      <c r="H11" s="940">
        <f>D11*F11</f>
        <v>-17536.969999999994</v>
      </c>
      <c r="I11" s="941"/>
    </row>
    <row r="12" spans="1:9">
      <c r="A12" s="935"/>
      <c r="B12" s="985" t="s">
        <v>2226</v>
      </c>
      <c r="C12" s="926"/>
      <c r="D12" s="936">
        <v>-1583.15</v>
      </c>
      <c r="E12" s="937"/>
      <c r="F12" s="938">
        <f>'Wp b - salary'!Y12</f>
        <v>1</v>
      </c>
      <c r="G12" s="939"/>
      <c r="H12" s="940">
        <f t="shared" ref="H12:H20" si="0">D12*F12</f>
        <v>-1583.15</v>
      </c>
      <c r="I12" s="941"/>
    </row>
    <row r="13" spans="1:9">
      <c r="A13" s="935"/>
      <c r="B13" s="985" t="s">
        <v>2227</v>
      </c>
      <c r="C13" s="926"/>
      <c r="D13" s="936">
        <v>-5257.0099999999966</v>
      </c>
      <c r="E13" s="937"/>
      <c r="F13" s="938">
        <f>'Wp b - salary'!Y13</f>
        <v>1</v>
      </c>
      <c r="G13" s="939"/>
      <c r="H13" s="940">
        <f t="shared" si="0"/>
        <v>-5257.0099999999966</v>
      </c>
      <c r="I13" s="941"/>
    </row>
    <row r="14" spans="1:9">
      <c r="A14" s="935"/>
      <c r="B14" s="985" t="s">
        <v>2228</v>
      </c>
      <c r="C14" s="926"/>
      <c r="D14" s="936">
        <v>-24040.190000000053</v>
      </c>
      <c r="E14" s="937"/>
      <c r="F14" s="938">
        <f>'Wp b - salary'!Y14</f>
        <v>1</v>
      </c>
      <c r="G14" s="939"/>
      <c r="H14" s="940">
        <f t="shared" si="0"/>
        <v>-24040.190000000053</v>
      </c>
      <c r="I14" s="941"/>
    </row>
    <row r="15" spans="1:9">
      <c r="A15" s="935"/>
      <c r="B15" s="985" t="s">
        <v>2229</v>
      </c>
      <c r="C15" s="926"/>
      <c r="D15" s="936">
        <v>-8687.5499999999993</v>
      </c>
      <c r="E15" s="937"/>
      <c r="F15" s="938">
        <f>'Wp b - salary'!Y15</f>
        <v>1</v>
      </c>
      <c r="G15" s="939"/>
      <c r="H15" s="940">
        <f t="shared" si="0"/>
        <v>-8687.5499999999993</v>
      </c>
      <c r="I15" s="941"/>
    </row>
    <row r="16" spans="1:9">
      <c r="A16" s="935"/>
      <c r="B16" s="985" t="s">
        <v>2230</v>
      </c>
      <c r="C16" s="925"/>
      <c r="D16" s="936">
        <v>-5899.2799999999961</v>
      </c>
      <c r="E16" s="937"/>
      <c r="F16" s="938">
        <f>'Wp b - salary'!Y16</f>
        <v>1</v>
      </c>
      <c r="G16" s="939"/>
      <c r="H16" s="940">
        <f t="shared" si="0"/>
        <v>-5899.2799999999961</v>
      </c>
      <c r="I16" s="941"/>
    </row>
    <row r="17" spans="1:9">
      <c r="A17" s="935"/>
      <c r="B17" s="985" t="s">
        <v>2231</v>
      </c>
      <c r="C17" s="925"/>
      <c r="D17" s="936">
        <v>-4913.8299999999981</v>
      </c>
      <c r="E17" s="937"/>
      <c r="F17" s="938">
        <f>'Wp b - salary'!Y17</f>
        <v>1</v>
      </c>
      <c r="G17" s="939"/>
      <c r="H17" s="940">
        <f t="shared" si="0"/>
        <v>-4913.8299999999981</v>
      </c>
      <c r="I17" s="941"/>
    </row>
    <row r="18" spans="1:9">
      <c r="A18" s="935"/>
      <c r="B18" s="985" t="s">
        <v>2233</v>
      </c>
      <c r="C18" s="925"/>
      <c r="D18" s="936">
        <v>-15749.75</v>
      </c>
      <c r="E18" s="937"/>
      <c r="F18" s="938">
        <f>'Wp b - salary'!Y18</f>
        <v>1</v>
      </c>
      <c r="G18" s="939"/>
      <c r="H18" s="940">
        <f t="shared" si="0"/>
        <v>-15749.75</v>
      </c>
      <c r="I18" s="941"/>
    </row>
    <row r="19" spans="1:9">
      <c r="A19" s="935"/>
      <c r="B19" s="985" t="s">
        <v>2234</v>
      </c>
      <c r="C19" s="925"/>
      <c r="D19" s="936">
        <v>-8167.8300000000027</v>
      </c>
      <c r="E19" s="937"/>
      <c r="F19" s="938">
        <f>'Wp b - salary'!Y19</f>
        <v>1</v>
      </c>
      <c r="G19" s="939"/>
      <c r="H19" s="940">
        <f t="shared" si="0"/>
        <v>-8167.8300000000027</v>
      </c>
      <c r="I19" s="941"/>
    </row>
    <row r="20" spans="1:9">
      <c r="A20" s="935"/>
      <c r="B20" s="985" t="s">
        <v>2235</v>
      </c>
      <c r="C20" s="925"/>
      <c r="D20" s="936">
        <v>-11948.47</v>
      </c>
      <c r="E20" s="937"/>
      <c r="F20" s="938">
        <f>'Wp b - salary'!Y20</f>
        <v>1</v>
      </c>
      <c r="G20" s="939"/>
      <c r="H20" s="940">
        <f t="shared" si="0"/>
        <v>-11948.47</v>
      </c>
      <c r="I20" s="941"/>
    </row>
    <row r="21" spans="1:9">
      <c r="A21" s="935"/>
      <c r="B21" s="985"/>
      <c r="C21" s="925"/>
      <c r="D21" s="936"/>
      <c r="E21" s="937"/>
      <c r="F21" s="938"/>
      <c r="G21" s="939"/>
      <c r="H21" s="940"/>
      <c r="I21" s="941"/>
    </row>
    <row r="22" spans="1:9">
      <c r="A22" s="925"/>
      <c r="B22" s="944"/>
      <c r="C22" s="926"/>
      <c r="D22" s="936"/>
      <c r="E22" s="937"/>
      <c r="F22" s="942"/>
      <c r="G22" s="942"/>
      <c r="H22" s="943"/>
      <c r="I22" s="930"/>
    </row>
    <row r="23" spans="1:9">
      <c r="A23" s="932" t="s">
        <v>590</v>
      </c>
      <c r="B23" s="933"/>
      <c r="C23" s="933"/>
      <c r="D23" s="936"/>
      <c r="E23" s="936"/>
      <c r="F23" s="942"/>
      <c r="G23" s="942"/>
      <c r="H23" s="943"/>
      <c r="I23" s="930"/>
    </row>
    <row r="24" spans="1:9">
      <c r="A24" s="935"/>
      <c r="B24" s="944" t="s">
        <v>2236</v>
      </c>
      <c r="C24" s="926"/>
      <c r="D24" s="936">
        <v>-104603</v>
      </c>
      <c r="E24" s="937"/>
      <c r="F24" s="938">
        <f>'Wp b - salary'!Y24</f>
        <v>0.21677963406806305</v>
      </c>
      <c r="G24" s="939"/>
      <c r="H24" s="940">
        <f>D24*F24</f>
        <v>-22675.8000624216</v>
      </c>
      <c r="I24" s="941"/>
    </row>
    <row r="25" spans="1:9">
      <c r="A25" s="935"/>
      <c r="B25" s="944" t="s">
        <v>2237</v>
      </c>
      <c r="C25" s="926"/>
      <c r="D25" s="936">
        <v>-89132.21000000037</v>
      </c>
      <c r="E25" s="937"/>
      <c r="F25" s="938">
        <f>'Wp b - salary'!Y25</f>
        <v>6.9774677565532461E-2</v>
      </c>
      <c r="G25" s="939"/>
      <c r="H25" s="940">
        <f>D25*F25</f>
        <v>-6219.1712134533536</v>
      </c>
      <c r="I25" s="941"/>
    </row>
    <row r="26" spans="1:9">
      <c r="A26" s="935"/>
      <c r="B26" s="944" t="s">
        <v>2238</v>
      </c>
      <c r="C26" s="926"/>
      <c r="D26" s="936">
        <v>0</v>
      </c>
      <c r="E26" s="937"/>
      <c r="F26" s="938">
        <f>'Wp b - salary'!Y26</f>
        <v>6.9774677565532461E-2</v>
      </c>
      <c r="G26" s="939"/>
      <c r="H26" s="940">
        <f>D26*F26</f>
        <v>0</v>
      </c>
      <c r="I26" s="941"/>
    </row>
    <row r="27" spans="1:9">
      <c r="A27" s="935"/>
      <c r="B27" s="944" t="s">
        <v>2239</v>
      </c>
      <c r="C27" s="926"/>
      <c r="D27" s="936">
        <v>-540.28</v>
      </c>
      <c r="E27" s="937"/>
      <c r="F27" s="938">
        <f>'Wp b - salary'!Y27</f>
        <v>6.9774677565532461E-2</v>
      </c>
      <c r="G27" s="939"/>
      <c r="H27" s="940">
        <f>D27*F27</f>
        <v>-37.697862795105877</v>
      </c>
      <c r="I27" s="941"/>
    </row>
    <row r="28" spans="1:9">
      <c r="A28" s="935"/>
      <c r="B28" s="944" t="s">
        <v>2240</v>
      </c>
      <c r="C28" s="926"/>
      <c r="D28" s="945">
        <v>0</v>
      </c>
      <c r="E28" s="937"/>
      <c r="F28" s="938">
        <f>'Wp b - salary'!Y28</f>
        <v>6.9774677565532461E-2</v>
      </c>
      <c r="G28" s="939"/>
      <c r="H28" s="946">
        <f>D28*F28</f>
        <v>0</v>
      </c>
      <c r="I28" s="935"/>
    </row>
    <row r="29" spans="1:9">
      <c r="A29" s="925"/>
      <c r="B29" s="925"/>
      <c r="C29" s="925"/>
      <c r="D29" s="936"/>
      <c r="E29" s="937"/>
      <c r="F29" s="933"/>
      <c r="G29" s="933"/>
      <c r="H29" s="933"/>
      <c r="I29" s="947"/>
    </row>
    <row r="30" spans="1:9">
      <c r="A30" s="924" t="s">
        <v>1254</v>
      </c>
      <c r="B30" s="925"/>
      <c r="C30" s="925"/>
      <c r="D30" s="936">
        <f>SUM(D11:D28)</f>
        <v>-298059.52000000043</v>
      </c>
      <c r="E30" s="936"/>
      <c r="F30" s="933"/>
      <c r="G30" s="933"/>
      <c r="H30" s="936">
        <f>SUM(H11:H28)</f>
        <v>-132716.69913867011</v>
      </c>
      <c r="I30" s="947"/>
    </row>
    <row r="31" spans="1:9">
      <c r="A31" s="924"/>
      <c r="B31" s="925"/>
      <c r="C31" s="926"/>
      <c r="D31" s="948"/>
      <c r="E31" s="937"/>
      <c r="F31" s="933"/>
      <c r="G31" s="933"/>
      <c r="H31" s="933"/>
      <c r="I31" s="947"/>
    </row>
    <row r="32" spans="1:9">
      <c r="A32" s="924" t="s">
        <v>99</v>
      </c>
      <c r="B32" s="925"/>
      <c r="C32" s="925"/>
      <c r="D32" s="936"/>
      <c r="E32" s="937"/>
      <c r="F32" s="933"/>
      <c r="G32" s="933"/>
      <c r="H32" s="933"/>
      <c r="I32" s="947"/>
    </row>
    <row r="33" spans="1:9">
      <c r="A33" s="924"/>
      <c r="C33" s="925"/>
      <c r="D33" s="936"/>
      <c r="E33" s="937"/>
      <c r="F33" s="949"/>
      <c r="G33" s="933"/>
      <c r="H33" s="940"/>
      <c r="I33" s="947"/>
    </row>
    <row r="34" spans="1:9">
      <c r="A34" s="924"/>
      <c r="C34" s="925"/>
      <c r="D34" s="936"/>
      <c r="E34" s="937"/>
      <c r="F34" s="949"/>
      <c r="G34" s="933"/>
      <c r="H34" s="940"/>
      <c r="I34" s="947"/>
    </row>
    <row r="35" spans="1:9">
      <c r="A35" s="924"/>
      <c r="B35" s="1155" t="s">
        <v>2241</v>
      </c>
      <c r="C35" s="925"/>
      <c r="D35" s="936">
        <v>-79.64</v>
      </c>
      <c r="E35" s="937"/>
      <c r="F35" s="949">
        <f>+'Input Schedule'!$D$17</f>
        <v>2.775347522522463E-2</v>
      </c>
      <c r="G35" s="933"/>
      <c r="H35" s="940">
        <f>D35*F35</f>
        <v>-2.2102867669368895</v>
      </c>
      <c r="I35" s="947"/>
    </row>
    <row r="36" spans="1:9">
      <c r="A36" s="924"/>
      <c r="B36" s="1155" t="s">
        <v>2242</v>
      </c>
      <c r="C36" s="925"/>
      <c r="D36" s="936">
        <v>-360.13</v>
      </c>
      <c r="E36" s="937"/>
      <c r="F36" s="949">
        <f>+'Input Schedule'!$D$17</f>
        <v>2.775347522522463E-2</v>
      </c>
      <c r="G36" s="933"/>
      <c r="H36" s="940">
        <f>D36*F36</f>
        <v>-9.9948590328601465</v>
      </c>
      <c r="I36" s="947"/>
    </row>
    <row r="37" spans="1:9">
      <c r="A37" s="925"/>
      <c r="B37" s="1155" t="s">
        <v>2243</v>
      </c>
      <c r="C37" s="925"/>
      <c r="D37" s="936">
        <v>-3255.3299999999995</v>
      </c>
      <c r="E37" s="936"/>
      <c r="F37" s="949">
        <f>+'Input Schedule'!$D$17</f>
        <v>2.775347522522463E-2</v>
      </c>
      <c r="G37" s="950"/>
      <c r="H37" s="940">
        <f t="shared" ref="H37:H61" si="1">D37*F37</f>
        <v>-90.346720504930488</v>
      </c>
      <c r="I37" s="947"/>
    </row>
    <row r="38" spans="1:9">
      <c r="A38" s="925"/>
      <c r="B38" s="1155" t="s">
        <v>2244</v>
      </c>
      <c r="C38" s="925"/>
      <c r="D38" s="936">
        <v>-199.1</v>
      </c>
      <c r="E38" s="936"/>
      <c r="F38" s="949">
        <f>+'Input Schedule'!$D$17</f>
        <v>2.775347522522463E-2</v>
      </c>
      <c r="G38" s="950"/>
      <c r="H38" s="940">
        <f t="shared" si="1"/>
        <v>-5.5257169173422236</v>
      </c>
      <c r="I38" s="947"/>
    </row>
    <row r="39" spans="1:9">
      <c r="A39" s="925"/>
      <c r="B39" s="1155" t="s">
        <v>2245</v>
      </c>
      <c r="C39" s="925"/>
      <c r="D39" s="936">
        <v>-293.3</v>
      </c>
      <c r="E39" s="936"/>
      <c r="F39" s="949">
        <f>+'Input Schedule'!$D$17</f>
        <v>2.775347522522463E-2</v>
      </c>
      <c r="G39" s="950"/>
      <c r="H39" s="940">
        <f t="shared" si="1"/>
        <v>-8.1400942835583852</v>
      </c>
      <c r="I39" s="947"/>
    </row>
    <row r="40" spans="1:9">
      <c r="A40" s="925"/>
      <c r="B40" s="1155" t="s">
        <v>2246</v>
      </c>
      <c r="C40" s="925"/>
      <c r="D40" s="936">
        <v>-2100.5100000000002</v>
      </c>
      <c r="E40" s="936"/>
      <c r="F40" s="949">
        <f>+'Input Schedule'!$D$17</f>
        <v>2.775347522522463E-2</v>
      </c>
      <c r="G40" s="950"/>
      <c r="H40" s="940">
        <f t="shared" si="1"/>
        <v>-58.296452245336596</v>
      </c>
      <c r="I40" s="947"/>
    </row>
    <row r="41" spans="1:9">
      <c r="A41" s="925"/>
      <c r="B41" s="1155" t="s">
        <v>2247</v>
      </c>
      <c r="C41" s="933"/>
      <c r="D41" s="936">
        <v>-2219.9899999999998</v>
      </c>
      <c r="E41" s="936"/>
      <c r="F41" s="949">
        <f>+'Input Schedule'!$D$17</f>
        <v>2.775347522522463E-2</v>
      </c>
      <c r="G41" s="939"/>
      <c r="H41" s="940">
        <f t="shared" si="1"/>
        <v>-61.612437465246423</v>
      </c>
      <c r="I41" s="930"/>
    </row>
    <row r="42" spans="1:9">
      <c r="A42" s="925"/>
      <c r="B42" s="1155" t="s">
        <v>2248</v>
      </c>
      <c r="C42" s="933"/>
      <c r="D42" s="936">
        <v>-3058.6999999999989</v>
      </c>
      <c r="E42" s="936"/>
      <c r="F42" s="949">
        <f>+'Input Schedule'!$D$17</f>
        <v>2.775347522522463E-2</v>
      </c>
      <c r="G42" s="939"/>
      <c r="H42" s="940">
        <f t="shared" si="1"/>
        <v>-84.889554671394549</v>
      </c>
      <c r="I42" s="930"/>
    </row>
    <row r="43" spans="1:9">
      <c r="A43" s="925"/>
      <c r="B43" s="1155" t="s">
        <v>2249</v>
      </c>
      <c r="C43" s="933"/>
      <c r="D43" s="936">
        <v>-318.56</v>
      </c>
      <c r="E43" s="936"/>
      <c r="F43" s="949">
        <f>+'Input Schedule'!$D$17</f>
        <v>2.775347522522463E-2</v>
      </c>
      <c r="G43" s="939"/>
      <c r="H43" s="940">
        <f t="shared" si="1"/>
        <v>-8.8411470677475581</v>
      </c>
      <c r="I43" s="930"/>
    </row>
    <row r="44" spans="1:9">
      <c r="A44" s="925"/>
      <c r="B44" s="1155" t="s">
        <v>2250</v>
      </c>
      <c r="C44" s="933"/>
      <c r="D44" s="936">
        <v>-408.17</v>
      </c>
      <c r="E44" s="936"/>
      <c r="F44" s="949">
        <f>+'Input Schedule'!$D$17</f>
        <v>2.775347522522463E-2</v>
      </c>
      <c r="G44" s="939"/>
      <c r="H44" s="940">
        <f t="shared" si="1"/>
        <v>-11.328135982679937</v>
      </c>
      <c r="I44" s="930"/>
    </row>
    <row r="45" spans="1:9">
      <c r="A45" s="925"/>
      <c r="B45" s="1155" t="s">
        <v>2251</v>
      </c>
      <c r="C45" s="933"/>
      <c r="D45" s="936">
        <v>-2040.8300000000006</v>
      </c>
      <c r="E45" s="936"/>
      <c r="F45" s="949">
        <f>+'Input Schedule'!$D$17</f>
        <v>2.775347522522463E-2</v>
      </c>
      <c r="G45" s="939"/>
      <c r="H45" s="940">
        <f t="shared" si="1"/>
        <v>-56.640124843895201</v>
      </c>
      <c r="I45" s="930"/>
    </row>
    <row r="46" spans="1:9">
      <c r="A46" s="925"/>
      <c r="B46" s="1155" t="s">
        <v>2252</v>
      </c>
      <c r="C46" s="933"/>
      <c r="D46" s="936">
        <v>-1149.48</v>
      </c>
      <c r="E46" s="936"/>
      <c r="F46" s="949">
        <f>+'Input Schedule'!$D$17</f>
        <v>2.775347522522463E-2</v>
      </c>
      <c r="G46" s="939"/>
      <c r="H46" s="940">
        <f t="shared" si="1"/>
        <v>-31.902064701891209</v>
      </c>
      <c r="I46" s="930"/>
    </row>
    <row r="47" spans="1:9">
      <c r="A47" s="925"/>
      <c r="B47" s="1156" t="s">
        <v>2253</v>
      </c>
      <c r="C47" s="933"/>
      <c r="D47" s="936">
        <v>-2515.38</v>
      </c>
      <c r="E47" s="936"/>
      <c r="F47" s="949">
        <f>+'Input Schedule'!$D$17</f>
        <v>2.775347522522463E-2</v>
      </c>
      <c r="G47" s="939"/>
      <c r="H47" s="940">
        <f t="shared" si="1"/>
        <v>-69.810536512025536</v>
      </c>
      <c r="I47" s="930"/>
    </row>
    <row r="48" spans="1:9">
      <c r="A48" s="925"/>
      <c r="B48" s="1155" t="s">
        <v>2254</v>
      </c>
      <c r="C48" s="933"/>
      <c r="D48" s="936">
        <v>-13999</v>
      </c>
      <c r="E48" s="936"/>
      <c r="F48" s="949">
        <f>+'Input Schedule'!$D$17</f>
        <v>2.775347522522463E-2</v>
      </c>
      <c r="G48" s="939"/>
      <c r="H48" s="940">
        <f t="shared" si="1"/>
        <v>-388.5208996779196</v>
      </c>
      <c r="I48" s="930"/>
    </row>
    <row r="49" spans="1:9">
      <c r="A49" s="925"/>
      <c r="B49" s="1155" t="s">
        <v>2255</v>
      </c>
      <c r="C49" s="933"/>
      <c r="D49" s="936">
        <v>-2195.31</v>
      </c>
      <c r="E49" s="936"/>
      <c r="F49" s="949">
        <f>+'Input Schedule'!$D$17</f>
        <v>2.775347522522463E-2</v>
      </c>
      <c r="G49" s="939"/>
      <c r="H49" s="940">
        <f t="shared" si="1"/>
        <v>-60.927481696687884</v>
      </c>
      <c r="I49" s="930"/>
    </row>
    <row r="50" spans="1:9">
      <c r="A50" s="925"/>
      <c r="B50" s="1155" t="s">
        <v>2256</v>
      </c>
      <c r="C50" s="933"/>
      <c r="D50" s="936">
        <v>-2006.04</v>
      </c>
      <c r="E50" s="936"/>
      <c r="F50" s="949">
        <f>+'Input Schedule'!$D$17</f>
        <v>2.775347522522463E-2</v>
      </c>
      <c r="G50" s="939"/>
      <c r="H50" s="940">
        <f t="shared" si="1"/>
        <v>-55.674581440809618</v>
      </c>
      <c r="I50" s="930"/>
    </row>
    <row r="51" spans="1:9">
      <c r="A51" s="925"/>
      <c r="B51" s="1155" t="s">
        <v>2257</v>
      </c>
      <c r="C51" s="933"/>
      <c r="D51" s="936">
        <v>-448.20000000000005</v>
      </c>
      <c r="E51" s="936"/>
      <c r="F51" s="949">
        <f>+'Input Schedule'!$D$17</f>
        <v>2.775347522522463E-2</v>
      </c>
      <c r="G51" s="939"/>
      <c r="H51" s="940">
        <f t="shared" si="1"/>
        <v>-12.43910759594568</v>
      </c>
      <c r="I51" s="930"/>
    </row>
    <row r="52" spans="1:9">
      <c r="A52" s="925"/>
      <c r="B52" s="1155" t="s">
        <v>2258</v>
      </c>
      <c r="C52" s="933"/>
      <c r="D52" s="936">
        <v>-293.31</v>
      </c>
      <c r="E52" s="936"/>
      <c r="F52" s="949">
        <f>+'Input Schedule'!$D$17</f>
        <v>2.775347522522463E-2</v>
      </c>
      <c r="G52" s="939"/>
      <c r="H52" s="940">
        <f t="shared" si="1"/>
        <v>-8.1403718183106371</v>
      </c>
      <c r="I52" s="930"/>
    </row>
    <row r="53" spans="1:9">
      <c r="A53" s="925"/>
      <c r="B53" s="1155" t="s">
        <v>2259</v>
      </c>
      <c r="C53" s="933"/>
      <c r="D53" s="936">
        <v>-756.58000000000015</v>
      </c>
      <c r="E53" s="936"/>
      <c r="F53" s="949">
        <f>+'Input Schedule'!$D$17</f>
        <v>2.775347522522463E-2</v>
      </c>
      <c r="G53" s="939"/>
      <c r="H53" s="940">
        <f t="shared" si="1"/>
        <v>-20.997724285900453</v>
      </c>
      <c r="I53" s="930"/>
    </row>
    <row r="54" spans="1:9">
      <c r="A54" s="925"/>
      <c r="B54" s="1155" t="s">
        <v>2260</v>
      </c>
      <c r="C54" s="933"/>
      <c r="D54" s="936">
        <v>-275.87</v>
      </c>
      <c r="E54" s="936"/>
      <c r="F54" s="949">
        <f>+'Input Schedule'!$D$17</f>
        <v>2.775347522522463E-2</v>
      </c>
      <c r="G54" s="939"/>
      <c r="H54" s="940">
        <f t="shared" si="1"/>
        <v>-7.6563512103827192</v>
      </c>
      <c r="I54" s="930"/>
    </row>
    <row r="55" spans="1:9">
      <c r="A55" s="925"/>
      <c r="B55" s="1155" t="s">
        <v>2261</v>
      </c>
      <c r="C55" s="933"/>
      <c r="D55" s="936">
        <v>-1829.7299999999993</v>
      </c>
      <c r="E55" s="936"/>
      <c r="F55" s="949">
        <f>+'Input Schedule'!$D$17</f>
        <v>2.775347522522463E-2</v>
      </c>
      <c r="G55" s="939"/>
      <c r="H55" s="940">
        <f t="shared" si="1"/>
        <v>-50.781366223850242</v>
      </c>
      <c r="I55" s="930"/>
    </row>
    <row r="56" spans="1:9">
      <c r="A56" s="925"/>
      <c r="B56" s="1155" t="s">
        <v>2262</v>
      </c>
      <c r="C56" s="933"/>
      <c r="D56" s="936">
        <v>-438.02</v>
      </c>
      <c r="E56" s="936"/>
      <c r="F56" s="949">
        <f>+'Input Schedule'!$D$17</f>
        <v>2.775347522522463E-2</v>
      </c>
      <c r="G56" s="939"/>
      <c r="H56" s="940">
        <f t="shared" si="1"/>
        <v>-12.156577218152892</v>
      </c>
      <c r="I56" s="930"/>
    </row>
    <row r="57" spans="1:9">
      <c r="A57" s="925"/>
      <c r="B57" s="1155" t="s">
        <v>2263</v>
      </c>
      <c r="C57" s="933"/>
      <c r="D57" s="936">
        <v>-565.65000000000009</v>
      </c>
      <c r="E57" s="936"/>
      <c r="F57" s="949">
        <f>+'Input Schedule'!$D$17</f>
        <v>2.775347522522463E-2</v>
      </c>
      <c r="G57" s="939"/>
      <c r="H57" s="940">
        <f t="shared" si="1"/>
        <v>-15.698753261148315</v>
      </c>
      <c r="I57" s="930"/>
    </row>
    <row r="58" spans="1:9">
      <c r="A58" s="925"/>
      <c r="B58" s="1155" t="s">
        <v>2264</v>
      </c>
      <c r="C58" s="933"/>
      <c r="D58" s="936">
        <v>-1134.8700000000001</v>
      </c>
      <c r="E58" s="936"/>
      <c r="F58" s="949">
        <f>+'Input Schedule'!$D$17</f>
        <v>2.775347522522463E-2</v>
      </c>
      <c r="G58" s="939"/>
      <c r="H58" s="940">
        <f t="shared" si="1"/>
        <v>-31.49658642885068</v>
      </c>
      <c r="I58" s="930"/>
    </row>
    <row r="59" spans="1:9">
      <c r="A59" s="925"/>
      <c r="B59" s="1155" t="s">
        <v>2265</v>
      </c>
      <c r="C59" s="933"/>
      <c r="D59" s="936">
        <v>-1105.01</v>
      </c>
      <c r="E59" s="936"/>
      <c r="F59" s="949">
        <f>+'Input Schedule'!$D$17</f>
        <v>2.775347522522463E-2</v>
      </c>
      <c r="G59" s="939"/>
      <c r="H59" s="940">
        <f t="shared" si="1"/>
        <v>-30.667867658625468</v>
      </c>
      <c r="I59" s="930"/>
    </row>
    <row r="60" spans="1:9">
      <c r="A60" s="925"/>
      <c r="B60" s="1155" t="s">
        <v>2266</v>
      </c>
      <c r="C60" s="933"/>
      <c r="D60" s="936">
        <v>-2578.3500000000004</v>
      </c>
      <c r="E60" s="936"/>
      <c r="F60" s="949">
        <f>+'Input Schedule'!$D$17</f>
        <v>2.775347522522463E-2</v>
      </c>
      <c r="G60" s="939"/>
      <c r="H60" s="940">
        <f t="shared" si="1"/>
        <v>-71.55817284695793</v>
      </c>
      <c r="I60" s="930"/>
    </row>
    <row r="61" spans="1:9">
      <c r="A61" s="925"/>
      <c r="B61" s="1155" t="s">
        <v>2267</v>
      </c>
      <c r="C61" s="933"/>
      <c r="D61" s="945">
        <v>-223.85000000000002</v>
      </c>
      <c r="E61" s="936"/>
      <c r="F61" s="949">
        <f>+'Input Schedule'!$D$17</f>
        <v>2.775347522522463E-2</v>
      </c>
      <c r="G61" s="939"/>
      <c r="H61" s="946">
        <f t="shared" si="1"/>
        <v>-6.2126154291665339</v>
      </c>
      <c r="I61" s="930"/>
    </row>
    <row r="62" spans="1:9">
      <c r="A62" s="925"/>
      <c r="B62" s="1155"/>
      <c r="C62" s="933"/>
      <c r="D62" s="936"/>
      <c r="E62" s="936"/>
      <c r="F62" s="939"/>
      <c r="G62" s="939"/>
      <c r="H62" s="940"/>
      <c r="I62" s="930"/>
    </row>
    <row r="63" spans="1:9">
      <c r="A63" s="924" t="s">
        <v>1255</v>
      </c>
      <c r="B63" s="925"/>
      <c r="C63" s="925"/>
      <c r="D63" s="936">
        <f>SUM(D35:D62)</f>
        <v>-45848.909999999996</v>
      </c>
      <c r="E63" s="936"/>
      <c r="F63" s="933"/>
      <c r="G63" s="933"/>
      <c r="H63" s="936">
        <f>SUM(H35:H61)</f>
        <v>-1272.4665877885536</v>
      </c>
      <c r="I63" s="947"/>
    </row>
    <row r="64" spans="1:9">
      <c r="A64" s="924"/>
      <c r="B64" s="925"/>
      <c r="C64" s="925"/>
      <c r="D64" s="936"/>
      <c r="E64" s="936"/>
      <c r="F64" s="942"/>
      <c r="G64" s="942"/>
      <c r="H64" s="942"/>
      <c r="I64" s="947"/>
    </row>
    <row r="65" spans="1:9">
      <c r="A65" s="924"/>
      <c r="B65" s="925"/>
      <c r="C65" s="925"/>
      <c r="D65" s="936"/>
      <c r="E65" s="936"/>
      <c r="F65" s="942"/>
      <c r="G65" s="942"/>
      <c r="H65" s="940"/>
      <c r="I65" s="947"/>
    </row>
    <row r="66" spans="1:9">
      <c r="A66" s="924" t="s">
        <v>895</v>
      </c>
      <c r="B66" s="925"/>
      <c r="C66" s="925"/>
      <c r="D66" s="936"/>
      <c r="E66" s="936"/>
      <c r="F66" s="942"/>
      <c r="G66" s="942"/>
      <c r="H66" s="942"/>
      <c r="I66" s="947"/>
    </row>
    <row r="67" spans="1:9">
      <c r="A67" s="924"/>
      <c r="B67" s="829" t="s">
        <v>2268</v>
      </c>
      <c r="C67" s="925"/>
      <c r="D67" s="936">
        <v>-9409</v>
      </c>
      <c r="E67" s="936"/>
      <c r="F67" s="949">
        <f>+'Input Schedule'!$D$17</f>
        <v>2.775347522522463E-2</v>
      </c>
      <c r="G67" s="942"/>
      <c r="H67" s="940">
        <f>D67*F67</f>
        <v>-261.13244839413852</v>
      </c>
      <c r="I67" s="947"/>
    </row>
    <row r="68" spans="1:9">
      <c r="A68" s="924"/>
      <c r="B68" s="829" t="s">
        <v>2269</v>
      </c>
      <c r="C68" s="925"/>
      <c r="D68" s="936">
        <v>-38498</v>
      </c>
      <c r="E68" s="936"/>
      <c r="F68" s="949">
        <f>+'Input Schedule'!$D$17</f>
        <v>2.775347522522463E-2</v>
      </c>
      <c r="G68" s="942"/>
      <c r="H68" s="940">
        <f t="shared" ref="H68:H104" si="2">D68*F68</f>
        <v>-1068.4532892206978</v>
      </c>
      <c r="I68" s="947"/>
    </row>
    <row r="69" spans="1:9">
      <c r="A69" s="924"/>
      <c r="B69" s="829" t="s">
        <v>2270</v>
      </c>
      <c r="C69" s="925"/>
      <c r="D69" s="936">
        <v>-1188</v>
      </c>
      <c r="E69" s="936"/>
      <c r="F69" s="949">
        <f>+'Input Schedule'!$D$17</f>
        <v>2.775347522522463E-2</v>
      </c>
      <c r="G69" s="942"/>
      <c r="H69" s="940">
        <f t="shared" si="2"/>
        <v>-32.971128567566858</v>
      </c>
      <c r="I69" s="947"/>
    </row>
    <row r="70" spans="1:9">
      <c r="A70" s="924"/>
      <c r="B70" s="829" t="s">
        <v>2271</v>
      </c>
      <c r="C70" s="925"/>
      <c r="D70" s="936">
        <v>-41125</v>
      </c>
      <c r="E70" s="936"/>
      <c r="F70" s="949">
        <f>+'Input Schedule'!$D$17</f>
        <v>2.775347522522463E-2</v>
      </c>
      <c r="G70" s="942"/>
      <c r="H70" s="940">
        <f t="shared" si="2"/>
        <v>-1141.361668637363</v>
      </c>
      <c r="I70" s="947"/>
    </row>
    <row r="71" spans="1:9">
      <c r="A71" s="924"/>
      <c r="B71" s="829" t="s">
        <v>2272</v>
      </c>
      <c r="C71" s="925"/>
      <c r="D71" s="936">
        <v>-16199.5</v>
      </c>
      <c r="E71" s="936"/>
      <c r="F71" s="949">
        <f>+'Input Schedule'!$D$17</f>
        <v>2.775347522522463E-2</v>
      </c>
      <c r="G71" s="942"/>
      <c r="H71" s="940">
        <f t="shared" si="2"/>
        <v>-449.59242191102641</v>
      </c>
      <c r="I71" s="947"/>
    </row>
    <row r="72" spans="1:9">
      <c r="A72" s="924"/>
      <c r="B72" s="829" t="s">
        <v>2273</v>
      </c>
      <c r="C72" s="925"/>
      <c r="D72" s="936">
        <v>-33017.729999999989</v>
      </c>
      <c r="E72" s="936"/>
      <c r="F72" s="949">
        <f>+'Input Schedule'!$D$17</f>
        <v>2.775347522522463E-2</v>
      </c>
      <c r="G72" s="942"/>
      <c r="H72" s="940">
        <f t="shared" si="2"/>
        <v>-916.35675154815567</v>
      </c>
      <c r="I72" s="947"/>
    </row>
    <row r="73" spans="1:9">
      <c r="A73" s="924"/>
      <c r="B73" s="829" t="s">
        <v>2274</v>
      </c>
      <c r="C73" s="925"/>
      <c r="D73" s="936">
        <v>-71692</v>
      </c>
      <c r="E73" s="936"/>
      <c r="F73" s="949">
        <f>+'Input Schedule'!$D$17</f>
        <v>2.775347522522463E-2</v>
      </c>
      <c r="G73" s="942"/>
      <c r="H73" s="940">
        <f t="shared" si="2"/>
        <v>-1989.7021458468041</v>
      </c>
      <c r="I73" s="947"/>
    </row>
    <row r="74" spans="1:9">
      <c r="A74" s="924"/>
      <c r="B74" s="829" t="s">
        <v>2275</v>
      </c>
      <c r="C74" s="925"/>
      <c r="D74" s="936">
        <v>-62378.979999999799</v>
      </c>
      <c r="E74" s="936"/>
      <c r="F74" s="949">
        <f>+'Input Schedule'!$D$17</f>
        <v>2.775347522522463E-2</v>
      </c>
      <c r="G74" s="942"/>
      <c r="H74" s="940">
        <f t="shared" si="2"/>
        <v>-1731.2334760047772</v>
      </c>
      <c r="I74" s="947"/>
    </row>
    <row r="75" spans="1:9">
      <c r="A75" s="924"/>
      <c r="B75" s="829" t="s">
        <v>2276</v>
      </c>
      <c r="C75" s="925"/>
      <c r="D75" s="936">
        <v>-35120</v>
      </c>
      <c r="E75" s="936"/>
      <c r="F75" s="949">
        <f>+'Input Schedule'!$D$17</f>
        <v>2.775347522522463E-2</v>
      </c>
      <c r="G75" s="942"/>
      <c r="H75" s="940">
        <f t="shared" si="2"/>
        <v>-974.70204990988907</v>
      </c>
      <c r="I75" s="947"/>
    </row>
    <row r="76" spans="1:9">
      <c r="A76" s="924"/>
      <c r="B76" s="829" t="s">
        <v>2277</v>
      </c>
      <c r="C76" s="925"/>
      <c r="D76" s="936">
        <v>-14378</v>
      </c>
      <c r="E76" s="936"/>
      <c r="F76" s="949">
        <f>+'Input Schedule'!$D$17</f>
        <v>2.775347522522463E-2</v>
      </c>
      <c r="G76" s="942"/>
      <c r="H76" s="940">
        <f t="shared" si="2"/>
        <v>-399.03946678827975</v>
      </c>
      <c r="I76" s="947"/>
    </row>
    <row r="77" spans="1:9">
      <c r="A77" s="924"/>
      <c r="B77" s="829" t="s">
        <v>2278</v>
      </c>
      <c r="C77" s="925"/>
      <c r="D77" s="936">
        <v>-610.40000000000009</v>
      </c>
      <c r="E77" s="936"/>
      <c r="F77" s="949">
        <f>+'Input Schedule'!$D$17</f>
        <v>2.775347522522463E-2</v>
      </c>
      <c r="G77" s="942"/>
      <c r="H77" s="940">
        <f t="shared" si="2"/>
        <v>-16.940721277477117</v>
      </c>
      <c r="I77" s="947"/>
    </row>
    <row r="78" spans="1:9">
      <c r="A78" s="924"/>
      <c r="B78" s="829" t="s">
        <v>2279</v>
      </c>
      <c r="C78" s="925"/>
      <c r="D78" s="936">
        <v>-1127</v>
      </c>
      <c r="E78" s="936"/>
      <c r="F78" s="949">
        <f>+'Input Schedule'!$D$17</f>
        <v>2.775347522522463E-2</v>
      </c>
      <c r="G78" s="942"/>
      <c r="H78" s="940">
        <f t="shared" si="2"/>
        <v>-31.278166578828159</v>
      </c>
      <c r="I78" s="947"/>
    </row>
    <row r="79" spans="1:9">
      <c r="A79" s="924"/>
      <c r="B79" s="829" t="s">
        <v>2280</v>
      </c>
      <c r="C79" s="925"/>
      <c r="D79" s="936">
        <v>-57540</v>
      </c>
      <c r="E79" s="936"/>
      <c r="F79" s="949">
        <f>+'Input Schedule'!$D$17</f>
        <v>2.775347522522463E-2</v>
      </c>
      <c r="G79" s="942"/>
      <c r="H79" s="940">
        <f t="shared" si="2"/>
        <v>-1596.9349644594251</v>
      </c>
      <c r="I79" s="947"/>
    </row>
    <row r="80" spans="1:9">
      <c r="A80" s="924"/>
      <c r="B80" s="829" t="s">
        <v>2281</v>
      </c>
      <c r="C80" s="925"/>
      <c r="D80" s="936">
        <v>-703</v>
      </c>
      <c r="E80" s="936"/>
      <c r="F80" s="949">
        <f>+'Input Schedule'!$D$17</f>
        <v>2.775347522522463E-2</v>
      </c>
      <c r="G80" s="942"/>
      <c r="H80" s="940">
        <f t="shared" si="2"/>
        <v>-19.510693083332914</v>
      </c>
      <c r="I80" s="947"/>
    </row>
    <row r="81" spans="1:9">
      <c r="A81" s="924"/>
      <c r="B81" s="829" t="s">
        <v>2282</v>
      </c>
      <c r="C81" s="925"/>
      <c r="D81" s="936">
        <v>-2123.71</v>
      </c>
      <c r="E81" s="936"/>
      <c r="F81" s="949">
        <f>+'Input Schedule'!$D$17</f>
        <v>2.775347522522463E-2</v>
      </c>
      <c r="G81" s="942"/>
      <c r="H81" s="940">
        <f t="shared" si="2"/>
        <v>-58.940332870561804</v>
      </c>
      <c r="I81" s="947"/>
    </row>
    <row r="82" spans="1:9">
      <c r="A82" s="924"/>
      <c r="B82" s="829" t="s">
        <v>2283</v>
      </c>
      <c r="C82" s="925"/>
      <c r="D82" s="936">
        <v>-149830</v>
      </c>
      <c r="E82" s="936"/>
      <c r="F82" s="949">
        <f>+'Input Schedule'!$D$17</f>
        <v>2.775347522522463E-2</v>
      </c>
      <c r="G82" s="942"/>
      <c r="H82" s="940">
        <f t="shared" si="2"/>
        <v>-4158.3031929954068</v>
      </c>
      <c r="I82" s="947"/>
    </row>
    <row r="83" spans="1:9">
      <c r="A83" s="924"/>
      <c r="B83" s="829" t="s">
        <v>2284</v>
      </c>
      <c r="C83" s="925"/>
      <c r="D83" s="936">
        <v>-24267.75</v>
      </c>
      <c r="E83" s="936"/>
      <c r="F83" s="949">
        <f>+'Input Schedule'!$D$17</f>
        <v>2.775347522522463E-2</v>
      </c>
      <c r="G83" s="942"/>
      <c r="H83" s="940">
        <f t="shared" si="2"/>
        <v>-673.51439839694501</v>
      </c>
      <c r="I83" s="947"/>
    </row>
    <row r="84" spans="1:9">
      <c r="A84" s="924"/>
      <c r="B84" s="829" t="s">
        <v>2285</v>
      </c>
      <c r="C84" s="925"/>
      <c r="D84" s="936">
        <v>-3563.5</v>
      </c>
      <c r="E84" s="936"/>
      <c r="F84" s="949">
        <f>+'Input Schedule'!$D$17</f>
        <v>2.775347522522463E-2</v>
      </c>
      <c r="G84" s="942"/>
      <c r="H84" s="940">
        <f t="shared" si="2"/>
        <v>-98.899508965087975</v>
      </c>
      <c r="I84" s="947"/>
    </row>
    <row r="85" spans="1:9">
      <c r="A85" s="924"/>
      <c r="B85" s="829" t="s">
        <v>2286</v>
      </c>
      <c r="C85" s="925"/>
      <c r="D85" s="936">
        <v>-12258</v>
      </c>
      <c r="E85" s="936"/>
      <c r="F85" s="949">
        <f>+'Input Schedule'!$D$17</f>
        <v>2.775347522522463E-2</v>
      </c>
      <c r="G85" s="942"/>
      <c r="H85" s="940">
        <f t="shared" si="2"/>
        <v>-340.20209931080353</v>
      </c>
      <c r="I85" s="947"/>
    </row>
    <row r="86" spans="1:9">
      <c r="A86" s="924"/>
      <c r="B86" s="829" t="s">
        <v>2287</v>
      </c>
      <c r="C86" s="925"/>
      <c r="D86" s="936">
        <v>-49571.75</v>
      </c>
      <c r="E86" s="936"/>
      <c r="F86" s="949">
        <f>+'Input Schedule'!$D$17</f>
        <v>2.775347522522463E-2</v>
      </c>
      <c r="G86" s="942"/>
      <c r="H86" s="940">
        <f t="shared" si="2"/>
        <v>-1375.788335496029</v>
      </c>
      <c r="I86" s="947"/>
    </row>
    <row r="87" spans="1:9">
      <c r="A87" s="924"/>
      <c r="B87" s="829" t="s">
        <v>2288</v>
      </c>
      <c r="C87" s="925"/>
      <c r="D87" s="936">
        <v>-3986.6799999999957</v>
      </c>
      <c r="E87" s="936"/>
      <c r="F87" s="949">
        <f>+'Input Schedule'!$D$17</f>
        <v>2.775347522522463E-2</v>
      </c>
      <c r="G87" s="942"/>
      <c r="H87" s="940">
        <f t="shared" si="2"/>
        <v>-110.64422461089841</v>
      </c>
      <c r="I87" s="947"/>
    </row>
    <row r="88" spans="1:9">
      <c r="A88" s="924"/>
      <c r="B88" s="829" t="s">
        <v>2289</v>
      </c>
      <c r="C88" s="925"/>
      <c r="D88" s="936">
        <v>-29669.799999999985</v>
      </c>
      <c r="E88" s="936"/>
      <c r="F88" s="949">
        <f>+'Input Schedule'!$D$17</f>
        <v>2.775347522522463E-2</v>
      </c>
      <c r="G88" s="942"/>
      <c r="H88" s="940">
        <f t="shared" si="2"/>
        <v>-823.44005923736927</v>
      </c>
      <c r="I88" s="947"/>
    </row>
    <row r="89" spans="1:9">
      <c r="A89" s="924"/>
      <c r="B89" s="829" t="s">
        <v>2290</v>
      </c>
      <c r="C89" s="925"/>
      <c r="D89" s="936">
        <v>-18936.799999999988</v>
      </c>
      <c r="E89" s="936"/>
      <c r="F89" s="949">
        <f>+'Input Schedule'!$D$17</f>
        <v>2.775347522522463E-2</v>
      </c>
      <c r="G89" s="942"/>
      <c r="H89" s="940">
        <f t="shared" si="2"/>
        <v>-525.56200964503341</v>
      </c>
      <c r="I89" s="947"/>
    </row>
    <row r="90" spans="1:9">
      <c r="A90" s="924"/>
      <c r="B90" s="829" t="s">
        <v>2291</v>
      </c>
      <c r="C90" s="925"/>
      <c r="D90" s="936">
        <v>-9643.5</v>
      </c>
      <c r="E90" s="936"/>
      <c r="F90" s="949">
        <f>+'Input Schedule'!$D$17</f>
        <v>2.775347522522463E-2</v>
      </c>
      <c r="G90" s="942"/>
      <c r="H90" s="940">
        <f t="shared" si="2"/>
        <v>-267.64063833445374</v>
      </c>
      <c r="I90" s="947"/>
    </row>
    <row r="91" spans="1:9">
      <c r="A91" s="924"/>
      <c r="B91" s="829" t="s">
        <v>2292</v>
      </c>
      <c r="C91" s="925"/>
      <c r="D91" s="936">
        <v>-1482.63</v>
      </c>
      <c r="E91" s="936"/>
      <c r="F91" s="949">
        <f>+'Input Schedule'!$D$17</f>
        <v>2.775347522522463E-2</v>
      </c>
      <c r="G91" s="942"/>
      <c r="H91" s="940">
        <f t="shared" si="2"/>
        <v>-41.148134973174798</v>
      </c>
      <c r="I91" s="947"/>
    </row>
    <row r="92" spans="1:9">
      <c r="A92" s="924"/>
      <c r="B92" s="829" t="s">
        <v>2293</v>
      </c>
      <c r="C92" s="926"/>
      <c r="D92" s="936">
        <v>-7314</v>
      </c>
      <c r="E92" s="936"/>
      <c r="F92" s="949">
        <f>+'Input Schedule'!$D$17</f>
        <v>2.775347522522463E-2</v>
      </c>
      <c r="G92" s="942"/>
      <c r="H92" s="940">
        <f t="shared" si="2"/>
        <v>-202.98891779729294</v>
      </c>
      <c r="I92" s="947"/>
    </row>
    <row r="93" spans="1:9">
      <c r="A93" s="925"/>
      <c r="B93" s="829" t="s">
        <v>2294</v>
      </c>
      <c r="C93" s="926"/>
      <c r="D93" s="936">
        <v>-52774</v>
      </c>
      <c r="E93" s="925"/>
      <c r="F93" s="949">
        <f>+'Input Schedule'!$D$17</f>
        <v>2.775347522522463E-2</v>
      </c>
      <c r="G93" s="933"/>
      <c r="H93" s="940">
        <f t="shared" si="2"/>
        <v>-1464.6619015360047</v>
      </c>
      <c r="I93" s="947"/>
    </row>
    <row r="94" spans="1:9">
      <c r="A94" s="951"/>
      <c r="B94" s="829" t="s">
        <v>2295</v>
      </c>
      <c r="C94" s="926"/>
      <c r="D94" s="936">
        <v>-5231.9999999999991</v>
      </c>
      <c r="E94" s="951"/>
      <c r="F94" s="949">
        <f>+'Input Schedule'!$D$17</f>
        <v>2.775347522522463E-2</v>
      </c>
      <c r="G94" s="952"/>
      <c r="H94" s="940">
        <f t="shared" si="2"/>
        <v>-145.20618237837525</v>
      </c>
      <c r="I94" s="953"/>
    </row>
    <row r="95" spans="1:9">
      <c r="A95" s="951"/>
      <c r="B95" s="829" t="s">
        <v>2296</v>
      </c>
      <c r="C95" s="926"/>
      <c r="D95" s="936">
        <v>-12213.149999999996</v>
      </c>
      <c r="E95" s="951"/>
      <c r="F95" s="949">
        <f>+'Input Schedule'!$D$17</f>
        <v>2.775347522522463E-2</v>
      </c>
      <c r="G95" s="952"/>
      <c r="H95" s="940">
        <f t="shared" si="2"/>
        <v>-338.95735594695208</v>
      </c>
      <c r="I95" s="953"/>
    </row>
    <row r="96" spans="1:9">
      <c r="A96" s="951"/>
      <c r="B96" s="829" t="s">
        <v>2297</v>
      </c>
      <c r="C96" s="926"/>
      <c r="D96" s="936">
        <v>-28494</v>
      </c>
      <c r="E96" s="951"/>
      <c r="F96" s="949">
        <f>+'Input Schedule'!$D$17</f>
        <v>2.775347522522463E-2</v>
      </c>
      <c r="G96" s="952"/>
      <c r="H96" s="940">
        <f t="shared" si="2"/>
        <v>-790.80752306755062</v>
      </c>
      <c r="I96" s="953"/>
    </row>
    <row r="97" spans="1:9">
      <c r="A97" s="933"/>
      <c r="B97" s="829" t="s">
        <v>2298</v>
      </c>
      <c r="C97" s="933"/>
      <c r="D97" s="936">
        <v>-128147</v>
      </c>
      <c r="E97" s="933"/>
      <c r="F97" s="949">
        <f>+'Input Schedule'!$D$17</f>
        <v>2.775347522522463E-2</v>
      </c>
      <c r="G97" s="933"/>
      <c r="H97" s="940">
        <f t="shared" si="2"/>
        <v>-3556.5245896868605</v>
      </c>
      <c r="I97" s="930"/>
    </row>
    <row r="98" spans="1:9">
      <c r="A98" s="933"/>
      <c r="B98" s="829" t="s">
        <v>2299</v>
      </c>
      <c r="C98" s="954"/>
      <c r="D98" s="936">
        <v>-22164</v>
      </c>
      <c r="E98" s="933"/>
      <c r="F98" s="949">
        <f>+'Input Schedule'!$D$17</f>
        <v>2.775347522522463E-2</v>
      </c>
      <c r="G98" s="933"/>
      <c r="H98" s="940">
        <f t="shared" si="2"/>
        <v>-615.12802489187868</v>
      </c>
      <c r="I98" s="933"/>
    </row>
    <row r="99" spans="1:9">
      <c r="A99" s="933"/>
      <c r="B99" s="829" t="s">
        <v>2300</v>
      </c>
      <c r="C99" s="949"/>
      <c r="D99" s="936">
        <v>-378</v>
      </c>
      <c r="E99" s="933"/>
      <c r="F99" s="949">
        <f>+'Input Schedule'!$D$17</f>
        <v>2.775347522522463E-2</v>
      </c>
      <c r="G99" s="933"/>
      <c r="H99" s="940">
        <f t="shared" si="2"/>
        <v>-10.490813635134911</v>
      </c>
      <c r="I99" s="930"/>
    </row>
    <row r="100" spans="1:9">
      <c r="A100" s="933"/>
      <c r="B100" s="829" t="s">
        <v>2301</v>
      </c>
      <c r="C100" s="936"/>
      <c r="D100" s="936">
        <v>-13266</v>
      </c>
      <c r="E100" s="936"/>
      <c r="F100" s="949">
        <f>+'Input Schedule'!$D$17</f>
        <v>2.775347522522463E-2</v>
      </c>
      <c r="G100" s="933"/>
      <c r="H100" s="940">
        <f t="shared" si="2"/>
        <v>-368.17760233782997</v>
      </c>
      <c r="I100" s="930"/>
    </row>
    <row r="101" spans="1:9">
      <c r="A101" s="933"/>
      <c r="B101" s="829" t="s">
        <v>2302</v>
      </c>
      <c r="C101" s="936"/>
      <c r="D101" s="936">
        <v>-26487.5</v>
      </c>
      <c r="E101" s="936"/>
      <c r="F101" s="949">
        <f>+'Input Schedule'!$D$17</f>
        <v>2.775347522522463E-2</v>
      </c>
      <c r="G101" s="933"/>
      <c r="H101" s="940">
        <f t="shared" si="2"/>
        <v>-735.1201750281374</v>
      </c>
      <c r="I101" s="930"/>
    </row>
    <row r="102" spans="1:9">
      <c r="A102" s="933"/>
      <c r="B102" s="829" t="s">
        <v>2303</v>
      </c>
      <c r="C102" s="936"/>
      <c r="D102" s="936">
        <v>-1409</v>
      </c>
      <c r="E102" s="936"/>
      <c r="F102" s="949">
        <f>+'Input Schedule'!$D$17</f>
        <v>2.775347522522463E-2</v>
      </c>
      <c r="G102" s="933"/>
      <c r="H102" s="940">
        <f t="shared" si="2"/>
        <v>-39.104646592341503</v>
      </c>
      <c r="I102" s="930"/>
    </row>
    <row r="103" spans="1:9">
      <c r="A103" s="933"/>
      <c r="B103" s="829" t="s">
        <v>2304</v>
      </c>
      <c r="C103" s="955"/>
      <c r="D103" s="936">
        <v>-31180</v>
      </c>
      <c r="E103" s="955"/>
      <c r="F103" s="949">
        <f>+'Input Schedule'!$D$17</f>
        <v>2.775347522522463E-2</v>
      </c>
      <c r="G103" s="933"/>
      <c r="H103" s="940">
        <f t="shared" si="2"/>
        <v>-865.35335752250398</v>
      </c>
      <c r="I103" s="930"/>
    </row>
    <row r="104" spans="1:9">
      <c r="A104" s="933"/>
      <c r="B104" s="829" t="s">
        <v>2305</v>
      </c>
      <c r="C104" s="936"/>
      <c r="D104" s="936">
        <v>-59220</v>
      </c>
      <c r="E104" s="936"/>
      <c r="F104" s="949">
        <f>+'Input Schedule'!$D$17</f>
        <v>2.775347522522463E-2</v>
      </c>
      <c r="G104" s="933"/>
      <c r="H104" s="946">
        <f t="shared" si="2"/>
        <v>-1643.5608028378026</v>
      </c>
      <c r="I104" s="930"/>
    </row>
    <row r="105" spans="1:9">
      <c r="A105" s="956"/>
      <c r="B105" s="1157"/>
      <c r="C105" s="957"/>
      <c r="D105" s="936"/>
      <c r="E105" s="956"/>
      <c r="F105" s="949"/>
      <c r="G105" s="933"/>
      <c r="H105" s="940"/>
      <c r="I105" s="933"/>
    </row>
    <row r="106" spans="1:9">
      <c r="A106" s="956"/>
      <c r="B106" s="1157"/>
      <c r="C106" s="957"/>
      <c r="D106" s="936"/>
      <c r="E106" s="956"/>
      <c r="F106" s="949"/>
      <c r="G106" s="933"/>
      <c r="H106" s="940"/>
      <c r="I106" s="933"/>
    </row>
    <row r="107" spans="1:9">
      <c r="A107" s="925"/>
      <c r="B107" s="924" t="s">
        <v>1256</v>
      </c>
      <c r="C107" s="933"/>
      <c r="D107" s="925">
        <f>SUM(D67:D105)</f>
        <v>-1076599.3799999999</v>
      </c>
      <c r="E107" s="933"/>
      <c r="F107" s="925"/>
      <c r="G107" s="933"/>
      <c r="H107" s="925">
        <f>SUM(H67:H105)</f>
        <v>-29879.374220322188</v>
      </c>
      <c r="I107" s="925"/>
    </row>
    <row r="108" spans="1:9">
      <c r="A108" s="925"/>
      <c r="B108" s="924"/>
      <c r="C108" s="933"/>
      <c r="D108" s="925"/>
      <c r="E108" s="933"/>
      <c r="F108" s="925"/>
      <c r="G108" s="933"/>
      <c r="H108" s="925"/>
      <c r="I108" s="925"/>
    </row>
    <row r="109" spans="1:9">
      <c r="A109" s="925"/>
      <c r="B109" s="925"/>
      <c r="C109" s="933"/>
      <c r="D109" s="925"/>
      <c r="E109" s="933"/>
      <c r="F109" s="925"/>
      <c r="G109" s="933"/>
      <c r="H109" s="925"/>
      <c r="I109" s="925"/>
    </row>
    <row r="110" spans="1:9">
      <c r="A110" s="925"/>
      <c r="B110" s="925"/>
      <c r="C110" s="933"/>
      <c r="D110" s="925"/>
      <c r="E110" s="933"/>
      <c r="F110" s="925"/>
      <c r="G110" s="933"/>
      <c r="H110" s="925"/>
      <c r="I110" s="925"/>
    </row>
    <row r="111" spans="1:9">
      <c r="A111" s="925"/>
      <c r="B111" s="925"/>
      <c r="C111" s="933"/>
      <c r="D111" s="925"/>
      <c r="E111" s="933"/>
      <c r="F111" s="925"/>
      <c r="G111" s="933"/>
      <c r="H111" s="925"/>
      <c r="I111" s="925"/>
    </row>
    <row r="112" spans="1:9">
      <c r="A112" s="924" t="s">
        <v>1257</v>
      </c>
      <c r="B112" s="925"/>
      <c r="C112" s="933"/>
      <c r="D112" s="925"/>
      <c r="E112" s="933"/>
      <c r="F112" s="925"/>
      <c r="G112" s="933"/>
      <c r="H112" s="925"/>
      <c r="I112" s="925"/>
    </row>
    <row r="113" spans="2:9">
      <c r="B113" s="925" t="s">
        <v>1258</v>
      </c>
      <c r="C113" s="933"/>
      <c r="D113" s="925"/>
      <c r="E113" s="933"/>
      <c r="F113" s="925"/>
      <c r="G113" s="933"/>
      <c r="H113" s="925">
        <f>H30</f>
        <v>-132716.69913867011</v>
      </c>
      <c r="I113" s="925"/>
    </row>
    <row r="114" spans="2:9">
      <c r="B114" s="925" t="s">
        <v>1259</v>
      </c>
      <c r="C114" s="933"/>
      <c r="D114" s="925"/>
      <c r="E114" s="933"/>
      <c r="F114" s="925"/>
      <c r="G114" s="933"/>
      <c r="H114" s="925">
        <f>H63</f>
        <v>-1272.4665877885536</v>
      </c>
      <c r="I114" s="925"/>
    </row>
    <row r="115" spans="2:9">
      <c r="B115" s="925" t="s">
        <v>1260</v>
      </c>
      <c r="C115" s="933"/>
      <c r="D115" s="925"/>
      <c r="E115" s="933"/>
      <c r="F115" s="925"/>
      <c r="G115" s="933"/>
      <c r="H115" s="958">
        <f>H107</f>
        <v>-29879.374220322188</v>
      </c>
      <c r="I115" s="925"/>
    </row>
    <row r="116" spans="2:9">
      <c r="B116" s="924" t="s">
        <v>1261</v>
      </c>
      <c r="C116" s="933"/>
      <c r="D116" s="925"/>
      <c r="E116" s="933"/>
      <c r="F116" s="925"/>
      <c r="G116" s="933"/>
      <c r="H116" s="925">
        <f>SUM(H113:H115)</f>
        <v>-163868.53994678083</v>
      </c>
      <c r="I116" s="925"/>
    </row>
    <row r="117" spans="2:9">
      <c r="B117" s="925"/>
      <c r="C117" s="933"/>
      <c r="D117" s="925"/>
      <c r="E117" s="933"/>
      <c r="F117" s="925"/>
      <c r="G117" s="933"/>
      <c r="H117" s="925"/>
      <c r="I117" s="925"/>
    </row>
    <row r="118" spans="2:9">
      <c r="B118" s="925"/>
      <c r="C118" s="933"/>
      <c r="D118" s="925"/>
      <c r="E118" s="933"/>
      <c r="F118" s="925"/>
      <c r="G118" s="933"/>
      <c r="H118" s="959"/>
      <c r="I118" s="925"/>
    </row>
    <row r="119" spans="2:9">
      <c r="B119" s="925"/>
      <c r="C119" s="933"/>
      <c r="D119" s="925"/>
      <c r="E119" s="933"/>
      <c r="F119" s="925"/>
      <c r="G119" s="933"/>
      <c r="H119" s="960"/>
      <c r="I119" s="925"/>
    </row>
    <row r="120" spans="2:9">
      <c r="B120" s="925"/>
      <c r="C120" s="933"/>
      <c r="D120" s="925"/>
      <c r="E120" s="933"/>
      <c r="F120" s="925"/>
      <c r="G120" s="933"/>
      <c r="H120" s="925"/>
      <c r="I120" s="925"/>
    </row>
  </sheetData>
  <pageMargins left="0.7" right="0.7" top="0.75" bottom="0.75" header="0.3" footer="0.3"/>
  <pageSetup scale="98" fitToHeight="0"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L82"/>
  <sheetViews>
    <sheetView view="pageBreakPreview" zoomScale="70" zoomScaleNormal="100" zoomScaleSheetLayoutView="70" workbookViewId="0">
      <pane xSplit="4" ySplit="9" topLeftCell="E10" activePane="bottomRight" state="frozen"/>
      <selection activeCell="C22" sqref="C22"/>
      <selection pane="topRight" activeCell="C22" sqref="C22"/>
      <selection pane="bottomLeft" activeCell="C22" sqref="C22"/>
      <selection pane="bottomRight" activeCell="B43" sqref="B43"/>
    </sheetView>
  </sheetViews>
  <sheetFormatPr defaultRowHeight="12.75"/>
  <cols>
    <col min="1" max="1" width="4.375" style="1177" customWidth="1"/>
    <col min="2" max="2" width="40.75" style="1177" bestFit="1" customWidth="1"/>
    <col min="3" max="3" width="3.625" style="1177" customWidth="1"/>
    <col min="4" max="4" width="4.625" style="1177" bestFit="1" customWidth="1"/>
    <col min="5" max="5" width="3.625" style="1177" customWidth="1"/>
    <col min="6" max="6" width="15.375" style="937" bestFit="1" customWidth="1"/>
    <col min="7" max="7" width="3.625" style="1177" customWidth="1"/>
    <col min="8" max="8" width="9.125" style="1177" bestFit="1" customWidth="1"/>
    <col min="9" max="9" width="3.625" style="1177" customWidth="1"/>
    <col min="10" max="10" width="9.125" style="1177" bestFit="1" customWidth="1"/>
    <col min="11" max="11" width="3.625" style="1177" customWidth="1"/>
    <col min="12" max="12" width="9.125" style="1177" bestFit="1" customWidth="1"/>
    <col min="13" max="13" width="3.625" style="1177" customWidth="1"/>
    <col min="14" max="14" width="9.125" style="1177" bestFit="1" customWidth="1"/>
    <col min="15" max="15" width="3.625" style="1177" customWidth="1"/>
    <col min="16" max="16" width="9.875" style="1177" bestFit="1" customWidth="1"/>
    <col min="17" max="17" width="3.625" style="1177" customWidth="1"/>
    <col min="18" max="18" width="9.125" style="1177" bestFit="1" customWidth="1"/>
    <col min="19" max="19" width="3.625" style="1177" customWidth="1"/>
    <col min="20" max="20" width="9.125" style="1177" bestFit="1" customWidth="1"/>
    <col min="21" max="21" width="3.625" style="1177" customWidth="1"/>
    <col min="22" max="22" width="9.875" style="1177" bestFit="1" customWidth="1"/>
    <col min="23" max="23" width="3.625" style="1177" customWidth="1"/>
    <col min="24" max="24" width="9.125" style="1177" bestFit="1" customWidth="1"/>
    <col min="25" max="25" width="3.375" style="1177" customWidth="1"/>
    <col min="26" max="26" width="12" style="492" bestFit="1" customWidth="1"/>
    <col min="27" max="27" width="2" style="492" customWidth="1"/>
    <col min="28" max="28" width="12" style="492" bestFit="1" customWidth="1"/>
    <col min="29" max="29" width="1.75" style="492" customWidth="1"/>
    <col min="30" max="30" width="10.375" style="492" bestFit="1" customWidth="1"/>
    <col min="31" max="31" width="1.75" style="492" customWidth="1"/>
    <col min="32" max="32" width="13" style="492" bestFit="1" customWidth="1"/>
    <col min="33" max="33" width="1.75" style="492" customWidth="1"/>
    <col min="34" max="34" width="13.625" style="492" bestFit="1" customWidth="1"/>
    <col min="35" max="35" width="2.375" style="492" customWidth="1"/>
    <col min="36" max="36" width="10.75" style="492" bestFit="1" customWidth="1"/>
    <col min="37" max="37" width="1.375" style="492" customWidth="1"/>
    <col min="38" max="38" width="8.625" style="492" bestFit="1" customWidth="1"/>
    <col min="39" max="16384" width="9" style="1177"/>
  </cols>
  <sheetData>
    <row r="1" spans="1:38">
      <c r="A1" s="924" t="str">
        <f>'Input Schedule'!G6</f>
        <v>WATER SERVICE CORPORATION OF KENTUCKY</v>
      </c>
      <c r="B1" s="925"/>
      <c r="C1" s="925"/>
      <c r="D1" s="1158"/>
      <c r="E1" s="1158"/>
      <c r="G1" s="925"/>
      <c r="H1" s="925"/>
      <c r="I1" s="925"/>
      <c r="J1" s="1159"/>
      <c r="K1" s="925"/>
      <c r="L1" s="925"/>
      <c r="M1" s="925"/>
      <c r="N1" s="925"/>
      <c r="O1" s="925"/>
      <c r="P1" s="925"/>
      <c r="Q1" s="925"/>
      <c r="R1" s="925"/>
      <c r="S1" s="925"/>
      <c r="T1" s="925"/>
      <c r="U1" s="925"/>
      <c r="V1" s="925"/>
      <c r="W1" s="925"/>
      <c r="X1" s="1160" t="s">
        <v>1775</v>
      </c>
      <c r="Y1" s="925"/>
      <c r="Z1" s="1178"/>
      <c r="AA1" s="1178"/>
      <c r="AB1" s="1178"/>
      <c r="AC1" s="1178"/>
      <c r="AD1" s="1191"/>
      <c r="AE1" s="1178"/>
      <c r="AF1" s="1178"/>
      <c r="AG1" s="1178"/>
      <c r="AH1" s="1178"/>
      <c r="AI1" s="1156"/>
    </row>
    <row r="2" spans="1:38">
      <c r="A2" s="924" t="str">
        <f>'Sch.A-B.S'!F2</f>
        <v>Case No. 2013 - 00237</v>
      </c>
      <c r="B2" s="925"/>
      <c r="C2" s="925"/>
      <c r="D2" s="1158"/>
      <c r="E2" s="1158"/>
      <c r="G2" s="925"/>
      <c r="H2" s="925"/>
      <c r="I2" s="925"/>
      <c r="J2" s="1159"/>
      <c r="K2" s="925"/>
      <c r="L2" s="925"/>
      <c r="M2" s="925"/>
      <c r="N2" s="925"/>
      <c r="O2" s="925"/>
      <c r="P2" s="925"/>
      <c r="Q2" s="925"/>
      <c r="R2" s="925"/>
      <c r="S2" s="925"/>
      <c r="T2" s="925"/>
      <c r="U2" s="925"/>
      <c r="V2" s="925"/>
      <c r="W2" s="925"/>
      <c r="X2" s="1160"/>
      <c r="Y2" s="925"/>
      <c r="Z2" s="925"/>
      <c r="AA2" s="925"/>
      <c r="AB2" s="933"/>
      <c r="AC2" s="925"/>
      <c r="AD2" s="925"/>
      <c r="AE2" s="925"/>
      <c r="AF2" s="925"/>
      <c r="AG2" s="1177"/>
      <c r="AH2" s="1177"/>
      <c r="AI2" s="1177"/>
    </row>
    <row r="3" spans="1:38">
      <c r="A3" s="924" t="s">
        <v>1728</v>
      </c>
      <c r="B3" s="925"/>
      <c r="C3" s="925"/>
      <c r="D3" s="1158"/>
      <c r="E3" s="1158"/>
      <c r="G3" s="925"/>
      <c r="H3" s="925"/>
      <c r="I3" s="925"/>
      <c r="J3" s="1159"/>
      <c r="K3" s="925"/>
      <c r="L3" s="925"/>
      <c r="M3" s="925"/>
      <c r="N3" s="925"/>
      <c r="O3" s="925"/>
      <c r="P3" s="925"/>
      <c r="Q3" s="925"/>
      <c r="R3" s="925"/>
      <c r="S3" s="925"/>
      <c r="T3" s="925"/>
      <c r="U3" s="925"/>
      <c r="V3" s="925"/>
      <c r="W3" s="925"/>
      <c r="X3" s="925"/>
      <c r="Y3" s="925"/>
      <c r="Z3" s="1171"/>
      <c r="AA3" s="1171"/>
      <c r="AB3" s="1171"/>
      <c r="AC3" s="1171"/>
      <c r="AD3" s="1173"/>
      <c r="AE3" s="1173"/>
      <c r="AF3" s="1356"/>
      <c r="AG3" s="1173"/>
      <c r="AH3" s="1173"/>
      <c r="AI3" s="1156"/>
    </row>
    <row r="4" spans="1:38">
      <c r="A4" s="924" t="str">
        <f>'Sch.B-I.S'!A4</f>
        <v>Test Year 12/31/2012</v>
      </c>
      <c r="B4" s="925"/>
      <c r="C4" s="1162" t="s">
        <v>1262</v>
      </c>
      <c r="D4" s="1163"/>
      <c r="E4" s="1163"/>
      <c r="F4" s="1164"/>
      <c r="G4" s="1165"/>
      <c r="H4" s="1165"/>
      <c r="I4" s="1165"/>
      <c r="J4" s="1165"/>
      <c r="K4" s="1165"/>
      <c r="L4" s="1166"/>
      <c r="M4" s="1165"/>
      <c r="N4" s="1165"/>
      <c r="O4" s="1165"/>
      <c r="P4" s="1167"/>
      <c r="Q4" s="1168"/>
      <c r="R4" s="1168"/>
      <c r="S4" s="1168"/>
      <c r="T4" s="1168"/>
      <c r="U4" s="1168"/>
      <c r="V4" s="1168"/>
      <c r="W4" s="933"/>
      <c r="X4" s="925"/>
      <c r="Y4" s="925"/>
      <c r="Z4" s="1173"/>
      <c r="AA4" s="1173"/>
      <c r="AB4" s="1173"/>
      <c r="AC4" s="1173"/>
      <c r="AD4" s="1174"/>
      <c r="AE4" s="1174"/>
      <c r="AF4" s="1174"/>
      <c r="AG4" s="1174"/>
      <c r="AH4" s="1174"/>
      <c r="AI4" s="1156"/>
    </row>
    <row r="5" spans="1:38">
      <c r="A5" s="1384" t="s">
        <v>1979</v>
      </c>
      <c r="B5" s="928"/>
      <c r="C5" s="928"/>
      <c r="D5" s="928"/>
      <c r="E5" s="928"/>
      <c r="F5" s="1169"/>
      <c r="G5" s="928"/>
      <c r="H5" s="928"/>
      <c r="I5" s="928"/>
      <c r="J5" s="928"/>
      <c r="K5" s="928"/>
      <c r="L5" s="928"/>
      <c r="M5" s="928"/>
      <c r="N5" s="928"/>
      <c r="O5" s="928"/>
      <c r="P5" s="928"/>
      <c r="Q5" s="928"/>
      <c r="R5" s="928"/>
      <c r="S5" s="928"/>
      <c r="T5" s="928"/>
      <c r="U5" s="928"/>
      <c r="V5" s="1170"/>
      <c r="W5" s="928"/>
      <c r="X5" s="928"/>
      <c r="Y5" s="928"/>
      <c r="Z5" s="1357"/>
      <c r="AA5" s="1357"/>
      <c r="AB5" s="1357"/>
      <c r="AC5" s="1357"/>
      <c r="AD5" s="1358"/>
      <c r="AE5" s="1358"/>
      <c r="AF5" s="1358"/>
      <c r="AG5" s="1358"/>
      <c r="AH5" s="1358"/>
      <c r="AI5" s="1359"/>
      <c r="AJ5" s="1360"/>
      <c r="AK5" s="1360"/>
      <c r="AL5" s="1360"/>
    </row>
    <row r="6" spans="1:38">
      <c r="A6" s="928"/>
      <c r="B6" s="928"/>
      <c r="C6" s="928"/>
      <c r="D6" s="1171"/>
      <c r="E6" s="1171"/>
      <c r="F6" s="1172"/>
      <c r="G6" s="1173"/>
      <c r="H6" s="1173"/>
      <c r="I6" s="1173"/>
      <c r="J6" s="1173"/>
      <c r="K6" s="1173"/>
      <c r="L6" s="1173"/>
      <c r="M6" s="1173"/>
      <c r="N6" s="1173"/>
      <c r="O6" s="1173"/>
      <c r="P6" s="1173"/>
      <c r="Q6" s="1173"/>
      <c r="R6" s="1173"/>
      <c r="S6" s="1173"/>
      <c r="T6" s="1173"/>
      <c r="U6" s="1173"/>
      <c r="V6" s="1173"/>
      <c r="W6" s="1173"/>
      <c r="X6" s="1173"/>
      <c r="Y6" s="1173"/>
      <c r="Z6" s="1173"/>
      <c r="AA6" s="1173"/>
      <c r="AB6" s="1173"/>
      <c r="AC6" s="1173"/>
      <c r="AD6" s="1174"/>
      <c r="AE6" s="1174"/>
      <c r="AF6" s="1174"/>
      <c r="AG6" s="1174"/>
      <c r="AH6" s="1174"/>
      <c r="AI6" s="1156"/>
    </row>
    <row r="7" spans="1:38">
      <c r="A7" s="925"/>
      <c r="B7" s="933"/>
      <c r="C7" s="933"/>
      <c r="D7" s="1175"/>
      <c r="E7" s="1175"/>
      <c r="F7" s="1172" t="s">
        <v>83</v>
      </c>
      <c r="G7" s="1171"/>
      <c r="H7" s="1171"/>
      <c r="I7" s="1171"/>
      <c r="J7" s="1171"/>
      <c r="K7" s="1171"/>
      <c r="L7" s="1171"/>
      <c r="M7" s="1171"/>
      <c r="N7" s="1171"/>
      <c r="O7" s="1171"/>
      <c r="P7" s="1176">
        <v>41274</v>
      </c>
      <c r="Q7" s="1171"/>
      <c r="R7" s="1171"/>
      <c r="S7" s="1171"/>
      <c r="T7" s="1171"/>
      <c r="U7" s="1171"/>
      <c r="V7" s="1171"/>
      <c r="W7" s="1171"/>
      <c r="X7" s="1171"/>
      <c r="Y7" s="1171"/>
      <c r="Z7" s="1361"/>
      <c r="AA7" s="1361"/>
      <c r="AB7" s="1362"/>
      <c r="AC7" s="1361"/>
      <c r="AD7" s="1358"/>
      <c r="AE7" s="1363"/>
      <c r="AF7" s="1364">
        <v>41274</v>
      </c>
      <c r="AG7" s="1358"/>
      <c r="AH7" s="1358" t="s">
        <v>391</v>
      </c>
      <c r="AI7" s="1365"/>
    </row>
    <row r="8" spans="1:38">
      <c r="A8" s="925"/>
      <c r="D8" s="1178"/>
      <c r="E8" s="1178"/>
      <c r="F8" s="1172" t="s">
        <v>77</v>
      </c>
      <c r="G8" s="1179"/>
      <c r="H8" s="1179" t="s">
        <v>403</v>
      </c>
      <c r="I8" s="1179"/>
      <c r="J8" s="1179" t="s">
        <v>404</v>
      </c>
      <c r="K8" s="1179"/>
      <c r="L8" s="1156"/>
      <c r="M8" s="1179"/>
      <c r="N8" s="1179" t="s">
        <v>391</v>
      </c>
      <c r="O8" s="1179"/>
      <c r="P8" s="1179" t="s">
        <v>563</v>
      </c>
      <c r="Q8" s="1179"/>
      <c r="R8" s="1179" t="s">
        <v>920</v>
      </c>
      <c r="S8" s="1179"/>
      <c r="T8" s="1179" t="s">
        <v>776</v>
      </c>
      <c r="U8" s="1179"/>
      <c r="V8" s="1176">
        <v>41274</v>
      </c>
      <c r="W8" s="1179"/>
      <c r="X8" s="1179" t="s">
        <v>391</v>
      </c>
      <c r="Y8" s="1171"/>
      <c r="Z8" s="1359" t="s">
        <v>1969</v>
      </c>
      <c r="AA8" s="1361"/>
      <c r="AB8" s="1361" t="s">
        <v>579</v>
      </c>
      <c r="AC8" s="1361"/>
      <c r="AD8" s="1366" t="s">
        <v>489</v>
      </c>
      <c r="AE8" s="1367"/>
      <c r="AF8" s="1367" t="s">
        <v>1970</v>
      </c>
      <c r="AG8" s="1367"/>
      <c r="AH8" s="1367" t="s">
        <v>77</v>
      </c>
      <c r="AI8" s="1365"/>
      <c r="AL8" s="492" t="s">
        <v>68</v>
      </c>
    </row>
    <row r="9" spans="1:38">
      <c r="A9" s="958" t="s">
        <v>1263</v>
      </c>
      <c r="B9" s="1180" t="s">
        <v>1264</v>
      </c>
      <c r="D9" s="1181" t="s">
        <v>1265</v>
      </c>
      <c r="E9" s="1182"/>
      <c r="F9" s="1183" t="s">
        <v>481</v>
      </c>
      <c r="G9" s="1179" t="s">
        <v>1781</v>
      </c>
      <c r="H9" s="1183" t="s">
        <v>1266</v>
      </c>
      <c r="I9" s="1179"/>
      <c r="J9" s="1183" t="s">
        <v>349</v>
      </c>
      <c r="K9" s="1179"/>
      <c r="L9" s="1183" t="s">
        <v>151</v>
      </c>
      <c r="M9" s="1179"/>
      <c r="N9" s="1183" t="s">
        <v>929</v>
      </c>
      <c r="O9" s="1179"/>
      <c r="P9" s="1183" t="s">
        <v>379</v>
      </c>
      <c r="Q9" s="1179" t="s">
        <v>1267</v>
      </c>
      <c r="R9" s="1183" t="s">
        <v>771</v>
      </c>
      <c r="S9" s="1179"/>
      <c r="T9" s="1183" t="s">
        <v>772</v>
      </c>
      <c r="U9" s="1179"/>
      <c r="V9" s="1183" t="s">
        <v>122</v>
      </c>
      <c r="W9" s="1179" t="s">
        <v>1268</v>
      </c>
      <c r="X9" s="1183" t="s">
        <v>73</v>
      </c>
      <c r="Y9" s="1171"/>
      <c r="Z9" s="1368" t="s">
        <v>1971</v>
      </c>
      <c r="AA9" s="1361"/>
      <c r="AB9" s="1368" t="s">
        <v>794</v>
      </c>
      <c r="AC9" s="1361"/>
      <c r="AD9" s="1369" t="s">
        <v>481</v>
      </c>
      <c r="AE9" s="1367"/>
      <c r="AF9" s="1369" t="s">
        <v>60</v>
      </c>
      <c r="AG9" s="1367"/>
      <c r="AH9" s="1369" t="s">
        <v>481</v>
      </c>
      <c r="AI9" s="1365"/>
      <c r="AJ9" s="492" t="s">
        <v>1972</v>
      </c>
      <c r="AL9" s="492" t="s">
        <v>1973</v>
      </c>
    </row>
    <row r="10" spans="1:38">
      <c r="A10" s="925"/>
      <c r="B10" s="1184" t="s">
        <v>1269</v>
      </c>
      <c r="C10" s="1185"/>
      <c r="D10" s="1186" t="s">
        <v>1270</v>
      </c>
      <c r="E10" s="1186"/>
      <c r="F10" s="1169" t="s">
        <v>1271</v>
      </c>
      <c r="G10" s="1169"/>
      <c r="H10" s="1169" t="s">
        <v>1272</v>
      </c>
      <c r="I10" s="1169"/>
      <c r="J10" s="1169" t="s">
        <v>1273</v>
      </c>
      <c r="K10" s="1169"/>
      <c r="L10" s="1169" t="s">
        <v>1274</v>
      </c>
      <c r="M10" s="1169"/>
      <c r="N10" s="1169" t="s">
        <v>1275</v>
      </c>
      <c r="O10" s="1169"/>
      <c r="P10" s="1169" t="s">
        <v>1273</v>
      </c>
      <c r="Q10" s="1169"/>
      <c r="R10" s="1169" t="s">
        <v>1274</v>
      </c>
      <c r="S10" s="1169"/>
      <c r="T10" s="1169" t="s">
        <v>1275</v>
      </c>
      <c r="U10" s="1169"/>
      <c r="V10" s="1169" t="s">
        <v>1276</v>
      </c>
      <c r="W10" s="1169"/>
      <c r="X10" s="1169" t="s">
        <v>1277</v>
      </c>
      <c r="Y10" s="933"/>
      <c r="Z10" s="1169"/>
      <c r="AA10" s="1169"/>
      <c r="AB10" s="1169"/>
      <c r="AC10" s="1169"/>
      <c r="AD10" s="1169"/>
      <c r="AE10" s="936"/>
      <c r="AF10" s="1169"/>
      <c r="AG10" s="936"/>
      <c r="AH10" s="1169"/>
      <c r="AI10" s="1194"/>
    </row>
    <row r="11" spans="1:38" ht="13.5">
      <c r="A11" s="1189">
        <v>1</v>
      </c>
      <c r="B11" s="1155" t="s">
        <v>2241</v>
      </c>
      <c r="C11" s="1155"/>
      <c r="D11" s="1182" t="s">
        <v>1278</v>
      </c>
      <c r="E11" s="1182"/>
      <c r="F11" s="1190">
        <f t="shared" ref="F11:F50" si="0">AH11</f>
        <v>31466.969999999994</v>
      </c>
      <c r="G11" s="1190"/>
      <c r="H11" s="1190">
        <f t="shared" ref="H11:H50" si="1">ROUND(F11*0.0765,0)</f>
        <v>2407</v>
      </c>
      <c r="I11" s="1190"/>
      <c r="J11" s="1190">
        <v>56</v>
      </c>
      <c r="K11" s="1190"/>
      <c r="L11" s="1190">
        <f>IF(F11&gt;8000,8000*0.0458,F11*0.0458)</f>
        <v>366.4</v>
      </c>
      <c r="M11" s="1190" t="s">
        <v>1279</v>
      </c>
      <c r="N11" s="1190">
        <f t="shared" ref="N11:N50" si="2">SUM(L11,J11,H11)</f>
        <v>2829.4</v>
      </c>
      <c r="O11" s="1190"/>
      <c r="P11" s="1190">
        <f>'wp b1'!I$13</f>
        <v>7481.8509443099274</v>
      </c>
      <c r="Q11" s="1190"/>
      <c r="R11" s="1190">
        <f t="shared" ref="R11:R50" si="3">F11*0.03</f>
        <v>944.00909999999976</v>
      </c>
      <c r="S11" s="1190"/>
      <c r="T11" s="1190">
        <f t="shared" ref="T11:T50" si="4">F11*0.04</f>
        <v>1258.6787999999997</v>
      </c>
      <c r="U11" s="1190"/>
      <c r="V11" s="1190">
        <f>'wp b1'!I$21</f>
        <v>453.52290556900732</v>
      </c>
      <c r="W11" s="1190"/>
      <c r="X11" s="1190">
        <f t="shared" ref="X11:X50" si="5">SUM(P11,R11,T11,V11)</f>
        <v>10138.061749878934</v>
      </c>
      <c r="Y11" s="1191"/>
      <c r="Z11" s="1192">
        <f>15.03*80</f>
        <v>1202.3999999999999</v>
      </c>
      <c r="AA11" s="1192"/>
      <c r="AB11" s="1370">
        <v>2080</v>
      </c>
      <c r="AC11" s="1191"/>
      <c r="AD11" s="1370">
        <f t="shared" ref="AD11:AD50" si="6">IF(AB11=86.67,Z11*24,(Z11/80)*AB11)</f>
        <v>31262.399999999994</v>
      </c>
      <c r="AE11" s="936"/>
      <c r="AF11" s="1187">
        <v>204.57</v>
      </c>
      <c r="AG11" s="936"/>
      <c r="AH11" s="936">
        <f t="shared" ref="AH11:AH50" si="7">+AD11+AF11</f>
        <v>31466.969999999994</v>
      </c>
      <c r="AI11" s="1371"/>
      <c r="AJ11" s="1372">
        <v>28771.13</v>
      </c>
      <c r="AL11" s="1373">
        <v>98669</v>
      </c>
    </row>
    <row r="12" spans="1:38" ht="13.5">
      <c r="A12" s="1189">
        <v>2</v>
      </c>
      <c r="B12" s="1155" t="s">
        <v>2242</v>
      </c>
      <c r="C12" s="1155"/>
      <c r="D12" s="1182" t="s">
        <v>1282</v>
      </c>
      <c r="E12" s="1182"/>
      <c r="F12" s="1190">
        <f t="shared" si="0"/>
        <v>25251.200000000001</v>
      </c>
      <c r="G12" s="1190"/>
      <c r="H12" s="1190">
        <f t="shared" si="1"/>
        <v>1932</v>
      </c>
      <c r="I12" s="1190"/>
      <c r="J12" s="1190">
        <v>56</v>
      </c>
      <c r="K12" s="1190"/>
      <c r="L12" s="1190">
        <f>IF(F12&gt;20900,20900*0.042,F12*0.042)</f>
        <v>877.80000000000007</v>
      </c>
      <c r="M12" s="1190" t="s">
        <v>1281</v>
      </c>
      <c r="N12" s="1190">
        <f t="shared" si="2"/>
        <v>2865.8</v>
      </c>
      <c r="O12" s="1190"/>
      <c r="P12" s="1190">
        <f>'wp b1'!I$13</f>
        <v>7481.8509443099274</v>
      </c>
      <c r="Q12" s="1190"/>
      <c r="R12" s="1190">
        <f t="shared" si="3"/>
        <v>757.53599999999994</v>
      </c>
      <c r="S12" s="1190"/>
      <c r="T12" s="1190">
        <f t="shared" si="4"/>
        <v>1010.048</v>
      </c>
      <c r="U12" s="1190"/>
      <c r="V12" s="1190">
        <f>'wp b1'!I$21</f>
        <v>453.52290556900732</v>
      </c>
      <c r="W12" s="1190"/>
      <c r="X12" s="1190">
        <f t="shared" si="5"/>
        <v>9702.9578498789342</v>
      </c>
      <c r="Y12" s="1191"/>
      <c r="Z12" s="1192">
        <f>12.14*80</f>
        <v>971.2</v>
      </c>
      <c r="AA12" s="1192"/>
      <c r="AB12" s="1370">
        <v>2080</v>
      </c>
      <c r="AC12" s="1191"/>
      <c r="AD12" s="1370">
        <f t="shared" si="6"/>
        <v>25251.200000000001</v>
      </c>
      <c r="AE12" s="936"/>
      <c r="AF12" s="1187">
        <v>0</v>
      </c>
      <c r="AG12" s="936"/>
      <c r="AH12" s="936">
        <f t="shared" si="7"/>
        <v>25251.200000000001</v>
      </c>
      <c r="AI12" s="1371"/>
      <c r="AJ12" s="1372">
        <v>21479.96</v>
      </c>
      <c r="AL12" s="1373">
        <v>99968</v>
      </c>
    </row>
    <row r="13" spans="1:38" ht="13.5">
      <c r="A13" s="1189">
        <v>3</v>
      </c>
      <c r="B13" s="1155" t="s">
        <v>2243</v>
      </c>
      <c r="C13" s="1155"/>
      <c r="D13" s="1182" t="s">
        <v>1278</v>
      </c>
      <c r="E13" s="1182"/>
      <c r="F13" s="1190">
        <f t="shared" si="0"/>
        <v>35431.64</v>
      </c>
      <c r="G13" s="1190"/>
      <c r="H13" s="1190">
        <f t="shared" si="1"/>
        <v>2711</v>
      </c>
      <c r="I13" s="1190"/>
      <c r="J13" s="1190">
        <v>56</v>
      </c>
      <c r="K13" s="1190"/>
      <c r="L13" s="1190">
        <f>IF(F13&gt;8000,8000*0.0458,F13*0.0458)</f>
        <v>366.4</v>
      </c>
      <c r="M13" s="1190" t="s">
        <v>1279</v>
      </c>
      <c r="N13" s="1190">
        <f t="shared" si="2"/>
        <v>3133.4</v>
      </c>
      <c r="O13" s="1190"/>
      <c r="P13" s="1190">
        <f>'wp b1'!I$13</f>
        <v>7481.8509443099274</v>
      </c>
      <c r="Q13" s="1190"/>
      <c r="R13" s="1190">
        <f t="shared" si="3"/>
        <v>1062.9492</v>
      </c>
      <c r="S13" s="1190"/>
      <c r="T13" s="1190">
        <f t="shared" si="4"/>
        <v>1417.2655999999999</v>
      </c>
      <c r="U13" s="1190"/>
      <c r="V13" s="1190">
        <f>'wp b1'!I$21</f>
        <v>453.52290556900732</v>
      </c>
      <c r="W13" s="1190"/>
      <c r="X13" s="1190">
        <f t="shared" si="5"/>
        <v>10415.588649878935</v>
      </c>
      <c r="Y13" s="1191"/>
      <c r="Z13" s="1192">
        <f>16.52*80</f>
        <v>1321.6</v>
      </c>
      <c r="AA13" s="1192"/>
      <c r="AB13" s="1370">
        <v>2080</v>
      </c>
      <c r="AC13" s="1191"/>
      <c r="AD13" s="1370">
        <f t="shared" si="6"/>
        <v>34361.599999999999</v>
      </c>
      <c r="AE13" s="936"/>
      <c r="AF13" s="1187">
        <v>1070.04</v>
      </c>
      <c r="AG13" s="936"/>
      <c r="AH13" s="936">
        <f t="shared" si="7"/>
        <v>35431.64</v>
      </c>
      <c r="AI13" s="1371"/>
      <c r="AJ13" s="1372">
        <v>29093.02</v>
      </c>
      <c r="AL13" s="1373">
        <v>766</v>
      </c>
    </row>
    <row r="14" spans="1:38" ht="13.5">
      <c r="A14" s="1189">
        <v>4</v>
      </c>
      <c r="B14" s="1155" t="s">
        <v>2306</v>
      </c>
      <c r="C14" s="1155"/>
      <c r="D14" s="1182" t="s">
        <v>1278</v>
      </c>
      <c r="E14" s="1182"/>
      <c r="F14" s="1190">
        <f t="shared" si="0"/>
        <v>33211.379999999997</v>
      </c>
      <c r="G14" s="1190"/>
      <c r="H14" s="1190">
        <f t="shared" si="1"/>
        <v>2541</v>
      </c>
      <c r="I14" s="1190"/>
      <c r="J14" s="1190">
        <v>56</v>
      </c>
      <c r="K14" s="1190"/>
      <c r="L14" s="1190">
        <f>IF(F14&gt;8000,8000*0.0458,F14*0.0458)</f>
        <v>366.4</v>
      </c>
      <c r="M14" s="1190" t="s">
        <v>1279</v>
      </c>
      <c r="N14" s="1190">
        <f t="shared" si="2"/>
        <v>2963.4</v>
      </c>
      <c r="O14" s="1190"/>
      <c r="P14" s="1190">
        <f>'wp b1'!I$13</f>
        <v>7481.8509443099274</v>
      </c>
      <c r="Q14" s="1190"/>
      <c r="R14" s="1190">
        <f t="shared" si="3"/>
        <v>996.34139999999991</v>
      </c>
      <c r="S14" s="1190"/>
      <c r="T14" s="1190">
        <f t="shared" si="4"/>
        <v>1328.4551999999999</v>
      </c>
      <c r="U14" s="1190"/>
      <c r="V14" s="1190">
        <f>'wp b1'!I$21</f>
        <v>453.52290556900732</v>
      </c>
      <c r="W14" s="1190"/>
      <c r="X14" s="1190">
        <f t="shared" si="5"/>
        <v>10260.170449878935</v>
      </c>
      <c r="Y14" s="1191"/>
      <c r="Z14" s="1192">
        <f>15.87*80</f>
        <v>1269.5999999999999</v>
      </c>
      <c r="AA14" s="1192"/>
      <c r="AB14" s="1370">
        <v>2080</v>
      </c>
      <c r="AC14" s="1191"/>
      <c r="AD14" s="1370">
        <f t="shared" si="6"/>
        <v>33009.599999999999</v>
      </c>
      <c r="AE14" s="936"/>
      <c r="AF14" s="1187">
        <v>201.78000000000003</v>
      </c>
      <c r="AG14" s="936"/>
      <c r="AH14" s="936">
        <f t="shared" si="7"/>
        <v>33211.379999999997</v>
      </c>
      <c r="AI14" s="1371"/>
      <c r="AJ14" s="1372">
        <v>27787.22</v>
      </c>
      <c r="AL14" s="1373">
        <v>98986</v>
      </c>
    </row>
    <row r="15" spans="1:38" ht="13.5">
      <c r="A15" s="1193">
        <v>5</v>
      </c>
      <c r="B15" s="1155" t="s">
        <v>2244</v>
      </c>
      <c r="C15" s="1155"/>
      <c r="D15" s="1182" t="s">
        <v>1278</v>
      </c>
      <c r="E15" s="1182"/>
      <c r="F15" s="1190">
        <f t="shared" si="0"/>
        <v>37698</v>
      </c>
      <c r="G15" s="1190"/>
      <c r="H15" s="1190">
        <f t="shared" si="1"/>
        <v>2884</v>
      </c>
      <c r="I15" s="1190"/>
      <c r="J15" s="1190">
        <v>56</v>
      </c>
      <c r="K15" s="1190"/>
      <c r="L15" s="1190">
        <f>IF(F15&gt;8000,8000*0.0458,F15*0.0458)</f>
        <v>366.4</v>
      </c>
      <c r="M15" s="1190" t="s">
        <v>1279</v>
      </c>
      <c r="N15" s="1190">
        <f t="shared" si="2"/>
        <v>3306.4</v>
      </c>
      <c r="O15" s="1190"/>
      <c r="P15" s="1190">
        <f>'wp b1'!I$13</f>
        <v>7481.8509443099274</v>
      </c>
      <c r="Q15" s="1190"/>
      <c r="R15" s="1190">
        <f t="shared" si="3"/>
        <v>1130.94</v>
      </c>
      <c r="S15" s="1190"/>
      <c r="T15" s="1190">
        <f t="shared" si="4"/>
        <v>1507.92</v>
      </c>
      <c r="U15" s="1190"/>
      <c r="V15" s="1190">
        <f>'wp b1'!I$21</f>
        <v>453.52290556900732</v>
      </c>
      <c r="W15" s="1190"/>
      <c r="X15" s="1190">
        <f t="shared" si="5"/>
        <v>10574.233849878934</v>
      </c>
      <c r="Y15" s="1191"/>
      <c r="Z15" s="1192">
        <v>1570.75</v>
      </c>
      <c r="AA15" s="1192"/>
      <c r="AB15" s="1370">
        <v>86.67</v>
      </c>
      <c r="AC15" s="1191"/>
      <c r="AD15" s="1370">
        <f t="shared" si="6"/>
        <v>37698</v>
      </c>
      <c r="AE15" s="936"/>
      <c r="AF15" s="1187">
        <v>0</v>
      </c>
      <c r="AG15" s="936"/>
      <c r="AH15" s="936">
        <f t="shared" si="7"/>
        <v>37698</v>
      </c>
      <c r="AI15" s="1371"/>
      <c r="AJ15" s="1372">
        <v>32401.37</v>
      </c>
      <c r="AL15" s="1373">
        <v>98712</v>
      </c>
    </row>
    <row r="16" spans="1:38" ht="13.5">
      <c r="A16" s="1189">
        <v>6</v>
      </c>
      <c r="B16" s="1155" t="s">
        <v>2307</v>
      </c>
      <c r="C16" s="1155"/>
      <c r="D16" s="1182" t="s">
        <v>1278</v>
      </c>
      <c r="E16" s="1182"/>
      <c r="F16" s="1190">
        <f t="shared" si="0"/>
        <v>56347.19999999999</v>
      </c>
      <c r="G16" s="1190"/>
      <c r="H16" s="1190">
        <f t="shared" si="1"/>
        <v>4311</v>
      </c>
      <c r="I16" s="1190"/>
      <c r="J16" s="1190">
        <v>56</v>
      </c>
      <c r="K16" s="1190"/>
      <c r="L16" s="1190">
        <f>IF(F16&gt;8000,8000*0.0458,F16*0.0458)</f>
        <v>366.4</v>
      </c>
      <c r="M16" s="1190" t="s">
        <v>1279</v>
      </c>
      <c r="N16" s="1190">
        <f t="shared" si="2"/>
        <v>4733.3999999999996</v>
      </c>
      <c r="O16" s="1190"/>
      <c r="P16" s="1190">
        <f>'wp b1'!I$13</f>
        <v>7481.8509443099274</v>
      </c>
      <c r="Q16" s="1190"/>
      <c r="R16" s="1190">
        <f t="shared" si="3"/>
        <v>1690.4159999999997</v>
      </c>
      <c r="S16" s="1190"/>
      <c r="T16" s="1190">
        <f t="shared" si="4"/>
        <v>2253.8879999999995</v>
      </c>
      <c r="U16" s="1190"/>
      <c r="V16" s="1190">
        <f>'wp b1'!I$21</f>
        <v>453.52290556900732</v>
      </c>
      <c r="W16" s="1190"/>
      <c r="X16" s="1190">
        <f t="shared" si="5"/>
        <v>11879.677849878934</v>
      </c>
      <c r="Y16" s="1191"/>
      <c r="Z16" s="1192">
        <f>27.09*80</f>
        <v>2167.1999999999998</v>
      </c>
      <c r="AA16" s="1192"/>
      <c r="AB16" s="1370">
        <v>2080</v>
      </c>
      <c r="AC16" s="1194"/>
      <c r="AD16" s="1370">
        <f t="shared" si="6"/>
        <v>56347.19999999999</v>
      </c>
      <c r="AE16" s="1194"/>
      <c r="AF16" s="1187">
        <v>0</v>
      </c>
      <c r="AG16" s="1194"/>
      <c r="AH16" s="936">
        <f t="shared" si="7"/>
        <v>56347.19999999999</v>
      </c>
      <c r="AI16" s="1371"/>
      <c r="AJ16" s="1372">
        <v>49082.04</v>
      </c>
      <c r="AL16" s="1373">
        <v>98885</v>
      </c>
    </row>
    <row r="17" spans="1:38" ht="13.5">
      <c r="A17" s="1189">
        <v>7</v>
      </c>
      <c r="B17" s="1155" t="s">
        <v>2245</v>
      </c>
      <c r="C17" s="1155"/>
      <c r="D17" s="1182" t="s">
        <v>1280</v>
      </c>
      <c r="E17" s="1182"/>
      <c r="F17" s="1190">
        <f t="shared" si="0"/>
        <v>25335.17</v>
      </c>
      <c r="G17" s="1190"/>
      <c r="H17" s="1190">
        <f t="shared" si="1"/>
        <v>1938</v>
      </c>
      <c r="I17" s="1190"/>
      <c r="J17" s="1190">
        <v>56</v>
      </c>
      <c r="K17" s="1190"/>
      <c r="L17" s="1190">
        <f>IF(F17&gt;26900,26900*0.0385,F17*0.0385)</f>
        <v>975.40404499999988</v>
      </c>
      <c r="M17" s="1190" t="s">
        <v>1283</v>
      </c>
      <c r="N17" s="1190">
        <f t="shared" si="2"/>
        <v>2969.4040449999998</v>
      </c>
      <c r="O17" s="1190"/>
      <c r="P17" s="1190">
        <f>'wp b1'!I$13</f>
        <v>7481.8509443099274</v>
      </c>
      <c r="Q17" s="1190"/>
      <c r="R17" s="1190">
        <f t="shared" si="3"/>
        <v>760.05509999999992</v>
      </c>
      <c r="S17" s="1190"/>
      <c r="T17" s="1190">
        <f t="shared" si="4"/>
        <v>1013.4068</v>
      </c>
      <c r="U17" s="1190"/>
      <c r="V17" s="1190">
        <f>'wp b1'!I$21</f>
        <v>453.52290556900732</v>
      </c>
      <c r="W17" s="1190"/>
      <c r="X17" s="1190">
        <f t="shared" si="5"/>
        <v>9708.8357498789355</v>
      </c>
      <c r="Y17" s="1191"/>
      <c r="Z17" s="1192">
        <f>12.02*80</f>
        <v>961.59999999999991</v>
      </c>
      <c r="AA17" s="1192"/>
      <c r="AB17" s="1370">
        <v>2080</v>
      </c>
      <c r="AC17" s="1194"/>
      <c r="AD17" s="1370">
        <f t="shared" si="6"/>
        <v>25001.599999999999</v>
      </c>
      <c r="AE17" s="1194"/>
      <c r="AF17" s="1187">
        <v>333.57</v>
      </c>
      <c r="AG17" s="1194"/>
      <c r="AH17" s="936">
        <f t="shared" si="7"/>
        <v>25335.17</v>
      </c>
      <c r="AI17" s="1371"/>
      <c r="AJ17" s="1372">
        <v>12735.45</v>
      </c>
      <c r="AL17" s="1373">
        <v>99772</v>
      </c>
    </row>
    <row r="18" spans="1:38" ht="13.5">
      <c r="A18" s="1189">
        <v>8</v>
      </c>
      <c r="B18" s="1155" t="s">
        <v>2308</v>
      </c>
      <c r="C18" s="1155"/>
      <c r="D18" s="1182" t="s">
        <v>1282</v>
      </c>
      <c r="E18" s="1182"/>
      <c r="F18" s="1190">
        <f t="shared" si="0"/>
        <v>26847.98</v>
      </c>
      <c r="G18" s="1190"/>
      <c r="H18" s="1190">
        <f t="shared" si="1"/>
        <v>2054</v>
      </c>
      <c r="I18" s="1190"/>
      <c r="J18" s="1190">
        <v>56</v>
      </c>
      <c r="K18" s="1190"/>
      <c r="L18" s="1190">
        <f>IF(F18&gt;20900,20900*0.042,F18*0.042)</f>
        <v>877.80000000000007</v>
      </c>
      <c r="M18" s="1190" t="s">
        <v>1281</v>
      </c>
      <c r="N18" s="1190">
        <f t="shared" si="2"/>
        <v>2987.8</v>
      </c>
      <c r="O18" s="1190"/>
      <c r="P18" s="1190">
        <f>'wp b1'!I$13</f>
        <v>7481.8509443099274</v>
      </c>
      <c r="Q18" s="1190"/>
      <c r="R18" s="1190">
        <f t="shared" si="3"/>
        <v>805.43939999999998</v>
      </c>
      <c r="S18" s="1190"/>
      <c r="T18" s="1190">
        <f t="shared" si="4"/>
        <v>1073.9192</v>
      </c>
      <c r="U18" s="1190"/>
      <c r="V18" s="1190">
        <f>'wp b1'!I$21</f>
        <v>453.52290556900732</v>
      </c>
      <c r="W18" s="1190"/>
      <c r="X18" s="1190">
        <f t="shared" si="5"/>
        <v>9814.7324498789349</v>
      </c>
      <c r="Y18" s="1191"/>
      <c r="Z18" s="1192">
        <f>12.89*80</f>
        <v>1031.2</v>
      </c>
      <c r="AA18" s="1192"/>
      <c r="AB18" s="1370">
        <v>2080</v>
      </c>
      <c r="AC18" s="1194"/>
      <c r="AD18" s="1370">
        <f t="shared" si="6"/>
        <v>26811.200000000001</v>
      </c>
      <c r="AE18" s="1194"/>
      <c r="AF18" s="1187">
        <v>36.78</v>
      </c>
      <c r="AG18" s="1194"/>
      <c r="AH18" s="936">
        <f t="shared" si="7"/>
        <v>26847.98</v>
      </c>
      <c r="AI18" s="1371"/>
      <c r="AJ18" s="1372">
        <v>23069.46</v>
      </c>
      <c r="AL18" s="1374">
        <v>99660</v>
      </c>
    </row>
    <row r="19" spans="1:38" ht="13.5">
      <c r="A19" s="1189">
        <v>9</v>
      </c>
      <c r="B19" s="1155" t="s">
        <v>2309</v>
      </c>
      <c r="C19" s="1155"/>
      <c r="D19" s="1182" t="s">
        <v>1280</v>
      </c>
      <c r="E19" s="1182"/>
      <c r="F19" s="1190">
        <f t="shared" si="0"/>
        <v>39655.199999999997</v>
      </c>
      <c r="G19" s="1190"/>
      <c r="H19" s="1190">
        <f t="shared" si="1"/>
        <v>3034</v>
      </c>
      <c r="I19" s="1190"/>
      <c r="J19" s="1190">
        <v>56</v>
      </c>
      <c r="K19" s="1190"/>
      <c r="L19" s="1190">
        <f>IF(F19&gt;26900,26900*0.0385,F19*0.0385)</f>
        <v>1035.6500000000001</v>
      </c>
      <c r="M19" s="1190" t="s">
        <v>1283</v>
      </c>
      <c r="N19" s="1190">
        <f t="shared" si="2"/>
        <v>4125.6499999999996</v>
      </c>
      <c r="O19" s="1190"/>
      <c r="P19" s="1190">
        <f>'wp b1'!I$13</f>
        <v>7481.8509443099274</v>
      </c>
      <c r="Q19" s="1190"/>
      <c r="R19" s="1190">
        <f t="shared" si="3"/>
        <v>1189.6559999999999</v>
      </c>
      <c r="S19" s="1190"/>
      <c r="T19" s="1190">
        <f t="shared" si="4"/>
        <v>1586.2079999999999</v>
      </c>
      <c r="U19" s="1190"/>
      <c r="V19" s="1190">
        <f>'wp b1'!I$21</f>
        <v>453.52290556900732</v>
      </c>
      <c r="W19" s="1190"/>
      <c r="X19" s="1190">
        <f t="shared" si="5"/>
        <v>10711.237849878935</v>
      </c>
      <c r="Y19" s="1191"/>
      <c r="Z19" s="1192">
        <v>1652.3</v>
      </c>
      <c r="AA19" s="1192"/>
      <c r="AB19" s="1370">
        <v>86.67</v>
      </c>
      <c r="AC19" s="1194"/>
      <c r="AD19" s="1370">
        <f t="shared" si="6"/>
        <v>39655.199999999997</v>
      </c>
      <c r="AE19" s="1194"/>
      <c r="AF19" s="1187">
        <v>0</v>
      </c>
      <c r="AG19" s="1194"/>
      <c r="AH19" s="936">
        <f t="shared" si="7"/>
        <v>39655.199999999997</v>
      </c>
      <c r="AI19" s="1371"/>
      <c r="AJ19" s="1372">
        <v>33636.44</v>
      </c>
      <c r="AL19" s="1375">
        <v>99503</v>
      </c>
    </row>
    <row r="20" spans="1:38" ht="13.5">
      <c r="A20" s="1189">
        <v>10</v>
      </c>
      <c r="B20" s="1155" t="s">
        <v>2247</v>
      </c>
      <c r="C20" s="1155"/>
      <c r="D20" s="1182" t="s">
        <v>1278</v>
      </c>
      <c r="E20" s="1182"/>
      <c r="F20" s="1190">
        <f t="shared" si="0"/>
        <v>27587.050000000003</v>
      </c>
      <c r="G20" s="1194"/>
      <c r="H20" s="1190">
        <f t="shared" si="1"/>
        <v>2110</v>
      </c>
      <c r="I20" s="1190"/>
      <c r="J20" s="1190">
        <v>56</v>
      </c>
      <c r="K20" s="1190"/>
      <c r="L20" s="1190">
        <f>IF(F20&gt;8000,8000*0.0458,F20*0.0458)</f>
        <v>366.4</v>
      </c>
      <c r="M20" s="1190" t="s">
        <v>1279</v>
      </c>
      <c r="N20" s="1190">
        <f t="shared" si="2"/>
        <v>2532.4</v>
      </c>
      <c r="O20" s="1190"/>
      <c r="P20" s="1190">
        <f>'wp b1'!I$13</f>
        <v>7481.8509443099274</v>
      </c>
      <c r="Q20" s="1190"/>
      <c r="R20" s="1190">
        <f t="shared" si="3"/>
        <v>827.61150000000009</v>
      </c>
      <c r="S20" s="1190"/>
      <c r="T20" s="1190">
        <f t="shared" si="4"/>
        <v>1103.4820000000002</v>
      </c>
      <c r="U20" s="1190"/>
      <c r="V20" s="1190">
        <f>'wp b1'!I$21</f>
        <v>453.52290556900732</v>
      </c>
      <c r="W20" s="1194"/>
      <c r="X20" s="1190">
        <f t="shared" si="5"/>
        <v>9866.4673498789343</v>
      </c>
      <c r="Y20" s="1194"/>
      <c r="Z20" s="1192">
        <f>12.88*80</f>
        <v>1030.4000000000001</v>
      </c>
      <c r="AA20" s="1192"/>
      <c r="AB20" s="1370">
        <v>2080</v>
      </c>
      <c r="AC20" s="1194"/>
      <c r="AD20" s="1370">
        <f t="shared" si="6"/>
        <v>26790.400000000001</v>
      </c>
      <c r="AE20" s="1194"/>
      <c r="AF20" s="1187">
        <v>796.65000000000009</v>
      </c>
      <c r="AG20" s="1194"/>
      <c r="AH20" s="936">
        <f t="shared" si="7"/>
        <v>27587.050000000003</v>
      </c>
      <c r="AI20" s="1371"/>
      <c r="AJ20" s="1372">
        <v>24064.18</v>
      </c>
      <c r="AL20" s="1373">
        <v>99704</v>
      </c>
    </row>
    <row r="21" spans="1:38" ht="13.5">
      <c r="A21" s="1189">
        <v>11</v>
      </c>
      <c r="B21" s="1155" t="s">
        <v>2310</v>
      </c>
      <c r="C21" s="1155"/>
      <c r="D21" s="1182" t="s">
        <v>1280</v>
      </c>
      <c r="E21" s="1182"/>
      <c r="F21" s="1190">
        <f t="shared" si="0"/>
        <v>25996.639999999999</v>
      </c>
      <c r="G21" s="1194"/>
      <c r="H21" s="1190">
        <f t="shared" si="1"/>
        <v>1989</v>
      </c>
      <c r="I21" s="1190"/>
      <c r="J21" s="1190">
        <v>56</v>
      </c>
      <c r="K21" s="1190"/>
      <c r="L21" s="1190">
        <f>IF(F21&gt;26900,26900*0.0385,F21*0.0385)</f>
        <v>1000.87064</v>
      </c>
      <c r="M21" s="1190" t="s">
        <v>1283</v>
      </c>
      <c r="N21" s="1190">
        <f t="shared" si="2"/>
        <v>3045.8706400000001</v>
      </c>
      <c r="O21" s="1190"/>
      <c r="P21" s="1190">
        <f>'wp b1'!I$13</f>
        <v>7481.8509443099274</v>
      </c>
      <c r="Q21" s="1190"/>
      <c r="R21" s="1190">
        <f t="shared" si="3"/>
        <v>779.89919999999995</v>
      </c>
      <c r="S21" s="1190"/>
      <c r="T21" s="1190">
        <f t="shared" si="4"/>
        <v>1039.8656000000001</v>
      </c>
      <c r="U21" s="1190"/>
      <c r="V21" s="1190">
        <f>'wp b1'!I$21</f>
        <v>453.52290556900732</v>
      </c>
      <c r="W21" s="1194"/>
      <c r="X21" s="1190">
        <f t="shared" si="5"/>
        <v>9755.1386498789361</v>
      </c>
      <c r="Y21" s="1194"/>
      <c r="Z21" s="1192">
        <f>12.26*80</f>
        <v>980.8</v>
      </c>
      <c r="AA21" s="1192"/>
      <c r="AB21" s="1370">
        <v>2080</v>
      </c>
      <c r="AC21" s="1191"/>
      <c r="AD21" s="1370">
        <f t="shared" si="6"/>
        <v>25500.799999999999</v>
      </c>
      <c r="AE21" s="936"/>
      <c r="AF21" s="1187">
        <v>495.84000000000003</v>
      </c>
      <c r="AG21" s="936"/>
      <c r="AH21" s="936">
        <f t="shared" si="7"/>
        <v>25996.639999999999</v>
      </c>
      <c r="AI21" s="1371"/>
      <c r="AJ21" s="1372">
        <v>5433.56</v>
      </c>
      <c r="AL21" s="1373">
        <v>99942</v>
      </c>
    </row>
    <row r="22" spans="1:38" ht="13.5">
      <c r="A22" s="1189">
        <v>12</v>
      </c>
      <c r="B22" s="1155" t="s">
        <v>2248</v>
      </c>
      <c r="C22" s="1155"/>
      <c r="D22" s="1182" t="s">
        <v>1280</v>
      </c>
      <c r="E22" s="1182"/>
      <c r="F22" s="1190">
        <f t="shared" si="0"/>
        <v>28863.15</v>
      </c>
      <c r="G22" s="1194"/>
      <c r="H22" s="1190">
        <f t="shared" si="1"/>
        <v>2208</v>
      </c>
      <c r="I22" s="1190"/>
      <c r="J22" s="1190">
        <v>56</v>
      </c>
      <c r="K22" s="1190"/>
      <c r="L22" s="1190">
        <f>IF(F22&gt;26900,26900*0.0385,F22*0.0385)</f>
        <v>1035.6500000000001</v>
      </c>
      <c r="M22" s="1190" t="s">
        <v>1283</v>
      </c>
      <c r="N22" s="1190">
        <f t="shared" si="2"/>
        <v>3299.65</v>
      </c>
      <c r="O22" s="1190"/>
      <c r="P22" s="1190">
        <f>'wp b1'!I$13</f>
        <v>7481.8509443099274</v>
      </c>
      <c r="Q22" s="1190"/>
      <c r="R22" s="1190">
        <f t="shared" si="3"/>
        <v>865.89449999999999</v>
      </c>
      <c r="S22" s="1190"/>
      <c r="T22" s="1190">
        <f t="shared" si="4"/>
        <v>1154.5260000000001</v>
      </c>
      <c r="U22" s="1190"/>
      <c r="V22" s="1190">
        <f>'wp b1'!I$21</f>
        <v>453.52290556900732</v>
      </c>
      <c r="W22" s="1194"/>
      <c r="X22" s="1190">
        <f t="shared" si="5"/>
        <v>9955.7943498789336</v>
      </c>
      <c r="Y22" s="1194"/>
      <c r="Z22" s="1192">
        <f>13.38*80</f>
        <v>1070.4000000000001</v>
      </c>
      <c r="AA22" s="1192"/>
      <c r="AB22" s="1370">
        <v>2080</v>
      </c>
      <c r="AC22" s="1194"/>
      <c r="AD22" s="1370">
        <f t="shared" si="6"/>
        <v>27830.400000000001</v>
      </c>
      <c r="AE22" s="1194"/>
      <c r="AF22" s="1187">
        <v>1032.75</v>
      </c>
      <c r="AG22" s="1194"/>
      <c r="AH22" s="936">
        <f t="shared" si="7"/>
        <v>28863.15</v>
      </c>
      <c r="AI22" s="1371"/>
      <c r="AJ22" s="1372">
        <v>28655.98</v>
      </c>
      <c r="AL22" s="1373">
        <v>99621</v>
      </c>
    </row>
    <row r="23" spans="1:38" ht="13.5">
      <c r="A23" s="1193">
        <v>13</v>
      </c>
      <c r="B23" s="1155" t="s">
        <v>2311</v>
      </c>
      <c r="C23" s="1155"/>
      <c r="D23" s="1182" t="s">
        <v>1280</v>
      </c>
      <c r="E23" s="1182"/>
      <c r="F23" s="1190">
        <f t="shared" si="0"/>
        <v>29456.54</v>
      </c>
      <c r="G23" s="1194"/>
      <c r="H23" s="1190">
        <f t="shared" si="1"/>
        <v>2253</v>
      </c>
      <c r="I23" s="1190"/>
      <c r="J23" s="1190">
        <v>56</v>
      </c>
      <c r="K23" s="1190"/>
      <c r="L23" s="1190">
        <f>IF(F23&gt;26900,26900*0.0385,F23*0.0385)</f>
        <v>1035.6500000000001</v>
      </c>
      <c r="M23" s="1190" t="s">
        <v>1283</v>
      </c>
      <c r="N23" s="1190">
        <f t="shared" si="2"/>
        <v>3344.65</v>
      </c>
      <c r="O23" s="1190"/>
      <c r="P23" s="1190">
        <f>'wp b1'!I$13</f>
        <v>7481.8509443099274</v>
      </c>
      <c r="Q23" s="1190"/>
      <c r="R23" s="1190">
        <f t="shared" si="3"/>
        <v>883.69619999999998</v>
      </c>
      <c r="S23" s="1190"/>
      <c r="T23" s="1190">
        <f t="shared" si="4"/>
        <v>1178.2616</v>
      </c>
      <c r="U23" s="1190"/>
      <c r="V23" s="1190">
        <f>'wp b1'!I$21</f>
        <v>453.52290556900732</v>
      </c>
      <c r="W23" s="1194"/>
      <c r="X23" s="1190">
        <f t="shared" si="5"/>
        <v>9997.3316498789336</v>
      </c>
      <c r="Y23" s="1194"/>
      <c r="Z23" s="1192">
        <f>14*80</f>
        <v>1120</v>
      </c>
      <c r="AA23" s="1192"/>
      <c r="AB23" s="1370">
        <v>2080</v>
      </c>
      <c r="AC23" s="1194"/>
      <c r="AD23" s="1370">
        <f t="shared" si="6"/>
        <v>29120</v>
      </c>
      <c r="AE23" s="1194"/>
      <c r="AF23" s="1187">
        <v>336.54</v>
      </c>
      <c r="AG23" s="1194"/>
      <c r="AH23" s="936">
        <f t="shared" si="7"/>
        <v>29456.54</v>
      </c>
      <c r="AI23" s="1371"/>
      <c r="AJ23" s="1372">
        <v>24532.43</v>
      </c>
      <c r="AL23" s="1373">
        <v>99558</v>
      </c>
    </row>
    <row r="24" spans="1:38" ht="13.5">
      <c r="A24" s="1189">
        <v>14</v>
      </c>
      <c r="B24" s="1155" t="s">
        <v>2246</v>
      </c>
      <c r="C24" s="1155"/>
      <c r="D24" s="1182" t="s">
        <v>1282</v>
      </c>
      <c r="E24" s="1182"/>
      <c r="F24" s="1190">
        <f t="shared" si="0"/>
        <v>25376</v>
      </c>
      <c r="G24" s="1194"/>
      <c r="H24" s="1190">
        <f t="shared" si="1"/>
        <v>1941</v>
      </c>
      <c r="I24" s="1194"/>
      <c r="J24" s="1190">
        <v>56</v>
      </c>
      <c r="K24" s="1194"/>
      <c r="L24" s="1190">
        <f>IF(F24&gt;20900,20900*0.042,F24*0.042)</f>
        <v>877.80000000000007</v>
      </c>
      <c r="M24" s="1190" t="s">
        <v>1281</v>
      </c>
      <c r="N24" s="1190">
        <f t="shared" si="2"/>
        <v>2874.8</v>
      </c>
      <c r="O24" s="1194"/>
      <c r="P24" s="1190">
        <f>'wp b1'!I$13</f>
        <v>7481.8509443099274</v>
      </c>
      <c r="Q24" s="1194"/>
      <c r="R24" s="1190">
        <f t="shared" si="3"/>
        <v>761.28</v>
      </c>
      <c r="S24" s="1194"/>
      <c r="T24" s="1190">
        <f t="shared" si="4"/>
        <v>1015.0400000000001</v>
      </c>
      <c r="U24" s="1194"/>
      <c r="V24" s="1190">
        <f>'wp b1'!I$21</f>
        <v>453.52290556900732</v>
      </c>
      <c r="W24" s="1194"/>
      <c r="X24" s="1190">
        <f t="shared" si="5"/>
        <v>9711.693849878935</v>
      </c>
      <c r="Y24" s="1194"/>
      <c r="Z24" s="1192">
        <f>12.2*80</f>
        <v>976</v>
      </c>
      <c r="AA24" s="1192"/>
      <c r="AB24" s="1370">
        <v>2080</v>
      </c>
      <c r="AC24" s="1194"/>
      <c r="AD24" s="1370">
        <f t="shared" si="6"/>
        <v>25376</v>
      </c>
      <c r="AE24" s="1194"/>
      <c r="AF24" s="1187">
        <v>0</v>
      </c>
      <c r="AG24" s="1194"/>
      <c r="AH24" s="936">
        <f t="shared" si="7"/>
        <v>25376</v>
      </c>
      <c r="AI24" s="1371"/>
      <c r="AJ24" s="1372">
        <v>0</v>
      </c>
      <c r="AL24" s="1373">
        <v>99967</v>
      </c>
    </row>
    <row r="25" spans="1:38" ht="13.5">
      <c r="A25" s="1189">
        <v>15</v>
      </c>
      <c r="B25" s="1155" t="s">
        <v>2249</v>
      </c>
      <c r="C25" s="1155"/>
      <c r="D25" s="1182" t="s">
        <v>1278</v>
      </c>
      <c r="E25" s="1182"/>
      <c r="F25" s="1190">
        <f t="shared" si="0"/>
        <v>27188.719999999998</v>
      </c>
      <c r="G25" s="1194"/>
      <c r="H25" s="1190">
        <f t="shared" si="1"/>
        <v>2080</v>
      </c>
      <c r="I25" s="1194"/>
      <c r="J25" s="1190">
        <v>56</v>
      </c>
      <c r="K25" s="1194"/>
      <c r="L25" s="1190">
        <f>IF(F25&gt;8000,8000*0.0458,F25*0.0458)</f>
        <v>366.4</v>
      </c>
      <c r="M25" s="1190" t="s">
        <v>1279</v>
      </c>
      <c r="N25" s="1190">
        <f t="shared" si="2"/>
        <v>2502.4</v>
      </c>
      <c r="O25" s="1194"/>
      <c r="P25" s="1190">
        <f>'wp b1'!I$13</f>
        <v>7481.8509443099274</v>
      </c>
      <c r="Q25" s="1194"/>
      <c r="R25" s="1190">
        <f t="shared" si="3"/>
        <v>815.66159999999991</v>
      </c>
      <c r="S25" s="1194"/>
      <c r="T25" s="1190">
        <f t="shared" si="4"/>
        <v>1087.5488</v>
      </c>
      <c r="U25" s="1194"/>
      <c r="V25" s="1190">
        <f>'wp b1'!I$21</f>
        <v>453.52290556900732</v>
      </c>
      <c r="W25" s="1194"/>
      <c r="X25" s="1190">
        <f t="shared" si="5"/>
        <v>9838.5842498789352</v>
      </c>
      <c r="Y25" s="1194"/>
      <c r="Z25" s="1192">
        <f>13.01*80</f>
        <v>1040.8</v>
      </c>
      <c r="AA25" s="1192"/>
      <c r="AB25" s="1370">
        <v>2080</v>
      </c>
      <c r="AC25" s="1191"/>
      <c r="AD25" s="1370">
        <f t="shared" si="6"/>
        <v>27060.799999999999</v>
      </c>
      <c r="AE25" s="936"/>
      <c r="AF25" s="1187">
        <v>127.92</v>
      </c>
      <c r="AG25" s="936"/>
      <c r="AH25" s="936">
        <f t="shared" si="7"/>
        <v>27188.719999999998</v>
      </c>
      <c r="AI25" s="1371"/>
      <c r="AJ25" s="1372">
        <v>25813.29</v>
      </c>
      <c r="AL25" s="1373">
        <v>99624</v>
      </c>
    </row>
    <row r="26" spans="1:38" ht="13.5">
      <c r="A26" s="1189">
        <v>16</v>
      </c>
      <c r="B26" s="1155" t="s">
        <v>2250</v>
      </c>
      <c r="C26" s="1155"/>
      <c r="D26" s="1182" t="s">
        <v>1278</v>
      </c>
      <c r="E26" s="1182"/>
      <c r="F26" s="1190">
        <f t="shared" si="0"/>
        <v>28045.68</v>
      </c>
      <c r="G26" s="1194"/>
      <c r="H26" s="1190">
        <f t="shared" si="1"/>
        <v>2145</v>
      </c>
      <c r="I26" s="1194"/>
      <c r="J26" s="1190">
        <v>56</v>
      </c>
      <c r="K26" s="1194"/>
      <c r="L26" s="1190">
        <f>IF(F26&gt;8000,8000*0.0458,F26*0.0458)</f>
        <v>366.4</v>
      </c>
      <c r="M26" s="1190" t="s">
        <v>1279</v>
      </c>
      <c r="N26" s="1190">
        <f t="shared" si="2"/>
        <v>2567.4</v>
      </c>
      <c r="O26" s="1194"/>
      <c r="P26" s="1190">
        <f>'wp b1'!I$13</f>
        <v>7481.8509443099274</v>
      </c>
      <c r="Q26" s="1194"/>
      <c r="R26" s="1190">
        <f t="shared" si="3"/>
        <v>841.37040000000002</v>
      </c>
      <c r="S26" s="1194"/>
      <c r="T26" s="1190">
        <f t="shared" si="4"/>
        <v>1121.8271999999999</v>
      </c>
      <c r="U26" s="1194"/>
      <c r="V26" s="1190">
        <f>'wp b1'!I$21</f>
        <v>453.52290556900732</v>
      </c>
      <c r="W26" s="1194"/>
      <c r="X26" s="1190">
        <f t="shared" si="5"/>
        <v>9898.5714498789348</v>
      </c>
      <c r="Y26" s="1194"/>
      <c r="Z26" s="1192">
        <f>13.26*80</f>
        <v>1060.8</v>
      </c>
      <c r="AA26" s="1192"/>
      <c r="AB26" s="1370">
        <v>2080</v>
      </c>
      <c r="AC26" s="1194"/>
      <c r="AD26" s="1370">
        <f t="shared" si="6"/>
        <v>27580.799999999999</v>
      </c>
      <c r="AE26" s="1194"/>
      <c r="AF26" s="1187">
        <v>464.88</v>
      </c>
      <c r="AG26" s="1194"/>
      <c r="AH26" s="936">
        <f t="shared" si="7"/>
        <v>28045.68</v>
      </c>
      <c r="AI26" s="1371"/>
      <c r="AJ26" s="1372">
        <v>25739.360000000001</v>
      </c>
      <c r="AL26" s="1373">
        <v>99644</v>
      </c>
    </row>
    <row r="27" spans="1:38" ht="13.5">
      <c r="A27" s="1189">
        <v>17</v>
      </c>
      <c r="B27" s="1155" t="s">
        <v>2258</v>
      </c>
      <c r="C27" s="1155"/>
      <c r="D27" s="1182" t="s">
        <v>1280</v>
      </c>
      <c r="E27" s="1182"/>
      <c r="F27" s="1190">
        <f t="shared" si="0"/>
        <v>25299.17</v>
      </c>
      <c r="G27" s="1194"/>
      <c r="H27" s="1190">
        <f t="shared" si="1"/>
        <v>1935</v>
      </c>
      <c r="I27" s="1194"/>
      <c r="J27" s="1190">
        <v>56</v>
      </c>
      <c r="K27" s="1194"/>
      <c r="L27" s="1190">
        <f>IF(F27&gt;26900,26900*0.0385,F27*0.0385)</f>
        <v>974.01804499999992</v>
      </c>
      <c r="M27" s="1190" t="s">
        <v>1283</v>
      </c>
      <c r="N27" s="1190">
        <f t="shared" si="2"/>
        <v>2965.0180449999998</v>
      </c>
      <c r="O27" s="1194"/>
      <c r="P27" s="1190">
        <f>'wp b1'!I$13</f>
        <v>7481.8509443099274</v>
      </c>
      <c r="Q27" s="1194"/>
      <c r="R27" s="1190">
        <f t="shared" si="3"/>
        <v>758.97509999999988</v>
      </c>
      <c r="S27" s="1194"/>
      <c r="T27" s="1190">
        <f t="shared" si="4"/>
        <v>1011.9667999999999</v>
      </c>
      <c r="U27" s="1194"/>
      <c r="V27" s="1190">
        <f>'wp b1'!I$21</f>
        <v>453.52290556900732</v>
      </c>
      <c r="W27" s="1194"/>
      <c r="X27" s="1190">
        <f t="shared" si="5"/>
        <v>9706.3157498789351</v>
      </c>
      <c r="Y27" s="1194"/>
      <c r="Z27" s="1192">
        <f>12.02*80</f>
        <v>961.59999999999991</v>
      </c>
      <c r="AA27" s="1192"/>
      <c r="AB27" s="1370">
        <v>2080</v>
      </c>
      <c r="AC27" s="1194"/>
      <c r="AD27" s="1370">
        <f t="shared" si="6"/>
        <v>25001.599999999999</v>
      </c>
      <c r="AE27" s="1194"/>
      <c r="AF27" s="1187">
        <v>297.57</v>
      </c>
      <c r="AG27" s="1194"/>
      <c r="AH27" s="936">
        <f t="shared" si="7"/>
        <v>25299.17</v>
      </c>
      <c r="AI27" s="1371"/>
      <c r="AJ27" s="1372">
        <v>11836.75</v>
      </c>
      <c r="AL27" s="1373">
        <v>99771</v>
      </c>
    </row>
    <row r="28" spans="1:38" ht="13.5">
      <c r="A28" s="1189">
        <v>18</v>
      </c>
      <c r="B28" s="1155" t="s">
        <v>2251</v>
      </c>
      <c r="C28" s="1155"/>
      <c r="D28" s="1182" t="s">
        <v>1278</v>
      </c>
      <c r="E28" s="1182"/>
      <c r="F28" s="1190">
        <f t="shared" si="0"/>
        <v>29031.51</v>
      </c>
      <c r="G28" s="1194"/>
      <c r="H28" s="1190">
        <f t="shared" si="1"/>
        <v>2221</v>
      </c>
      <c r="I28" s="1194"/>
      <c r="J28" s="1190">
        <v>56</v>
      </c>
      <c r="K28" s="1194"/>
      <c r="L28" s="1190">
        <f>IF(F28&gt;8000,8000*0.0458,F28*0.0458)</f>
        <v>366.4</v>
      </c>
      <c r="M28" s="1190" t="s">
        <v>1279</v>
      </c>
      <c r="N28" s="1190">
        <f t="shared" si="2"/>
        <v>2643.4</v>
      </c>
      <c r="O28" s="1194"/>
      <c r="P28" s="1190">
        <f>'wp b1'!I$13</f>
        <v>7481.8509443099274</v>
      </c>
      <c r="Q28" s="1194"/>
      <c r="R28" s="1190">
        <f t="shared" si="3"/>
        <v>870.94529999999997</v>
      </c>
      <c r="S28" s="1194"/>
      <c r="T28" s="1190">
        <f t="shared" si="4"/>
        <v>1161.2603999999999</v>
      </c>
      <c r="U28" s="1194"/>
      <c r="V28" s="1190">
        <f>'wp b1'!I$21</f>
        <v>453.52290556900732</v>
      </c>
      <c r="W28" s="1194"/>
      <c r="X28" s="1190">
        <f t="shared" si="5"/>
        <v>9967.5795498789339</v>
      </c>
      <c r="Y28" s="1194"/>
      <c r="Z28" s="1192">
        <f>13.5*80</f>
        <v>1080</v>
      </c>
      <c r="AA28" s="1192"/>
      <c r="AB28" s="1370">
        <v>2080</v>
      </c>
      <c r="AC28" s="1194"/>
      <c r="AD28" s="1370">
        <f t="shared" si="6"/>
        <v>28080</v>
      </c>
      <c r="AE28" s="1194"/>
      <c r="AF28" s="1187">
        <v>951.51</v>
      </c>
      <c r="AG28" s="1194"/>
      <c r="AH28" s="936">
        <f t="shared" si="7"/>
        <v>29031.51</v>
      </c>
      <c r="AI28" s="1371"/>
      <c r="AJ28" s="1372">
        <v>20687.34</v>
      </c>
      <c r="AL28" s="1373">
        <v>99543</v>
      </c>
    </row>
    <row r="29" spans="1:38" ht="13.5">
      <c r="A29" s="1189">
        <v>19</v>
      </c>
      <c r="B29" s="1155" t="s">
        <v>2312</v>
      </c>
      <c r="C29" s="1155"/>
      <c r="D29" s="1182" t="s">
        <v>1278</v>
      </c>
      <c r="E29" s="1182"/>
      <c r="F29" s="1190">
        <f t="shared" si="0"/>
        <v>25828.460000000003</v>
      </c>
      <c r="G29" s="1194"/>
      <c r="H29" s="1190">
        <f t="shared" si="1"/>
        <v>1976</v>
      </c>
      <c r="I29" s="1194"/>
      <c r="J29" s="1190">
        <v>56</v>
      </c>
      <c r="K29" s="1194"/>
      <c r="L29" s="1190">
        <f>IF(F29&gt;8000,8000*0.0458,F29*0.0458)</f>
        <v>366.4</v>
      </c>
      <c r="M29" s="1190" t="s">
        <v>1279</v>
      </c>
      <c r="N29" s="1190">
        <f t="shared" si="2"/>
        <v>2398.4</v>
      </c>
      <c r="O29" s="1194"/>
      <c r="P29" s="1190">
        <f>'wp b1'!I$13</f>
        <v>7481.8509443099274</v>
      </c>
      <c r="Q29" s="1194"/>
      <c r="R29" s="1190">
        <f t="shared" si="3"/>
        <v>774.85380000000009</v>
      </c>
      <c r="S29" s="1194"/>
      <c r="T29" s="1190">
        <f t="shared" si="4"/>
        <v>1033.1384</v>
      </c>
      <c r="U29" s="1194"/>
      <c r="V29" s="1190">
        <f>'wp b1'!I$21</f>
        <v>453.52290556900732</v>
      </c>
      <c r="W29" s="1194"/>
      <c r="X29" s="1190">
        <f t="shared" si="5"/>
        <v>9743.3660498789341</v>
      </c>
      <c r="Y29" s="1194"/>
      <c r="Z29" s="1192">
        <f>12.32*80</f>
        <v>985.6</v>
      </c>
      <c r="AA29" s="1192"/>
      <c r="AB29" s="1370">
        <v>2080</v>
      </c>
      <c r="AC29" s="1194"/>
      <c r="AD29" s="1370">
        <f t="shared" si="6"/>
        <v>25625.600000000002</v>
      </c>
      <c r="AE29" s="1194"/>
      <c r="AF29" s="1187">
        <v>202.86</v>
      </c>
      <c r="AG29" s="1194"/>
      <c r="AH29" s="936">
        <f t="shared" si="7"/>
        <v>25828.460000000003</v>
      </c>
      <c r="AI29" s="1371"/>
      <c r="AJ29" s="1372">
        <v>7311.19</v>
      </c>
      <c r="AL29" s="1373">
        <v>99926</v>
      </c>
    </row>
    <row r="30" spans="1:38" ht="13.5">
      <c r="A30" s="1193">
        <v>20</v>
      </c>
      <c r="B30" s="1155" t="s">
        <v>2259</v>
      </c>
      <c r="C30" s="1155"/>
      <c r="D30" s="1182" t="s">
        <v>1278</v>
      </c>
      <c r="E30" s="1182"/>
      <c r="F30" s="1190">
        <f t="shared" si="0"/>
        <v>27554.070000000003</v>
      </c>
      <c r="G30" s="1194"/>
      <c r="H30" s="1190">
        <f t="shared" si="1"/>
        <v>2108</v>
      </c>
      <c r="I30" s="1194"/>
      <c r="J30" s="1190">
        <v>56</v>
      </c>
      <c r="K30" s="1194"/>
      <c r="L30" s="1190">
        <f>IF(F30&gt;8000,8000*0.0458,F30*0.0458)</f>
        <v>366.4</v>
      </c>
      <c r="M30" s="1190" t="s">
        <v>1279</v>
      </c>
      <c r="N30" s="1190">
        <f t="shared" si="2"/>
        <v>2530.4</v>
      </c>
      <c r="O30" s="1194"/>
      <c r="P30" s="1190">
        <f>'wp b1'!I$13</f>
        <v>7481.8509443099274</v>
      </c>
      <c r="Q30" s="1194"/>
      <c r="R30" s="1190">
        <f t="shared" si="3"/>
        <v>826.62210000000005</v>
      </c>
      <c r="S30" s="1194"/>
      <c r="T30" s="1190">
        <f t="shared" si="4"/>
        <v>1102.1628000000001</v>
      </c>
      <c r="U30" s="1194"/>
      <c r="V30" s="1190">
        <f>'wp b1'!I$21</f>
        <v>453.52290556900732</v>
      </c>
      <c r="W30" s="1194"/>
      <c r="X30" s="1190">
        <f t="shared" si="5"/>
        <v>9864.158749878934</v>
      </c>
      <c r="Y30" s="1194"/>
      <c r="Z30" s="1192">
        <f>13.08*80</f>
        <v>1046.4000000000001</v>
      </c>
      <c r="AA30" s="1192"/>
      <c r="AB30" s="1370">
        <v>2080</v>
      </c>
      <c r="AC30" s="1194"/>
      <c r="AD30" s="1370">
        <f t="shared" si="6"/>
        <v>27206.400000000005</v>
      </c>
      <c r="AE30" s="1194"/>
      <c r="AF30" s="1187">
        <v>347.67</v>
      </c>
      <c r="AG30" s="1194"/>
      <c r="AH30" s="936">
        <f t="shared" si="7"/>
        <v>27554.070000000003</v>
      </c>
      <c r="AI30" s="1371"/>
      <c r="AJ30" s="1372">
        <v>24702.9</v>
      </c>
      <c r="AL30" s="1373">
        <v>99650</v>
      </c>
    </row>
    <row r="31" spans="1:38" ht="13.5">
      <c r="A31" s="1189">
        <v>21</v>
      </c>
      <c r="B31" s="1155" t="s">
        <v>2252</v>
      </c>
      <c r="C31" s="1155"/>
      <c r="D31" s="1182" t="s">
        <v>1278</v>
      </c>
      <c r="E31" s="1182"/>
      <c r="F31" s="1190">
        <f t="shared" si="0"/>
        <v>48299.040000000001</v>
      </c>
      <c r="G31" s="1194"/>
      <c r="H31" s="1190">
        <f t="shared" si="1"/>
        <v>3695</v>
      </c>
      <c r="I31" s="1194"/>
      <c r="J31" s="1190">
        <v>56</v>
      </c>
      <c r="K31" s="1194"/>
      <c r="L31" s="1190">
        <f>IF(F31&gt;8000,8000*0.0458,F31*0.0458)</f>
        <v>366.4</v>
      </c>
      <c r="M31" s="1190" t="s">
        <v>1279</v>
      </c>
      <c r="N31" s="1190">
        <f t="shared" si="2"/>
        <v>4117.3999999999996</v>
      </c>
      <c r="O31" s="1194"/>
      <c r="P31" s="1190">
        <f>'wp b1'!I$13</f>
        <v>7481.8509443099274</v>
      </c>
      <c r="Q31" s="1194"/>
      <c r="R31" s="1190">
        <f t="shared" si="3"/>
        <v>1448.9712</v>
      </c>
      <c r="S31" s="1194"/>
      <c r="T31" s="1190">
        <f t="shared" si="4"/>
        <v>1931.9616000000001</v>
      </c>
      <c r="U31" s="1194"/>
      <c r="V31" s="1190">
        <f>'wp b1'!I$21</f>
        <v>453.52290556900732</v>
      </c>
      <c r="W31" s="1194"/>
      <c r="X31" s="1190">
        <f t="shared" si="5"/>
        <v>11316.306649878936</v>
      </c>
      <c r="Y31" s="1194"/>
      <c r="Z31" s="1192">
        <v>2012.46</v>
      </c>
      <c r="AA31" s="1192"/>
      <c r="AB31" s="1370">
        <v>86.67</v>
      </c>
      <c r="AC31" s="1194"/>
      <c r="AD31" s="1370">
        <f t="shared" si="6"/>
        <v>48299.040000000001</v>
      </c>
      <c r="AE31" s="1194"/>
      <c r="AF31" s="1187">
        <v>0</v>
      </c>
      <c r="AG31" s="1194"/>
      <c r="AH31" s="936">
        <f t="shared" si="7"/>
        <v>48299.040000000001</v>
      </c>
      <c r="AI31" s="1371"/>
      <c r="AJ31" s="1372">
        <v>42736.01</v>
      </c>
      <c r="AL31" s="1373">
        <v>98717</v>
      </c>
    </row>
    <row r="32" spans="1:38" ht="13.5">
      <c r="A32" s="1189">
        <v>22</v>
      </c>
      <c r="B32" s="1155" t="s">
        <v>2260</v>
      </c>
      <c r="C32" s="1155"/>
      <c r="D32" s="1182" t="s">
        <v>1278</v>
      </c>
      <c r="E32" s="1182"/>
      <c r="F32" s="1190">
        <f t="shared" si="0"/>
        <v>26211.65</v>
      </c>
      <c r="G32" s="1194"/>
      <c r="H32" s="1190">
        <f t="shared" si="1"/>
        <v>2005</v>
      </c>
      <c r="I32" s="1194"/>
      <c r="J32" s="1190">
        <v>56</v>
      </c>
      <c r="K32" s="1194"/>
      <c r="L32" s="1190">
        <f>IF(F32&gt;8000,8000*0.0458,F32*0.0458)</f>
        <v>366.4</v>
      </c>
      <c r="M32" s="1190" t="s">
        <v>1279</v>
      </c>
      <c r="N32" s="1190">
        <f t="shared" si="2"/>
        <v>2427.4</v>
      </c>
      <c r="O32" s="1194"/>
      <c r="P32" s="1190">
        <f>'wp b1'!I$13</f>
        <v>7481.8509443099274</v>
      </c>
      <c r="Q32" s="1194"/>
      <c r="R32" s="1190">
        <f t="shared" si="3"/>
        <v>786.34950000000003</v>
      </c>
      <c r="S32" s="1194"/>
      <c r="T32" s="1190">
        <f t="shared" si="4"/>
        <v>1048.4660000000001</v>
      </c>
      <c r="U32" s="1194"/>
      <c r="V32" s="1190">
        <f>'wp b1'!I$21</f>
        <v>453.52290556900732</v>
      </c>
      <c r="W32" s="1194"/>
      <c r="X32" s="1190">
        <f t="shared" si="5"/>
        <v>9770.1893498789341</v>
      </c>
      <c r="Y32" s="1194"/>
      <c r="Z32" s="1192">
        <f>12.32*80</f>
        <v>985.6</v>
      </c>
      <c r="AA32" s="1192"/>
      <c r="AB32" s="1370">
        <v>2080</v>
      </c>
      <c r="AC32" s="1194"/>
      <c r="AD32" s="1370">
        <f t="shared" si="6"/>
        <v>25625.600000000002</v>
      </c>
      <c r="AE32" s="1194"/>
      <c r="AF32" s="1187">
        <v>586.04999999999995</v>
      </c>
      <c r="AG32" s="1194"/>
      <c r="AH32" s="936">
        <f t="shared" si="7"/>
        <v>26211.65</v>
      </c>
      <c r="AI32" s="1371"/>
      <c r="AJ32" s="1372">
        <v>16511.830000000002</v>
      </c>
      <c r="AL32" s="1373">
        <v>99760</v>
      </c>
    </row>
    <row r="33" spans="1:38" ht="13.5">
      <c r="A33" s="1189">
        <v>23</v>
      </c>
      <c r="B33" s="1155" t="s">
        <v>2253</v>
      </c>
      <c r="C33" s="1155"/>
      <c r="D33" s="1182" t="s">
        <v>1282</v>
      </c>
      <c r="E33" s="1182"/>
      <c r="F33" s="1190">
        <f t="shared" si="0"/>
        <v>35926.29</v>
      </c>
      <c r="G33" s="1194"/>
      <c r="H33" s="1190">
        <f t="shared" si="1"/>
        <v>2748</v>
      </c>
      <c r="I33" s="1194"/>
      <c r="J33" s="1190">
        <v>56</v>
      </c>
      <c r="K33" s="1194"/>
      <c r="L33" s="1190">
        <f>IF(F33&gt;20900,20900*0.042,F33*0.042)</f>
        <v>877.80000000000007</v>
      </c>
      <c r="M33" s="1190" t="s">
        <v>1281</v>
      </c>
      <c r="N33" s="1190">
        <f t="shared" si="2"/>
        <v>3681.8</v>
      </c>
      <c r="O33" s="1194"/>
      <c r="P33" s="1190">
        <f>'wp b1'!I$13</f>
        <v>7481.8509443099274</v>
      </c>
      <c r="Q33" s="1194"/>
      <c r="R33" s="1190">
        <f t="shared" si="3"/>
        <v>1077.7887000000001</v>
      </c>
      <c r="S33" s="1194"/>
      <c r="T33" s="1190">
        <f t="shared" si="4"/>
        <v>1437.0516</v>
      </c>
      <c r="U33" s="1194"/>
      <c r="V33" s="1190">
        <f>'wp b1'!I$21</f>
        <v>453.52290556900732</v>
      </c>
      <c r="W33" s="1194"/>
      <c r="X33" s="1190">
        <f t="shared" si="5"/>
        <v>10450.214149878935</v>
      </c>
      <c r="Y33" s="1194"/>
      <c r="Z33" s="1192">
        <v>1483.75</v>
      </c>
      <c r="AA33" s="1192"/>
      <c r="AB33" s="1370">
        <v>86.67</v>
      </c>
      <c r="AC33" s="1194"/>
      <c r="AD33" s="1370">
        <f t="shared" si="6"/>
        <v>35610</v>
      </c>
      <c r="AE33" s="1194"/>
      <c r="AF33" s="1187">
        <v>316.29000000000002</v>
      </c>
      <c r="AG33" s="1194"/>
      <c r="AH33" s="936">
        <f t="shared" si="7"/>
        <v>35926.29</v>
      </c>
      <c r="AI33" s="1371"/>
      <c r="AJ33" s="1372">
        <v>31947.58</v>
      </c>
      <c r="AL33" s="1373">
        <v>98953</v>
      </c>
    </row>
    <row r="34" spans="1:38" ht="13.5">
      <c r="A34" s="1189">
        <v>24</v>
      </c>
      <c r="B34" s="1155" t="s">
        <v>2313</v>
      </c>
      <c r="C34" s="1155"/>
      <c r="D34" s="1182" t="s">
        <v>1282</v>
      </c>
      <c r="E34" s="1182"/>
      <c r="F34" s="1190">
        <f t="shared" si="0"/>
        <v>31101.05</v>
      </c>
      <c r="G34" s="1194"/>
      <c r="H34" s="1190">
        <f t="shared" si="1"/>
        <v>2379</v>
      </c>
      <c r="I34" s="1194"/>
      <c r="J34" s="1190">
        <v>56</v>
      </c>
      <c r="K34" s="1194"/>
      <c r="L34" s="1190">
        <f>IF(F34&gt;20900,20900*0.042,F34*0.042)</f>
        <v>877.80000000000007</v>
      </c>
      <c r="M34" s="1190" t="s">
        <v>1281</v>
      </c>
      <c r="N34" s="1190">
        <f t="shared" si="2"/>
        <v>3312.8</v>
      </c>
      <c r="O34" s="1194"/>
      <c r="P34" s="1190">
        <f>'wp b1'!I$13</f>
        <v>7481.8509443099274</v>
      </c>
      <c r="Q34" s="1194"/>
      <c r="R34" s="1190">
        <f t="shared" si="3"/>
        <v>933.03149999999994</v>
      </c>
      <c r="S34" s="1194"/>
      <c r="T34" s="1190">
        <f t="shared" si="4"/>
        <v>1244.0419999999999</v>
      </c>
      <c r="U34" s="1194"/>
      <c r="V34" s="1190">
        <f>'wp b1'!I$21</f>
        <v>453.52290556900732</v>
      </c>
      <c r="W34" s="1194"/>
      <c r="X34" s="1190">
        <f t="shared" si="5"/>
        <v>10112.447349878934</v>
      </c>
      <c r="Y34" s="1194"/>
      <c r="Z34" s="1192">
        <f>14.9*80</f>
        <v>1192</v>
      </c>
      <c r="AA34" s="1192"/>
      <c r="AB34" s="1370">
        <v>2080</v>
      </c>
      <c r="AC34" s="1194"/>
      <c r="AD34" s="1370">
        <f t="shared" si="6"/>
        <v>30992</v>
      </c>
      <c r="AE34" s="1194"/>
      <c r="AF34" s="1187">
        <v>109.05000000000001</v>
      </c>
      <c r="AG34" s="1194"/>
      <c r="AH34" s="936">
        <f t="shared" si="7"/>
        <v>31101.05</v>
      </c>
      <c r="AI34" s="1371"/>
      <c r="AJ34" s="1372">
        <v>26565.48</v>
      </c>
      <c r="AL34" s="1373">
        <v>99290</v>
      </c>
    </row>
    <row r="35" spans="1:38" ht="13.5">
      <c r="A35" s="1189">
        <v>25</v>
      </c>
      <c r="B35" s="1155" t="s">
        <v>2314</v>
      </c>
      <c r="C35" s="1155"/>
      <c r="D35" s="1182" t="s">
        <v>1278</v>
      </c>
      <c r="E35" s="1182"/>
      <c r="F35" s="1190">
        <f t="shared" si="0"/>
        <v>25480</v>
      </c>
      <c r="G35" s="1194"/>
      <c r="H35" s="1190">
        <f t="shared" si="1"/>
        <v>1949</v>
      </c>
      <c r="I35" s="1194"/>
      <c r="J35" s="1190">
        <v>56</v>
      </c>
      <c r="K35" s="1194"/>
      <c r="L35" s="1190">
        <f>IF(F35&gt;8000,8000*0.0458,F35*0.0458)</f>
        <v>366.4</v>
      </c>
      <c r="M35" s="1190" t="s">
        <v>1279</v>
      </c>
      <c r="N35" s="1190">
        <f t="shared" si="2"/>
        <v>2371.4</v>
      </c>
      <c r="O35" s="1194"/>
      <c r="P35" s="1190">
        <f>'wp b1'!I$13</f>
        <v>7481.8509443099274</v>
      </c>
      <c r="Q35" s="1194"/>
      <c r="R35" s="1190">
        <f t="shared" si="3"/>
        <v>764.4</v>
      </c>
      <c r="S35" s="1194"/>
      <c r="T35" s="1190">
        <f t="shared" si="4"/>
        <v>1019.2</v>
      </c>
      <c r="U35" s="1194"/>
      <c r="V35" s="1190">
        <f>'wp b1'!I$21</f>
        <v>453.52290556900732</v>
      </c>
      <c r="W35" s="1194"/>
      <c r="X35" s="1190">
        <f t="shared" si="5"/>
        <v>9718.9738498789357</v>
      </c>
      <c r="Y35" s="1194"/>
      <c r="Z35" s="1192">
        <f>12.25*80</f>
        <v>980</v>
      </c>
      <c r="AA35" s="1192"/>
      <c r="AB35" s="1370">
        <v>2080</v>
      </c>
      <c r="AC35" s="1194"/>
      <c r="AD35" s="1370">
        <f t="shared" si="6"/>
        <v>25480</v>
      </c>
      <c r="AE35" s="1194"/>
      <c r="AF35" s="1187">
        <v>0</v>
      </c>
      <c r="AG35" s="1194"/>
      <c r="AH35" s="936">
        <f t="shared" si="7"/>
        <v>25480</v>
      </c>
      <c r="AI35" s="1371"/>
      <c r="AJ35" s="1372">
        <v>0</v>
      </c>
      <c r="AL35" s="1373">
        <v>99979</v>
      </c>
    </row>
    <row r="36" spans="1:38" ht="13.5">
      <c r="A36" s="1189">
        <v>26</v>
      </c>
      <c r="B36" s="1155" t="s">
        <v>2254</v>
      </c>
      <c r="C36" s="1155"/>
      <c r="D36" s="1182" t="s">
        <v>1278</v>
      </c>
      <c r="E36" s="1182"/>
      <c r="F36" s="1190">
        <f t="shared" si="0"/>
        <v>100338.72</v>
      </c>
      <c r="G36" s="1194"/>
      <c r="H36" s="1190">
        <f t="shared" si="1"/>
        <v>7676</v>
      </c>
      <c r="I36" s="1194"/>
      <c r="J36" s="1190">
        <v>56</v>
      </c>
      <c r="K36" s="1194"/>
      <c r="L36" s="1190">
        <f>IF(F36&gt;8000,8000*0.0458,F36*0.0458)</f>
        <v>366.4</v>
      </c>
      <c r="M36" s="1190" t="s">
        <v>1279</v>
      </c>
      <c r="N36" s="1190">
        <f t="shared" si="2"/>
        <v>8098.4</v>
      </c>
      <c r="O36" s="1194"/>
      <c r="P36" s="1190">
        <f>'wp b1'!I$13</f>
        <v>7481.8509443099274</v>
      </c>
      <c r="Q36" s="1194"/>
      <c r="R36" s="1190">
        <f t="shared" si="3"/>
        <v>3010.1615999999999</v>
      </c>
      <c r="S36" s="1194"/>
      <c r="T36" s="1190">
        <f t="shared" si="4"/>
        <v>4013.5488</v>
      </c>
      <c r="U36" s="1194"/>
      <c r="V36" s="1190">
        <f>'wp b1'!I$21</f>
        <v>453.52290556900732</v>
      </c>
      <c r="W36" s="1194"/>
      <c r="X36" s="1190">
        <f t="shared" si="5"/>
        <v>14959.084249878935</v>
      </c>
      <c r="Y36" s="1194"/>
      <c r="Z36" s="1192">
        <v>4180.78</v>
      </c>
      <c r="AA36" s="1192"/>
      <c r="AB36" s="1370">
        <v>86.67</v>
      </c>
      <c r="AC36" s="1194"/>
      <c r="AD36" s="1370">
        <f t="shared" si="6"/>
        <v>100338.72</v>
      </c>
      <c r="AE36" s="1194"/>
      <c r="AF36" s="1187">
        <v>0</v>
      </c>
      <c r="AG36" s="1194"/>
      <c r="AH36" s="936">
        <f t="shared" si="7"/>
        <v>100338.72</v>
      </c>
      <c r="AI36" s="1371"/>
      <c r="AJ36" s="1372">
        <v>182379.1</v>
      </c>
      <c r="AL36" s="1373">
        <v>99714</v>
      </c>
    </row>
    <row r="37" spans="1:38" ht="13.5">
      <c r="A37" s="1189">
        <v>27</v>
      </c>
      <c r="B37" s="1155" t="s">
        <v>2315</v>
      </c>
      <c r="C37" s="1155"/>
      <c r="D37" s="1182" t="s">
        <v>1278</v>
      </c>
      <c r="E37" s="1182"/>
      <c r="F37" s="1190">
        <f t="shared" si="0"/>
        <v>58240.08</v>
      </c>
      <c r="G37" s="1194"/>
      <c r="H37" s="1190">
        <f t="shared" si="1"/>
        <v>4455</v>
      </c>
      <c r="I37" s="1194"/>
      <c r="J37" s="1190">
        <v>56</v>
      </c>
      <c r="K37" s="1194"/>
      <c r="L37" s="1190">
        <f>IF(F37&gt;8000,8000*0.0458,F37*0.0458)</f>
        <v>366.4</v>
      </c>
      <c r="M37" s="1190" t="s">
        <v>1279</v>
      </c>
      <c r="N37" s="1190">
        <f t="shared" si="2"/>
        <v>4877.3999999999996</v>
      </c>
      <c r="O37" s="1194"/>
      <c r="P37" s="1190">
        <f>'wp b1'!I$13</f>
        <v>7481.8509443099274</v>
      </c>
      <c r="Q37" s="1194"/>
      <c r="R37" s="1190">
        <f t="shared" si="3"/>
        <v>1747.2023999999999</v>
      </c>
      <c r="S37" s="1194"/>
      <c r="T37" s="1190">
        <f t="shared" si="4"/>
        <v>2329.6032</v>
      </c>
      <c r="U37" s="1194"/>
      <c r="V37" s="1190">
        <f>'wp b1'!I$21</f>
        <v>453.52290556900732</v>
      </c>
      <c r="W37" s="1194"/>
      <c r="X37" s="1190">
        <f t="shared" si="5"/>
        <v>12012.179449878933</v>
      </c>
      <c r="Y37" s="1194"/>
      <c r="Z37" s="1192">
        <v>2426.67</v>
      </c>
      <c r="AA37" s="1192"/>
      <c r="AB37" s="1370">
        <v>86.67</v>
      </c>
      <c r="AC37" s="1194"/>
      <c r="AD37" s="1370">
        <f t="shared" si="6"/>
        <v>58240.08</v>
      </c>
      <c r="AE37" s="1194"/>
      <c r="AF37" s="1187">
        <v>0</v>
      </c>
      <c r="AG37" s="1194"/>
      <c r="AH37" s="936">
        <f t="shared" si="7"/>
        <v>58240.08</v>
      </c>
      <c r="AI37" s="1371"/>
      <c r="AJ37" s="1372">
        <v>27659.01</v>
      </c>
      <c r="AL37" s="1373">
        <v>99708</v>
      </c>
    </row>
    <row r="38" spans="1:38" ht="13.5">
      <c r="A38" s="1193">
        <v>28</v>
      </c>
      <c r="B38" s="1155" t="s">
        <v>2255</v>
      </c>
      <c r="C38" s="1155"/>
      <c r="D38" s="1182" t="s">
        <v>1282</v>
      </c>
      <c r="E38" s="1182"/>
      <c r="F38" s="1190">
        <f t="shared" si="0"/>
        <v>46170.96</v>
      </c>
      <c r="G38" s="1194"/>
      <c r="H38" s="1190">
        <f t="shared" si="1"/>
        <v>3532</v>
      </c>
      <c r="I38" s="1194"/>
      <c r="J38" s="1190">
        <v>56</v>
      </c>
      <c r="K38" s="1194"/>
      <c r="L38" s="1190">
        <f>IF(F38&gt;20900,20900*0.042,F38*0.042)</f>
        <v>877.80000000000007</v>
      </c>
      <c r="M38" s="1190" t="s">
        <v>1281</v>
      </c>
      <c r="N38" s="1190">
        <f t="shared" si="2"/>
        <v>4465.8</v>
      </c>
      <c r="O38" s="1194"/>
      <c r="P38" s="1190">
        <f>'wp b1'!I$13</f>
        <v>7481.8509443099274</v>
      </c>
      <c r="Q38" s="1194"/>
      <c r="R38" s="1190">
        <f t="shared" si="3"/>
        <v>1385.1288</v>
      </c>
      <c r="S38" s="1194"/>
      <c r="T38" s="1190">
        <f t="shared" si="4"/>
        <v>1846.8384000000001</v>
      </c>
      <c r="U38" s="1194"/>
      <c r="V38" s="1190">
        <f>'wp b1'!I$21</f>
        <v>453.52290556900732</v>
      </c>
      <c r="W38" s="1194"/>
      <c r="X38" s="1190">
        <f t="shared" si="5"/>
        <v>11167.341049878934</v>
      </c>
      <c r="Y38" s="1194"/>
      <c r="Z38" s="1192">
        <v>1923.79</v>
      </c>
      <c r="AA38" s="1192"/>
      <c r="AB38" s="1370">
        <v>86.67</v>
      </c>
      <c r="AC38" s="1194"/>
      <c r="AD38" s="1370">
        <f t="shared" si="6"/>
        <v>46170.96</v>
      </c>
      <c r="AE38" s="1194"/>
      <c r="AF38" s="1187">
        <v>0</v>
      </c>
      <c r="AG38" s="1194"/>
      <c r="AH38" s="936">
        <f t="shared" si="7"/>
        <v>46170.96</v>
      </c>
      <c r="AI38" s="1371"/>
      <c r="AJ38" s="1372">
        <v>40415.18</v>
      </c>
      <c r="AL38" s="1373">
        <v>98875</v>
      </c>
    </row>
    <row r="39" spans="1:38" ht="13.5">
      <c r="A39" s="1189">
        <v>29</v>
      </c>
      <c r="B39" s="1155" t="s">
        <v>2261</v>
      </c>
      <c r="C39" s="1155"/>
      <c r="D39" s="1182" t="s">
        <v>1282</v>
      </c>
      <c r="E39" s="1182"/>
      <c r="F39" s="1190">
        <f t="shared" si="0"/>
        <v>26038.880000000001</v>
      </c>
      <c r="G39" s="1194"/>
      <c r="H39" s="1190">
        <f t="shared" si="1"/>
        <v>1992</v>
      </c>
      <c r="I39" s="1194"/>
      <c r="J39" s="1190">
        <v>56</v>
      </c>
      <c r="K39" s="1194"/>
      <c r="L39" s="1190">
        <f>IF(F39&gt;20900,20900*0.042,F39*0.042)</f>
        <v>877.80000000000007</v>
      </c>
      <c r="M39" s="1190" t="s">
        <v>1281</v>
      </c>
      <c r="N39" s="1190">
        <f t="shared" si="2"/>
        <v>2925.8</v>
      </c>
      <c r="O39" s="1194"/>
      <c r="P39" s="1190">
        <f>'wp b1'!I$13</f>
        <v>7481.8509443099274</v>
      </c>
      <c r="Q39" s="1194"/>
      <c r="R39" s="1190">
        <f t="shared" si="3"/>
        <v>781.16639999999995</v>
      </c>
      <c r="S39" s="1194"/>
      <c r="T39" s="1190">
        <f t="shared" si="4"/>
        <v>1041.5552</v>
      </c>
      <c r="U39" s="1194"/>
      <c r="V39" s="1190">
        <f>'wp b1'!I$21</f>
        <v>453.52290556900732</v>
      </c>
      <c r="W39" s="1194"/>
      <c r="X39" s="1190">
        <f t="shared" si="5"/>
        <v>9758.0954498789342</v>
      </c>
      <c r="Y39" s="1194"/>
      <c r="Z39" s="1192">
        <f>12.38*80</f>
        <v>990.40000000000009</v>
      </c>
      <c r="AA39" s="1192"/>
      <c r="AB39" s="1370">
        <v>2080</v>
      </c>
      <c r="AC39" s="1194"/>
      <c r="AD39" s="1370">
        <f t="shared" si="6"/>
        <v>25750.400000000001</v>
      </c>
      <c r="AE39" s="1194"/>
      <c r="AF39" s="1187">
        <v>288.48</v>
      </c>
      <c r="AG39" s="1194"/>
      <c r="AH39" s="936">
        <f t="shared" si="7"/>
        <v>26038.880000000001</v>
      </c>
      <c r="AI39" s="1371"/>
      <c r="AJ39" s="1372">
        <v>3417.52</v>
      </c>
      <c r="AL39" s="1373">
        <v>99950</v>
      </c>
    </row>
    <row r="40" spans="1:38" ht="13.5">
      <c r="A40" s="1189">
        <v>30</v>
      </c>
      <c r="B40" s="1155" t="s">
        <v>2256</v>
      </c>
      <c r="C40" s="1155"/>
      <c r="D40" s="1182" t="s">
        <v>1278</v>
      </c>
      <c r="E40" s="1182"/>
      <c r="F40" s="1190">
        <f t="shared" si="0"/>
        <v>34777.599999999999</v>
      </c>
      <c r="G40" s="1194"/>
      <c r="H40" s="1190">
        <f t="shared" si="1"/>
        <v>2660</v>
      </c>
      <c r="I40" s="1194"/>
      <c r="J40" s="1190">
        <v>56</v>
      </c>
      <c r="K40" s="1194"/>
      <c r="L40" s="1190">
        <f>IF(F40&gt;8000,8000*0.0458,F40*0.0458)</f>
        <v>366.4</v>
      </c>
      <c r="M40" s="1190" t="s">
        <v>1279</v>
      </c>
      <c r="N40" s="1190">
        <f t="shared" si="2"/>
        <v>3082.4</v>
      </c>
      <c r="O40" s="1194"/>
      <c r="P40" s="1190">
        <f>'wp b1'!I$13</f>
        <v>7481.8509443099274</v>
      </c>
      <c r="Q40" s="1194"/>
      <c r="R40" s="1190">
        <f t="shared" si="3"/>
        <v>1043.328</v>
      </c>
      <c r="S40" s="1194"/>
      <c r="T40" s="1190">
        <f t="shared" si="4"/>
        <v>1391.104</v>
      </c>
      <c r="U40" s="1194"/>
      <c r="V40" s="1190">
        <f>'wp b1'!I$21</f>
        <v>453.52290556900732</v>
      </c>
      <c r="W40" s="1194"/>
      <c r="X40" s="1190">
        <f t="shared" si="5"/>
        <v>10369.805849878934</v>
      </c>
      <c r="Y40" s="1194"/>
      <c r="Z40" s="1192">
        <f>16.72*80</f>
        <v>1337.6</v>
      </c>
      <c r="AA40" s="1192"/>
      <c r="AB40" s="1370">
        <v>2080</v>
      </c>
      <c r="AC40" s="1194"/>
      <c r="AD40" s="1370">
        <f t="shared" si="6"/>
        <v>34777.599999999999</v>
      </c>
      <c r="AE40" s="1194"/>
      <c r="AF40" s="1187">
        <v>0</v>
      </c>
      <c r="AG40" s="1194"/>
      <c r="AH40" s="936">
        <f t="shared" si="7"/>
        <v>34777.599999999999</v>
      </c>
      <c r="AI40" s="1371"/>
      <c r="AJ40" s="1372">
        <v>30930.62</v>
      </c>
      <c r="AL40" s="1373">
        <v>98989</v>
      </c>
    </row>
    <row r="41" spans="1:38" ht="13.5">
      <c r="A41" s="1189">
        <v>31</v>
      </c>
      <c r="B41" s="1155" t="s">
        <v>2257</v>
      </c>
      <c r="C41" s="1155"/>
      <c r="D41" s="1182" t="s">
        <v>1282</v>
      </c>
      <c r="E41" s="1182"/>
      <c r="F41" s="1190">
        <f t="shared" si="0"/>
        <v>35292.170000000006</v>
      </c>
      <c r="G41" s="1194"/>
      <c r="H41" s="1190">
        <f t="shared" si="1"/>
        <v>2700</v>
      </c>
      <c r="I41" s="1194"/>
      <c r="J41" s="1190">
        <v>56</v>
      </c>
      <c r="K41" s="1194"/>
      <c r="L41" s="1190">
        <f>IF(F41&gt;20900,20900*0.042,F41*0.042)</f>
        <v>877.80000000000007</v>
      </c>
      <c r="M41" s="1190" t="s">
        <v>1281</v>
      </c>
      <c r="N41" s="1190">
        <f t="shared" si="2"/>
        <v>3633.8</v>
      </c>
      <c r="O41" s="1194"/>
      <c r="P41" s="1190">
        <f>'wp b1'!I$13</f>
        <v>7481.8509443099274</v>
      </c>
      <c r="Q41" s="1194"/>
      <c r="R41" s="1190">
        <f t="shared" si="3"/>
        <v>1058.7651000000001</v>
      </c>
      <c r="S41" s="1194"/>
      <c r="T41" s="1190">
        <f t="shared" si="4"/>
        <v>1411.6868000000002</v>
      </c>
      <c r="U41" s="1194"/>
      <c r="V41" s="1190">
        <f>'wp b1'!I$21</f>
        <v>453.52290556900732</v>
      </c>
      <c r="W41" s="1194"/>
      <c r="X41" s="1190">
        <f t="shared" si="5"/>
        <v>10405.825749878933</v>
      </c>
      <c r="Y41" s="1194"/>
      <c r="Z41" s="1192">
        <f>16.91*80</f>
        <v>1352.8</v>
      </c>
      <c r="AA41" s="1192"/>
      <c r="AB41" s="1370">
        <v>2080</v>
      </c>
      <c r="AC41" s="1194"/>
      <c r="AD41" s="1370">
        <f t="shared" si="6"/>
        <v>35172.800000000003</v>
      </c>
      <c r="AE41" s="1194"/>
      <c r="AF41" s="1187">
        <v>119.37</v>
      </c>
      <c r="AG41" s="1194"/>
      <c r="AH41" s="936">
        <f t="shared" si="7"/>
        <v>35292.170000000006</v>
      </c>
      <c r="AI41" s="1371"/>
      <c r="AJ41" s="1372">
        <v>29074.38</v>
      </c>
      <c r="AL41" s="1373">
        <v>99039</v>
      </c>
    </row>
    <row r="42" spans="1:38" ht="13.5">
      <c r="A42" s="1189">
        <v>32</v>
      </c>
      <c r="B42" s="1155" t="s">
        <v>2262</v>
      </c>
      <c r="C42" s="1155"/>
      <c r="D42" s="1182" t="s">
        <v>1278</v>
      </c>
      <c r="E42" s="1182"/>
      <c r="F42" s="1190">
        <f t="shared" si="0"/>
        <v>26572.899999999998</v>
      </c>
      <c r="G42" s="1194"/>
      <c r="H42" s="1190">
        <f t="shared" si="1"/>
        <v>2033</v>
      </c>
      <c r="I42" s="1194"/>
      <c r="J42" s="1190">
        <v>56</v>
      </c>
      <c r="K42" s="1194"/>
      <c r="L42" s="1190">
        <f>IF(F42&gt;8000,8000*0.0458,F42*0.0458)</f>
        <v>366.4</v>
      </c>
      <c r="M42" s="1190" t="s">
        <v>1279</v>
      </c>
      <c r="N42" s="1190">
        <f t="shared" si="2"/>
        <v>2455.4</v>
      </c>
      <c r="O42" s="1194"/>
      <c r="P42" s="1190">
        <f>'wp b1'!I$13</f>
        <v>7481.8509443099274</v>
      </c>
      <c r="Q42" s="1194"/>
      <c r="R42" s="1190">
        <f t="shared" si="3"/>
        <v>797.1869999999999</v>
      </c>
      <c r="S42" s="1194"/>
      <c r="T42" s="1190">
        <f t="shared" si="4"/>
        <v>1062.9159999999999</v>
      </c>
      <c r="U42" s="1194"/>
      <c r="V42" s="1190">
        <f>'wp b1'!I$21</f>
        <v>453.52290556900732</v>
      </c>
      <c r="W42" s="1194"/>
      <c r="X42" s="1190">
        <f t="shared" si="5"/>
        <v>9795.4768498789326</v>
      </c>
      <c r="Y42" s="1194"/>
      <c r="Z42" s="1192">
        <f>12.67*80</f>
        <v>1013.6</v>
      </c>
      <c r="AA42" s="1192"/>
      <c r="AB42" s="1370">
        <v>2080</v>
      </c>
      <c r="AC42" s="1191"/>
      <c r="AD42" s="1370">
        <f t="shared" si="6"/>
        <v>26353.599999999999</v>
      </c>
      <c r="AE42" s="936"/>
      <c r="AF42" s="1187">
        <v>219.29999999999998</v>
      </c>
      <c r="AG42" s="936"/>
      <c r="AH42" s="936">
        <f t="shared" si="7"/>
        <v>26572.899999999998</v>
      </c>
      <c r="AI42" s="1371"/>
      <c r="AJ42" s="1372">
        <v>19947.88</v>
      </c>
      <c r="AL42" s="1373">
        <v>99709</v>
      </c>
    </row>
    <row r="43" spans="1:38" ht="13.5">
      <c r="A43" s="1189">
        <v>33</v>
      </c>
      <c r="B43" s="1155" t="s">
        <v>2316</v>
      </c>
      <c r="C43" s="1155"/>
      <c r="D43" s="1182" t="s">
        <v>1278</v>
      </c>
      <c r="E43" s="1182"/>
      <c r="F43" s="1190">
        <f t="shared" si="0"/>
        <v>25500.799999999999</v>
      </c>
      <c r="G43" s="1190"/>
      <c r="H43" s="1190">
        <f t="shared" si="1"/>
        <v>1951</v>
      </c>
      <c r="I43" s="1190"/>
      <c r="J43" s="1190">
        <v>56</v>
      </c>
      <c r="K43" s="1190"/>
      <c r="L43" s="1190">
        <f>IF(F43&gt;8000,8000*0.0458,F43*0.0458)</f>
        <v>366.4</v>
      </c>
      <c r="M43" s="1190" t="s">
        <v>1279</v>
      </c>
      <c r="N43" s="1190">
        <f t="shared" si="2"/>
        <v>2373.4</v>
      </c>
      <c r="O43" s="1190"/>
      <c r="P43" s="1190">
        <f>'wp b1'!I$13</f>
        <v>7481.8509443099274</v>
      </c>
      <c r="Q43" s="1190"/>
      <c r="R43" s="1190">
        <f t="shared" si="3"/>
        <v>765.024</v>
      </c>
      <c r="S43" s="1190"/>
      <c r="T43" s="1190">
        <f t="shared" si="4"/>
        <v>1020.032</v>
      </c>
      <c r="U43" s="1190"/>
      <c r="V43" s="1190">
        <f>'wp b1'!I$21</f>
        <v>453.52290556900732</v>
      </c>
      <c r="W43" s="1190"/>
      <c r="X43" s="1190">
        <f t="shared" si="5"/>
        <v>9720.429849878934</v>
      </c>
      <c r="Y43" s="1191"/>
      <c r="Z43" s="1192">
        <f>12.26*80</f>
        <v>980.8</v>
      </c>
      <c r="AA43" s="1192"/>
      <c r="AB43" s="1370">
        <v>2080</v>
      </c>
      <c r="AC43" s="1194"/>
      <c r="AD43" s="1370">
        <f t="shared" si="6"/>
        <v>25500.799999999999</v>
      </c>
      <c r="AE43" s="1194"/>
      <c r="AF43" s="1187">
        <v>0</v>
      </c>
      <c r="AG43" s="1194"/>
      <c r="AH43" s="936">
        <f t="shared" si="7"/>
        <v>25500.799999999999</v>
      </c>
      <c r="AI43" s="1371"/>
      <c r="AJ43" s="1372">
        <v>0</v>
      </c>
      <c r="AL43" s="1376">
        <v>99965</v>
      </c>
    </row>
    <row r="44" spans="1:38" ht="13.5">
      <c r="A44" s="1189">
        <v>34</v>
      </c>
      <c r="B44" s="1155" t="s">
        <v>2263</v>
      </c>
      <c r="C44" s="1155"/>
      <c r="D44" s="1182" t="s">
        <v>1280</v>
      </c>
      <c r="E44" s="1182"/>
      <c r="F44" s="1190">
        <f t="shared" si="0"/>
        <v>33586.800000000003</v>
      </c>
      <c r="G44" s="1194"/>
      <c r="H44" s="1190">
        <f t="shared" si="1"/>
        <v>2569</v>
      </c>
      <c r="I44" s="1194"/>
      <c r="J44" s="1190">
        <v>56</v>
      </c>
      <c r="K44" s="1194"/>
      <c r="L44" s="1190">
        <f>IF(F44&gt;26900,26900*0.0385,F44*0.0385)</f>
        <v>1035.6500000000001</v>
      </c>
      <c r="M44" s="1190" t="s">
        <v>1283</v>
      </c>
      <c r="N44" s="1190">
        <f t="shared" si="2"/>
        <v>3660.65</v>
      </c>
      <c r="O44" s="1194"/>
      <c r="P44" s="1190">
        <f>'wp b1'!I$13</f>
        <v>7481.8509443099274</v>
      </c>
      <c r="Q44" s="1194"/>
      <c r="R44" s="1190">
        <f t="shared" si="3"/>
        <v>1007.604</v>
      </c>
      <c r="S44" s="1194"/>
      <c r="T44" s="1190">
        <f t="shared" si="4"/>
        <v>1343.4720000000002</v>
      </c>
      <c r="U44" s="1194"/>
      <c r="V44" s="1190">
        <f>'wp b1'!I$21</f>
        <v>453.52290556900732</v>
      </c>
      <c r="W44" s="1194"/>
      <c r="X44" s="1190">
        <f t="shared" si="5"/>
        <v>10286.449849878934</v>
      </c>
      <c r="Y44" s="1194"/>
      <c r="Z44" s="1192">
        <v>1399.45</v>
      </c>
      <c r="AA44" s="1192"/>
      <c r="AB44" s="1370">
        <v>86.67</v>
      </c>
      <c r="AC44" s="1194"/>
      <c r="AD44" s="1370">
        <f t="shared" si="6"/>
        <v>33586.800000000003</v>
      </c>
      <c r="AE44" s="1194"/>
      <c r="AF44" s="1187">
        <v>0</v>
      </c>
      <c r="AG44" s="1194"/>
      <c r="AH44" s="936">
        <f t="shared" si="7"/>
        <v>33586.800000000003</v>
      </c>
      <c r="AI44" s="1371"/>
      <c r="AJ44" s="1372">
        <v>31173.84</v>
      </c>
      <c r="AL44" s="1373">
        <v>99585</v>
      </c>
    </row>
    <row r="45" spans="1:38" ht="13.5">
      <c r="A45" s="1193">
        <v>35</v>
      </c>
      <c r="B45" s="1155" t="s">
        <v>2264</v>
      </c>
      <c r="C45" s="1155"/>
      <c r="D45" s="1182" t="s">
        <v>1278</v>
      </c>
      <c r="E45" s="1182"/>
      <c r="F45" s="1190">
        <f t="shared" si="0"/>
        <v>26550.210000000003</v>
      </c>
      <c r="G45" s="1194"/>
      <c r="H45" s="1190">
        <f t="shared" si="1"/>
        <v>2031</v>
      </c>
      <c r="I45" s="1194"/>
      <c r="J45" s="1190">
        <v>56</v>
      </c>
      <c r="K45" s="1194"/>
      <c r="L45" s="1190">
        <f>IF(F45&gt;8000,8000*0.0458,F45*0.0458)</f>
        <v>366.4</v>
      </c>
      <c r="M45" s="1190" t="s">
        <v>1279</v>
      </c>
      <c r="N45" s="1190">
        <f t="shared" si="2"/>
        <v>2453.4</v>
      </c>
      <c r="O45" s="1194"/>
      <c r="P45" s="1190">
        <f>'wp b1'!I$13</f>
        <v>7481.8509443099274</v>
      </c>
      <c r="Q45" s="1194"/>
      <c r="R45" s="1190">
        <f t="shared" si="3"/>
        <v>796.50630000000001</v>
      </c>
      <c r="S45" s="1194"/>
      <c r="T45" s="1190">
        <f t="shared" si="4"/>
        <v>1062.0084000000002</v>
      </c>
      <c r="U45" s="1194"/>
      <c r="V45" s="1190">
        <f>'wp b1'!I$21</f>
        <v>453.52290556900732</v>
      </c>
      <c r="W45" s="1194"/>
      <c r="X45" s="1190">
        <f t="shared" si="5"/>
        <v>9793.888549878935</v>
      </c>
      <c r="Y45" s="1194"/>
      <c r="Z45" s="1192">
        <f>12.57*80</f>
        <v>1005.6</v>
      </c>
      <c r="AA45" s="1192"/>
      <c r="AB45" s="1370">
        <v>2080</v>
      </c>
      <c r="AC45" s="1194"/>
      <c r="AD45" s="1370">
        <f t="shared" si="6"/>
        <v>26145.600000000002</v>
      </c>
      <c r="AE45" s="1194"/>
      <c r="AF45" s="1187">
        <v>404.61</v>
      </c>
      <c r="AG45" s="1194"/>
      <c r="AH45" s="936">
        <f t="shared" si="7"/>
        <v>26550.210000000003</v>
      </c>
      <c r="AI45" s="1371"/>
      <c r="AJ45" s="1372">
        <v>24685.46</v>
      </c>
      <c r="AL45" s="1373">
        <v>99654</v>
      </c>
    </row>
    <row r="46" spans="1:38" ht="13.5">
      <c r="A46" s="1189">
        <v>36</v>
      </c>
      <c r="B46" s="1155" t="s">
        <v>2317</v>
      </c>
      <c r="C46" s="1155"/>
      <c r="D46" s="1182" t="s">
        <v>1282</v>
      </c>
      <c r="E46" s="1182"/>
      <c r="F46" s="1190">
        <f t="shared" si="0"/>
        <v>25675.190000000002</v>
      </c>
      <c r="G46" s="1194"/>
      <c r="H46" s="1190">
        <f t="shared" si="1"/>
        <v>1964</v>
      </c>
      <c r="I46" s="1194"/>
      <c r="J46" s="1190">
        <v>56</v>
      </c>
      <c r="K46" s="1194"/>
      <c r="L46" s="1190">
        <f>IF(F46&gt;20900,20900*0.042,F46*0.042)</f>
        <v>877.80000000000007</v>
      </c>
      <c r="M46" s="1190" t="s">
        <v>1281</v>
      </c>
      <c r="N46" s="1190">
        <f t="shared" si="2"/>
        <v>2897.8</v>
      </c>
      <c r="O46" s="1194"/>
      <c r="P46" s="1190">
        <f>'wp b1'!I$13</f>
        <v>7481.8509443099274</v>
      </c>
      <c r="Q46" s="1194"/>
      <c r="R46" s="1190">
        <f t="shared" si="3"/>
        <v>770.25570000000005</v>
      </c>
      <c r="S46" s="1194"/>
      <c r="T46" s="1190">
        <f t="shared" si="4"/>
        <v>1027.0076000000001</v>
      </c>
      <c r="U46" s="1194"/>
      <c r="V46" s="1190">
        <f>'wp b1'!I$21</f>
        <v>453.52290556900732</v>
      </c>
      <c r="W46" s="1194"/>
      <c r="X46" s="1190">
        <f t="shared" si="5"/>
        <v>9732.6371498789358</v>
      </c>
      <c r="Y46" s="1194"/>
      <c r="Z46" s="1192">
        <f>12.32*80</f>
        <v>985.6</v>
      </c>
      <c r="AA46" s="1192"/>
      <c r="AB46" s="1370">
        <v>2080</v>
      </c>
      <c r="AC46" s="1191"/>
      <c r="AD46" s="1370">
        <f t="shared" si="6"/>
        <v>25625.600000000002</v>
      </c>
      <c r="AE46" s="936"/>
      <c r="AF46" s="1187">
        <v>49.59</v>
      </c>
      <c r="AG46" s="936"/>
      <c r="AH46" s="936">
        <f t="shared" si="7"/>
        <v>25675.190000000002</v>
      </c>
      <c r="AI46" s="1371"/>
      <c r="AJ46" s="1372">
        <v>21794.03</v>
      </c>
      <c r="AL46" s="1373">
        <v>99707</v>
      </c>
    </row>
    <row r="47" spans="1:38" ht="13.5">
      <c r="A47" s="1189">
        <v>37</v>
      </c>
      <c r="B47" s="1155" t="s">
        <v>2265</v>
      </c>
      <c r="C47" s="1155"/>
      <c r="D47" s="1182" t="s">
        <v>1278</v>
      </c>
      <c r="E47" s="1182"/>
      <c r="F47" s="1190">
        <f t="shared" si="0"/>
        <v>44803.92</v>
      </c>
      <c r="G47" s="1194"/>
      <c r="H47" s="1190">
        <f t="shared" si="1"/>
        <v>3427</v>
      </c>
      <c r="I47" s="1194"/>
      <c r="J47" s="1190">
        <v>56</v>
      </c>
      <c r="K47" s="1194"/>
      <c r="L47" s="1190">
        <f>IF(F47&gt;8000,8000*0.0458,F47*0.0458)</f>
        <v>366.4</v>
      </c>
      <c r="M47" s="1190" t="s">
        <v>1279</v>
      </c>
      <c r="N47" s="1190">
        <f t="shared" si="2"/>
        <v>3849.4</v>
      </c>
      <c r="O47" s="1194"/>
      <c r="P47" s="1190">
        <f>'wp b1'!I$13</f>
        <v>7481.8509443099274</v>
      </c>
      <c r="Q47" s="1194"/>
      <c r="R47" s="1190">
        <f t="shared" si="3"/>
        <v>1344.1175999999998</v>
      </c>
      <c r="S47" s="1194"/>
      <c r="T47" s="1190">
        <f t="shared" si="4"/>
        <v>1792.1568</v>
      </c>
      <c r="U47" s="1194"/>
      <c r="V47" s="1190">
        <f>'wp b1'!I$21</f>
        <v>453.52290556900732</v>
      </c>
      <c r="W47" s="1194"/>
      <c r="X47" s="1190">
        <f t="shared" si="5"/>
        <v>11071.648249878936</v>
      </c>
      <c r="Y47" s="1194"/>
      <c r="Z47" s="1192">
        <v>1866.83</v>
      </c>
      <c r="AA47" s="1192"/>
      <c r="AB47" s="1370">
        <v>86.67</v>
      </c>
      <c r="AC47" s="1191"/>
      <c r="AD47" s="1370">
        <f t="shared" si="6"/>
        <v>44803.92</v>
      </c>
      <c r="AE47" s="1191"/>
      <c r="AF47" s="1187">
        <v>0</v>
      </c>
      <c r="AG47" s="1191"/>
      <c r="AH47" s="936">
        <f t="shared" si="7"/>
        <v>44803.92</v>
      </c>
      <c r="AI47" s="1371"/>
      <c r="AJ47" s="1372">
        <v>39379.660000000003</v>
      </c>
      <c r="AL47" s="1373">
        <v>98648</v>
      </c>
    </row>
    <row r="48" spans="1:38" ht="13.5">
      <c r="A48" s="1189">
        <v>38</v>
      </c>
      <c r="B48" s="1155" t="s">
        <v>2266</v>
      </c>
      <c r="C48" s="1155"/>
      <c r="D48" s="1182" t="s">
        <v>1278</v>
      </c>
      <c r="E48" s="1182"/>
      <c r="F48" s="1190">
        <f t="shared" si="0"/>
        <v>28059.38</v>
      </c>
      <c r="G48" s="1194"/>
      <c r="H48" s="1190">
        <f t="shared" si="1"/>
        <v>2147</v>
      </c>
      <c r="I48" s="1194"/>
      <c r="J48" s="1190">
        <v>56</v>
      </c>
      <c r="K48" s="1194"/>
      <c r="L48" s="1190">
        <f>IF(F48&gt;8000,8000*0.0458,F48*0.0458)</f>
        <v>366.4</v>
      </c>
      <c r="M48" s="1190" t="s">
        <v>1279</v>
      </c>
      <c r="N48" s="1190">
        <f t="shared" si="2"/>
        <v>2569.4</v>
      </c>
      <c r="O48" s="1194"/>
      <c r="P48" s="1190">
        <f>'wp b1'!I$13</f>
        <v>7481.8509443099274</v>
      </c>
      <c r="Q48" s="1194"/>
      <c r="R48" s="1190">
        <f t="shared" si="3"/>
        <v>841.78139999999996</v>
      </c>
      <c r="S48" s="1194"/>
      <c r="T48" s="1190">
        <f t="shared" si="4"/>
        <v>1122.3752000000002</v>
      </c>
      <c r="U48" s="1194"/>
      <c r="V48" s="1190">
        <f>'wp b1'!I$21</f>
        <v>453.52290556900732</v>
      </c>
      <c r="W48" s="1194"/>
      <c r="X48" s="1190">
        <f t="shared" si="5"/>
        <v>9899.5304498789355</v>
      </c>
      <c r="Y48" s="1194"/>
      <c r="Z48" s="1192">
        <f>13.01*80</f>
        <v>1040.8</v>
      </c>
      <c r="AA48" s="1192"/>
      <c r="AB48" s="1370">
        <v>2080</v>
      </c>
      <c r="AC48" s="1191"/>
      <c r="AD48" s="1370">
        <f t="shared" si="6"/>
        <v>27060.799999999999</v>
      </c>
      <c r="AE48" s="1191"/>
      <c r="AF48" s="1187">
        <v>998.58</v>
      </c>
      <c r="AG48" s="1191"/>
      <c r="AH48" s="936">
        <f t="shared" si="7"/>
        <v>28059.38</v>
      </c>
      <c r="AI48" s="1371"/>
      <c r="AJ48" s="1372">
        <v>26612.400000000001</v>
      </c>
      <c r="AL48" s="1373">
        <v>99651</v>
      </c>
    </row>
    <row r="49" spans="1:38" ht="13.5">
      <c r="A49" s="1189">
        <v>39</v>
      </c>
      <c r="B49" s="1155" t="s">
        <v>2318</v>
      </c>
      <c r="C49" s="1155"/>
      <c r="D49" s="1182" t="s">
        <v>1278</v>
      </c>
      <c r="E49" s="1182"/>
      <c r="F49" s="1190">
        <f t="shared" si="0"/>
        <v>25500.799999999999</v>
      </c>
      <c r="G49" s="1194"/>
      <c r="H49" s="1190">
        <f t="shared" si="1"/>
        <v>1951</v>
      </c>
      <c r="I49" s="1194"/>
      <c r="J49" s="1190">
        <v>56</v>
      </c>
      <c r="K49" s="1194"/>
      <c r="L49" s="1190">
        <f>IF(F49&gt;8000,8000*0.0458,F49*0.0458)</f>
        <v>366.4</v>
      </c>
      <c r="M49" s="1190" t="s">
        <v>1279</v>
      </c>
      <c r="N49" s="1190">
        <f t="shared" si="2"/>
        <v>2373.4</v>
      </c>
      <c r="O49" s="1194"/>
      <c r="P49" s="1190">
        <f>'wp b1'!I$13</f>
        <v>7481.8509443099274</v>
      </c>
      <c r="Q49" s="1194"/>
      <c r="R49" s="1190">
        <f t="shared" si="3"/>
        <v>765.024</v>
      </c>
      <c r="S49" s="1194"/>
      <c r="T49" s="1190">
        <f t="shared" si="4"/>
        <v>1020.032</v>
      </c>
      <c r="U49" s="1194"/>
      <c r="V49" s="1190">
        <f>'wp b1'!I$21</f>
        <v>453.52290556900732</v>
      </c>
      <c r="W49" s="1194"/>
      <c r="X49" s="1190">
        <f t="shared" si="5"/>
        <v>9720.429849878934</v>
      </c>
      <c r="Y49" s="1194"/>
      <c r="Z49" s="1192">
        <f>12.26*80</f>
        <v>980.8</v>
      </c>
      <c r="AA49" s="1192"/>
      <c r="AB49" s="1370">
        <v>2080</v>
      </c>
      <c r="AC49" s="1194"/>
      <c r="AD49" s="1370">
        <f t="shared" si="6"/>
        <v>25500.799999999999</v>
      </c>
      <c r="AE49" s="1194"/>
      <c r="AF49" s="1187">
        <v>0</v>
      </c>
      <c r="AG49" s="1194"/>
      <c r="AH49" s="936">
        <f t="shared" si="7"/>
        <v>25500.799999999999</v>
      </c>
      <c r="AI49" s="1371"/>
      <c r="AJ49" s="1372">
        <v>18498.62</v>
      </c>
      <c r="AL49" s="1373">
        <v>99700</v>
      </c>
    </row>
    <row r="50" spans="1:38" ht="14.25" thickBot="1">
      <c r="A50" s="1189">
        <v>40</v>
      </c>
      <c r="B50" s="1155" t="s">
        <v>2267</v>
      </c>
      <c r="C50" s="1155"/>
      <c r="D50" s="1182" t="s">
        <v>1282</v>
      </c>
      <c r="E50" s="1182"/>
      <c r="F50" s="1190">
        <f t="shared" si="0"/>
        <v>25962.29</v>
      </c>
      <c r="G50" s="1194"/>
      <c r="H50" s="1195">
        <f t="shared" si="1"/>
        <v>1986</v>
      </c>
      <c r="I50" s="1194"/>
      <c r="J50" s="1195">
        <v>56</v>
      </c>
      <c r="K50" s="1194"/>
      <c r="L50" s="1195">
        <f>IF(F50&gt;20900,20900*0.042,F50*0.042)</f>
        <v>877.80000000000007</v>
      </c>
      <c r="M50" s="1190" t="s">
        <v>1281</v>
      </c>
      <c r="N50" s="1195">
        <f t="shared" si="2"/>
        <v>2919.8</v>
      </c>
      <c r="O50" s="1194"/>
      <c r="P50" s="1195">
        <f>'wp b1'!I$13</f>
        <v>7481.8509443099274</v>
      </c>
      <c r="Q50" s="1194"/>
      <c r="R50" s="1195">
        <f t="shared" si="3"/>
        <v>778.86869999999999</v>
      </c>
      <c r="S50" s="1194"/>
      <c r="T50" s="1195">
        <f t="shared" si="4"/>
        <v>1038.4916000000001</v>
      </c>
      <c r="U50" s="1194"/>
      <c r="V50" s="1195">
        <f>'wp b1'!I$21</f>
        <v>453.52290556900732</v>
      </c>
      <c r="W50" s="1194"/>
      <c r="X50" s="1195">
        <f t="shared" si="5"/>
        <v>9752.7341498789337</v>
      </c>
      <c r="Y50" s="1194"/>
      <c r="Z50" s="1192">
        <f>12.38*80</f>
        <v>990.40000000000009</v>
      </c>
      <c r="AA50" s="1192"/>
      <c r="AB50" s="1370">
        <v>2080</v>
      </c>
      <c r="AC50" s="1194"/>
      <c r="AD50" s="1370">
        <f t="shared" si="6"/>
        <v>25750.400000000001</v>
      </c>
      <c r="AE50" s="1194"/>
      <c r="AF50" s="1187">
        <v>211.89</v>
      </c>
      <c r="AG50" s="1194"/>
      <c r="AH50" s="936">
        <f t="shared" si="7"/>
        <v>25962.29</v>
      </c>
      <c r="AI50" s="1371"/>
      <c r="AJ50" s="1372">
        <v>24858.31</v>
      </c>
      <c r="AL50" s="1373">
        <v>99694</v>
      </c>
    </row>
    <row r="51" spans="1:38" ht="13.5" thickTop="1">
      <c r="A51" s="1196"/>
      <c r="B51" s="1177" t="s">
        <v>83</v>
      </c>
      <c r="D51" s="1158"/>
      <c r="E51" s="1158"/>
      <c r="F51" s="937">
        <f>SUM(F11:F50)</f>
        <v>1341560.4599999997</v>
      </c>
      <c r="H51" s="937">
        <f>SUM(H11:H50)</f>
        <v>102628</v>
      </c>
      <c r="J51" s="937">
        <f>SUM(J11:J50)</f>
        <v>2240</v>
      </c>
      <c r="L51" s="937">
        <f>SUM(L11:L50)</f>
        <v>24298.092730000004</v>
      </c>
      <c r="N51" s="937">
        <f>SUM(N11:N50)</f>
        <v>129166.09272999996</v>
      </c>
      <c r="P51" s="937">
        <f>SUM(P11:P50)</f>
        <v>299274.0377723971</v>
      </c>
      <c r="R51" s="937">
        <f>SUM(R11:R50)</f>
        <v>40246.813799999996</v>
      </c>
      <c r="T51" s="937">
        <f>SUM(T11:T50)</f>
        <v>53662.418399999995</v>
      </c>
      <c r="V51" s="937">
        <f>SUM(V11:V50)</f>
        <v>18140.916222760283</v>
      </c>
      <c r="X51" s="937">
        <f>SUM(X11:X50)</f>
        <v>411324.18619515753</v>
      </c>
      <c r="Z51" s="1192"/>
      <c r="AA51" s="1192"/>
      <c r="AB51" s="1370"/>
      <c r="AC51" s="1194"/>
      <c r="AD51" s="1370"/>
      <c r="AE51" s="1194"/>
      <c r="AF51" s="1187"/>
      <c r="AG51" s="1194"/>
      <c r="AH51" s="936"/>
      <c r="AI51" s="1194"/>
    </row>
    <row r="52" spans="1:38">
      <c r="Z52" s="1156"/>
      <c r="AA52" s="1156"/>
      <c r="AB52" s="1156"/>
      <c r="AC52" s="1156"/>
      <c r="AD52" s="1156"/>
      <c r="AE52" s="1156"/>
      <c r="AF52" s="1156"/>
      <c r="AG52" s="1156"/>
      <c r="AH52" s="1156"/>
      <c r="AI52" s="1156"/>
    </row>
    <row r="53" spans="1:38">
      <c r="B53" s="1177" t="s">
        <v>1284</v>
      </c>
      <c r="F53" s="1159">
        <f>+'Input Schedule'!D17</f>
        <v>2.775347522522463E-2</v>
      </c>
      <c r="G53" s="1159"/>
      <c r="H53" s="1159">
        <f>+F53</f>
        <v>2.775347522522463E-2</v>
      </c>
      <c r="I53" s="1159"/>
      <c r="J53" s="1159">
        <f>+F53</f>
        <v>2.775347522522463E-2</v>
      </c>
      <c r="K53" s="1159"/>
      <c r="L53" s="1159">
        <f>+F53</f>
        <v>2.775347522522463E-2</v>
      </c>
      <c r="M53" s="1159"/>
      <c r="N53" s="1159">
        <f>+F53</f>
        <v>2.775347522522463E-2</v>
      </c>
      <c r="O53" s="1159"/>
      <c r="P53" s="1159">
        <f>+F53</f>
        <v>2.775347522522463E-2</v>
      </c>
      <c r="Q53" s="1159"/>
      <c r="R53" s="1159">
        <f>+F53</f>
        <v>2.775347522522463E-2</v>
      </c>
      <c r="S53" s="1159"/>
      <c r="T53" s="1159">
        <f>+F53</f>
        <v>2.775347522522463E-2</v>
      </c>
      <c r="U53" s="1159"/>
      <c r="V53" s="1159">
        <f>+F53</f>
        <v>2.775347522522463E-2</v>
      </c>
      <c r="W53" s="1159"/>
      <c r="X53" s="1159">
        <f>+F53</f>
        <v>2.775347522522463E-2</v>
      </c>
      <c r="Z53" s="1377"/>
      <c r="AA53" s="1377"/>
      <c r="AB53" s="1377"/>
      <c r="AC53" s="1156"/>
      <c r="AD53" s="1156"/>
      <c r="AE53" s="1156"/>
      <c r="AF53" s="1156"/>
      <c r="AG53" s="1156"/>
      <c r="AH53" s="1156"/>
      <c r="AI53" s="1156"/>
    </row>
    <row r="54" spans="1:38">
      <c r="Z54" s="1156"/>
      <c r="AA54" s="1156"/>
      <c r="AB54" s="1156"/>
      <c r="AC54" s="1156"/>
      <c r="AD54" s="1156"/>
      <c r="AE54" s="1156"/>
      <c r="AF54" s="1156"/>
      <c r="AG54" s="1156"/>
      <c r="AH54" s="1156"/>
      <c r="AI54" s="1156"/>
    </row>
    <row r="55" spans="1:38" ht="13.5" thickBot="1">
      <c r="B55" s="1177" t="s">
        <v>1554</v>
      </c>
      <c r="F55" s="1198">
        <f>F51*F53</f>
        <v>37232.964989750952</v>
      </c>
      <c r="G55" s="937"/>
      <c r="H55" s="1198">
        <f t="shared" ref="H55:X55" si="8">H51*H53</f>
        <v>2848.2836554143532</v>
      </c>
      <c r="I55" s="937"/>
      <c r="J55" s="1198">
        <f t="shared" si="8"/>
        <v>62.167784504503175</v>
      </c>
      <c r="K55" s="937"/>
      <c r="L55" s="1198">
        <f t="shared" si="8"/>
        <v>674.35651460226586</v>
      </c>
      <c r="M55" s="937"/>
      <c r="N55" s="1198">
        <f t="shared" si="8"/>
        <v>3584.8079545211212</v>
      </c>
      <c r="O55" s="937"/>
      <c r="P55" s="1198">
        <f t="shared" si="8"/>
        <v>8305.8945928691628</v>
      </c>
      <c r="Q55" s="937"/>
      <c r="R55" s="1198">
        <f t="shared" si="8"/>
        <v>1116.9889496925286</v>
      </c>
      <c r="S55" s="937"/>
      <c r="T55" s="1198">
        <f t="shared" si="8"/>
        <v>1489.3185995900383</v>
      </c>
      <c r="U55" s="937"/>
      <c r="V55" s="1198">
        <f t="shared" si="8"/>
        <v>503.4734689512531</v>
      </c>
      <c r="W55" s="937"/>
      <c r="X55" s="1198">
        <f t="shared" si="8"/>
        <v>11415.675611102988</v>
      </c>
      <c r="Z55" s="1156"/>
      <c r="AA55" s="1156"/>
      <c r="AB55" s="1156"/>
      <c r="AC55" s="1156"/>
      <c r="AD55" s="1156"/>
      <c r="AE55" s="1156"/>
      <c r="AF55" s="1156"/>
      <c r="AG55" s="1156"/>
      <c r="AH55" s="1156"/>
      <c r="AI55" s="1156"/>
    </row>
    <row r="56" spans="1:38" ht="13.5" thickTop="1">
      <c r="F56" s="936"/>
      <c r="G56" s="937"/>
      <c r="H56" s="936"/>
      <c r="I56" s="937"/>
      <c r="J56" s="936"/>
      <c r="K56" s="937"/>
      <c r="L56" s="936"/>
      <c r="M56" s="937"/>
      <c r="N56" s="936"/>
      <c r="O56" s="937"/>
      <c r="P56" s="936"/>
      <c r="Q56" s="937"/>
      <c r="R56" s="936"/>
      <c r="S56" s="937"/>
      <c r="T56" s="936"/>
      <c r="U56" s="937"/>
      <c r="V56" s="936"/>
      <c r="W56" s="937"/>
      <c r="X56" s="936"/>
      <c r="Z56" s="1156"/>
      <c r="AA56" s="1156"/>
      <c r="AB56" s="1156"/>
      <c r="AC56" s="1156"/>
      <c r="AD56" s="1156"/>
      <c r="AE56" s="1156"/>
      <c r="AF56" s="1156"/>
      <c r="AG56" s="1156"/>
      <c r="AH56" s="1156"/>
      <c r="AI56" s="1156"/>
    </row>
    <row r="57" spans="1:38">
      <c r="B57" s="1177" t="s">
        <v>1555</v>
      </c>
      <c r="F57" s="938">
        <f>'wp-q(4) Clinton trans exp'!$E$10</f>
        <v>7.8292843887453431E-2</v>
      </c>
      <c r="G57" s="937"/>
      <c r="H57" s="938">
        <f>'wp-q(4) Clinton trans exp'!$E$10</f>
        <v>7.8292843887453431E-2</v>
      </c>
      <c r="I57" s="937"/>
      <c r="J57" s="938">
        <f>'wp-q(4) Clinton trans exp'!$E$10</f>
        <v>7.8292843887453431E-2</v>
      </c>
      <c r="K57" s="937"/>
      <c r="L57" s="938">
        <f>'wp-q(4) Clinton trans exp'!$E$10</f>
        <v>7.8292843887453431E-2</v>
      </c>
      <c r="M57" s="937"/>
      <c r="N57" s="938">
        <f>'wp-q(4) Clinton trans exp'!$E$10</f>
        <v>7.8292843887453431E-2</v>
      </c>
      <c r="O57" s="937"/>
      <c r="P57" s="938">
        <f>'wp-q(4) Clinton trans exp'!$E$10</f>
        <v>7.8292843887453431E-2</v>
      </c>
      <c r="Q57" s="937"/>
      <c r="R57" s="938">
        <f>'wp-q(4) Clinton trans exp'!$E$10</f>
        <v>7.8292843887453431E-2</v>
      </c>
      <c r="S57" s="937"/>
      <c r="T57" s="938">
        <f>'wp-q(4) Clinton trans exp'!$E$10</f>
        <v>7.8292843887453431E-2</v>
      </c>
      <c r="U57" s="937"/>
      <c r="V57" s="938">
        <f>'wp-q(4) Clinton trans exp'!$E$10</f>
        <v>7.8292843887453431E-2</v>
      </c>
      <c r="W57" s="937"/>
      <c r="X57" s="938">
        <f>'wp-q(4) Clinton trans exp'!$E$10</f>
        <v>7.8292843887453431E-2</v>
      </c>
      <c r="Z57" s="1156"/>
      <c r="AA57" s="1156"/>
      <c r="AB57" s="1156"/>
      <c r="AC57" s="1156"/>
      <c r="AD57" s="1156"/>
      <c r="AE57" s="1156"/>
      <c r="AF57" s="1156"/>
      <c r="AG57" s="1156"/>
      <c r="AH57" s="1156"/>
      <c r="AI57" s="1156"/>
    </row>
    <row r="58" spans="1:38">
      <c r="F58" s="936"/>
      <c r="G58" s="937"/>
      <c r="H58" s="936"/>
      <c r="I58" s="937"/>
      <c r="J58" s="936"/>
      <c r="K58" s="937"/>
      <c r="L58" s="936"/>
      <c r="M58" s="937"/>
      <c r="N58" s="936"/>
      <c r="O58" s="937"/>
      <c r="P58" s="936"/>
      <c r="Q58" s="937"/>
      <c r="R58" s="936"/>
      <c r="S58" s="937"/>
      <c r="T58" s="936"/>
      <c r="U58" s="937"/>
      <c r="V58" s="936"/>
      <c r="W58" s="937"/>
      <c r="X58" s="936"/>
      <c r="Z58" s="1156"/>
      <c r="AA58" s="1156"/>
      <c r="AB58" s="1156"/>
      <c r="AC58" s="1156"/>
      <c r="AD58" s="1156"/>
      <c r="AE58" s="1156"/>
      <c r="AF58" s="1156"/>
      <c r="AG58" s="1156"/>
      <c r="AH58" s="1156"/>
      <c r="AI58" s="1156"/>
    </row>
    <row r="59" spans="1:38" ht="13.5" thickBot="1">
      <c r="B59" s="1177" t="s">
        <v>1556</v>
      </c>
      <c r="F59" s="1198">
        <f>F57*F55</f>
        <v>2915.0747154095902</v>
      </c>
      <c r="G59" s="937"/>
      <c r="H59" s="1198">
        <f>H57*H55</f>
        <v>223.00022758054115</v>
      </c>
      <c r="I59" s="937"/>
      <c r="J59" s="1198">
        <f>J57*J55</f>
        <v>4.8672926470399132</v>
      </c>
      <c r="K59" s="937"/>
      <c r="L59" s="1198">
        <f>L57*L55</f>
        <v>52.797289322242413</v>
      </c>
      <c r="M59" s="937"/>
      <c r="N59" s="1198">
        <f>N57*N55</f>
        <v>280.66480954982342</v>
      </c>
      <c r="O59" s="937"/>
      <c r="P59" s="1198">
        <f>P57*P55</f>
        <v>650.29210870514896</v>
      </c>
      <c r="Q59" s="937"/>
      <c r="R59" s="1198">
        <f>R57*R55</f>
        <v>87.452241462287716</v>
      </c>
      <c r="S59" s="937"/>
      <c r="T59" s="1198">
        <f>T57*T55</f>
        <v>116.60298861638363</v>
      </c>
      <c r="U59" s="937"/>
      <c r="V59" s="1198">
        <f>V57*V55</f>
        <v>39.41836970607509</v>
      </c>
      <c r="W59" s="937"/>
      <c r="X59" s="1198">
        <f>X57*X55</f>
        <v>893.76570848989581</v>
      </c>
      <c r="Z59" s="1156"/>
      <c r="AA59" s="1156"/>
      <c r="AB59" s="1156"/>
      <c r="AC59" s="1156"/>
      <c r="AD59" s="1156"/>
      <c r="AE59" s="1156"/>
      <c r="AF59" s="1156"/>
      <c r="AG59" s="1156"/>
      <c r="AH59" s="1156"/>
      <c r="AI59" s="1156"/>
    </row>
    <row r="60" spans="1:38" ht="13.5" thickTop="1">
      <c r="F60" s="936"/>
      <c r="G60" s="937"/>
      <c r="H60" s="936"/>
      <c r="I60" s="937"/>
      <c r="J60" s="936"/>
      <c r="K60" s="937"/>
      <c r="L60" s="936"/>
      <c r="M60" s="937"/>
      <c r="N60" s="936"/>
      <c r="O60" s="937"/>
      <c r="P60" s="936"/>
      <c r="Q60" s="937"/>
      <c r="R60" s="936"/>
      <c r="S60" s="937"/>
      <c r="T60" s="936"/>
      <c r="U60" s="937"/>
      <c r="V60" s="936"/>
      <c r="W60" s="937"/>
      <c r="X60" s="936"/>
      <c r="Z60" s="1156"/>
      <c r="AA60" s="1156"/>
      <c r="AB60" s="1156"/>
      <c r="AC60" s="1156"/>
      <c r="AD60" s="1156"/>
      <c r="AE60" s="1156"/>
      <c r="AF60" s="1156"/>
      <c r="AG60" s="1156"/>
      <c r="AH60" s="1156"/>
      <c r="AI60" s="1156"/>
    </row>
    <row r="61" spans="1:38">
      <c r="F61" s="936"/>
      <c r="G61" s="937"/>
      <c r="H61" s="936"/>
      <c r="I61" s="937"/>
      <c r="J61" s="936"/>
      <c r="K61" s="937"/>
      <c r="L61" s="936"/>
      <c r="M61" s="937"/>
      <c r="N61" s="936"/>
      <c r="O61" s="937"/>
      <c r="P61" s="936"/>
      <c r="Q61" s="937"/>
      <c r="R61" s="936"/>
      <c r="S61" s="937"/>
      <c r="T61" s="936"/>
      <c r="U61" s="937"/>
      <c r="V61" s="936"/>
      <c r="W61" s="937"/>
      <c r="X61" s="936"/>
      <c r="Z61" s="1156"/>
      <c r="AA61" s="1156"/>
      <c r="AB61" s="1156"/>
      <c r="AC61" s="1156"/>
      <c r="AD61" s="1156"/>
      <c r="AE61" s="1156"/>
      <c r="AF61" s="1156"/>
      <c r="AG61" s="1156"/>
      <c r="AH61" s="1156"/>
      <c r="AI61" s="1156"/>
    </row>
    <row r="62" spans="1:38">
      <c r="Z62" s="1156"/>
      <c r="AA62" s="1156"/>
      <c r="AB62" s="1156"/>
      <c r="AC62" s="1156"/>
      <c r="AD62" s="1156"/>
      <c r="AE62" s="1156"/>
      <c r="AF62" s="1156"/>
      <c r="AG62" s="1156"/>
      <c r="AH62" s="1156"/>
      <c r="AI62" s="1156"/>
    </row>
    <row r="63" spans="1:38">
      <c r="B63" s="1759" t="s">
        <v>1279</v>
      </c>
      <c r="C63" s="1177" t="s">
        <v>2003</v>
      </c>
      <c r="Z63" s="1156"/>
      <c r="AA63" s="1156"/>
      <c r="AB63" s="1156"/>
      <c r="AC63" s="1156"/>
      <c r="AD63" s="1156"/>
      <c r="AE63" s="1156"/>
      <c r="AF63" s="1156"/>
      <c r="AG63" s="1156"/>
      <c r="AH63" s="1156"/>
      <c r="AI63" s="1156"/>
    </row>
    <row r="64" spans="1:38">
      <c r="B64" s="1759" t="s">
        <v>1281</v>
      </c>
      <c r="C64" s="1177" t="s">
        <v>2004</v>
      </c>
      <c r="Z64" s="1156"/>
      <c r="AA64" s="1156"/>
      <c r="AB64" s="1156"/>
      <c r="AC64" s="1156"/>
      <c r="AD64" s="1156"/>
      <c r="AE64" s="1156"/>
      <c r="AF64" s="1156"/>
      <c r="AG64" s="1156"/>
      <c r="AH64" s="1156"/>
      <c r="AI64" s="1156"/>
    </row>
    <row r="65" spans="2:24">
      <c r="B65" s="1759" t="s">
        <v>1283</v>
      </c>
      <c r="C65" s="1177" t="s">
        <v>2005</v>
      </c>
    </row>
    <row r="66" spans="2:24" ht="15">
      <c r="B66" s="1759" t="s">
        <v>1781</v>
      </c>
      <c r="C66" s="73" t="s">
        <v>1974</v>
      </c>
    </row>
    <row r="67" spans="2:24">
      <c r="F67" s="1199"/>
      <c r="H67" s="1199"/>
      <c r="J67" s="1199"/>
      <c r="L67" s="1199"/>
      <c r="N67" s="1199"/>
      <c r="P67" s="1199"/>
      <c r="R67" s="1199"/>
      <c r="T67" s="1199"/>
      <c r="V67" s="1199"/>
      <c r="X67" s="1199"/>
    </row>
    <row r="69" spans="2:24">
      <c r="H69" s="937"/>
      <c r="J69" s="937"/>
      <c r="L69" s="937"/>
      <c r="N69" s="937"/>
      <c r="P69" s="937"/>
      <c r="R69" s="937"/>
      <c r="T69" s="937"/>
      <c r="V69" s="937"/>
      <c r="X69" s="937"/>
    </row>
    <row r="75" spans="2:24">
      <c r="G75" s="937"/>
      <c r="H75" s="937"/>
      <c r="I75" s="937"/>
      <c r="J75" s="937"/>
      <c r="K75" s="937"/>
      <c r="L75" s="937"/>
      <c r="M75" s="937"/>
      <c r="N75" s="937"/>
      <c r="O75" s="937"/>
      <c r="P75" s="937"/>
      <c r="Q75" s="937"/>
      <c r="R75" s="937"/>
      <c r="S75" s="937"/>
      <c r="T75" s="937"/>
      <c r="U75" s="937"/>
      <c r="V75" s="937"/>
      <c r="W75" s="937"/>
      <c r="X75" s="937"/>
    </row>
    <row r="77" spans="2:24">
      <c r="B77" s="492"/>
    </row>
    <row r="78" spans="2:24">
      <c r="B78" s="492"/>
    </row>
    <row r="79" spans="2:24">
      <c r="B79" s="492"/>
    </row>
    <row r="80" spans="2:24">
      <c r="B80" s="492"/>
    </row>
    <row r="81" spans="2:2">
      <c r="B81" s="492"/>
    </row>
    <row r="82" spans="2:2">
      <c r="B82" s="492"/>
    </row>
  </sheetData>
  <autoFilter ref="D9:D50"/>
  <sortState ref="B11:AL50">
    <sortCondition ref="B11:B50"/>
  </sortState>
  <pageMargins left="0.7" right="0.7" top="0.75" bottom="0.75" header="0.3" footer="0.3"/>
  <pageSetup scale="55" orientation="landscape" r:id="rId1"/>
  <colBreaks count="1" manualBreakCount="1">
    <brk id="2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C000"/>
    <pageSetUpPr fitToPage="1"/>
  </sheetPr>
  <dimension ref="B5:G17"/>
  <sheetViews>
    <sheetView view="pageBreakPreview" zoomScale="75" zoomScaleNormal="100" zoomScaleSheetLayoutView="75" workbookViewId="0">
      <selection activeCell="G7" sqref="G7"/>
    </sheetView>
  </sheetViews>
  <sheetFormatPr defaultColWidth="8.875" defaultRowHeight="15"/>
  <cols>
    <col min="1" max="1" width="8.875" style="2" customWidth="1"/>
    <col min="2" max="2" width="13.375" style="2" bestFit="1" customWidth="1"/>
    <col min="3" max="3" width="13" style="2" bestFit="1" customWidth="1"/>
    <col min="4" max="5" width="8.875" style="2" customWidth="1"/>
    <col min="6" max="6" width="5.875" style="2" customWidth="1"/>
    <col min="7" max="7" width="26.625" style="2" customWidth="1"/>
    <col min="8" max="8" width="8.875" style="2"/>
    <col min="9" max="9" width="10.375" style="2" customWidth="1"/>
    <col min="10" max="13" width="8.875" style="2"/>
    <col min="14" max="14" width="26.625" style="2" customWidth="1"/>
    <col min="15" max="16384" width="8.875" style="2"/>
  </cols>
  <sheetData>
    <row r="5" spans="2:7" ht="15.75" thickBot="1"/>
    <row r="6" spans="2:7" ht="44.25" thickBot="1">
      <c r="B6" s="2" t="s">
        <v>504</v>
      </c>
      <c r="C6" s="2" t="s">
        <v>1545</v>
      </c>
      <c r="E6" s="5" t="s">
        <v>786</v>
      </c>
      <c r="G6" s="828" t="s">
        <v>350</v>
      </c>
    </row>
    <row r="7" spans="2:7" ht="15.75" thickBot="1">
      <c r="B7" s="2" t="s">
        <v>822</v>
      </c>
      <c r="C7" s="827">
        <f>'Allocation Calc'!F56</f>
        <v>7362.4</v>
      </c>
      <c r="D7" s="1355">
        <f>+C7/C13</f>
        <v>1</v>
      </c>
    </row>
    <row r="8" spans="2:7" ht="15.75" thickBot="1">
      <c r="B8" s="2" t="s">
        <v>650</v>
      </c>
      <c r="C8" s="26">
        <v>0</v>
      </c>
    </row>
    <row r="9" spans="2:7" ht="15.75" thickBot="1">
      <c r="B9" s="27" t="s">
        <v>831</v>
      </c>
      <c r="C9" s="28">
        <f>C8+C7</f>
        <v>7362.4</v>
      </c>
      <c r="E9" s="5" t="s">
        <v>75</v>
      </c>
      <c r="G9" s="1338" t="s">
        <v>1962</v>
      </c>
    </row>
    <row r="10" spans="2:7" ht="15.75" thickBot="1">
      <c r="B10" s="2" t="s">
        <v>104</v>
      </c>
      <c r="C10" s="26">
        <v>0</v>
      </c>
      <c r="D10" s="1355">
        <f>+C10/C13</f>
        <v>0</v>
      </c>
    </row>
    <row r="11" spans="2:7" ht="15.75" thickBot="1">
      <c r="B11" s="2" t="s">
        <v>650</v>
      </c>
      <c r="C11" s="26">
        <v>0</v>
      </c>
    </row>
    <row r="12" spans="2:7">
      <c r="B12" s="2" t="s">
        <v>831</v>
      </c>
      <c r="C12" s="28">
        <f>C11+C10</f>
        <v>0</v>
      </c>
    </row>
    <row r="13" spans="2:7" ht="15.75" thickBot="1">
      <c r="B13" s="2" t="s">
        <v>391</v>
      </c>
      <c r="C13" s="29">
        <f>C12+C9</f>
        <v>7362.4</v>
      </c>
    </row>
    <row r="14" spans="2:7" ht="15.75" thickTop="1">
      <c r="C14" s="30"/>
    </row>
    <row r="15" spans="2:7">
      <c r="B15" s="2" t="s">
        <v>1287</v>
      </c>
      <c r="C15" s="1002">
        <f>'Allocation Calc'!F61</f>
        <v>105516.79</v>
      </c>
      <c r="D15" s="984">
        <f>C7/C15</f>
        <v>6.9774677565532461E-2</v>
      </c>
    </row>
    <row r="16" spans="2:7">
      <c r="B16" s="2" t="s">
        <v>1288</v>
      </c>
      <c r="C16" s="1002">
        <f>'Allocation Calc'!F60</f>
        <v>33962.600000000006</v>
      </c>
      <c r="D16" s="984">
        <f>C9/C16</f>
        <v>0.21677963406806305</v>
      </c>
    </row>
    <row r="17" spans="2:4">
      <c r="B17" s="2" t="s">
        <v>895</v>
      </c>
      <c r="C17" s="1002">
        <f>'Allocation Calc'!F112</f>
        <v>265278.49</v>
      </c>
      <c r="D17" s="984">
        <f>C7/C17</f>
        <v>2.775347522522463E-2</v>
      </c>
    </row>
  </sheetData>
  <phoneticPr fontId="26" type="noConversion"/>
  <pageMargins left="0.75" right="0.75" top="1" bottom="1" header="0.5" footer="0.5"/>
  <pageSetup fitToHeight="0" orientation="landscape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V12"/>
  <sheetViews>
    <sheetView view="pageBreakPreview" zoomScale="80" zoomScaleNormal="100" zoomScaleSheetLayoutView="80" workbookViewId="0">
      <selection activeCell="G33" sqref="G33"/>
    </sheetView>
  </sheetViews>
  <sheetFormatPr defaultRowHeight="15"/>
  <cols>
    <col min="1" max="1" width="2.375" style="977" customWidth="1"/>
    <col min="2" max="3" width="9" style="977"/>
    <col min="4" max="4" width="7.625" style="977" bestFit="1" customWidth="1"/>
    <col min="5" max="5" width="15.125" style="977" bestFit="1" customWidth="1"/>
    <col min="6" max="6" width="0.875" style="977" customWidth="1"/>
    <col min="7" max="7" width="9.375" style="977" bestFit="1" customWidth="1"/>
    <col min="8" max="8" width="0.875" style="977" customWidth="1"/>
    <col min="9" max="9" width="9.125" style="977" bestFit="1" customWidth="1"/>
    <col min="10" max="10" width="0.875" style="977" customWidth="1"/>
    <col min="11" max="11" width="12.625" style="977" bestFit="1" customWidth="1"/>
    <col min="12" max="12" width="0.875" style="977" customWidth="1"/>
    <col min="13" max="13" width="9.75" style="977" bestFit="1" customWidth="1"/>
    <col min="14" max="14" width="0.875" style="977" customWidth="1"/>
    <col min="15" max="15" width="11" style="977" bestFit="1" customWidth="1"/>
    <col min="16" max="16" width="0.875" style="977" customWidth="1"/>
    <col min="17" max="17" width="12.5" style="977" bestFit="1" customWidth="1"/>
    <col min="18" max="18" width="0.875" style="977" customWidth="1"/>
    <col min="19" max="19" width="9.75" style="977" bestFit="1" customWidth="1"/>
    <col min="20" max="20" width="0.875" style="977" customWidth="1"/>
    <col min="21" max="21" width="9.5" style="977" bestFit="1" customWidth="1"/>
    <col min="22" max="22" width="3.125" style="977" bestFit="1" customWidth="1"/>
    <col min="23" max="23" width="10.75" style="977" bestFit="1" customWidth="1"/>
    <col min="24" max="24" width="0.875" style="977" customWidth="1"/>
    <col min="25" max="25" width="11" style="977" bestFit="1" customWidth="1"/>
    <col min="26" max="26" width="0.75" style="977" customWidth="1"/>
    <col min="27" max="29" width="0.875" style="977" customWidth="1"/>
    <col min="30" max="30" width="11.5" style="977" bestFit="1" customWidth="1"/>
    <col min="31" max="16384" width="9" style="977"/>
  </cols>
  <sheetData>
    <row r="1" spans="1:204">
      <c r="A1" s="1760" t="str">
        <f>+'wp b3 - CSR'!A1</f>
        <v>WATER SERVICE CORPORATION OF KENTUCKY</v>
      </c>
      <c r="AD1" s="1160" t="s">
        <v>2191</v>
      </c>
    </row>
    <row r="2" spans="1:204">
      <c r="A2" s="1380" t="str">
        <f>'Sch.A-B.S'!F2</f>
        <v>Case No. 2013 - 00237</v>
      </c>
    </row>
    <row r="5" spans="1:204" s="961" customFormat="1" ht="15.75">
      <c r="B5" s="962"/>
      <c r="C5" s="963"/>
      <c r="D5" s="964"/>
      <c r="E5" s="965"/>
      <c r="K5" s="966"/>
      <c r="O5" s="967">
        <v>41380</v>
      </c>
      <c r="P5" s="968"/>
      <c r="Q5" s="968"/>
      <c r="R5" s="969"/>
      <c r="S5" s="968" t="s">
        <v>2006</v>
      </c>
      <c r="T5" s="968"/>
      <c r="U5" s="1004">
        <v>41380</v>
      </c>
      <c r="V5" s="968"/>
      <c r="Y5" s="965"/>
      <c r="Z5" s="965"/>
      <c r="AA5" s="968"/>
    </row>
    <row r="6" spans="1:204" s="961" customFormat="1" ht="15.75">
      <c r="A6" s="970"/>
      <c r="B6" s="970"/>
      <c r="C6" s="971"/>
      <c r="D6" s="970"/>
      <c r="E6" s="1483" t="s">
        <v>2008</v>
      </c>
      <c r="F6" s="1484"/>
      <c r="G6" s="1484" t="s">
        <v>403</v>
      </c>
      <c r="H6" s="1484"/>
      <c r="I6" s="1484" t="s">
        <v>404</v>
      </c>
      <c r="J6" s="1484"/>
      <c r="K6" s="1484" t="s">
        <v>151</v>
      </c>
      <c r="L6" s="1484"/>
      <c r="M6" s="1484" t="s">
        <v>391</v>
      </c>
      <c r="N6" s="1484"/>
      <c r="O6" s="1484" t="s">
        <v>563</v>
      </c>
      <c r="P6" s="1484"/>
      <c r="Q6" s="1484" t="s">
        <v>2009</v>
      </c>
      <c r="R6" s="1484"/>
      <c r="S6" s="1484" t="s">
        <v>2007</v>
      </c>
      <c r="T6" s="1484"/>
      <c r="U6" s="1485"/>
      <c r="V6" s="1484"/>
      <c r="W6" s="1484" t="s">
        <v>391</v>
      </c>
      <c r="X6" s="1484"/>
      <c r="Y6" s="1486"/>
      <c r="Z6" s="969"/>
      <c r="AA6" s="972"/>
      <c r="AB6" s="969"/>
      <c r="AC6" s="970"/>
      <c r="AD6" s="969" t="s">
        <v>1285</v>
      </c>
      <c r="AE6" s="970"/>
      <c r="AF6" s="970"/>
      <c r="AG6" s="970"/>
      <c r="AH6" s="970"/>
      <c r="AI6" s="970"/>
      <c r="AJ6" s="970"/>
      <c r="AK6" s="970"/>
      <c r="AL6" s="970"/>
      <c r="AM6" s="970"/>
      <c r="AN6" s="970"/>
      <c r="AO6" s="970"/>
      <c r="AP6" s="970"/>
      <c r="AQ6" s="970"/>
      <c r="AR6" s="970"/>
      <c r="AS6" s="970"/>
      <c r="AT6" s="970"/>
      <c r="AU6" s="970"/>
      <c r="AV6" s="970"/>
      <c r="AW6" s="970"/>
      <c r="AX6" s="970"/>
      <c r="AY6" s="970"/>
      <c r="AZ6" s="970"/>
      <c r="BA6" s="970"/>
      <c r="BB6" s="970"/>
      <c r="BC6" s="970"/>
      <c r="BD6" s="970"/>
      <c r="BE6" s="970"/>
      <c r="BF6" s="970"/>
      <c r="BG6" s="970"/>
      <c r="BH6" s="970"/>
      <c r="BI6" s="970"/>
      <c r="BJ6" s="970"/>
      <c r="BK6" s="970"/>
      <c r="BL6" s="970"/>
      <c r="BM6" s="970"/>
      <c r="BN6" s="970"/>
      <c r="BO6" s="970"/>
      <c r="BP6" s="970"/>
      <c r="BQ6" s="970"/>
      <c r="BR6" s="970"/>
      <c r="BS6" s="970"/>
      <c r="BT6" s="970"/>
      <c r="BU6" s="970"/>
      <c r="BV6" s="970"/>
      <c r="BW6" s="970"/>
      <c r="BX6" s="970"/>
      <c r="BY6" s="970"/>
      <c r="BZ6" s="970"/>
      <c r="CA6" s="970"/>
      <c r="CB6" s="970"/>
      <c r="CC6" s="970"/>
      <c r="CD6" s="970"/>
      <c r="CE6" s="970"/>
      <c r="CF6" s="970"/>
      <c r="CG6" s="970"/>
      <c r="CH6" s="970"/>
      <c r="CI6" s="970"/>
      <c r="CJ6" s="970"/>
      <c r="CK6" s="970"/>
      <c r="CL6" s="970"/>
      <c r="CM6" s="970"/>
      <c r="CN6" s="970"/>
      <c r="CO6" s="970"/>
      <c r="CP6" s="970"/>
      <c r="CQ6" s="970"/>
      <c r="CR6" s="970"/>
      <c r="CS6" s="970"/>
      <c r="CT6" s="970"/>
      <c r="CU6" s="970"/>
      <c r="CV6" s="970"/>
      <c r="CW6" s="970"/>
      <c r="CX6" s="970"/>
      <c r="CY6" s="970"/>
      <c r="CZ6" s="970"/>
      <c r="DA6" s="970"/>
      <c r="DB6" s="970"/>
      <c r="DC6" s="970"/>
      <c r="DD6" s="970"/>
      <c r="DE6" s="970"/>
      <c r="DF6" s="970"/>
      <c r="DG6" s="970"/>
      <c r="DH6" s="970"/>
      <c r="DI6" s="970"/>
      <c r="DJ6" s="970"/>
      <c r="DK6" s="970"/>
      <c r="DL6" s="970"/>
      <c r="DM6" s="970"/>
      <c r="DN6" s="970"/>
      <c r="DO6" s="970"/>
      <c r="DP6" s="970"/>
      <c r="DQ6" s="970"/>
      <c r="DR6" s="970"/>
      <c r="DS6" s="970"/>
      <c r="DT6" s="970"/>
      <c r="DU6" s="970"/>
      <c r="DV6" s="970"/>
      <c r="DW6" s="970"/>
      <c r="DX6" s="970"/>
      <c r="DY6" s="970"/>
      <c r="DZ6" s="970"/>
      <c r="EA6" s="970"/>
      <c r="EB6" s="970"/>
      <c r="EC6" s="970"/>
      <c r="ED6" s="970"/>
      <c r="EE6" s="970"/>
      <c r="EF6" s="970"/>
      <c r="EG6" s="970"/>
      <c r="EH6" s="970"/>
      <c r="EI6" s="970"/>
      <c r="EJ6" s="970"/>
      <c r="EK6" s="970"/>
      <c r="EL6" s="970"/>
      <c r="EM6" s="970"/>
      <c r="EN6" s="970"/>
      <c r="EO6" s="970"/>
      <c r="EP6" s="970"/>
      <c r="EQ6" s="970"/>
      <c r="ER6" s="970"/>
      <c r="ES6" s="970"/>
      <c r="ET6" s="970"/>
      <c r="EU6" s="970"/>
      <c r="EV6" s="970"/>
      <c r="EW6" s="970"/>
      <c r="EX6" s="970"/>
      <c r="EY6" s="970"/>
      <c r="EZ6" s="970"/>
      <c r="FA6" s="970"/>
      <c r="FB6" s="970"/>
      <c r="FC6" s="970"/>
      <c r="FD6" s="970"/>
      <c r="FE6" s="970"/>
      <c r="FF6" s="970"/>
      <c r="FG6" s="970"/>
      <c r="FH6" s="970"/>
      <c r="FI6" s="970"/>
      <c r="FJ6" s="970"/>
      <c r="FK6" s="970"/>
      <c r="FL6" s="970"/>
      <c r="FM6" s="970"/>
      <c r="FN6" s="970"/>
      <c r="FO6" s="970"/>
      <c r="FP6" s="970"/>
      <c r="FQ6" s="970"/>
      <c r="FR6" s="970"/>
      <c r="FS6" s="970"/>
      <c r="FT6" s="970"/>
      <c r="FU6" s="970"/>
      <c r="FV6" s="970"/>
      <c r="FW6" s="970"/>
      <c r="FX6" s="970"/>
      <c r="FY6" s="970"/>
      <c r="FZ6" s="970"/>
      <c r="GA6" s="970"/>
      <c r="GB6" s="970"/>
      <c r="GC6" s="970"/>
      <c r="GD6" s="970"/>
      <c r="GE6" s="970"/>
      <c r="GF6" s="970"/>
      <c r="GG6" s="970"/>
      <c r="GH6" s="970"/>
      <c r="GI6" s="970"/>
      <c r="GJ6" s="970"/>
      <c r="GK6" s="970"/>
      <c r="GL6" s="970"/>
      <c r="GM6" s="970"/>
      <c r="GN6" s="970"/>
      <c r="GO6" s="970"/>
      <c r="GP6" s="970"/>
      <c r="GQ6" s="970"/>
      <c r="GR6" s="970"/>
      <c r="GS6" s="970"/>
      <c r="GT6" s="970"/>
      <c r="GU6" s="970"/>
      <c r="GV6" s="970"/>
    </row>
    <row r="7" spans="1:204" s="961" customFormat="1" ht="15.75">
      <c r="A7" s="970"/>
      <c r="B7" s="970"/>
      <c r="C7" s="973"/>
      <c r="D7" s="970"/>
      <c r="E7" s="1487" t="s">
        <v>481</v>
      </c>
      <c r="F7" s="1484"/>
      <c r="G7" s="1488" t="s">
        <v>1266</v>
      </c>
      <c r="H7" s="1484"/>
      <c r="I7" s="1488" t="s">
        <v>349</v>
      </c>
      <c r="J7" s="1484"/>
      <c r="K7" s="1488" t="s">
        <v>2010</v>
      </c>
      <c r="L7" s="1484"/>
      <c r="M7" s="1488" t="s">
        <v>929</v>
      </c>
      <c r="N7" s="1484"/>
      <c r="O7" s="1488" t="s">
        <v>379</v>
      </c>
      <c r="P7" s="1484"/>
      <c r="Q7" s="1489">
        <v>0.03</v>
      </c>
      <c r="R7" s="1484"/>
      <c r="S7" s="1489">
        <v>0.04</v>
      </c>
      <c r="T7" s="1484"/>
      <c r="U7" s="1488" t="s">
        <v>122</v>
      </c>
      <c r="V7" s="1484"/>
      <c r="W7" s="1488" t="s">
        <v>73</v>
      </c>
      <c r="X7" s="1490"/>
      <c r="Y7" s="1487" t="s">
        <v>2011</v>
      </c>
      <c r="Z7" s="976"/>
      <c r="AA7" s="969"/>
      <c r="AB7" s="975"/>
      <c r="AC7" s="970"/>
      <c r="AD7" s="974"/>
      <c r="AE7" s="970"/>
      <c r="AF7" s="970"/>
      <c r="AG7" s="970"/>
      <c r="AH7" s="970"/>
      <c r="AI7" s="970"/>
      <c r="AJ7" s="970"/>
      <c r="AK7" s="970"/>
      <c r="AL7" s="970"/>
      <c r="AM7" s="970"/>
      <c r="AN7" s="970"/>
      <c r="AO7" s="970"/>
      <c r="AP7" s="970"/>
      <c r="AQ7" s="970"/>
      <c r="AR7" s="970"/>
      <c r="AS7" s="970"/>
      <c r="AT7" s="970"/>
      <c r="AU7" s="970"/>
      <c r="AV7" s="970"/>
      <c r="AW7" s="970"/>
      <c r="AX7" s="970"/>
      <c r="AY7" s="970"/>
      <c r="AZ7" s="970"/>
      <c r="BA7" s="970"/>
      <c r="BB7" s="970"/>
      <c r="BC7" s="970"/>
      <c r="BD7" s="970"/>
      <c r="BE7" s="970"/>
      <c r="BF7" s="970"/>
      <c r="BG7" s="970"/>
      <c r="BH7" s="970"/>
      <c r="BI7" s="970"/>
      <c r="BJ7" s="970"/>
      <c r="BK7" s="970"/>
      <c r="BL7" s="970"/>
      <c r="BM7" s="970"/>
      <c r="BN7" s="970"/>
      <c r="BO7" s="970"/>
      <c r="BP7" s="970"/>
      <c r="BQ7" s="970"/>
      <c r="BR7" s="970"/>
      <c r="BS7" s="970"/>
      <c r="BT7" s="970"/>
      <c r="BU7" s="970"/>
      <c r="BV7" s="970"/>
      <c r="BW7" s="970"/>
      <c r="BX7" s="970"/>
      <c r="BY7" s="970"/>
      <c r="BZ7" s="970"/>
      <c r="CA7" s="970"/>
      <c r="CB7" s="970"/>
      <c r="CC7" s="970"/>
      <c r="CD7" s="970"/>
      <c r="CE7" s="970"/>
      <c r="CF7" s="970"/>
      <c r="CG7" s="970"/>
      <c r="CH7" s="970"/>
      <c r="CI7" s="970"/>
      <c r="CJ7" s="970"/>
      <c r="CK7" s="970"/>
      <c r="CL7" s="970"/>
      <c r="CM7" s="970"/>
      <c r="CN7" s="970"/>
      <c r="CO7" s="970"/>
      <c r="CP7" s="970"/>
      <c r="CQ7" s="970"/>
      <c r="CR7" s="970"/>
      <c r="CS7" s="970"/>
      <c r="CT7" s="970"/>
      <c r="CU7" s="970"/>
      <c r="CV7" s="970"/>
      <c r="CW7" s="970"/>
      <c r="CX7" s="970"/>
      <c r="CY7" s="970"/>
      <c r="CZ7" s="970"/>
      <c r="DA7" s="970"/>
      <c r="DB7" s="970"/>
      <c r="DC7" s="970"/>
      <c r="DD7" s="970"/>
      <c r="DE7" s="970"/>
      <c r="DF7" s="970"/>
      <c r="DG7" s="970"/>
      <c r="DH7" s="970"/>
      <c r="DI7" s="970"/>
      <c r="DJ7" s="970"/>
      <c r="DK7" s="970"/>
      <c r="DL7" s="970"/>
      <c r="DM7" s="970"/>
      <c r="DN7" s="970"/>
      <c r="DO7" s="970"/>
      <c r="DP7" s="970"/>
      <c r="DQ7" s="970"/>
      <c r="DR7" s="970"/>
      <c r="DS7" s="970"/>
      <c r="DT7" s="970"/>
      <c r="DU7" s="970"/>
      <c r="DV7" s="970"/>
      <c r="DW7" s="970"/>
      <c r="DX7" s="970"/>
      <c r="DY7" s="970"/>
      <c r="DZ7" s="970"/>
      <c r="EA7" s="970"/>
      <c r="EB7" s="970"/>
      <c r="EC7" s="970"/>
      <c r="ED7" s="970"/>
      <c r="EE7" s="970"/>
      <c r="EF7" s="970"/>
      <c r="EG7" s="970"/>
      <c r="EH7" s="970"/>
      <c r="EI7" s="970"/>
      <c r="EJ7" s="970"/>
      <c r="EK7" s="970"/>
      <c r="EL7" s="970"/>
      <c r="EM7" s="970"/>
      <c r="EN7" s="970"/>
      <c r="EO7" s="970"/>
      <c r="EP7" s="970"/>
      <c r="EQ7" s="970"/>
      <c r="ER7" s="970"/>
      <c r="ES7" s="970"/>
      <c r="ET7" s="970"/>
      <c r="EU7" s="970"/>
      <c r="EV7" s="970"/>
      <c r="EW7" s="970"/>
      <c r="EX7" s="970"/>
      <c r="EY7" s="970"/>
      <c r="EZ7" s="970"/>
      <c r="FA7" s="970"/>
      <c r="FB7" s="970"/>
      <c r="FC7" s="970"/>
      <c r="FD7" s="970"/>
      <c r="FE7" s="970"/>
      <c r="FF7" s="970"/>
      <c r="FG7" s="970"/>
      <c r="FH7" s="970"/>
      <c r="FI7" s="970"/>
      <c r="FJ7" s="970"/>
      <c r="FK7" s="970"/>
      <c r="FL7" s="970"/>
      <c r="FM7" s="970"/>
      <c r="FN7" s="970"/>
      <c r="FO7" s="970"/>
      <c r="FP7" s="970"/>
      <c r="FQ7" s="970"/>
      <c r="FR7" s="970"/>
      <c r="FS7" s="970"/>
      <c r="FT7" s="970"/>
      <c r="FU7" s="970"/>
      <c r="FV7" s="970"/>
      <c r="FW7" s="970"/>
      <c r="FX7" s="970"/>
      <c r="FY7" s="970"/>
      <c r="FZ7" s="970"/>
      <c r="GA7" s="970"/>
      <c r="GB7" s="970"/>
      <c r="GC7" s="970"/>
      <c r="GD7" s="970"/>
      <c r="GE7" s="970"/>
      <c r="GF7" s="970"/>
      <c r="GG7" s="970"/>
      <c r="GH7" s="970"/>
      <c r="GI7" s="970"/>
      <c r="GJ7" s="970"/>
      <c r="GK7" s="970"/>
      <c r="GL7" s="970"/>
      <c r="GM7" s="970"/>
      <c r="GN7" s="970"/>
      <c r="GO7" s="970"/>
      <c r="GP7" s="970"/>
      <c r="GQ7" s="970"/>
      <c r="GR7" s="970"/>
      <c r="GS7" s="970"/>
      <c r="GT7" s="970"/>
      <c r="GU7" s="970"/>
      <c r="GV7" s="970"/>
    </row>
    <row r="10" spans="1:204" s="961" customFormat="1" ht="16.5" thickBot="1">
      <c r="B10" s="962" t="s">
        <v>1286</v>
      </c>
      <c r="E10" s="1479">
        <v>4851704.3200000012</v>
      </c>
      <c r="F10" s="1480"/>
      <c r="G10" s="1480">
        <v>317992.13135999994</v>
      </c>
      <c r="H10" s="1480"/>
      <c r="I10" s="1480">
        <v>3192</v>
      </c>
      <c r="J10" s="1480"/>
      <c r="K10" s="1480">
        <v>65809.350000000064</v>
      </c>
      <c r="L10" s="1480"/>
      <c r="M10" s="1479">
        <v>386993.48136000015</v>
      </c>
      <c r="N10" s="1480"/>
      <c r="O10" s="1480">
        <v>418992</v>
      </c>
      <c r="P10" s="1480"/>
      <c r="Q10" s="1480">
        <v>145229.76959999997</v>
      </c>
      <c r="R10" s="1480"/>
      <c r="S10" s="1480">
        <v>193639.69280000005</v>
      </c>
      <c r="T10" s="1480"/>
      <c r="U10" s="1480">
        <v>25424</v>
      </c>
      <c r="V10" s="1480"/>
      <c r="W10" s="1479">
        <v>783285.46239999961</v>
      </c>
      <c r="X10" s="1001"/>
      <c r="Y10" s="1001">
        <v>4851704.3200000012</v>
      </c>
      <c r="Z10" s="978"/>
      <c r="AA10" s="979"/>
      <c r="AB10" s="978"/>
      <c r="AC10" s="978"/>
      <c r="AD10" s="1480">
        <v>4851704.3200000012</v>
      </c>
    </row>
    <row r="11" spans="1:204" ht="15.75" thickTop="1"/>
    <row r="12" spans="1:204">
      <c r="C12" s="977" t="s">
        <v>87</v>
      </c>
      <c r="D12" s="1386">
        <f>+'Input Schedule'!D17</f>
        <v>2.775347522522463E-2</v>
      </c>
      <c r="E12" s="980">
        <f>E10*$D$12</f>
        <v>134651.65564523535</v>
      </c>
      <c r="G12" s="980">
        <f>G10*$D$12</f>
        <v>8825.3867395161342</v>
      </c>
      <c r="I12" s="980">
        <f>I10*$D$12</f>
        <v>88.589092918917018</v>
      </c>
      <c r="K12" s="980">
        <f>K10*$D$12</f>
        <v>1826.4381648131382</v>
      </c>
      <c r="M12" s="980">
        <f>M10*$D$12</f>
        <v>10740.413997248193</v>
      </c>
      <c r="O12" s="980">
        <f>O10*$D$12</f>
        <v>11628.484091567318</v>
      </c>
      <c r="Q12" s="980">
        <f>Q10*$D$12</f>
        <v>4030.6308125586802</v>
      </c>
      <c r="S12" s="980">
        <f>S10*$D$12</f>
        <v>5374.1744167449096</v>
      </c>
      <c r="U12" s="980">
        <f>U10*$D$12</f>
        <v>705.60435412611105</v>
      </c>
      <c r="W12" s="980">
        <f>W10*$D$12</f>
        <v>21738.893674997009</v>
      </c>
      <c r="Y12" s="980">
        <f>Y10*$D$12</f>
        <v>134651.65564523535</v>
      </c>
      <c r="AD12" s="980">
        <f>AD10*$D$12</f>
        <v>134651.65564523535</v>
      </c>
    </row>
  </sheetData>
  <pageMargins left="0.7" right="0.7" top="0.75" bottom="0.75" header="0.3" footer="0.3"/>
  <pageSetup scale="71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  <pageSetUpPr fitToPage="1"/>
  </sheetPr>
  <dimension ref="A1:N67"/>
  <sheetViews>
    <sheetView view="pageBreakPreview" topLeftCell="A13" zoomScale="85" zoomScaleNormal="100" zoomScaleSheetLayoutView="85" workbookViewId="0">
      <selection activeCell="L22" sqref="L22"/>
    </sheetView>
  </sheetViews>
  <sheetFormatPr defaultColWidth="10.875" defaultRowHeight="15"/>
  <cols>
    <col min="1" max="1" width="3.875" style="13" customWidth="1"/>
    <col min="2" max="2" width="19" style="13" bestFit="1" customWidth="1"/>
    <col min="3" max="3" width="5.25" style="13" bestFit="1" customWidth="1"/>
    <col min="4" max="5" width="10.125" style="13" bestFit="1" customWidth="1"/>
    <col min="6" max="6" width="9.5" style="13" bestFit="1" customWidth="1"/>
    <col min="7" max="7" width="2" style="13" customWidth="1"/>
    <col min="8" max="8" width="10" style="13" bestFit="1" customWidth="1"/>
    <col min="9" max="9" width="2.625" style="13" customWidth="1"/>
    <col min="10" max="10" width="9.875" style="70" customWidth="1"/>
    <col min="11" max="11" width="2.625" style="70" customWidth="1"/>
    <col min="12" max="12" width="7.25" style="70" bestFit="1" customWidth="1"/>
    <col min="13" max="13" width="12.5" style="70" customWidth="1"/>
    <col min="14" max="14" width="26.625" style="70" customWidth="1"/>
    <col min="15" max="16" width="10.875" style="20" customWidth="1"/>
    <col min="17" max="21" width="0" style="20" hidden="1" customWidth="1"/>
    <col min="22" max="16384" width="10.875" style="20"/>
  </cols>
  <sheetData>
    <row r="1" spans="1:14">
      <c r="A1" s="36" t="str">
        <f>'Input Schedule'!G6</f>
        <v>WATER SERVICE CORPORATION OF KENTUCKY</v>
      </c>
      <c r="L1" s="74" t="s">
        <v>2180</v>
      </c>
    </row>
    <row r="2" spans="1:14">
      <c r="A2" s="36" t="str">
        <f>'Sch.A-B.S'!F2</f>
        <v>Case No. 2013 - 00237</v>
      </c>
      <c r="L2" s="74"/>
    </row>
    <row r="3" spans="1:14">
      <c r="A3" s="36" t="s">
        <v>401</v>
      </c>
    </row>
    <row r="4" spans="1:14">
      <c r="A4" s="36" t="str">
        <f>'Sch.B-I.S'!A4</f>
        <v>Test Year 12/31/2012</v>
      </c>
    </row>
    <row r="5" spans="1:14">
      <c r="A5" s="36"/>
      <c r="J5" s="13"/>
    </row>
    <row r="6" spans="1:14">
      <c r="J6" s="13"/>
    </row>
    <row r="7" spans="1:14">
      <c r="H7" s="136" t="s">
        <v>391</v>
      </c>
      <c r="J7" s="13"/>
      <c r="K7" s="137"/>
      <c r="L7" s="137"/>
      <c r="M7" s="137"/>
      <c r="N7" s="137"/>
    </row>
    <row r="8" spans="1:14">
      <c r="J8" s="13"/>
      <c r="K8" s="137"/>
      <c r="L8" s="137"/>
      <c r="M8" s="137"/>
      <c r="N8" s="137"/>
    </row>
    <row r="9" spans="1:14">
      <c r="A9" s="13" t="s">
        <v>885</v>
      </c>
      <c r="H9" s="17">
        <v>80000</v>
      </c>
      <c r="J9" s="13"/>
      <c r="K9" s="137"/>
      <c r="L9" s="137"/>
      <c r="M9" s="137"/>
      <c r="N9" s="137"/>
    </row>
    <row r="10" spans="1:14">
      <c r="H10" s="17"/>
      <c r="J10" s="13"/>
      <c r="K10" s="137"/>
      <c r="L10" s="137"/>
      <c r="M10" s="137"/>
      <c r="N10" s="137"/>
    </row>
    <row r="11" spans="1:14">
      <c r="A11" s="13" t="s">
        <v>1612</v>
      </c>
      <c r="H11" s="17">
        <v>25000</v>
      </c>
      <c r="J11" s="13"/>
      <c r="K11" s="137"/>
      <c r="L11" s="137"/>
      <c r="M11" s="137"/>
      <c r="N11" s="137"/>
    </row>
    <row r="12" spans="1:14">
      <c r="D12" s="17"/>
      <c r="J12" s="13"/>
    </row>
    <row r="13" spans="1:14">
      <c r="A13" s="13" t="s">
        <v>1983</v>
      </c>
      <c r="D13" s="17"/>
      <c r="J13" s="13"/>
    </row>
    <row r="14" spans="1:14">
      <c r="B14" s="13" t="s">
        <v>1982</v>
      </c>
      <c r="D14" s="17"/>
      <c r="H14" s="70">
        <v>7000</v>
      </c>
      <c r="I14" s="2"/>
      <c r="J14" s="13"/>
    </row>
    <row r="15" spans="1:14">
      <c r="D15" s="17"/>
      <c r="J15" s="13"/>
    </row>
    <row r="16" spans="1:14">
      <c r="A16" s="13" t="s">
        <v>406</v>
      </c>
      <c r="H16" s="13">
        <v>5000</v>
      </c>
      <c r="J16" s="13"/>
    </row>
    <row r="17" spans="1:10">
      <c r="J17" s="13"/>
    </row>
    <row r="18" spans="1:10">
      <c r="F18" s="4" t="s">
        <v>353</v>
      </c>
      <c r="J18" s="13"/>
    </row>
    <row r="19" spans="1:10">
      <c r="D19" s="23" t="s">
        <v>911</v>
      </c>
      <c r="E19" s="35" t="s">
        <v>571</v>
      </c>
      <c r="F19" s="35" t="s">
        <v>630</v>
      </c>
      <c r="J19" s="13"/>
    </row>
    <row r="20" spans="1:10">
      <c r="A20" s="13" t="s">
        <v>631</v>
      </c>
      <c r="J20" s="13"/>
    </row>
    <row r="21" spans="1:10">
      <c r="B21" s="13" t="s">
        <v>1140</v>
      </c>
      <c r="D21" s="4">
        <v>2</v>
      </c>
      <c r="E21" s="13">
        <v>350</v>
      </c>
      <c r="F21" s="13">
        <v>3</v>
      </c>
      <c r="H21" s="13">
        <f>D21*E21*F21</f>
        <v>2100</v>
      </c>
      <c r="J21" s="13"/>
    </row>
    <row r="22" spans="1:10">
      <c r="B22" s="13" t="s">
        <v>1141</v>
      </c>
      <c r="D22" s="4">
        <v>2</v>
      </c>
      <c r="E22" s="13">
        <v>180</v>
      </c>
      <c r="F22" s="13">
        <v>6</v>
      </c>
      <c r="H22" s="13">
        <f>D22*E22*F22</f>
        <v>2160</v>
      </c>
      <c r="J22" s="13"/>
    </row>
    <row r="23" spans="1:10">
      <c r="B23" s="13" t="s">
        <v>381</v>
      </c>
      <c r="E23" s="13">
        <v>200</v>
      </c>
      <c r="H23" s="13">
        <f>+E23</f>
        <v>200</v>
      </c>
    </row>
    <row r="25" spans="1:10">
      <c r="A25" s="13" t="s">
        <v>672</v>
      </c>
    </row>
    <row r="26" spans="1:10">
      <c r="C26" s="35" t="s">
        <v>900</v>
      </c>
      <c r="D26" s="35" t="s">
        <v>901</v>
      </c>
      <c r="E26" s="35" t="s">
        <v>784</v>
      </c>
      <c r="F26" s="4"/>
    </row>
    <row r="27" spans="1:10">
      <c r="C27" s="138"/>
      <c r="D27" s="138"/>
      <c r="E27" s="19"/>
      <c r="F27" s="4"/>
    </row>
    <row r="28" spans="1:10">
      <c r="B28" s="17" t="s">
        <v>1995</v>
      </c>
      <c r="C28" s="41">
        <v>500</v>
      </c>
      <c r="D28" s="461">
        <v>32</v>
      </c>
      <c r="E28" s="21">
        <f>C28*D28</f>
        <v>16000</v>
      </c>
    </row>
    <row r="29" spans="1:10">
      <c r="B29" s="17" t="s">
        <v>2119</v>
      </c>
      <c r="C29" s="41">
        <v>75</v>
      </c>
      <c r="D29" s="461">
        <v>32</v>
      </c>
      <c r="E29" s="21">
        <f>C29*D29</f>
        <v>2400</v>
      </c>
    </row>
    <row r="30" spans="1:10">
      <c r="B30" s="17" t="s">
        <v>1994</v>
      </c>
      <c r="C30" s="41">
        <v>450</v>
      </c>
      <c r="D30" s="461">
        <v>39</v>
      </c>
      <c r="E30" s="21">
        <f t="shared" ref="E30:E37" si="0">C30*D30</f>
        <v>17550</v>
      </c>
    </row>
    <row r="31" spans="1:10">
      <c r="B31" s="17" t="s">
        <v>1967</v>
      </c>
      <c r="C31" s="41">
        <v>200</v>
      </c>
      <c r="D31" s="461">
        <v>48</v>
      </c>
      <c r="E31" s="21">
        <f t="shared" si="0"/>
        <v>9600</v>
      </c>
    </row>
    <row r="32" spans="1:10">
      <c r="B32" s="17" t="s">
        <v>1992</v>
      </c>
      <c r="C32" s="41">
        <v>50</v>
      </c>
      <c r="D32" s="461">
        <v>22</v>
      </c>
      <c r="E32" s="21">
        <f t="shared" si="0"/>
        <v>1100</v>
      </c>
    </row>
    <row r="33" spans="1:13">
      <c r="B33" s="17" t="s">
        <v>1993</v>
      </c>
      <c r="C33" s="41">
        <v>50</v>
      </c>
      <c r="D33" s="461">
        <v>23</v>
      </c>
      <c r="E33" s="21">
        <f t="shared" si="0"/>
        <v>1150</v>
      </c>
    </row>
    <row r="34" spans="1:13">
      <c r="B34" s="17" t="s">
        <v>1991</v>
      </c>
      <c r="C34" s="41">
        <v>80</v>
      </c>
      <c r="D34" s="461">
        <v>103</v>
      </c>
      <c r="E34" s="21">
        <f t="shared" si="0"/>
        <v>8240</v>
      </c>
    </row>
    <row r="35" spans="1:13">
      <c r="B35" s="17" t="s">
        <v>1524</v>
      </c>
      <c r="C35" s="41">
        <v>80</v>
      </c>
      <c r="D35" s="461">
        <v>81</v>
      </c>
      <c r="E35" s="21">
        <f t="shared" si="0"/>
        <v>6480</v>
      </c>
    </row>
    <row r="36" spans="1:13">
      <c r="B36" s="17" t="s">
        <v>1525</v>
      </c>
      <c r="C36" s="41">
        <v>50</v>
      </c>
      <c r="D36" s="461">
        <v>130.64844057539656</v>
      </c>
      <c r="E36" s="21">
        <f t="shared" si="0"/>
        <v>6532.4220287698281</v>
      </c>
    </row>
    <row r="37" spans="1:13">
      <c r="B37" s="17" t="s">
        <v>1529</v>
      </c>
      <c r="C37" s="41">
        <v>80</v>
      </c>
      <c r="D37" s="461">
        <v>37.050982732982852</v>
      </c>
      <c r="E37" s="21">
        <f t="shared" si="0"/>
        <v>2964.0786186386281</v>
      </c>
    </row>
    <row r="38" spans="1:13">
      <c r="E38" s="138"/>
    </row>
    <row r="39" spans="1:13">
      <c r="B39" s="13" t="s">
        <v>391</v>
      </c>
      <c r="H39" s="23">
        <f>SUM(E27:E37)</f>
        <v>72016.500647408451</v>
      </c>
    </row>
    <row r="40" spans="1:13">
      <c r="H40" s="37"/>
    </row>
    <row r="41" spans="1:13">
      <c r="H41" s="37"/>
      <c r="M41" s="60"/>
    </row>
    <row r="42" spans="1:13">
      <c r="M42" s="60"/>
    </row>
    <row r="43" spans="1:13">
      <c r="A43" s="13" t="s">
        <v>902</v>
      </c>
      <c r="H43" s="138">
        <f>SUM(H9:H40)</f>
        <v>193476.50064740845</v>
      </c>
      <c r="M43" s="60"/>
    </row>
    <row r="44" spans="1:13">
      <c r="H44" s="138"/>
      <c r="M44" s="60"/>
    </row>
    <row r="45" spans="1:13">
      <c r="A45" s="13" t="s">
        <v>1609</v>
      </c>
      <c r="H45" s="4">
        <f>D67</f>
        <v>27504.583333333314</v>
      </c>
      <c r="M45" s="60"/>
    </row>
    <row r="46" spans="1:13">
      <c r="H46" s="37"/>
      <c r="M46" s="60"/>
    </row>
    <row r="47" spans="1:13">
      <c r="A47" s="13" t="s">
        <v>1610</v>
      </c>
      <c r="H47" s="4">
        <f>SUM(H45,H43)</f>
        <v>220981.08398074177</v>
      </c>
      <c r="M47" s="60"/>
    </row>
    <row r="48" spans="1:13">
      <c r="H48" s="17"/>
      <c r="I48" s="17"/>
      <c r="J48" s="60"/>
      <c r="K48" s="60"/>
      <c r="L48" s="60"/>
      <c r="M48" s="60"/>
    </row>
    <row r="49" spans="1:13">
      <c r="A49" s="13" t="s">
        <v>903</v>
      </c>
      <c r="H49" s="23">
        <v>3</v>
      </c>
      <c r="M49" s="60"/>
    </row>
    <row r="50" spans="1:13">
      <c r="H50" s="19"/>
      <c r="M50" s="60"/>
    </row>
    <row r="51" spans="1:13">
      <c r="H51" s="37"/>
      <c r="J51" s="20"/>
      <c r="K51" s="20"/>
      <c r="L51" s="20"/>
      <c r="M51" s="60"/>
    </row>
    <row r="52" spans="1:13">
      <c r="J52" s="20"/>
      <c r="K52" s="20"/>
      <c r="L52" s="20"/>
      <c r="M52" s="60"/>
    </row>
    <row r="53" spans="1:13" ht="15.75" thickBot="1">
      <c r="A53" s="36" t="s">
        <v>102</v>
      </c>
      <c r="H53" s="46">
        <f>ROUND(H47/H49,0)</f>
        <v>73660</v>
      </c>
      <c r="I53" s="42"/>
      <c r="J53" s="20"/>
      <c r="K53" s="20"/>
      <c r="L53" s="20"/>
      <c r="M53" s="60"/>
    </row>
    <row r="54" spans="1:13" ht="15.75" thickTop="1">
      <c r="M54" s="60"/>
    </row>
    <row r="55" spans="1:13">
      <c r="A55" s="36"/>
      <c r="G55" s="19"/>
      <c r="H55" s="19"/>
      <c r="I55" s="19"/>
      <c r="J55" s="139" t="s">
        <v>822</v>
      </c>
      <c r="L55" s="139" t="s">
        <v>104</v>
      </c>
      <c r="M55" s="60"/>
    </row>
    <row r="56" spans="1:13">
      <c r="A56" s="36"/>
      <c r="G56" s="19"/>
      <c r="H56" s="19"/>
      <c r="I56" s="19"/>
      <c r="J56" s="1293">
        <f>H53*'Input Schedule'!D7</f>
        <v>73660</v>
      </c>
      <c r="K56" s="1293"/>
      <c r="L56" s="1293">
        <f>H53-J56</f>
        <v>0</v>
      </c>
    </row>
    <row r="57" spans="1:13">
      <c r="G57" s="19"/>
      <c r="H57" s="19"/>
      <c r="I57" s="19"/>
      <c r="J57" s="24"/>
      <c r="K57" s="24"/>
      <c r="L57" s="24"/>
    </row>
    <row r="59" spans="1:13">
      <c r="B59" s="13" t="s">
        <v>2171</v>
      </c>
      <c r="D59" s="13">
        <f>66011*3</f>
        <v>198033</v>
      </c>
    </row>
    <row r="60" spans="1:13">
      <c r="B60" s="13" t="s">
        <v>2172</v>
      </c>
      <c r="D60" s="13">
        <v>3</v>
      </c>
    </row>
    <row r="61" spans="1:13">
      <c r="B61" s="13" t="s">
        <v>2173</v>
      </c>
      <c r="D61" s="13">
        <f>D59/D60</f>
        <v>66011</v>
      </c>
    </row>
    <row r="62" spans="1:13">
      <c r="B62" s="13" t="s">
        <v>2174</v>
      </c>
      <c r="D62" s="13">
        <f>D61/12</f>
        <v>5500.916666666667</v>
      </c>
    </row>
    <row r="63" spans="1:13">
      <c r="B63" s="13" t="s">
        <v>2175</v>
      </c>
      <c r="D63" s="1752">
        <v>40878</v>
      </c>
    </row>
    <row r="64" spans="1:13">
      <c r="B64" s="13" t="s">
        <v>2176</v>
      </c>
      <c r="D64" s="1752">
        <v>41973</v>
      </c>
      <c r="F64" s="13" t="s">
        <v>2183</v>
      </c>
      <c r="H64" s="13" t="s">
        <v>2184</v>
      </c>
      <c r="J64" s="70" t="s">
        <v>2185</v>
      </c>
    </row>
    <row r="65" spans="2:10">
      <c r="B65" s="13" t="s">
        <v>2177</v>
      </c>
      <c r="D65" s="13">
        <f>36-J65</f>
        <v>31</v>
      </c>
      <c r="E65" s="1752"/>
      <c r="F65" s="1752">
        <v>41518</v>
      </c>
      <c r="G65" s="1752"/>
      <c r="H65" s="1752">
        <v>41821</v>
      </c>
      <c r="J65" s="1754">
        <f>ROUND((D64-H65)/30,0)</f>
        <v>5</v>
      </c>
    </row>
    <row r="66" spans="2:10">
      <c r="B66" s="13" t="s">
        <v>2178</v>
      </c>
      <c r="D66" s="13">
        <f>D65*D62</f>
        <v>170528.41666666669</v>
      </c>
    </row>
    <row r="67" spans="2:10">
      <c r="B67" s="13" t="s">
        <v>2179</v>
      </c>
      <c r="D67" s="13">
        <f>D59-D66</f>
        <v>27504.583333333314</v>
      </c>
    </row>
  </sheetData>
  <phoneticPr fontId="26" type="noConversion"/>
  <printOptions horizontalCentered="1"/>
  <pageMargins left="0.25" right="0" top="0.25" bottom="0.5" header="0.5" footer="0.5"/>
  <pageSetup scale="90" orientation="portrait" horizontalDpi="4294967292" vertic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>
    <tabColor rgb="FFFFC000"/>
    <pageSetUpPr fitToPage="1"/>
  </sheetPr>
  <dimension ref="A1:N122"/>
  <sheetViews>
    <sheetView view="pageBreakPreview" zoomScale="75" zoomScaleNormal="100" zoomScaleSheetLayoutView="75" workbookViewId="0">
      <selection activeCell="T49" sqref="T49"/>
    </sheetView>
  </sheetViews>
  <sheetFormatPr defaultColWidth="10.875" defaultRowHeight="15"/>
  <cols>
    <col min="1" max="1" width="3.125" style="141" customWidth="1"/>
    <col min="2" max="2" width="39.25" style="141" customWidth="1"/>
    <col min="3" max="3" width="3" style="141" customWidth="1"/>
    <col min="4" max="4" width="12.875" style="141" customWidth="1"/>
    <col min="5" max="5" width="4.125" style="141" customWidth="1"/>
    <col min="6" max="6" width="3" style="141" customWidth="1"/>
    <col min="7" max="7" width="14.5" style="141" customWidth="1"/>
    <col min="8" max="9" width="10.875" style="141" customWidth="1"/>
    <col min="10" max="10" width="9.625" style="141" customWidth="1"/>
    <col min="11" max="13" width="10.875" style="141" customWidth="1"/>
    <col min="14" max="14" width="26.625" style="141" customWidth="1"/>
    <col min="15" max="18" width="0" style="141" hidden="1" customWidth="1"/>
    <col min="19" max="16384" width="10.875" style="141"/>
  </cols>
  <sheetData>
    <row r="1" spans="1:7">
      <c r="A1" s="140" t="str">
        <f>'Input Schedule'!G6</f>
        <v>WATER SERVICE CORPORATION OF KENTUCKY</v>
      </c>
      <c r="D1" s="142" t="s">
        <v>982</v>
      </c>
      <c r="F1" s="142"/>
      <c r="G1" s="143"/>
    </row>
    <row r="2" spans="1:7">
      <c r="A2" s="140" t="str">
        <f>'Sch.A-B.S'!F2</f>
        <v>Case No. 2013 - 00237</v>
      </c>
      <c r="D2" s="142"/>
      <c r="F2" s="142"/>
      <c r="G2" s="143"/>
    </row>
    <row r="3" spans="1:7">
      <c r="A3" s="144" t="s">
        <v>832</v>
      </c>
      <c r="G3" s="143"/>
    </row>
    <row r="4" spans="1:7">
      <c r="A4" s="39" t="str">
        <f>'Sch.B-I.S'!A4</f>
        <v>Test Year 12/31/2012</v>
      </c>
      <c r="G4" s="144"/>
    </row>
    <row r="5" spans="1:7">
      <c r="G5" s="145"/>
    </row>
    <row r="7" spans="1:7">
      <c r="D7" s="146" t="s">
        <v>822</v>
      </c>
      <c r="E7" s="147"/>
      <c r="F7" s="149"/>
    </row>
    <row r="10" spans="1:7">
      <c r="A10" s="150" t="s">
        <v>125</v>
      </c>
    </row>
    <row r="12" spans="1:7">
      <c r="B12" s="141" t="s">
        <v>833</v>
      </c>
      <c r="D12" s="151">
        <f>+'Linked TB'!E626</f>
        <v>3919.74</v>
      </c>
    </row>
    <row r="13" spans="1:7">
      <c r="B13" s="141" t="s">
        <v>505</v>
      </c>
      <c r="D13" s="141">
        <f>+'Linked TB'!E625</f>
        <v>51539.39</v>
      </c>
    </row>
    <row r="14" spans="1:7">
      <c r="B14" s="141" t="s">
        <v>506</v>
      </c>
      <c r="D14" s="141">
        <f>+'Linked TB'!E623</f>
        <v>23070.71</v>
      </c>
    </row>
    <row r="15" spans="1:7">
      <c r="B15" s="141" t="s">
        <v>1543</v>
      </c>
      <c r="D15" s="141">
        <f>'Linked TB'!E624</f>
        <v>-1.0900000000000001</v>
      </c>
    </row>
    <row r="16" spans="1:7">
      <c r="B16" s="141" t="s">
        <v>781</v>
      </c>
      <c r="D16" s="215">
        <f>+'Linked TB'!E622</f>
        <v>0</v>
      </c>
    </row>
    <row r="17" spans="1:14">
      <c r="B17" s="141" t="s">
        <v>507</v>
      </c>
      <c r="D17" s="141">
        <f>+'Linked TB'!E621</f>
        <v>7782.6900000000005</v>
      </c>
    </row>
    <row r="18" spans="1:14">
      <c r="B18" s="141" t="s">
        <v>637</v>
      </c>
      <c r="D18" s="148">
        <f>+'Linked TB'!E619</f>
        <v>49453.909999999989</v>
      </c>
    </row>
    <row r="20" spans="1:14">
      <c r="B20" s="141" t="s">
        <v>391</v>
      </c>
      <c r="D20" s="310">
        <f>SUM(D12:D18)</f>
        <v>135765.34999999998</v>
      </c>
      <c r="E20" s="149"/>
    </row>
    <row r="21" spans="1:14">
      <c r="B21" s="311"/>
    </row>
    <row r="22" spans="1:14">
      <c r="H22" s="152"/>
      <c r="I22" s="152"/>
      <c r="J22" s="152"/>
      <c r="K22" s="152"/>
      <c r="L22" s="152"/>
      <c r="M22" s="152"/>
      <c r="N22" s="152"/>
    </row>
    <row r="23" spans="1:14">
      <c r="A23" s="150" t="s">
        <v>568</v>
      </c>
      <c r="H23" s="152"/>
      <c r="I23" s="152"/>
      <c r="J23" s="152"/>
      <c r="K23" s="152"/>
      <c r="L23" s="152"/>
      <c r="M23" s="152"/>
      <c r="N23" s="152"/>
    </row>
    <row r="24" spans="1:14">
      <c r="H24" s="152"/>
      <c r="I24" s="152"/>
      <c r="J24" s="152"/>
      <c r="K24" s="152"/>
      <c r="L24" s="152"/>
      <c r="M24" s="152"/>
      <c r="N24" s="152"/>
    </row>
    <row r="25" spans="1:14">
      <c r="D25" s="153"/>
      <c r="E25" s="153"/>
      <c r="H25" s="152"/>
      <c r="I25" s="152"/>
      <c r="J25" s="152"/>
      <c r="K25" s="152"/>
      <c r="L25" s="152"/>
      <c r="M25" s="152"/>
      <c r="N25" s="152"/>
    </row>
    <row r="26" spans="1:14">
      <c r="B26" s="141" t="s">
        <v>502</v>
      </c>
      <c r="D26" s="17">
        <f>'Wp b - salary'!K84</f>
        <v>8297.1719566045649</v>
      </c>
      <c r="E26" s="152"/>
      <c r="H26" s="152"/>
      <c r="I26" s="152"/>
      <c r="J26" s="152"/>
      <c r="K26" s="152"/>
      <c r="L26" s="152"/>
      <c r="M26" s="152"/>
      <c r="N26" s="152"/>
    </row>
    <row r="27" spans="1:14">
      <c r="D27" s="152"/>
      <c r="E27" s="152"/>
      <c r="H27" s="152"/>
      <c r="I27" s="152"/>
      <c r="J27" s="152"/>
      <c r="K27" s="152"/>
      <c r="L27" s="152"/>
      <c r="M27" s="152"/>
      <c r="N27" s="152"/>
    </row>
    <row r="28" spans="1:14">
      <c r="D28" s="154"/>
      <c r="E28" s="152"/>
      <c r="H28" s="152"/>
      <c r="I28" s="152"/>
      <c r="J28" s="152"/>
      <c r="K28" s="152"/>
      <c r="L28" s="152"/>
      <c r="M28" s="152"/>
      <c r="N28" s="152"/>
    </row>
    <row r="29" spans="1:14" ht="15.75" thickBot="1">
      <c r="B29" s="144" t="s">
        <v>889</v>
      </c>
      <c r="D29" s="1482">
        <f>SUM(D25:D27)</f>
        <v>8297.1719566045649</v>
      </c>
      <c r="E29" s="155"/>
      <c r="H29" s="152"/>
      <c r="I29" s="152"/>
      <c r="J29" s="152"/>
      <c r="K29" s="152"/>
      <c r="L29" s="152"/>
      <c r="M29" s="152"/>
      <c r="N29" s="152"/>
    </row>
    <row r="30" spans="1:14" ht="15.75" thickTop="1">
      <c r="D30" s="152"/>
      <c r="E30" s="152"/>
      <c r="F30" s="149"/>
      <c r="H30" s="152"/>
      <c r="I30" s="152"/>
      <c r="J30" s="152"/>
      <c r="K30" s="152"/>
      <c r="L30" s="152"/>
      <c r="M30" s="152"/>
      <c r="N30" s="152"/>
    </row>
    <row r="31" spans="1:14">
      <c r="D31" s="152"/>
      <c r="E31" s="152"/>
      <c r="F31" s="149"/>
      <c r="H31" s="152"/>
      <c r="I31" s="152"/>
      <c r="J31" s="152"/>
      <c r="K31" s="152"/>
    </row>
    <row r="32" spans="1:14" s="144" customFormat="1">
      <c r="B32" s="141"/>
      <c r="C32" s="141"/>
      <c r="D32" s="152"/>
      <c r="E32" s="152"/>
      <c r="F32" s="140"/>
      <c r="H32" s="156"/>
      <c r="I32" s="156"/>
      <c r="J32" s="156"/>
      <c r="K32" s="157"/>
    </row>
    <row r="33" spans="1:11">
      <c r="A33" s="150" t="s">
        <v>807</v>
      </c>
      <c r="D33" s="152"/>
      <c r="E33" s="152"/>
      <c r="H33" s="158"/>
      <c r="I33" s="158"/>
      <c r="J33" s="158"/>
      <c r="K33" s="152"/>
    </row>
    <row r="34" spans="1:11">
      <c r="D34" s="152"/>
      <c r="E34" s="152"/>
      <c r="H34" s="158"/>
      <c r="I34" s="158"/>
      <c r="J34" s="158"/>
      <c r="K34" s="152"/>
    </row>
    <row r="35" spans="1:11" s="144" customFormat="1">
      <c r="B35" s="141"/>
      <c r="C35" s="141"/>
      <c r="D35" s="141"/>
      <c r="E35" s="141"/>
      <c r="F35" s="140"/>
      <c r="G35" s="141"/>
    </row>
    <row r="36" spans="1:11">
      <c r="B36" s="158" t="s">
        <v>933</v>
      </c>
      <c r="C36" s="158"/>
      <c r="D36" s="158">
        <f>'Sch.B-I.S'!N13</f>
        <v>2369432.7876154408</v>
      </c>
      <c r="E36" s="158"/>
    </row>
    <row r="37" spans="1:11" s="158" customFormat="1">
      <c r="D37" s="159"/>
      <c r="E37" s="159"/>
    </row>
    <row r="38" spans="1:11" s="158" customFormat="1">
      <c r="D38" s="256">
        <v>1.583E-3</v>
      </c>
      <c r="E38" s="159"/>
    </row>
    <row r="39" spans="1:11" s="158" customFormat="1"/>
    <row r="40" spans="1:11" s="158" customFormat="1">
      <c r="B40" s="158" t="s">
        <v>1777</v>
      </c>
      <c r="D40" s="156">
        <f>D36*D38</f>
        <v>3750.8121027952429</v>
      </c>
    </row>
    <row r="41" spans="1:11" s="158" customFormat="1">
      <c r="A41" s="160"/>
    </row>
    <row r="42" spans="1:11" s="158" customFormat="1">
      <c r="B42" s="158" t="s">
        <v>252</v>
      </c>
      <c r="D42" s="158">
        <f>D12</f>
        <v>3919.74</v>
      </c>
    </row>
    <row r="43" spans="1:11" s="158" customFormat="1">
      <c r="D43" s="161"/>
      <c r="E43" s="161"/>
    </row>
    <row r="44" spans="1:11" s="158" customFormat="1" ht="15.75" thickBot="1">
      <c r="B44" s="158" t="s">
        <v>889</v>
      </c>
      <c r="D44" s="1315">
        <f>D40-D42</f>
        <v>-168.92789720475685</v>
      </c>
    </row>
    <row r="45" spans="1:11" s="158" customFormat="1" ht="15.75" thickTop="1"/>
    <row r="46" spans="1:11" s="158" customFormat="1"/>
    <row r="47" spans="1:11" s="158" customFormat="1"/>
    <row r="48" spans="1:11" s="158" customFormat="1"/>
    <row r="49" spans="1:8" s="158" customFormat="1">
      <c r="H49" s="162"/>
    </row>
    <row r="50" spans="1:8" s="158" customFormat="1">
      <c r="H50" s="163"/>
    </row>
    <row r="51" spans="1:8" s="158" customFormat="1"/>
    <row r="52" spans="1:8" s="158" customFormat="1"/>
    <row r="53" spans="1:8" s="158" customFormat="1"/>
    <row r="54" spans="1:8" s="158" customFormat="1"/>
    <row r="55" spans="1:8" s="158" customFormat="1">
      <c r="A55" s="160"/>
    </row>
    <row r="56" spans="1:8" s="158" customFormat="1"/>
    <row r="57" spans="1:8" s="158" customFormat="1">
      <c r="D57" s="161"/>
      <c r="E57" s="161"/>
    </row>
    <row r="58" spans="1:8" s="158" customFormat="1"/>
    <row r="59" spans="1:8" s="158" customFormat="1"/>
    <row r="60" spans="1:8" s="158" customFormat="1"/>
    <row r="61" spans="1:8" s="158" customFormat="1"/>
    <row r="62" spans="1:8" s="158" customFormat="1"/>
    <row r="63" spans="1:8" s="158" customFormat="1"/>
    <row r="64" spans="1:8" s="158" customFormat="1"/>
    <row r="65" spans="1:7" s="158" customFormat="1"/>
    <row r="66" spans="1:7" s="158" customFormat="1"/>
    <row r="67" spans="1:7" s="158" customFormat="1"/>
    <row r="68" spans="1:7" s="158" customFormat="1"/>
    <row r="69" spans="1:7" s="158" customFormat="1">
      <c r="A69" s="156"/>
      <c r="F69" s="164"/>
      <c r="G69" s="165"/>
    </row>
    <row r="70" spans="1:7" s="158" customFormat="1"/>
    <row r="71" spans="1:7" s="158" customFormat="1"/>
    <row r="72" spans="1:7" s="158" customFormat="1">
      <c r="D72" s="166"/>
      <c r="E72" s="166"/>
    </row>
    <row r="73" spans="1:7" s="158" customFormat="1"/>
    <row r="74" spans="1:7" s="158" customFormat="1"/>
    <row r="75" spans="1:7" s="158" customFormat="1"/>
    <row r="76" spans="1:7" s="158" customFormat="1"/>
    <row r="77" spans="1:7" s="158" customFormat="1">
      <c r="A77" s="160"/>
    </row>
    <row r="78" spans="1:7" s="158" customFormat="1"/>
    <row r="79" spans="1:7" s="158" customFormat="1">
      <c r="D79" s="161"/>
      <c r="E79" s="161"/>
    </row>
    <row r="80" spans="1:7" s="158" customFormat="1"/>
    <row r="81" spans="1:8" s="158" customFormat="1"/>
    <row r="82" spans="1:8" s="158" customFormat="1"/>
    <row r="83" spans="1:8" s="158" customFormat="1"/>
    <row r="84" spans="1:8" s="158" customFormat="1"/>
    <row r="85" spans="1:8" s="158" customFormat="1">
      <c r="H85" s="162"/>
    </row>
    <row r="86" spans="1:8" s="158" customFormat="1">
      <c r="H86" s="163"/>
    </row>
    <row r="87" spans="1:8" s="158" customFormat="1"/>
    <row r="88" spans="1:8" s="158" customFormat="1"/>
    <row r="89" spans="1:8" s="158" customFormat="1"/>
    <row r="90" spans="1:8" s="158" customFormat="1"/>
    <row r="91" spans="1:8" s="158" customFormat="1">
      <c r="A91" s="160"/>
    </row>
    <row r="92" spans="1:8" s="158" customFormat="1"/>
    <row r="93" spans="1:8" s="158" customFormat="1">
      <c r="D93" s="161"/>
      <c r="E93" s="161"/>
    </row>
    <row r="94" spans="1:8" s="158" customFormat="1"/>
    <row r="95" spans="1:8" s="158" customFormat="1"/>
    <row r="96" spans="1:8" s="158" customFormat="1"/>
    <row r="97" s="158" customFormat="1"/>
    <row r="98" s="158" customFormat="1"/>
    <row r="99" s="158" customFormat="1"/>
    <row r="100" s="158" customFormat="1"/>
    <row r="101" s="158" customFormat="1"/>
    <row r="102" s="158" customFormat="1"/>
    <row r="103" s="158" customFormat="1"/>
    <row r="104" s="158" customFormat="1"/>
    <row r="105" s="158" customFormat="1"/>
    <row r="106" s="158" customFormat="1"/>
    <row r="107" s="158" customFormat="1"/>
    <row r="108" s="158" customFormat="1"/>
    <row r="109" s="158" customFormat="1"/>
    <row r="110" s="158" customFormat="1"/>
    <row r="111" s="158" customFormat="1"/>
    <row r="112" s="158" customFormat="1"/>
    <row r="113" spans="2:5" s="158" customFormat="1"/>
    <row r="114" spans="2:5" s="158" customFormat="1"/>
    <row r="115" spans="2:5" s="158" customFormat="1"/>
    <row r="116" spans="2:5" s="158" customFormat="1"/>
    <row r="117" spans="2:5" s="158" customFormat="1"/>
    <row r="118" spans="2:5" s="158" customFormat="1"/>
    <row r="119" spans="2:5" s="158" customFormat="1"/>
    <row r="120" spans="2:5" s="158" customFormat="1"/>
    <row r="121" spans="2:5" s="158" customFormat="1">
      <c r="B121" s="141"/>
      <c r="C121" s="141"/>
      <c r="D121" s="141"/>
      <c r="E121" s="141"/>
    </row>
    <row r="122" spans="2:5" s="158" customFormat="1">
      <c r="B122" s="141"/>
      <c r="C122" s="141"/>
      <c r="D122" s="141"/>
      <c r="E122" s="141"/>
    </row>
  </sheetData>
  <phoneticPr fontId="26" type="noConversion"/>
  <pageMargins left="0.25" right="0" top="0.5" bottom="0" header="0.5" footer="0.5"/>
  <pageSetup fitToWidth="0" orientation="portrait" horizontalDpi="4294967292" verticalDpi="4294967292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T48"/>
  <sheetViews>
    <sheetView view="pageBreakPreview" zoomScale="75" zoomScaleNormal="100" zoomScaleSheetLayoutView="75" workbookViewId="0">
      <selection activeCell="G1" sqref="G1"/>
    </sheetView>
  </sheetViews>
  <sheetFormatPr defaultColWidth="11" defaultRowHeight="15"/>
  <cols>
    <col min="1" max="1" width="2.5" style="2" customWidth="1"/>
    <col min="2" max="2" width="4.125" style="2" customWidth="1"/>
    <col min="3" max="3" width="3.875" style="2" customWidth="1"/>
    <col min="4" max="4" width="17.5" style="2" customWidth="1"/>
    <col min="5" max="5" width="7" style="2" customWidth="1"/>
    <col min="6" max="6" width="34.125" style="2" customWidth="1"/>
    <col min="7" max="7" width="16" style="2" customWidth="1"/>
    <col min="8" max="13" width="11" style="2" customWidth="1"/>
    <col min="14" max="14" width="26.625" style="2" customWidth="1"/>
    <col min="15" max="15" width="11" style="2" customWidth="1"/>
    <col min="16" max="20" width="11" style="2" hidden="1" customWidth="1"/>
    <col min="21" max="16384" width="11" style="2"/>
  </cols>
  <sheetData>
    <row r="1" spans="1:9">
      <c r="A1" s="39" t="str">
        <f>'Input Schedule'!G6</f>
        <v>WATER SERVICE CORPORATION OF KENTUCKY</v>
      </c>
      <c r="G1" s="1200" t="s">
        <v>983</v>
      </c>
    </row>
    <row r="2" spans="1:9">
      <c r="A2" s="39" t="str">
        <f>'Sch.A-B.S'!F2</f>
        <v>Case No. 2013 - 00237</v>
      </c>
      <c r="G2" s="167"/>
    </row>
    <row r="3" spans="1:9">
      <c r="A3" s="39" t="s">
        <v>116</v>
      </c>
    </row>
    <row r="4" spans="1:9">
      <c r="A4" s="39" t="str">
        <f>'Sch.B-I.S'!A4</f>
        <v>Test Year 12/31/2012</v>
      </c>
    </row>
    <row r="7" spans="1:9">
      <c r="G7" s="65" t="s">
        <v>822</v>
      </c>
    </row>
    <row r="8" spans="1:9">
      <c r="G8" s="33"/>
    </row>
    <row r="9" spans="1:9">
      <c r="A9" s="2" t="s">
        <v>659</v>
      </c>
      <c r="G9" s="42">
        <f>'Linked TB'!E69+'Linked TB'!E80+'Linked TB'!E73+'wp-p5 Recon Summary'!E8</f>
        <v>10694072.839999998</v>
      </c>
    </row>
    <row r="10" spans="1:9">
      <c r="G10" s="64"/>
    </row>
    <row r="11" spans="1:9">
      <c r="A11" s="2" t="s">
        <v>639</v>
      </c>
      <c r="G11" s="64"/>
    </row>
    <row r="12" spans="1:9">
      <c r="B12" s="2" t="s">
        <v>640</v>
      </c>
      <c r="G12" s="64">
        <f>-('Linked TB'!E11+'Linked TB'!E12)</f>
        <v>-22680.63</v>
      </c>
      <c r="I12" s="64"/>
    </row>
    <row r="13" spans="1:9">
      <c r="B13" s="2" t="s">
        <v>592</v>
      </c>
      <c r="G13" s="64">
        <f>-(+'Linked TB'!E9+'wp-p5 Recon Summary'!E8)</f>
        <v>-164394.10000000003</v>
      </c>
      <c r="I13" s="64"/>
    </row>
    <row r="14" spans="1:9">
      <c r="B14" s="2" t="s">
        <v>101</v>
      </c>
      <c r="G14" s="64">
        <f>-(+'Linked TB'!E80)</f>
        <v>-774162.51</v>
      </c>
      <c r="I14" s="64"/>
    </row>
    <row r="15" spans="1:9">
      <c r="B15" s="2" t="s">
        <v>508</v>
      </c>
      <c r="G15" s="66">
        <f>-(+'Linked TB'!E73)</f>
        <v>-573846.25</v>
      </c>
      <c r="I15" s="64"/>
    </row>
    <row r="16" spans="1:9">
      <c r="G16" s="66"/>
      <c r="I16" s="64"/>
    </row>
    <row r="17" spans="1:10">
      <c r="A17" s="2" t="s">
        <v>1136</v>
      </c>
      <c r="E17" s="63"/>
      <c r="G17" s="42">
        <f>SUM(G9:G15)</f>
        <v>9158989.3499999978</v>
      </c>
    </row>
    <row r="19" spans="1:10">
      <c r="B19" s="2" t="s">
        <v>987</v>
      </c>
      <c r="E19" s="44">
        <v>0.02</v>
      </c>
      <c r="G19" s="45">
        <f>G17*E19</f>
        <v>183179.78699999995</v>
      </c>
    </row>
    <row r="21" spans="1:10">
      <c r="B21" s="2" t="s">
        <v>508</v>
      </c>
      <c r="G21" s="726">
        <f>+'wp-p2 Allocation of Vehicles'!E27</f>
        <v>347900.31</v>
      </c>
    </row>
    <row r="22" spans="1:10">
      <c r="B22" s="2" t="s">
        <v>1551</v>
      </c>
      <c r="G22" s="726">
        <f>+'wp-p2 Allocation of Vehicles'!M27</f>
        <v>-316140.38500000001</v>
      </c>
    </row>
    <row r="23" spans="1:10">
      <c r="G23" s="726">
        <f>SUM(G21:G22)</f>
        <v>31759.924999999988</v>
      </c>
    </row>
    <row r="24" spans="1:10">
      <c r="G24" s="726"/>
    </row>
    <row r="25" spans="1:10">
      <c r="B25" s="2" t="s">
        <v>2133</v>
      </c>
      <c r="E25" s="44"/>
      <c r="G25" s="1701">
        <f>+'wp-p2 Allocation of Vehicles'!I71</f>
        <v>15879.962500000001</v>
      </c>
    </row>
    <row r="26" spans="1:10">
      <c r="D26" s="2" t="s">
        <v>2132</v>
      </c>
      <c r="E26" s="44"/>
      <c r="G26" s="295"/>
    </row>
    <row r="28" spans="1:10">
      <c r="B28" s="2" t="s">
        <v>101</v>
      </c>
      <c r="G28" s="774">
        <f>+'wp-p3-alloc of State computers'!C70+'wp-p4-alloc of WSC computers'!C103</f>
        <v>774162.5005868437</v>
      </c>
    </row>
    <row r="29" spans="1:10">
      <c r="B29" s="2" t="s">
        <v>1552</v>
      </c>
      <c r="G29" s="726">
        <f>+'wp-p4-alloc of WSC computers'!J103+'wp-p3-alloc of State computers'!I70</f>
        <v>-529911.07544199738</v>
      </c>
    </row>
    <row r="30" spans="1:10">
      <c r="G30" s="726">
        <f>SUM(G28:G29)</f>
        <v>244251.42514484632</v>
      </c>
    </row>
    <row r="31" spans="1:10">
      <c r="G31" s="726"/>
    </row>
    <row r="32" spans="1:10">
      <c r="B32" s="2" t="s">
        <v>2112</v>
      </c>
      <c r="E32" s="44"/>
      <c r="G32" s="1692">
        <f>'wp-p3-alloc of State computers'!G70+'wp-p4-alloc of WSC computers'!H103</f>
        <v>82768.640801772766</v>
      </c>
      <c r="I32" s="2">
        <f>G32/0.88</f>
        <v>94055.273638378145</v>
      </c>
      <c r="J32" s="2">
        <f>I32*0.0077</f>
        <v>724.22560701551174</v>
      </c>
    </row>
    <row r="33" spans="1:7">
      <c r="D33" s="2" t="s">
        <v>2111</v>
      </c>
    </row>
    <row r="36" spans="1:7" ht="15.75" thickBot="1">
      <c r="A36" s="2" t="s">
        <v>628</v>
      </c>
      <c r="G36" s="46">
        <f>G19+G25+G32</f>
        <v>281828.39030177274</v>
      </c>
    </row>
    <row r="37" spans="1:7" ht="15.75" thickTop="1"/>
    <row r="38" spans="1:7">
      <c r="B38" s="216"/>
    </row>
    <row r="39" spans="1:7">
      <c r="A39" s="2" t="s">
        <v>891</v>
      </c>
      <c r="G39" s="262">
        <f>('Linked TB'!F233+'Linked TB'!F234+'Linked TB'!F235+'wp-p5 Recon Summary'!E68)</f>
        <v>-211470.22999999998</v>
      </c>
    </row>
    <row r="41" spans="1:7" ht="15.75" thickBot="1">
      <c r="B41" s="2" t="s">
        <v>783</v>
      </c>
      <c r="E41" s="44">
        <f>E19</f>
        <v>0.02</v>
      </c>
      <c r="G41" s="46">
        <f>G39*E41</f>
        <v>-4229.4045999999998</v>
      </c>
    </row>
    <row r="42" spans="1:7" ht="15.75" thickTop="1"/>
    <row r="43" spans="1:7" hidden="1"/>
    <row r="44" spans="1:7" hidden="1"/>
    <row r="45" spans="1:7" hidden="1">
      <c r="A45" s="2" t="s">
        <v>1134</v>
      </c>
      <c r="G45" s="262">
        <v>0</v>
      </c>
    </row>
    <row r="46" spans="1:7" hidden="1"/>
    <row r="47" spans="1:7" ht="15.75" hidden="1" thickBot="1">
      <c r="B47" s="2" t="s">
        <v>783</v>
      </c>
      <c r="E47" s="44">
        <v>0</v>
      </c>
      <c r="G47" s="339">
        <f>G45*E47</f>
        <v>0</v>
      </c>
    </row>
    <row r="48" spans="1:7" ht="15.75" hidden="1" thickTop="1"/>
  </sheetData>
  <phoneticPr fontId="26" type="noConversion"/>
  <pageMargins left="0.75" right="0.75" top="1" bottom="1" header="0.5" footer="0.5"/>
  <pageSetup scale="75" orientation="portrait" horizontalDpi="4294967292" vertic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tabColor rgb="FFFFC000"/>
    <pageSetUpPr fitToPage="1"/>
  </sheetPr>
  <dimension ref="A1:S38"/>
  <sheetViews>
    <sheetView view="pageBreakPreview" zoomScale="75" zoomScaleNormal="100" zoomScaleSheetLayoutView="75" workbookViewId="0">
      <selection activeCell="C20" sqref="C20"/>
    </sheetView>
  </sheetViews>
  <sheetFormatPr defaultColWidth="11" defaultRowHeight="15"/>
  <cols>
    <col min="1" max="1" width="43.375" style="52" customWidth="1"/>
    <col min="2" max="2" width="12.5" style="52" customWidth="1"/>
    <col min="3" max="3" width="14.875" style="52" bestFit="1" customWidth="1"/>
    <col min="4" max="4" width="3" style="52" customWidth="1"/>
    <col min="5" max="5" width="14.875" style="2" bestFit="1" customWidth="1"/>
    <col min="6" max="7" width="11" style="2" customWidth="1"/>
    <col min="8" max="8" width="11.625" style="2" bestFit="1" customWidth="1"/>
    <col min="9" max="11" width="11" style="2" customWidth="1"/>
    <col min="12" max="12" width="26.625" style="2" customWidth="1"/>
    <col min="13" max="14" width="11" style="2" customWidth="1"/>
    <col min="15" max="19" width="11" style="2" hidden="1" customWidth="1"/>
    <col min="20" max="16384" width="11" style="2"/>
  </cols>
  <sheetData>
    <row r="1" spans="1:8">
      <c r="A1" s="39" t="str">
        <f>'Input Schedule'!G6</f>
        <v>WATER SERVICE CORPORATION OF KENTUCKY</v>
      </c>
      <c r="B1" s="2"/>
      <c r="D1" s="217"/>
      <c r="E1" s="68" t="s">
        <v>984</v>
      </c>
    </row>
    <row r="2" spans="1:8">
      <c r="A2" s="39" t="str">
        <f>'Sch.A-B.S'!F2</f>
        <v>Case No. 2013 - 00237</v>
      </c>
      <c r="B2" s="2"/>
      <c r="D2" s="217"/>
      <c r="E2" s="68"/>
    </row>
    <row r="3" spans="1:8">
      <c r="A3" s="39" t="s">
        <v>1784</v>
      </c>
      <c r="B3" s="2"/>
      <c r="D3" s="217"/>
      <c r="E3" s="142"/>
    </row>
    <row r="4" spans="1:8">
      <c r="A4" s="39" t="str">
        <f>'Sch.B-I.S'!A4</f>
        <v>Test Year 12/31/2012</v>
      </c>
      <c r="B4" s="2"/>
    </row>
    <row r="5" spans="1:8">
      <c r="E5" s="69"/>
    </row>
    <row r="6" spans="1:8">
      <c r="C6" s="53"/>
      <c r="D6" s="53"/>
      <c r="E6" s="15"/>
      <c r="F6" s="15"/>
      <c r="G6" s="15"/>
    </row>
    <row r="7" spans="1:8" s="221" customFormat="1">
      <c r="A7" s="218" t="s">
        <v>908</v>
      </c>
      <c r="B7" s="218"/>
      <c r="C7" s="219" t="s">
        <v>576</v>
      </c>
      <c r="D7" s="219"/>
      <c r="E7" s="219" t="s">
        <v>576</v>
      </c>
      <c r="F7" s="220"/>
      <c r="G7" s="220"/>
    </row>
    <row r="8" spans="1:8">
      <c r="C8" s="222" t="s">
        <v>567</v>
      </c>
      <c r="D8" s="223"/>
      <c r="E8" s="222" t="s">
        <v>153</v>
      </c>
      <c r="F8" s="15"/>
      <c r="G8" s="15"/>
    </row>
    <row r="9" spans="1:8">
      <c r="A9" s="224" t="s">
        <v>118</v>
      </c>
      <c r="C9" s="53"/>
      <c r="D9" s="53"/>
      <c r="E9" s="15"/>
      <c r="F9" s="15"/>
      <c r="G9" s="15"/>
    </row>
    <row r="10" spans="1:8">
      <c r="A10" s="224"/>
      <c r="C10" s="53"/>
      <c r="D10" s="53"/>
      <c r="E10" s="15"/>
      <c r="F10" s="15"/>
      <c r="G10" s="15"/>
    </row>
    <row r="11" spans="1:8">
      <c r="A11" s="70" t="s">
        <v>119</v>
      </c>
      <c r="C11" s="43">
        <f>'Sch.B-I.S'!J13</f>
        <v>2144779.242708982</v>
      </c>
      <c r="D11" s="53"/>
      <c r="E11" s="43">
        <f>'Sch.B-I.S'!N13</f>
        <v>2369432.7876154408</v>
      </c>
      <c r="F11" s="15"/>
      <c r="G11" s="15"/>
      <c r="H11" s="63">
        <f>C11*0.03</f>
        <v>64343.377281269459</v>
      </c>
    </row>
    <row r="12" spans="1:8">
      <c r="A12" s="70"/>
      <c r="C12" s="53"/>
      <c r="D12" s="53"/>
      <c r="E12" s="53"/>
      <c r="F12" s="15"/>
      <c r="G12" s="15"/>
    </row>
    <row r="13" spans="1:8">
      <c r="A13" s="52" t="s">
        <v>890</v>
      </c>
      <c r="C13" s="53">
        <f>+'Sch.B-I.S'!J27</f>
        <v>877992.22898622823</v>
      </c>
      <c r="D13" s="53"/>
      <c r="E13" s="53">
        <f>'Sch.B-I.S'!N27</f>
        <v>877992.22898622823</v>
      </c>
      <c r="F13" s="15"/>
      <c r="G13" s="15"/>
    </row>
    <row r="14" spans="1:8">
      <c r="A14" s="52" t="s">
        <v>152</v>
      </c>
      <c r="C14" s="53">
        <f>+'Sch.B-I.S'!J39</f>
        <v>623526.40805033362</v>
      </c>
      <c r="D14" s="53"/>
      <c r="E14" s="53">
        <f>'Sch.B-I.S'!N39</f>
        <v>623526.40805033362</v>
      </c>
      <c r="F14" s="15"/>
      <c r="G14" s="15"/>
    </row>
    <row r="15" spans="1:8">
      <c r="A15" s="52" t="s">
        <v>392</v>
      </c>
      <c r="C15" s="53">
        <f>+'Sch.B-I.S'!J41+'Sch.B-I.S'!J47</f>
        <v>277598.98570177273</v>
      </c>
      <c r="D15" s="53"/>
      <c r="E15" s="53">
        <f>'Sch.B-I.S'!N41+'Sch.B-I.S'!N47</f>
        <v>277598.98570177273</v>
      </c>
      <c r="F15" s="15"/>
      <c r="G15" s="15"/>
    </row>
    <row r="16" spans="1:8">
      <c r="A16" s="52" t="s">
        <v>71</v>
      </c>
      <c r="C16" s="60">
        <f>+'Sch.B-I.S'!J43</f>
        <v>144062.52195660456</v>
      </c>
      <c r="D16" s="60"/>
      <c r="E16" s="60">
        <f>'Sch.B-I.S'!N43</f>
        <v>143893.59405939979</v>
      </c>
      <c r="F16" s="15"/>
      <c r="G16" s="15"/>
    </row>
    <row r="17" spans="1:7">
      <c r="A17" s="52" t="s">
        <v>362</v>
      </c>
      <c r="C17" s="60">
        <f>+'Sch.B-I.S'!J44</f>
        <v>-120708.3403681568</v>
      </c>
      <c r="D17" s="60"/>
      <c r="E17" s="60">
        <f>'Sch.B-I.S'!N44</f>
        <v>-120708.3403681568</v>
      </c>
      <c r="F17" s="15"/>
      <c r="G17" s="15"/>
    </row>
    <row r="18" spans="1:7">
      <c r="A18" s="52" t="s">
        <v>393</v>
      </c>
      <c r="C18" s="60">
        <f>+'Sch.B-I.S'!J57</f>
        <v>171808.77043470205</v>
      </c>
      <c r="D18" s="60"/>
      <c r="E18" s="60">
        <f>'wp.h-cap.struc'!E52</f>
        <v>171808.77043470205</v>
      </c>
      <c r="F18" s="15"/>
      <c r="G18" s="15"/>
    </row>
    <row r="19" spans="1:7">
      <c r="C19" s="54"/>
      <c r="D19" s="53"/>
      <c r="E19" s="54"/>
      <c r="F19" s="15"/>
      <c r="G19" s="15"/>
    </row>
    <row r="20" spans="1:7">
      <c r="A20" s="52" t="s">
        <v>906</v>
      </c>
      <c r="C20" s="43">
        <f>C11-C13-C14-C15-C16-C17-C18</f>
        <v>170498.66794749745</v>
      </c>
      <c r="D20" s="53"/>
      <c r="E20" s="43">
        <f>E11-E13-E14-E15-E16-E17-E18</f>
        <v>395321.14075116103</v>
      </c>
      <c r="F20" s="225"/>
      <c r="G20" s="15"/>
    </row>
    <row r="21" spans="1:7">
      <c r="A21" s="52" t="s">
        <v>76</v>
      </c>
      <c r="C21" s="43"/>
      <c r="D21" s="53"/>
      <c r="E21" s="43"/>
      <c r="F21" s="225"/>
      <c r="G21" s="15"/>
    </row>
    <row r="22" spans="1:7">
      <c r="A22" s="384" t="s">
        <v>1305</v>
      </c>
      <c r="C22" s="213">
        <f>IF(C20&lt;50000,C$20*0.04,0)</f>
        <v>0</v>
      </c>
      <c r="D22" s="213"/>
      <c r="E22" s="213">
        <f>IF(E20&lt;50000,E$20*0.04,0)</f>
        <v>0</v>
      </c>
      <c r="F22" s="225"/>
      <c r="G22" s="15"/>
    </row>
    <row r="23" spans="1:7">
      <c r="A23" s="384" t="s">
        <v>1306</v>
      </c>
      <c r="C23" s="213">
        <v>0</v>
      </c>
      <c r="D23" s="213"/>
      <c r="E23" s="213">
        <f>IF(E$20&lt;50000,E$20*0.04,0)</f>
        <v>0</v>
      </c>
      <c r="F23" s="225"/>
      <c r="G23" s="15"/>
    </row>
    <row r="24" spans="1:7">
      <c r="A24" s="384" t="s">
        <v>1307</v>
      </c>
      <c r="C24" s="213">
        <f>IF(C20&gt;100000,C20*0.06,0)</f>
        <v>10229.920076849847</v>
      </c>
      <c r="D24" s="213"/>
      <c r="E24" s="213">
        <f>IF(E20&gt;100000,E20*0.06,0)</f>
        <v>23719.268445069662</v>
      </c>
      <c r="F24" s="225"/>
      <c r="G24" s="15"/>
    </row>
    <row r="25" spans="1:7">
      <c r="C25" s="53"/>
      <c r="D25" s="53"/>
      <c r="E25" s="53"/>
      <c r="F25" s="225"/>
      <c r="G25" s="15"/>
    </row>
    <row r="26" spans="1:7" ht="15.75" thickBot="1">
      <c r="A26" s="52" t="s">
        <v>93</v>
      </c>
      <c r="C26" s="47">
        <f>SUM(C22:C24)</f>
        <v>10229.920076849847</v>
      </c>
      <c r="D26" s="60"/>
      <c r="E26" s="47">
        <f>SUM(E22:E24)</f>
        <v>23719.268445069662</v>
      </c>
      <c r="F26" s="15"/>
      <c r="G26" s="15"/>
    </row>
    <row r="27" spans="1:7" ht="15.75" thickTop="1">
      <c r="C27" s="60"/>
      <c r="D27" s="60"/>
      <c r="E27" s="60"/>
      <c r="F27" s="15"/>
      <c r="G27" s="15"/>
    </row>
    <row r="28" spans="1:7">
      <c r="A28" s="226" t="s">
        <v>1067</v>
      </c>
      <c r="C28" s="53"/>
      <c r="D28" s="53"/>
      <c r="E28" s="53"/>
      <c r="F28" s="15"/>
      <c r="G28" s="15"/>
    </row>
    <row r="29" spans="1:7">
      <c r="C29" s="53"/>
      <c r="D29" s="53"/>
      <c r="E29" s="53"/>
      <c r="F29" s="15"/>
      <c r="G29" s="15"/>
    </row>
    <row r="30" spans="1:7">
      <c r="A30" s="52" t="s">
        <v>923</v>
      </c>
      <c r="C30" s="43">
        <f>C20</f>
        <v>170498.66794749745</v>
      </c>
      <c r="D30" s="53"/>
      <c r="E30" s="43">
        <f>E20</f>
        <v>395321.14075116103</v>
      </c>
      <c r="F30" s="15"/>
      <c r="G30" s="15"/>
    </row>
    <row r="31" spans="1:7">
      <c r="C31" s="53"/>
      <c r="D31" s="53"/>
      <c r="E31" s="53"/>
      <c r="F31" s="15"/>
      <c r="G31" s="15"/>
    </row>
    <row r="32" spans="1:7">
      <c r="A32" s="52" t="s">
        <v>377</v>
      </c>
      <c r="C32" s="227">
        <f>C26</f>
        <v>10229.920076849847</v>
      </c>
      <c r="D32" s="60"/>
      <c r="E32" s="227">
        <f>E26</f>
        <v>23719.268445069662</v>
      </c>
      <c r="F32" s="15"/>
      <c r="G32" s="15"/>
    </row>
    <row r="33" spans="1:5">
      <c r="E33" s="52"/>
    </row>
    <row r="34" spans="1:5">
      <c r="A34" s="52" t="s">
        <v>1068</v>
      </c>
      <c r="C34" s="70">
        <f>C30-C32</f>
        <v>160268.74787064761</v>
      </c>
      <c r="D34" s="70"/>
      <c r="E34" s="70">
        <f>E30-E32</f>
        <v>371601.87230609136</v>
      </c>
    </row>
    <row r="35" spans="1:5">
      <c r="A35" s="52" t="s">
        <v>480</v>
      </c>
      <c r="C35" s="228">
        <v>0.34</v>
      </c>
      <c r="D35" s="229"/>
      <c r="E35" s="228">
        <v>0.34</v>
      </c>
    </row>
    <row r="36" spans="1:5">
      <c r="C36" s="70"/>
      <c r="D36" s="70"/>
      <c r="E36" s="70"/>
    </row>
    <row r="37" spans="1:5" ht="15.75" thickBot="1">
      <c r="A37" s="52" t="s">
        <v>81</v>
      </c>
      <c r="C37" s="46">
        <f>C34*C35</f>
        <v>54491.374276020193</v>
      </c>
      <c r="D37" s="70"/>
      <c r="E37" s="46">
        <f>E34*E35</f>
        <v>126344.63658407108</v>
      </c>
    </row>
    <row r="38" spans="1:5" ht="15.75" thickTop="1">
      <c r="C38" s="70"/>
      <c r="D38" s="70"/>
    </row>
  </sheetData>
  <phoneticPr fontId="26" type="noConversion"/>
  <printOptions horizontalCentered="1"/>
  <pageMargins left="0.25" right="0.5" top="0.25" bottom="0" header="0.5" footer="0.5"/>
  <pageSetup orientation="portrait" horizontalDpi="4294967292" verticalDpi="4294967292" r:id="rId1"/>
  <headerFooter alignWithMargins="0"/>
  <colBreaks count="1" manualBreakCount="1">
    <brk id="5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</sheetPr>
  <dimension ref="A1:K28"/>
  <sheetViews>
    <sheetView view="pageBreakPreview" zoomScale="75" zoomScaleNormal="100" zoomScaleSheetLayoutView="75" workbookViewId="0">
      <selection activeCell="G27" sqref="G27"/>
    </sheetView>
  </sheetViews>
  <sheetFormatPr defaultColWidth="10.875" defaultRowHeight="15"/>
  <cols>
    <col min="1" max="1" width="3.125" style="12" customWidth="1"/>
    <col min="2" max="3" width="12.5" style="12" customWidth="1"/>
    <col min="4" max="4" width="9.25" style="12" customWidth="1"/>
    <col min="5" max="5" width="8" style="12" customWidth="1"/>
    <col min="6" max="6" width="23.125" style="12" customWidth="1"/>
    <col min="7" max="7" width="15.5" style="12" customWidth="1"/>
    <col min="8" max="8" width="3.125" style="12" customWidth="1"/>
    <col min="9" max="13" width="10.875" style="15" customWidth="1"/>
    <col min="14" max="14" width="26.625" style="15" customWidth="1"/>
    <col min="15" max="16" width="10.875" style="15" customWidth="1"/>
    <col min="17" max="21" width="0" style="15" hidden="1" customWidth="1"/>
    <col min="22" max="16384" width="10.875" style="15"/>
  </cols>
  <sheetData>
    <row r="1" spans="1:11">
      <c r="A1" s="40" t="str">
        <f>'wp.h-cap.struc'!A33</f>
        <v>WATER SERVICE CORPORATION OF KENTUCKY</v>
      </c>
      <c r="G1" s="230" t="s">
        <v>158</v>
      </c>
    </row>
    <row r="2" spans="1:11">
      <c r="A2" s="40" t="str">
        <f>'Sch.A-B.S'!F2</f>
        <v>Case No. 2013 - 00237</v>
      </c>
      <c r="G2" s="230"/>
    </row>
    <row r="3" spans="1:11">
      <c r="A3" s="712" t="s">
        <v>823</v>
      </c>
      <c r="F3" s="230"/>
      <c r="G3" s="231"/>
    </row>
    <row r="4" spans="1:11">
      <c r="A4" s="712" t="str">
        <f>'wp.h-cap.struc'!A36</f>
        <v>Test Year 12/31/2012</v>
      </c>
    </row>
    <row r="6" spans="1:11">
      <c r="J6" s="12"/>
      <c r="K6" s="12"/>
    </row>
    <row r="7" spans="1:11">
      <c r="G7" s="775" t="s">
        <v>822</v>
      </c>
      <c r="H7" s="3"/>
    </row>
    <row r="8" spans="1:11">
      <c r="J8" s="12"/>
    </row>
    <row r="9" spans="1:11">
      <c r="A9" s="776" t="s">
        <v>125</v>
      </c>
      <c r="B9" s="470"/>
      <c r="C9" s="470"/>
    </row>
    <row r="10" spans="1:11">
      <c r="B10" s="12" t="s">
        <v>494</v>
      </c>
      <c r="G10" s="258">
        <f>'Sch.B-I.S'!F27</f>
        <v>862903.24</v>
      </c>
    </row>
    <row r="11" spans="1:11">
      <c r="B11" s="12" t="s">
        <v>84</v>
      </c>
      <c r="G11" s="18">
        <f>'Sch.B-I.S'!F39</f>
        <v>679470.71</v>
      </c>
    </row>
    <row r="12" spans="1:11">
      <c r="B12" s="12" t="s">
        <v>71</v>
      </c>
      <c r="G12" s="18">
        <f>'Sch.B-I.S'!F43</f>
        <v>135765.34999999998</v>
      </c>
    </row>
    <row r="13" spans="1:11">
      <c r="G13" s="18"/>
    </row>
    <row r="14" spans="1:11" ht="15.75" thickBot="1">
      <c r="B14" s="12" t="s">
        <v>391</v>
      </c>
      <c r="G14" s="777">
        <f>SUM(G9:G12)</f>
        <v>1678139.2999999998</v>
      </c>
    </row>
    <row r="15" spans="1:11" ht="15.75" thickTop="1"/>
    <row r="16" spans="1:11" ht="15.75" thickBot="1">
      <c r="B16" s="12" t="s">
        <v>887</v>
      </c>
      <c r="E16" s="778" t="s">
        <v>851</v>
      </c>
      <c r="G16" s="777">
        <f>ROUND(G14*(45/360),0)</f>
        <v>209767</v>
      </c>
    </row>
    <row r="17" spans="1:7" ht="15.75" thickTop="1"/>
    <row r="19" spans="1:7">
      <c r="A19" s="776" t="s">
        <v>568</v>
      </c>
      <c r="B19" s="470"/>
      <c r="C19" s="470"/>
    </row>
    <row r="20" spans="1:7">
      <c r="B20" s="12" t="s">
        <v>494</v>
      </c>
      <c r="G20" s="258">
        <f>'Sch.B-I.S'!J27</f>
        <v>877992.22898622823</v>
      </c>
    </row>
    <row r="21" spans="1:7">
      <c r="B21" s="12" t="s">
        <v>84</v>
      </c>
      <c r="G21" s="18">
        <f>'Sch.B-I.S'!N39</f>
        <v>623526.40805033362</v>
      </c>
    </row>
    <row r="22" spans="1:7">
      <c r="B22" s="12" t="s">
        <v>71</v>
      </c>
      <c r="G22" s="18">
        <f>'Sch.B-I.S'!J43</f>
        <v>144062.52195660456</v>
      </c>
    </row>
    <row r="23" spans="1:7">
      <c r="G23" s="18"/>
    </row>
    <row r="24" spans="1:7" ht="15.75" thickBot="1">
      <c r="B24" s="12" t="s">
        <v>391</v>
      </c>
      <c r="G24" s="777">
        <f>SUM(G20:G22)</f>
        <v>1645581.1589931664</v>
      </c>
    </row>
    <row r="25" spans="1:7" ht="12.75" customHeight="1" thickTop="1"/>
    <row r="26" spans="1:7" ht="15.75" thickBot="1">
      <c r="B26" s="12" t="s">
        <v>887</v>
      </c>
      <c r="E26" s="778" t="s">
        <v>851</v>
      </c>
      <c r="G26" s="777">
        <f>ROUND(G24*(45/360),0)</f>
        <v>205698</v>
      </c>
    </row>
    <row r="27" spans="1:7" ht="15.75" thickTop="1"/>
    <row r="28" spans="1:7">
      <c r="G28" s="712"/>
    </row>
  </sheetData>
  <phoneticPr fontId="26" type="noConversion"/>
  <pageMargins left="0.25" right="0" top="0.25" bottom="0.5" header="0.5" footer="0.5"/>
  <pageSetup orientation="portrait" horizontalDpi="4294967292" verticalDpi="4294967292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V213"/>
  <sheetViews>
    <sheetView view="pageBreakPreview" zoomScale="75" zoomScaleNormal="100" zoomScaleSheetLayoutView="75" workbookViewId="0">
      <pane xSplit="2" ySplit="6" topLeftCell="C73" activePane="bottomRight" state="frozen"/>
      <selection activeCell="C22" sqref="C22"/>
      <selection pane="topRight" activeCell="C22" sqref="C22"/>
      <selection pane="bottomLeft" activeCell="C22" sqref="C22"/>
      <selection pane="bottomRight" activeCell="P73" sqref="P73"/>
    </sheetView>
  </sheetViews>
  <sheetFormatPr defaultColWidth="8.875" defaultRowHeight="15"/>
  <cols>
    <col min="1" max="1" width="4.125" style="342" customWidth="1"/>
    <col min="2" max="2" width="13.375" style="342" customWidth="1"/>
    <col min="3" max="3" width="1.625" style="342" customWidth="1"/>
    <col min="4" max="4" width="12.125" style="343" customWidth="1"/>
    <col min="5" max="5" width="1.625" style="342" customWidth="1"/>
    <col min="6" max="6" width="10.125" style="343" bestFit="1" customWidth="1"/>
    <col min="7" max="7" width="1.625" style="342" customWidth="1"/>
    <col min="8" max="8" width="13" style="215" bestFit="1" customWidth="1"/>
    <col min="9" max="9" width="1.625" style="215" customWidth="1"/>
    <col min="10" max="10" width="11.375" style="342" bestFit="1" customWidth="1"/>
    <col min="11" max="11" width="1.625" style="342" customWidth="1"/>
    <col min="12" max="12" width="10.25" style="342" bestFit="1" customWidth="1"/>
    <col min="13" max="13" width="1.625" style="342" customWidth="1"/>
    <col min="14" max="14" width="26.625" style="342" customWidth="1"/>
    <col min="15" max="15" width="1.625" style="342" customWidth="1"/>
    <col min="16" max="16" width="13" style="342" bestFit="1" customWidth="1"/>
    <col min="17" max="17" width="1.625" style="342" customWidth="1"/>
    <col min="18" max="18" width="12.625" style="342" customWidth="1"/>
    <col min="19" max="19" width="1.625" style="342" customWidth="1"/>
    <col min="20" max="20" width="13.125" style="342" bestFit="1" customWidth="1"/>
    <col min="21" max="21" width="11.5" style="342" bestFit="1" customWidth="1"/>
    <col min="22" max="22" width="10.5" style="342" bestFit="1" customWidth="1"/>
    <col min="23" max="16384" width="8.875" style="342"/>
  </cols>
  <sheetData>
    <row r="1" spans="1:22">
      <c r="A1" s="341" t="s">
        <v>350</v>
      </c>
      <c r="R1" s="383" t="s">
        <v>376</v>
      </c>
    </row>
    <row r="2" spans="1:22">
      <c r="A2" s="341" t="str">
        <f>'Sch.A-B.S'!F2</f>
        <v>Case No. 2013 - 00237</v>
      </c>
      <c r="R2" s="383"/>
    </row>
    <row r="3" spans="1:22">
      <c r="A3" s="341" t="s">
        <v>347</v>
      </c>
    </row>
    <row r="4" spans="1:22">
      <c r="A4" s="341" t="s">
        <v>348</v>
      </c>
    </row>
    <row r="5" spans="1:22">
      <c r="L5" s="344"/>
      <c r="M5" s="344"/>
      <c r="N5" s="345"/>
      <c r="O5" s="345"/>
    </row>
    <row r="6" spans="1:22" s="346" customFormat="1" ht="34.5" customHeight="1">
      <c r="D6" s="1299" t="s">
        <v>777</v>
      </c>
      <c r="F6" s="1299" t="s">
        <v>778</v>
      </c>
      <c r="H6" s="1300" t="s">
        <v>571</v>
      </c>
      <c r="I6" s="347"/>
      <c r="J6" s="1299" t="s">
        <v>779</v>
      </c>
      <c r="L6" s="1299" t="s">
        <v>363</v>
      </c>
      <c r="N6" s="1299" t="s">
        <v>364</v>
      </c>
      <c r="P6" s="1299" t="s">
        <v>880</v>
      </c>
      <c r="R6" s="1299" t="s">
        <v>365</v>
      </c>
      <c r="T6" s="348"/>
    </row>
    <row r="7" spans="1:22" s="350" customFormat="1">
      <c r="A7" s="349"/>
      <c r="C7" s="349"/>
      <c r="D7" s="343"/>
      <c r="E7" s="349"/>
      <c r="H7" s="351"/>
      <c r="I7" s="351"/>
      <c r="T7" s="352" t="s">
        <v>366</v>
      </c>
      <c r="U7" s="353" t="s">
        <v>569</v>
      </c>
      <c r="V7" s="353" t="s">
        <v>367</v>
      </c>
    </row>
    <row r="8" spans="1:22" s="350" customFormat="1">
      <c r="A8" s="349" t="s">
        <v>368</v>
      </c>
      <c r="C8" s="349"/>
      <c r="D8" s="343"/>
      <c r="E8" s="349"/>
      <c r="H8" s="351"/>
      <c r="I8" s="351"/>
      <c r="T8" s="352"/>
      <c r="U8" s="353"/>
      <c r="V8" s="353"/>
    </row>
    <row r="9" spans="1:22">
      <c r="B9" s="342" t="s">
        <v>640</v>
      </c>
      <c r="D9" s="348">
        <v>1981</v>
      </c>
      <c r="F9" s="354">
        <v>29587</v>
      </c>
      <c r="G9" s="355"/>
      <c r="H9" s="215">
        <v>3257.48</v>
      </c>
      <c r="J9" s="356">
        <f>+'wp-p-restate(audit)'!J9</f>
        <v>31</v>
      </c>
      <c r="K9" s="356"/>
      <c r="L9" s="344">
        <f t="shared" ref="L9:L40" si="0">VLOOKUP(B9,$T$9:$U$13,2,FALSE)</f>
        <v>0</v>
      </c>
      <c r="M9" s="344"/>
      <c r="N9" s="357">
        <f t="shared" ref="N9:N40" si="1">IF(L9*J9*H9&gt;H9,H9,L9*J9*H9)</f>
        <v>0</v>
      </c>
      <c r="O9" s="357"/>
      <c r="P9" s="357">
        <f t="shared" ref="P9:P40" si="2">H9-N9</f>
        <v>3257.48</v>
      </c>
      <c r="Q9" s="357"/>
      <c r="R9" s="358" t="str">
        <f t="shared" ref="R9:R40" si="3">IF(N9=H9,"Yes","No")</f>
        <v>No</v>
      </c>
      <c r="S9" s="358"/>
      <c r="T9" s="342" t="s">
        <v>369</v>
      </c>
      <c r="U9" s="359">
        <v>0.02</v>
      </c>
      <c r="V9" s="343">
        <v>50</v>
      </c>
    </row>
    <row r="10" spans="1:22">
      <c r="B10" s="342" t="s">
        <v>640</v>
      </c>
      <c r="D10" s="348">
        <v>1981</v>
      </c>
      <c r="F10" s="354">
        <v>29587</v>
      </c>
      <c r="G10" s="355"/>
      <c r="H10" s="215">
        <v>596</v>
      </c>
      <c r="J10" s="356">
        <f>+'wp-p-restate(audit)'!J10</f>
        <v>31</v>
      </c>
      <c r="K10" s="356"/>
      <c r="L10" s="344">
        <f t="shared" si="0"/>
        <v>0</v>
      </c>
      <c r="M10" s="344"/>
      <c r="N10" s="357">
        <f t="shared" si="1"/>
        <v>0</v>
      </c>
      <c r="O10" s="357"/>
      <c r="P10" s="357">
        <f t="shared" si="2"/>
        <v>596</v>
      </c>
      <c r="Q10" s="357"/>
      <c r="R10" s="358" t="str">
        <f t="shared" si="3"/>
        <v>No</v>
      </c>
      <c r="S10" s="358"/>
      <c r="T10" s="342" t="s">
        <v>370</v>
      </c>
      <c r="U10" s="359">
        <f>ROUND(1/V10,3)</f>
        <v>0.25</v>
      </c>
      <c r="V10" s="343">
        <v>4</v>
      </c>
    </row>
    <row r="11" spans="1:22">
      <c r="B11" s="342" t="s">
        <v>640</v>
      </c>
      <c r="D11" s="348">
        <v>1981</v>
      </c>
      <c r="F11" s="354">
        <v>29587</v>
      </c>
      <c r="G11" s="355"/>
      <c r="H11" s="215">
        <v>1234.5</v>
      </c>
      <c r="J11" s="356">
        <f>+'wp-p-restate(audit)'!J11</f>
        <v>31</v>
      </c>
      <c r="K11" s="356"/>
      <c r="L11" s="344">
        <f t="shared" si="0"/>
        <v>0</v>
      </c>
      <c r="M11" s="344"/>
      <c r="N11" s="357">
        <f t="shared" si="1"/>
        <v>0</v>
      </c>
      <c r="O11" s="357"/>
      <c r="P11" s="357">
        <f t="shared" si="2"/>
        <v>1234.5</v>
      </c>
      <c r="Q11" s="357"/>
      <c r="R11" s="358" t="str">
        <f t="shared" si="3"/>
        <v>No</v>
      </c>
      <c r="S11" s="358"/>
      <c r="T11" s="342" t="s">
        <v>101</v>
      </c>
      <c r="U11" s="359">
        <f>ROUND(1/V11,3)</f>
        <v>0.25</v>
      </c>
      <c r="V11" s="343">
        <v>4</v>
      </c>
    </row>
    <row r="12" spans="1:22">
      <c r="B12" s="342" t="s">
        <v>369</v>
      </c>
      <c r="D12" s="348">
        <v>1985</v>
      </c>
      <c r="F12" s="354">
        <v>31372</v>
      </c>
      <c r="G12" s="355"/>
      <c r="H12" s="215">
        <v>13478.2</v>
      </c>
      <c r="J12" s="356">
        <f>+'wp-p-restate(audit)'!J12</f>
        <v>27</v>
      </c>
      <c r="K12" s="356"/>
      <c r="L12" s="344">
        <f t="shared" si="0"/>
        <v>0.02</v>
      </c>
      <c r="M12" s="344"/>
      <c r="N12" s="357">
        <f t="shared" si="1"/>
        <v>7278.228000000001</v>
      </c>
      <c r="O12" s="357"/>
      <c r="P12" s="357">
        <f t="shared" si="2"/>
        <v>6199.9719999999998</v>
      </c>
      <c r="Q12" s="357"/>
      <c r="R12" s="358" t="str">
        <f t="shared" si="3"/>
        <v>No</v>
      </c>
      <c r="S12" s="358"/>
      <c r="T12" s="342" t="s">
        <v>640</v>
      </c>
      <c r="U12" s="359">
        <v>0</v>
      </c>
      <c r="V12" s="343">
        <v>0</v>
      </c>
    </row>
    <row r="13" spans="1:22">
      <c r="B13" s="342" t="s">
        <v>369</v>
      </c>
      <c r="D13" s="348">
        <v>1985</v>
      </c>
      <c r="F13" s="354">
        <v>31372</v>
      </c>
      <c r="G13" s="355"/>
      <c r="H13" s="215">
        <v>185476.3</v>
      </c>
      <c r="J13" s="356">
        <f>+'wp-p-restate(audit)'!J13</f>
        <v>27</v>
      </c>
      <c r="K13" s="356"/>
      <c r="L13" s="344">
        <f t="shared" si="0"/>
        <v>0.02</v>
      </c>
      <c r="M13" s="344"/>
      <c r="N13" s="357">
        <f t="shared" si="1"/>
        <v>100157.202</v>
      </c>
      <c r="O13" s="357"/>
      <c r="P13" s="357">
        <f t="shared" si="2"/>
        <v>85319.097999999984</v>
      </c>
      <c r="Q13" s="357"/>
      <c r="R13" s="358" t="str">
        <f t="shared" si="3"/>
        <v>No</v>
      </c>
      <c r="S13" s="358"/>
      <c r="T13" s="342" t="s">
        <v>592</v>
      </c>
      <c r="U13" s="359">
        <v>0</v>
      </c>
      <c r="V13" s="343">
        <v>0</v>
      </c>
    </row>
    <row r="14" spans="1:22">
      <c r="B14" s="342" t="s">
        <v>369</v>
      </c>
      <c r="D14" s="348">
        <v>1985</v>
      </c>
      <c r="F14" s="354">
        <v>31372</v>
      </c>
      <c r="G14" s="355"/>
      <c r="H14" s="215">
        <v>2641.38</v>
      </c>
      <c r="J14" s="356">
        <f>+'wp-p-restate(audit)'!J14</f>
        <v>27</v>
      </c>
      <c r="K14" s="356"/>
      <c r="L14" s="344">
        <f t="shared" si="0"/>
        <v>0.02</v>
      </c>
      <c r="M14" s="344"/>
      <c r="N14" s="357">
        <f t="shared" si="1"/>
        <v>1426.3452000000002</v>
      </c>
      <c r="O14" s="357"/>
      <c r="P14" s="357">
        <f t="shared" si="2"/>
        <v>1215.0347999999999</v>
      </c>
      <c r="Q14" s="357"/>
      <c r="R14" s="358" t="str">
        <f t="shared" si="3"/>
        <v>No</v>
      </c>
      <c r="S14" s="358"/>
      <c r="T14" s="342" t="s">
        <v>371</v>
      </c>
      <c r="U14" s="360"/>
    </row>
    <row r="15" spans="1:22">
      <c r="B15" s="342" t="s">
        <v>369</v>
      </c>
      <c r="D15" s="348">
        <v>1985</v>
      </c>
      <c r="F15" s="354">
        <v>31372</v>
      </c>
      <c r="G15" s="355"/>
      <c r="H15" s="215">
        <v>6336.72</v>
      </c>
      <c r="J15" s="356">
        <f>+'wp-p-restate(audit)'!J15</f>
        <v>27</v>
      </c>
      <c r="K15" s="356"/>
      <c r="L15" s="344">
        <f t="shared" si="0"/>
        <v>0.02</v>
      </c>
      <c r="M15" s="344"/>
      <c r="N15" s="357">
        <f t="shared" si="1"/>
        <v>3421.8288000000002</v>
      </c>
      <c r="O15" s="357"/>
      <c r="P15" s="357">
        <f t="shared" si="2"/>
        <v>2914.8912</v>
      </c>
      <c r="Q15" s="357"/>
      <c r="R15" s="358" t="str">
        <f t="shared" si="3"/>
        <v>No</v>
      </c>
      <c r="S15" s="358"/>
    </row>
    <row r="16" spans="1:22">
      <c r="B16" s="342" t="s">
        <v>369</v>
      </c>
      <c r="D16" s="348">
        <v>1985</v>
      </c>
      <c r="F16" s="354">
        <v>31372</v>
      </c>
      <c r="G16" s="355"/>
      <c r="H16" s="34">
        <v>30123.53</v>
      </c>
      <c r="I16" s="34"/>
      <c r="J16" s="356">
        <f>+'wp-p-restate(audit)'!J16</f>
        <v>27</v>
      </c>
      <c r="K16" s="361"/>
      <c r="L16" s="362">
        <f t="shared" si="0"/>
        <v>0.02</v>
      </c>
      <c r="M16" s="362"/>
      <c r="N16" s="363">
        <f t="shared" si="1"/>
        <v>16266.706200000001</v>
      </c>
      <c r="O16" s="363"/>
      <c r="P16" s="363">
        <f t="shared" si="2"/>
        <v>13856.823799999998</v>
      </c>
      <c r="Q16" s="357"/>
      <c r="R16" s="358" t="str">
        <f t="shared" si="3"/>
        <v>No</v>
      </c>
      <c r="S16" s="358"/>
      <c r="U16" s="364">
        <v>38717</v>
      </c>
      <c r="V16" s="355">
        <v>37529</v>
      </c>
    </row>
    <row r="17" spans="2:22">
      <c r="B17" s="342" t="s">
        <v>369</v>
      </c>
      <c r="D17" s="348">
        <v>1985</v>
      </c>
      <c r="F17" s="354">
        <v>31372</v>
      </c>
      <c r="G17" s="355"/>
      <c r="H17" s="34">
        <v>194242.01</v>
      </c>
      <c r="I17" s="34"/>
      <c r="J17" s="356">
        <f>+'wp-p-restate(audit)'!J17</f>
        <v>27</v>
      </c>
      <c r="K17" s="361"/>
      <c r="L17" s="362">
        <f t="shared" si="0"/>
        <v>0.02</v>
      </c>
      <c r="M17" s="362"/>
      <c r="N17" s="363">
        <f t="shared" si="1"/>
        <v>104890.68540000002</v>
      </c>
      <c r="O17" s="363"/>
      <c r="P17" s="363">
        <f t="shared" si="2"/>
        <v>89351.324599999993</v>
      </c>
      <c r="Q17" s="363"/>
      <c r="R17" s="358" t="str">
        <f t="shared" si="3"/>
        <v>No</v>
      </c>
      <c r="S17" s="358"/>
      <c r="T17" s="348">
        <v>1974</v>
      </c>
      <c r="U17" s="342">
        <f t="shared" ref="U17:U47" si="4">2005-T17+0.5</f>
        <v>31.5</v>
      </c>
      <c r="V17" s="342">
        <f t="shared" ref="V17:V45" si="5">2001-T17+0.5+0.75</f>
        <v>28.25</v>
      </c>
    </row>
    <row r="18" spans="2:22">
      <c r="B18" s="342" t="s">
        <v>369</v>
      </c>
      <c r="D18" s="348">
        <v>1985</v>
      </c>
      <c r="F18" s="354">
        <v>31372</v>
      </c>
      <c r="H18" s="215">
        <v>25622.799999999999</v>
      </c>
      <c r="J18" s="356">
        <f>+'wp-p-restate(audit)'!J18</f>
        <v>27</v>
      </c>
      <c r="K18" s="361"/>
      <c r="L18" s="362">
        <f t="shared" si="0"/>
        <v>0.02</v>
      </c>
      <c r="M18" s="362"/>
      <c r="N18" s="363">
        <f t="shared" si="1"/>
        <v>13836.312</v>
      </c>
      <c r="O18" s="363"/>
      <c r="P18" s="363">
        <f t="shared" si="2"/>
        <v>11786.487999999999</v>
      </c>
      <c r="Q18" s="363"/>
      <c r="R18" s="358" t="str">
        <f t="shared" si="3"/>
        <v>No</v>
      </c>
      <c r="S18" s="358"/>
      <c r="T18" s="348">
        <v>1975</v>
      </c>
      <c r="U18" s="342">
        <f t="shared" si="4"/>
        <v>30.5</v>
      </c>
      <c r="V18" s="342">
        <f t="shared" si="5"/>
        <v>27.25</v>
      </c>
    </row>
    <row r="19" spans="2:22">
      <c r="B19" s="342" t="s">
        <v>369</v>
      </c>
      <c r="D19" s="348">
        <v>1985</v>
      </c>
      <c r="F19" s="354">
        <v>31372</v>
      </c>
      <c r="H19" s="215">
        <v>334189.62</v>
      </c>
      <c r="J19" s="356">
        <f>+'wp-p-restate(audit)'!J19</f>
        <v>27</v>
      </c>
      <c r="K19" s="361"/>
      <c r="L19" s="362">
        <f t="shared" si="0"/>
        <v>0.02</v>
      </c>
      <c r="M19" s="362"/>
      <c r="N19" s="363">
        <f t="shared" si="1"/>
        <v>180462.39480000001</v>
      </c>
      <c r="O19" s="363"/>
      <c r="P19" s="363">
        <f t="shared" si="2"/>
        <v>153727.22519999999</v>
      </c>
      <c r="Q19" s="363"/>
      <c r="R19" s="358" t="str">
        <f t="shared" si="3"/>
        <v>No</v>
      </c>
      <c r="S19" s="358"/>
      <c r="T19" s="348">
        <v>1976</v>
      </c>
      <c r="U19" s="342">
        <f t="shared" si="4"/>
        <v>29.5</v>
      </c>
      <c r="V19" s="342">
        <f t="shared" si="5"/>
        <v>26.25</v>
      </c>
    </row>
    <row r="20" spans="2:22">
      <c r="B20" s="342" t="s">
        <v>369</v>
      </c>
      <c r="D20" s="348">
        <v>1985</v>
      </c>
      <c r="F20" s="354">
        <v>31372</v>
      </c>
      <c r="H20" s="215">
        <v>13680.34</v>
      </c>
      <c r="J20" s="356">
        <f>+'wp-p-restate(audit)'!J20</f>
        <v>27</v>
      </c>
      <c r="K20" s="361"/>
      <c r="L20" s="362">
        <f t="shared" si="0"/>
        <v>0.02</v>
      </c>
      <c r="M20" s="362"/>
      <c r="N20" s="363">
        <f t="shared" si="1"/>
        <v>7387.3836000000001</v>
      </c>
      <c r="O20" s="363"/>
      <c r="P20" s="363">
        <f t="shared" si="2"/>
        <v>6292.9564</v>
      </c>
      <c r="Q20" s="363"/>
      <c r="R20" s="358" t="str">
        <f t="shared" si="3"/>
        <v>No</v>
      </c>
      <c r="S20" s="358"/>
      <c r="T20" s="348">
        <v>1977</v>
      </c>
      <c r="U20" s="342">
        <f t="shared" si="4"/>
        <v>28.5</v>
      </c>
      <c r="V20" s="342">
        <f t="shared" si="5"/>
        <v>25.25</v>
      </c>
    </row>
    <row r="21" spans="2:22">
      <c r="B21" s="342" t="s">
        <v>369</v>
      </c>
      <c r="D21" s="348">
        <v>1985</v>
      </c>
      <c r="F21" s="354">
        <v>31372</v>
      </c>
      <c r="H21" s="215">
        <v>10164.719999999999</v>
      </c>
      <c r="J21" s="356">
        <f>+'wp-p-restate(audit)'!J21</f>
        <v>27</v>
      </c>
      <c r="K21" s="361"/>
      <c r="L21" s="362">
        <f t="shared" si="0"/>
        <v>0.02</v>
      </c>
      <c r="M21" s="362"/>
      <c r="N21" s="363">
        <f t="shared" si="1"/>
        <v>5488.9488000000001</v>
      </c>
      <c r="O21" s="363"/>
      <c r="P21" s="363">
        <f t="shared" si="2"/>
        <v>4675.7711999999992</v>
      </c>
      <c r="Q21" s="363"/>
      <c r="R21" s="358" t="str">
        <f t="shared" si="3"/>
        <v>No</v>
      </c>
      <c r="S21" s="358"/>
      <c r="T21" s="348">
        <v>1978</v>
      </c>
      <c r="U21" s="342">
        <f t="shared" si="4"/>
        <v>27.5</v>
      </c>
      <c r="V21" s="342">
        <f t="shared" si="5"/>
        <v>24.25</v>
      </c>
    </row>
    <row r="22" spans="2:22">
      <c r="B22" s="342" t="s">
        <v>369</v>
      </c>
      <c r="D22" s="348">
        <v>1985</v>
      </c>
      <c r="F22" s="354">
        <v>31372</v>
      </c>
      <c r="H22" s="215">
        <v>312686.93</v>
      </c>
      <c r="J22" s="356">
        <f>+'wp-p-restate(audit)'!J22</f>
        <v>27</v>
      </c>
      <c r="K22" s="361"/>
      <c r="L22" s="362">
        <f t="shared" si="0"/>
        <v>0.02</v>
      </c>
      <c r="M22" s="362"/>
      <c r="N22" s="363">
        <f t="shared" si="1"/>
        <v>168850.94220000002</v>
      </c>
      <c r="O22" s="363"/>
      <c r="P22" s="363">
        <f t="shared" si="2"/>
        <v>143835.98779999997</v>
      </c>
      <c r="Q22" s="363"/>
      <c r="R22" s="358" t="str">
        <f t="shared" si="3"/>
        <v>No</v>
      </c>
      <c r="S22" s="358"/>
      <c r="T22" s="348">
        <v>1979</v>
      </c>
      <c r="U22" s="342">
        <f t="shared" si="4"/>
        <v>26.5</v>
      </c>
      <c r="V22" s="342">
        <f t="shared" si="5"/>
        <v>23.25</v>
      </c>
    </row>
    <row r="23" spans="2:22">
      <c r="B23" s="342" t="s">
        <v>369</v>
      </c>
      <c r="D23" s="348">
        <v>1985</v>
      </c>
      <c r="F23" s="354">
        <v>31372</v>
      </c>
      <c r="H23" s="215">
        <v>125585.14</v>
      </c>
      <c r="J23" s="356">
        <f>+'wp-p-restate(audit)'!J23</f>
        <v>27</v>
      </c>
      <c r="K23" s="361"/>
      <c r="L23" s="362">
        <f t="shared" si="0"/>
        <v>0.02</v>
      </c>
      <c r="M23" s="362"/>
      <c r="N23" s="363">
        <f t="shared" si="1"/>
        <v>67815.975600000005</v>
      </c>
      <c r="O23" s="363"/>
      <c r="P23" s="363">
        <f t="shared" si="2"/>
        <v>57769.164399999994</v>
      </c>
      <c r="Q23" s="363"/>
      <c r="R23" s="358" t="str">
        <f t="shared" si="3"/>
        <v>No</v>
      </c>
      <c r="S23" s="358"/>
      <c r="T23" s="348">
        <v>1980</v>
      </c>
      <c r="U23" s="342">
        <f t="shared" si="4"/>
        <v>25.5</v>
      </c>
      <c r="V23" s="342">
        <f t="shared" si="5"/>
        <v>22.25</v>
      </c>
    </row>
    <row r="24" spans="2:22">
      <c r="B24" s="342" t="s">
        <v>369</v>
      </c>
      <c r="D24" s="348">
        <v>1985</v>
      </c>
      <c r="F24" s="354">
        <v>31372</v>
      </c>
      <c r="H24" s="215">
        <v>2264076.4700000002</v>
      </c>
      <c r="J24" s="356">
        <f>+'wp-p-restate(audit)'!J24</f>
        <v>27</v>
      </c>
      <c r="K24" s="361"/>
      <c r="L24" s="362">
        <f t="shared" si="0"/>
        <v>0.02</v>
      </c>
      <c r="M24" s="362"/>
      <c r="N24" s="363">
        <f t="shared" si="1"/>
        <v>1222601.2938000001</v>
      </c>
      <c r="O24" s="363"/>
      <c r="P24" s="363">
        <f t="shared" si="2"/>
        <v>1041475.1762000001</v>
      </c>
      <c r="Q24" s="363"/>
      <c r="R24" s="358" t="str">
        <f t="shared" si="3"/>
        <v>No</v>
      </c>
      <c r="S24" s="358"/>
      <c r="T24" s="348">
        <v>1981</v>
      </c>
      <c r="U24" s="342">
        <f t="shared" si="4"/>
        <v>24.5</v>
      </c>
      <c r="V24" s="342">
        <f t="shared" si="5"/>
        <v>21.25</v>
      </c>
    </row>
    <row r="25" spans="2:22">
      <c r="B25" s="342" t="s">
        <v>369</v>
      </c>
      <c r="C25" s="365"/>
      <c r="D25" s="348">
        <v>1985</v>
      </c>
      <c r="E25" s="365"/>
      <c r="F25" s="354">
        <v>31372</v>
      </c>
      <c r="G25" s="365"/>
      <c r="H25" s="34">
        <v>283658.51</v>
      </c>
      <c r="I25" s="34"/>
      <c r="J25" s="356">
        <f>+'wp-p-restate(audit)'!J25</f>
        <v>27</v>
      </c>
      <c r="K25" s="361"/>
      <c r="L25" s="362">
        <f t="shared" si="0"/>
        <v>0.02</v>
      </c>
      <c r="M25" s="362"/>
      <c r="N25" s="363">
        <f t="shared" si="1"/>
        <v>153175.59540000002</v>
      </c>
      <c r="O25" s="363"/>
      <c r="P25" s="363">
        <f t="shared" si="2"/>
        <v>130482.91459999999</v>
      </c>
      <c r="Q25" s="363"/>
      <c r="R25" s="358" t="str">
        <f t="shared" si="3"/>
        <v>No</v>
      </c>
      <c r="S25" s="358"/>
      <c r="T25" s="348">
        <v>1982</v>
      </c>
      <c r="U25" s="342">
        <f t="shared" si="4"/>
        <v>23.5</v>
      </c>
      <c r="V25" s="342">
        <f t="shared" si="5"/>
        <v>20.25</v>
      </c>
    </row>
    <row r="26" spans="2:22">
      <c r="B26" s="342" t="s">
        <v>369</v>
      </c>
      <c r="C26" s="365"/>
      <c r="D26" s="348">
        <v>1985</v>
      </c>
      <c r="E26" s="365"/>
      <c r="F26" s="354">
        <v>31372</v>
      </c>
      <c r="G26" s="366"/>
      <c r="H26" s="34">
        <v>40452.800000000003</v>
      </c>
      <c r="I26" s="34"/>
      <c r="J26" s="356">
        <f>+'wp-p-restate(audit)'!J26</f>
        <v>27</v>
      </c>
      <c r="K26" s="361"/>
      <c r="L26" s="362">
        <f t="shared" si="0"/>
        <v>0.02</v>
      </c>
      <c r="M26" s="362"/>
      <c r="N26" s="363">
        <f t="shared" si="1"/>
        <v>21844.512000000002</v>
      </c>
      <c r="O26" s="363"/>
      <c r="P26" s="363">
        <f t="shared" si="2"/>
        <v>18608.288</v>
      </c>
      <c r="Q26" s="363"/>
      <c r="R26" s="358" t="str">
        <f t="shared" si="3"/>
        <v>No</v>
      </c>
      <c r="S26" s="358"/>
      <c r="T26" s="348">
        <v>1983</v>
      </c>
      <c r="U26" s="342">
        <f t="shared" si="4"/>
        <v>22.5</v>
      </c>
      <c r="V26" s="342">
        <f t="shared" si="5"/>
        <v>19.25</v>
      </c>
    </row>
    <row r="27" spans="2:22">
      <c r="B27" s="342" t="s">
        <v>369</v>
      </c>
      <c r="C27" s="365"/>
      <c r="D27" s="348">
        <v>1985</v>
      </c>
      <c r="E27" s="365"/>
      <c r="F27" s="354">
        <v>31372</v>
      </c>
      <c r="G27" s="366"/>
      <c r="H27" s="34">
        <v>515437.63</v>
      </c>
      <c r="I27" s="34"/>
      <c r="J27" s="356">
        <f>+'wp-p-restate(audit)'!J27</f>
        <v>27</v>
      </c>
      <c r="K27" s="361"/>
      <c r="L27" s="362">
        <f t="shared" si="0"/>
        <v>0.02</v>
      </c>
      <c r="M27" s="362"/>
      <c r="N27" s="363">
        <f t="shared" si="1"/>
        <v>278336.32020000002</v>
      </c>
      <c r="O27" s="363"/>
      <c r="P27" s="363">
        <f t="shared" si="2"/>
        <v>237101.30979999999</v>
      </c>
      <c r="Q27" s="363"/>
      <c r="R27" s="358" t="str">
        <f t="shared" si="3"/>
        <v>No</v>
      </c>
      <c r="S27" s="358"/>
      <c r="T27" s="348">
        <v>1984</v>
      </c>
      <c r="U27" s="342">
        <f t="shared" si="4"/>
        <v>21.5</v>
      </c>
      <c r="V27" s="342">
        <f t="shared" si="5"/>
        <v>18.25</v>
      </c>
    </row>
    <row r="28" spans="2:22">
      <c r="B28" s="342" t="s">
        <v>369</v>
      </c>
      <c r="C28" s="365"/>
      <c r="D28" s="348">
        <v>1985</v>
      </c>
      <c r="E28" s="365"/>
      <c r="F28" s="354">
        <v>31372</v>
      </c>
      <c r="G28" s="366"/>
      <c r="H28" s="34">
        <v>78560.820000000007</v>
      </c>
      <c r="I28" s="34"/>
      <c r="J28" s="356">
        <f>+'wp-p-restate(audit)'!J28</f>
        <v>27</v>
      </c>
      <c r="K28" s="361"/>
      <c r="L28" s="362">
        <f t="shared" si="0"/>
        <v>0.02</v>
      </c>
      <c r="M28" s="362"/>
      <c r="N28" s="363">
        <f t="shared" si="1"/>
        <v>42422.842800000006</v>
      </c>
      <c r="O28" s="363"/>
      <c r="P28" s="363">
        <f t="shared" si="2"/>
        <v>36137.977200000001</v>
      </c>
      <c r="Q28" s="363"/>
      <c r="R28" s="358" t="str">
        <f t="shared" si="3"/>
        <v>No</v>
      </c>
      <c r="S28" s="358"/>
      <c r="T28" s="348">
        <v>1985</v>
      </c>
      <c r="U28" s="342">
        <f t="shared" si="4"/>
        <v>20.5</v>
      </c>
      <c r="V28" s="342">
        <f t="shared" si="5"/>
        <v>17.25</v>
      </c>
    </row>
    <row r="29" spans="2:22">
      <c r="B29" s="342" t="s">
        <v>369</v>
      </c>
      <c r="C29" s="365"/>
      <c r="D29" s="348">
        <v>1985</v>
      </c>
      <c r="E29" s="365"/>
      <c r="F29" s="354">
        <v>31372</v>
      </c>
      <c r="G29" s="366"/>
      <c r="H29" s="34">
        <v>370692.25</v>
      </c>
      <c r="I29" s="34"/>
      <c r="J29" s="356">
        <f>+'wp-p-restate(audit)'!J29</f>
        <v>27</v>
      </c>
      <c r="K29" s="361"/>
      <c r="L29" s="362">
        <f t="shared" si="0"/>
        <v>0.02</v>
      </c>
      <c r="M29" s="362"/>
      <c r="N29" s="363">
        <f t="shared" si="1"/>
        <v>200173.815</v>
      </c>
      <c r="O29" s="363"/>
      <c r="P29" s="363">
        <f t="shared" si="2"/>
        <v>170518.435</v>
      </c>
      <c r="Q29" s="363"/>
      <c r="R29" s="358" t="str">
        <f t="shared" si="3"/>
        <v>No</v>
      </c>
      <c r="S29" s="358"/>
      <c r="T29" s="348">
        <v>1986</v>
      </c>
      <c r="U29" s="342">
        <f t="shared" si="4"/>
        <v>19.5</v>
      </c>
      <c r="V29" s="342">
        <f t="shared" si="5"/>
        <v>16.25</v>
      </c>
    </row>
    <row r="30" spans="2:22">
      <c r="B30" s="342" t="s">
        <v>369</v>
      </c>
      <c r="C30" s="365"/>
      <c r="D30" s="348">
        <v>1985</v>
      </c>
      <c r="E30" s="365"/>
      <c r="F30" s="354">
        <v>31372</v>
      </c>
      <c r="G30" s="366"/>
      <c r="H30" s="34">
        <v>70195.28</v>
      </c>
      <c r="I30" s="34"/>
      <c r="J30" s="356">
        <f>+'wp-p-restate(audit)'!J30</f>
        <v>27</v>
      </c>
      <c r="K30" s="361"/>
      <c r="L30" s="362">
        <f t="shared" si="0"/>
        <v>0.02</v>
      </c>
      <c r="M30" s="362"/>
      <c r="N30" s="363">
        <f t="shared" si="1"/>
        <v>37905.451200000003</v>
      </c>
      <c r="O30" s="363"/>
      <c r="P30" s="363">
        <f t="shared" si="2"/>
        <v>32289.828799999996</v>
      </c>
      <c r="Q30" s="363"/>
      <c r="R30" s="358" t="str">
        <f t="shared" si="3"/>
        <v>No</v>
      </c>
      <c r="S30" s="358"/>
      <c r="T30" s="348">
        <v>1987</v>
      </c>
      <c r="U30" s="342">
        <f t="shared" si="4"/>
        <v>18.5</v>
      </c>
      <c r="V30" s="342">
        <f t="shared" si="5"/>
        <v>15.25</v>
      </c>
    </row>
    <row r="31" spans="2:22">
      <c r="B31" s="342" t="s">
        <v>369</v>
      </c>
      <c r="C31" s="365"/>
      <c r="D31" s="348">
        <v>1985</v>
      </c>
      <c r="E31" s="365"/>
      <c r="F31" s="354">
        <v>31372</v>
      </c>
      <c r="G31" s="366"/>
      <c r="H31" s="34">
        <v>145967.76</v>
      </c>
      <c r="I31" s="34"/>
      <c r="J31" s="356">
        <f>+'wp-p-restate(audit)'!J31</f>
        <v>27</v>
      </c>
      <c r="K31" s="361"/>
      <c r="L31" s="362">
        <f t="shared" si="0"/>
        <v>0.02</v>
      </c>
      <c r="M31" s="362"/>
      <c r="N31" s="363">
        <f t="shared" si="1"/>
        <v>78822.590400000016</v>
      </c>
      <c r="O31" s="363"/>
      <c r="P31" s="363">
        <f t="shared" si="2"/>
        <v>67145.169599999994</v>
      </c>
      <c r="Q31" s="363"/>
      <c r="R31" s="358" t="str">
        <f t="shared" si="3"/>
        <v>No</v>
      </c>
      <c r="S31" s="358"/>
      <c r="T31" s="348">
        <v>1988</v>
      </c>
      <c r="U31" s="342">
        <f t="shared" si="4"/>
        <v>17.5</v>
      </c>
      <c r="V31" s="342">
        <f t="shared" si="5"/>
        <v>14.25</v>
      </c>
    </row>
    <row r="32" spans="2:22">
      <c r="B32" s="342" t="s">
        <v>369</v>
      </c>
      <c r="C32" s="365"/>
      <c r="D32" s="348">
        <v>1985</v>
      </c>
      <c r="E32" s="365"/>
      <c r="F32" s="354">
        <v>31372</v>
      </c>
      <c r="G32" s="366"/>
      <c r="H32" s="34">
        <v>19188.32</v>
      </c>
      <c r="I32" s="34"/>
      <c r="J32" s="356">
        <f>+'wp-p-restate(audit)'!J32</f>
        <v>27</v>
      </c>
      <c r="K32" s="361"/>
      <c r="L32" s="362">
        <f t="shared" si="0"/>
        <v>0.02</v>
      </c>
      <c r="M32" s="362"/>
      <c r="N32" s="363">
        <f t="shared" si="1"/>
        <v>10361.692800000001</v>
      </c>
      <c r="O32" s="363"/>
      <c r="P32" s="363">
        <f t="shared" si="2"/>
        <v>8826.627199999999</v>
      </c>
      <c r="Q32" s="363"/>
      <c r="R32" s="358" t="str">
        <f t="shared" si="3"/>
        <v>No</v>
      </c>
      <c r="S32" s="358"/>
      <c r="T32" s="348">
        <v>1989</v>
      </c>
      <c r="U32" s="342">
        <f t="shared" si="4"/>
        <v>16.5</v>
      </c>
      <c r="V32" s="342">
        <f t="shared" si="5"/>
        <v>13.25</v>
      </c>
    </row>
    <row r="33" spans="1:22">
      <c r="B33" s="342" t="s">
        <v>369</v>
      </c>
      <c r="C33" s="365"/>
      <c r="D33" s="348">
        <v>1985</v>
      </c>
      <c r="E33" s="365"/>
      <c r="F33" s="354">
        <v>31372</v>
      </c>
      <c r="G33" s="366"/>
      <c r="H33" s="34">
        <v>129343.47</v>
      </c>
      <c r="I33" s="34"/>
      <c r="J33" s="356">
        <f>+'wp-p-restate(audit)'!J33</f>
        <v>27</v>
      </c>
      <c r="K33" s="361"/>
      <c r="L33" s="362">
        <f t="shared" si="0"/>
        <v>0.02</v>
      </c>
      <c r="M33" s="362"/>
      <c r="N33" s="363">
        <f t="shared" si="1"/>
        <v>69845.473800000007</v>
      </c>
      <c r="O33" s="363"/>
      <c r="P33" s="363">
        <f t="shared" si="2"/>
        <v>59497.996199999994</v>
      </c>
      <c r="Q33" s="363"/>
      <c r="R33" s="358" t="str">
        <f t="shared" si="3"/>
        <v>No</v>
      </c>
      <c r="S33" s="358"/>
      <c r="T33" s="348">
        <v>1990</v>
      </c>
      <c r="U33" s="342">
        <f t="shared" si="4"/>
        <v>15.5</v>
      </c>
      <c r="V33" s="342">
        <f t="shared" si="5"/>
        <v>12.25</v>
      </c>
    </row>
    <row r="34" spans="1:22">
      <c r="B34" s="342" t="s">
        <v>369</v>
      </c>
      <c r="C34" s="365"/>
      <c r="D34" s="348">
        <v>1985</v>
      </c>
      <c r="E34" s="365"/>
      <c r="F34" s="354">
        <v>31372</v>
      </c>
      <c r="G34" s="366"/>
      <c r="H34" s="34">
        <v>21885.34</v>
      </c>
      <c r="I34" s="34"/>
      <c r="J34" s="356">
        <f>+'wp-p-restate(audit)'!J34</f>
        <v>27</v>
      </c>
      <c r="K34" s="361"/>
      <c r="L34" s="362">
        <f t="shared" si="0"/>
        <v>0.02</v>
      </c>
      <c r="M34" s="362"/>
      <c r="N34" s="363">
        <f t="shared" si="1"/>
        <v>11818.083600000002</v>
      </c>
      <c r="O34" s="363"/>
      <c r="P34" s="363">
        <f t="shared" si="2"/>
        <v>10067.256399999998</v>
      </c>
      <c r="Q34" s="363"/>
      <c r="R34" s="358" t="str">
        <f t="shared" si="3"/>
        <v>No</v>
      </c>
      <c r="S34" s="358"/>
      <c r="T34" s="348">
        <v>1991</v>
      </c>
      <c r="U34" s="342">
        <f t="shared" si="4"/>
        <v>14.5</v>
      </c>
      <c r="V34" s="342">
        <f t="shared" si="5"/>
        <v>11.25</v>
      </c>
    </row>
    <row r="35" spans="1:22">
      <c r="B35" s="342" t="s">
        <v>369</v>
      </c>
      <c r="D35" s="348">
        <v>1997</v>
      </c>
      <c r="F35" s="367">
        <v>35642</v>
      </c>
      <c r="G35" s="368"/>
      <c r="H35" s="215">
        <v>6000.81</v>
      </c>
      <c r="J35" s="356">
        <f>+'wp-p-restate(audit)'!J35</f>
        <v>15</v>
      </c>
      <c r="K35" s="356"/>
      <c r="L35" s="344">
        <f t="shared" si="0"/>
        <v>0.02</v>
      </c>
      <c r="M35" s="344"/>
      <c r="N35" s="357">
        <f t="shared" si="1"/>
        <v>1800.2430000000002</v>
      </c>
      <c r="O35" s="357"/>
      <c r="P35" s="357">
        <f t="shared" si="2"/>
        <v>4200.567</v>
      </c>
      <c r="Q35" s="357"/>
      <c r="R35" s="358" t="str">
        <f t="shared" si="3"/>
        <v>No</v>
      </c>
      <c r="S35" s="358"/>
      <c r="T35" s="348">
        <v>1992</v>
      </c>
      <c r="U35" s="342">
        <f t="shared" si="4"/>
        <v>13.5</v>
      </c>
      <c r="V35" s="342">
        <f t="shared" si="5"/>
        <v>10.25</v>
      </c>
    </row>
    <row r="36" spans="1:22">
      <c r="B36" s="342" t="s">
        <v>369</v>
      </c>
      <c r="D36" s="348">
        <v>1997</v>
      </c>
      <c r="F36" s="367">
        <v>35642</v>
      </c>
      <c r="G36" s="355"/>
      <c r="H36" s="215">
        <v>677.84</v>
      </c>
      <c r="J36" s="356">
        <f>+'wp-p-restate(audit)'!J36</f>
        <v>15</v>
      </c>
      <c r="K36" s="356"/>
      <c r="L36" s="344">
        <f t="shared" si="0"/>
        <v>0.02</v>
      </c>
      <c r="M36" s="344"/>
      <c r="N36" s="357">
        <f t="shared" si="1"/>
        <v>203.352</v>
      </c>
      <c r="O36" s="357"/>
      <c r="P36" s="357">
        <f t="shared" si="2"/>
        <v>474.48800000000006</v>
      </c>
      <c r="Q36" s="357"/>
      <c r="R36" s="358" t="str">
        <f t="shared" si="3"/>
        <v>No</v>
      </c>
      <c r="S36" s="358"/>
      <c r="T36" s="348">
        <v>1993</v>
      </c>
      <c r="U36" s="342">
        <f t="shared" si="4"/>
        <v>12.5</v>
      </c>
      <c r="V36" s="342">
        <f t="shared" si="5"/>
        <v>9.25</v>
      </c>
    </row>
    <row r="37" spans="1:22">
      <c r="B37" s="342" t="s">
        <v>369</v>
      </c>
      <c r="D37" s="348">
        <v>1997</v>
      </c>
      <c r="F37" s="367">
        <v>35642</v>
      </c>
      <c r="G37" s="355"/>
      <c r="H37" s="215">
        <v>39951.21</v>
      </c>
      <c r="J37" s="356">
        <f>+'wp-p-restate(audit)'!J37</f>
        <v>15</v>
      </c>
      <c r="K37" s="356"/>
      <c r="L37" s="344">
        <f t="shared" si="0"/>
        <v>0.02</v>
      </c>
      <c r="M37" s="344"/>
      <c r="N37" s="357">
        <f t="shared" si="1"/>
        <v>11985.362999999999</v>
      </c>
      <c r="O37" s="357"/>
      <c r="P37" s="357">
        <f t="shared" si="2"/>
        <v>27965.847000000002</v>
      </c>
      <c r="Q37" s="357"/>
      <c r="R37" s="358" t="str">
        <f t="shared" si="3"/>
        <v>No</v>
      </c>
      <c r="S37" s="358"/>
      <c r="T37" s="348">
        <v>1994</v>
      </c>
      <c r="U37" s="342">
        <f t="shared" si="4"/>
        <v>11.5</v>
      </c>
      <c r="V37" s="342">
        <f t="shared" si="5"/>
        <v>8.25</v>
      </c>
    </row>
    <row r="38" spans="1:22">
      <c r="B38" s="342" t="s">
        <v>369</v>
      </c>
      <c r="D38" s="348">
        <v>1997</v>
      </c>
      <c r="F38" s="367">
        <v>35642</v>
      </c>
      <c r="G38" s="366"/>
      <c r="H38" s="34">
        <v>18022.240000000002</v>
      </c>
      <c r="I38" s="34"/>
      <c r="J38" s="356">
        <f>+'wp-p-restate(audit)'!J38</f>
        <v>15</v>
      </c>
      <c r="K38" s="356"/>
      <c r="L38" s="344">
        <f t="shared" si="0"/>
        <v>0.02</v>
      </c>
      <c r="M38" s="344"/>
      <c r="N38" s="357">
        <f t="shared" si="1"/>
        <v>5406.6720000000005</v>
      </c>
      <c r="O38" s="357"/>
      <c r="P38" s="357">
        <f t="shared" si="2"/>
        <v>12615.568000000001</v>
      </c>
      <c r="Q38" s="357"/>
      <c r="R38" s="358" t="str">
        <f t="shared" si="3"/>
        <v>No</v>
      </c>
      <c r="S38" s="358"/>
      <c r="T38" s="348">
        <v>1995</v>
      </c>
      <c r="U38" s="342">
        <f t="shared" si="4"/>
        <v>10.5</v>
      </c>
      <c r="V38" s="342">
        <f t="shared" si="5"/>
        <v>7.25</v>
      </c>
    </row>
    <row r="39" spans="1:22">
      <c r="B39" s="342" t="s">
        <v>369</v>
      </c>
      <c r="D39" s="348">
        <v>1997</v>
      </c>
      <c r="F39" s="354">
        <v>35642</v>
      </c>
      <c r="G39" s="355"/>
      <c r="H39" s="215">
        <v>29151.79</v>
      </c>
      <c r="J39" s="356">
        <f>+'wp-p-restate(audit)'!J39</f>
        <v>15</v>
      </c>
      <c r="K39" s="356"/>
      <c r="L39" s="344">
        <f t="shared" si="0"/>
        <v>0.02</v>
      </c>
      <c r="M39" s="344"/>
      <c r="N39" s="357">
        <f t="shared" si="1"/>
        <v>8745.5370000000003</v>
      </c>
      <c r="O39" s="357"/>
      <c r="P39" s="357">
        <f t="shared" si="2"/>
        <v>20406.253000000001</v>
      </c>
      <c r="Q39" s="357"/>
      <c r="R39" s="358" t="str">
        <f t="shared" si="3"/>
        <v>No</v>
      </c>
      <c r="S39" s="358"/>
      <c r="T39" s="348">
        <v>1996</v>
      </c>
      <c r="U39" s="342">
        <f t="shared" si="4"/>
        <v>9.5</v>
      </c>
      <c r="V39" s="342">
        <f t="shared" si="5"/>
        <v>6.25</v>
      </c>
    </row>
    <row r="40" spans="1:22">
      <c r="B40" s="342" t="s">
        <v>369</v>
      </c>
      <c r="D40" s="348">
        <v>1997</v>
      </c>
      <c r="F40" s="354">
        <v>35642</v>
      </c>
      <c r="G40" s="355"/>
      <c r="H40" s="215">
        <v>34478.839999999997</v>
      </c>
      <c r="J40" s="356">
        <f>+'wp-p-restate(audit)'!J40</f>
        <v>15</v>
      </c>
      <c r="K40" s="356"/>
      <c r="L40" s="344">
        <f t="shared" si="0"/>
        <v>0.02</v>
      </c>
      <c r="M40" s="344"/>
      <c r="N40" s="357">
        <f t="shared" si="1"/>
        <v>10343.651999999998</v>
      </c>
      <c r="O40" s="357"/>
      <c r="P40" s="357">
        <f t="shared" si="2"/>
        <v>24135.187999999998</v>
      </c>
      <c r="Q40" s="357"/>
      <c r="R40" s="358" t="str">
        <f t="shared" si="3"/>
        <v>No</v>
      </c>
      <c r="S40" s="215"/>
      <c r="T40" s="348">
        <v>1997</v>
      </c>
      <c r="U40" s="342">
        <f t="shared" si="4"/>
        <v>8.5</v>
      </c>
      <c r="V40" s="342">
        <f t="shared" si="5"/>
        <v>5.25</v>
      </c>
    </row>
    <row r="41" spans="1:22">
      <c r="B41" s="342" t="s">
        <v>369</v>
      </c>
      <c r="D41" s="348">
        <v>1997</v>
      </c>
      <c r="F41" s="354">
        <v>35642</v>
      </c>
      <c r="G41" s="355"/>
      <c r="H41" s="215">
        <v>682.5</v>
      </c>
      <c r="J41" s="356">
        <f>+'wp-p-restate(audit)'!J41</f>
        <v>15</v>
      </c>
      <c r="K41" s="356"/>
      <c r="L41" s="344">
        <f t="shared" ref="L41:L73" si="6">VLOOKUP(B41,$T$9:$U$13,2,FALSE)</f>
        <v>0.02</v>
      </c>
      <c r="M41" s="344"/>
      <c r="N41" s="357">
        <f t="shared" ref="N41:N73" si="7">IF(L41*J41*H41&gt;H41,H41,L41*J41*H41)</f>
        <v>204.75</v>
      </c>
      <c r="O41" s="357"/>
      <c r="P41" s="357">
        <f t="shared" ref="P41:P73" si="8">H41-N41</f>
        <v>477.75</v>
      </c>
      <c r="Q41" s="357"/>
      <c r="R41" s="358" t="str">
        <f t="shared" ref="R41:R73" si="9">IF(N41=H41,"Yes","No")</f>
        <v>No</v>
      </c>
      <c r="T41" s="348">
        <v>1998</v>
      </c>
      <c r="U41" s="342">
        <f t="shared" si="4"/>
        <v>7.5</v>
      </c>
      <c r="V41" s="342">
        <f t="shared" si="5"/>
        <v>4.25</v>
      </c>
    </row>
    <row r="42" spans="1:22">
      <c r="B42" s="342" t="s">
        <v>369</v>
      </c>
      <c r="D42" s="348">
        <v>1997</v>
      </c>
      <c r="F42" s="354">
        <v>35642</v>
      </c>
      <c r="G42" s="355"/>
      <c r="H42" s="215">
        <v>33053.68</v>
      </c>
      <c r="J42" s="356">
        <f>+'wp-p-restate(audit)'!J42</f>
        <v>15</v>
      </c>
      <c r="K42" s="356"/>
      <c r="L42" s="344">
        <f t="shared" si="6"/>
        <v>0.02</v>
      </c>
      <c r="M42" s="344"/>
      <c r="N42" s="357">
        <f t="shared" si="7"/>
        <v>9916.1039999999994</v>
      </c>
      <c r="O42" s="357"/>
      <c r="P42" s="357">
        <f t="shared" si="8"/>
        <v>23137.576000000001</v>
      </c>
      <c r="Q42" s="357"/>
      <c r="R42" s="358" t="str">
        <f t="shared" si="9"/>
        <v>No</v>
      </c>
      <c r="T42" s="348">
        <v>1999</v>
      </c>
      <c r="U42" s="342">
        <f t="shared" si="4"/>
        <v>6.5</v>
      </c>
      <c r="V42" s="342">
        <f t="shared" si="5"/>
        <v>3.25</v>
      </c>
    </row>
    <row r="43" spans="1:22">
      <c r="B43" s="342" t="s">
        <v>369</v>
      </c>
      <c r="D43" s="348">
        <v>1997</v>
      </c>
      <c r="F43" s="354">
        <v>35642</v>
      </c>
      <c r="G43" s="355"/>
      <c r="H43" s="215">
        <v>6843.71</v>
      </c>
      <c r="J43" s="356">
        <f>+'wp-p-restate(audit)'!J43</f>
        <v>15</v>
      </c>
      <c r="K43" s="356"/>
      <c r="L43" s="344">
        <f t="shared" si="6"/>
        <v>0.02</v>
      </c>
      <c r="M43" s="344"/>
      <c r="N43" s="357">
        <f t="shared" si="7"/>
        <v>2053.1129999999998</v>
      </c>
      <c r="O43" s="357"/>
      <c r="P43" s="357">
        <f t="shared" si="8"/>
        <v>4790.5969999999998</v>
      </c>
      <c r="Q43" s="357"/>
      <c r="R43" s="358" t="str">
        <f t="shared" si="9"/>
        <v>No</v>
      </c>
      <c r="T43" s="348">
        <v>2000</v>
      </c>
      <c r="U43" s="342">
        <f t="shared" si="4"/>
        <v>5.5</v>
      </c>
      <c r="V43" s="342">
        <f t="shared" si="5"/>
        <v>2.25</v>
      </c>
    </row>
    <row r="44" spans="1:22">
      <c r="B44" s="342" t="s">
        <v>369</v>
      </c>
      <c r="D44" s="348">
        <v>1997</v>
      </c>
      <c r="F44" s="354">
        <v>35642</v>
      </c>
      <c r="G44" s="355"/>
      <c r="H44" s="215">
        <v>12226.94</v>
      </c>
      <c r="J44" s="356">
        <f>+'wp-p-restate(audit)'!J44</f>
        <v>15</v>
      </c>
      <c r="K44" s="356"/>
      <c r="L44" s="344">
        <f t="shared" si="6"/>
        <v>0.02</v>
      </c>
      <c r="M44" s="344"/>
      <c r="N44" s="357">
        <f t="shared" si="7"/>
        <v>3668.0819999999999</v>
      </c>
      <c r="O44" s="357"/>
      <c r="P44" s="357">
        <f t="shared" si="8"/>
        <v>8558.8580000000002</v>
      </c>
      <c r="Q44" s="357"/>
      <c r="R44" s="358" t="str">
        <f t="shared" si="9"/>
        <v>No</v>
      </c>
      <c r="T44" s="348">
        <v>2001</v>
      </c>
      <c r="U44" s="342">
        <f t="shared" si="4"/>
        <v>4.5</v>
      </c>
      <c r="V44" s="342">
        <f t="shared" si="5"/>
        <v>1.25</v>
      </c>
    </row>
    <row r="45" spans="1:22">
      <c r="B45" s="342" t="s">
        <v>369</v>
      </c>
      <c r="D45" s="348">
        <v>1997</v>
      </c>
      <c r="F45" s="354">
        <v>35642</v>
      </c>
      <c r="G45" s="355"/>
      <c r="H45" s="215">
        <v>337.29</v>
      </c>
      <c r="J45" s="356">
        <f>+'wp-p-restate(audit)'!J45</f>
        <v>15</v>
      </c>
      <c r="K45" s="356"/>
      <c r="L45" s="344">
        <f t="shared" si="6"/>
        <v>0.02</v>
      </c>
      <c r="M45" s="344"/>
      <c r="N45" s="357">
        <f t="shared" si="7"/>
        <v>101.187</v>
      </c>
      <c r="O45" s="357"/>
      <c r="P45" s="357">
        <f t="shared" si="8"/>
        <v>236.10300000000001</v>
      </c>
      <c r="Q45" s="357"/>
      <c r="R45" s="358" t="str">
        <f t="shared" si="9"/>
        <v>No</v>
      </c>
      <c r="T45" s="348">
        <v>2002</v>
      </c>
      <c r="U45" s="342">
        <f t="shared" si="4"/>
        <v>3.5</v>
      </c>
      <c r="V45" s="342">
        <f t="shared" si="5"/>
        <v>0.25</v>
      </c>
    </row>
    <row r="46" spans="1:22">
      <c r="B46" s="342" t="s">
        <v>369</v>
      </c>
      <c r="D46" s="348">
        <v>1997</v>
      </c>
      <c r="F46" s="354">
        <v>35642</v>
      </c>
      <c r="G46" s="355"/>
      <c r="H46" s="215">
        <v>25347.95</v>
      </c>
      <c r="J46" s="356">
        <f>+'wp-p-restate(audit)'!J46</f>
        <v>15</v>
      </c>
      <c r="K46" s="356"/>
      <c r="L46" s="344">
        <f t="shared" si="6"/>
        <v>0.02</v>
      </c>
      <c r="M46" s="344"/>
      <c r="N46" s="357">
        <f t="shared" si="7"/>
        <v>7604.3850000000002</v>
      </c>
      <c r="O46" s="357"/>
      <c r="P46" s="357">
        <f t="shared" si="8"/>
        <v>17743.565000000002</v>
      </c>
      <c r="Q46" s="357"/>
      <c r="R46" s="358" t="str">
        <f t="shared" si="9"/>
        <v>No</v>
      </c>
      <c r="T46" s="348">
        <v>2003</v>
      </c>
      <c r="U46" s="342">
        <f t="shared" si="4"/>
        <v>2.5</v>
      </c>
    </row>
    <row r="47" spans="1:22">
      <c r="A47" s="369"/>
      <c r="B47" s="342" t="s">
        <v>369</v>
      </c>
      <c r="D47" s="348">
        <v>1997</v>
      </c>
      <c r="F47" s="354">
        <v>35642</v>
      </c>
      <c r="G47" s="355"/>
      <c r="H47" s="215">
        <v>7520.74</v>
      </c>
      <c r="J47" s="356">
        <f>+'wp-p-restate(audit)'!J47</f>
        <v>15</v>
      </c>
      <c r="K47" s="356"/>
      <c r="L47" s="344">
        <f t="shared" si="6"/>
        <v>0.02</v>
      </c>
      <c r="M47" s="344"/>
      <c r="N47" s="357">
        <f t="shared" si="7"/>
        <v>2256.2219999999998</v>
      </c>
      <c r="O47" s="357"/>
      <c r="P47" s="357">
        <f t="shared" si="8"/>
        <v>5264.518</v>
      </c>
      <c r="Q47" s="357"/>
      <c r="R47" s="358" t="str">
        <f t="shared" si="9"/>
        <v>No</v>
      </c>
      <c r="T47" s="348">
        <v>2004</v>
      </c>
      <c r="U47" s="342">
        <f t="shared" si="4"/>
        <v>1.5</v>
      </c>
    </row>
    <row r="48" spans="1:22">
      <c r="A48" s="365"/>
      <c r="B48" s="342" t="s">
        <v>369</v>
      </c>
      <c r="D48" s="348">
        <v>1997</v>
      </c>
      <c r="F48" s="354">
        <v>35642</v>
      </c>
      <c r="G48" s="355"/>
      <c r="H48" s="215">
        <v>20637.8</v>
      </c>
      <c r="J48" s="356">
        <f>+'wp-p-restate(audit)'!J48</f>
        <v>15</v>
      </c>
      <c r="K48" s="356"/>
      <c r="L48" s="344">
        <f t="shared" si="6"/>
        <v>0.02</v>
      </c>
      <c r="M48" s="344"/>
      <c r="N48" s="357">
        <f t="shared" si="7"/>
        <v>6191.3399999999992</v>
      </c>
      <c r="O48" s="357"/>
      <c r="P48" s="357">
        <f t="shared" si="8"/>
        <v>14446.46</v>
      </c>
      <c r="Q48" s="357"/>
      <c r="R48" s="358" t="str">
        <f t="shared" si="9"/>
        <v>No</v>
      </c>
      <c r="S48" s="358"/>
      <c r="T48" s="370">
        <v>2005</v>
      </c>
      <c r="U48" s="371">
        <v>1</v>
      </c>
    </row>
    <row r="49" spans="1:19">
      <c r="A49" s="365"/>
      <c r="B49" s="342" t="s">
        <v>369</v>
      </c>
      <c r="D49" s="348">
        <v>1997</v>
      </c>
      <c r="F49" s="354">
        <v>35642</v>
      </c>
      <c r="G49" s="355"/>
      <c r="H49" s="215">
        <v>3041</v>
      </c>
      <c r="J49" s="356">
        <f>+'wp-p-restate(audit)'!J49</f>
        <v>15</v>
      </c>
      <c r="K49" s="356"/>
      <c r="L49" s="344">
        <f t="shared" si="6"/>
        <v>0.02</v>
      </c>
      <c r="M49" s="344"/>
      <c r="N49" s="357">
        <f t="shared" si="7"/>
        <v>912.3</v>
      </c>
      <c r="O49" s="357"/>
      <c r="P49" s="357">
        <f t="shared" si="8"/>
        <v>2128.6999999999998</v>
      </c>
      <c r="Q49" s="357"/>
      <c r="R49" s="358" t="str">
        <f t="shared" si="9"/>
        <v>No</v>
      </c>
      <c r="S49" s="358"/>
    </row>
    <row r="50" spans="1:19">
      <c r="A50" s="365"/>
      <c r="B50" s="342" t="s">
        <v>369</v>
      </c>
      <c r="D50" s="348">
        <v>1997</v>
      </c>
      <c r="F50" s="354">
        <v>35642</v>
      </c>
      <c r="G50" s="355"/>
      <c r="H50" s="215">
        <v>854.21</v>
      </c>
      <c r="J50" s="356">
        <f>+'wp-p-restate(audit)'!J50</f>
        <v>15</v>
      </c>
      <c r="K50" s="356"/>
      <c r="L50" s="344">
        <f t="shared" si="6"/>
        <v>0.02</v>
      </c>
      <c r="M50" s="344"/>
      <c r="N50" s="357">
        <f t="shared" si="7"/>
        <v>256.26299999999998</v>
      </c>
      <c r="O50" s="357"/>
      <c r="P50" s="357">
        <f t="shared" si="8"/>
        <v>597.94700000000012</v>
      </c>
      <c r="Q50" s="357"/>
      <c r="R50" s="358" t="str">
        <f t="shared" si="9"/>
        <v>No</v>
      </c>
      <c r="S50" s="358"/>
    </row>
    <row r="51" spans="1:19">
      <c r="A51" s="365"/>
      <c r="B51" s="342" t="s">
        <v>369</v>
      </c>
      <c r="C51" s="365"/>
      <c r="D51" s="372">
        <v>1997</v>
      </c>
      <c r="E51" s="365"/>
      <c r="F51" s="373">
        <v>35642</v>
      </c>
      <c r="G51" s="366"/>
      <c r="H51" s="34">
        <v>8920.93</v>
      </c>
      <c r="I51" s="34"/>
      <c r="J51" s="356">
        <f>+'wp-p-restate(audit)'!J51</f>
        <v>15</v>
      </c>
      <c r="K51" s="361"/>
      <c r="L51" s="362">
        <f t="shared" si="6"/>
        <v>0.02</v>
      </c>
      <c r="M51" s="362"/>
      <c r="N51" s="363">
        <f t="shared" si="7"/>
        <v>2676.279</v>
      </c>
      <c r="O51" s="363"/>
      <c r="P51" s="363">
        <f t="shared" si="8"/>
        <v>6244.6509999999998</v>
      </c>
      <c r="Q51" s="363"/>
      <c r="R51" s="358" t="str">
        <f t="shared" si="9"/>
        <v>No</v>
      </c>
      <c r="S51" s="358"/>
    </row>
    <row r="52" spans="1:19">
      <c r="A52" s="365"/>
      <c r="B52" s="342" t="s">
        <v>369</v>
      </c>
      <c r="C52" s="365"/>
      <c r="D52" s="372">
        <v>1997</v>
      </c>
      <c r="E52" s="365"/>
      <c r="F52" s="373">
        <v>35642</v>
      </c>
      <c r="G52" s="366"/>
      <c r="H52" s="34">
        <v>18713.8</v>
      </c>
      <c r="I52" s="34"/>
      <c r="J52" s="356">
        <f>+'wp-p-restate(audit)'!J52</f>
        <v>15</v>
      </c>
      <c r="K52" s="361"/>
      <c r="L52" s="362">
        <f t="shared" si="6"/>
        <v>0.02</v>
      </c>
      <c r="M52" s="362"/>
      <c r="N52" s="363">
        <f t="shared" si="7"/>
        <v>5614.1399999999994</v>
      </c>
      <c r="O52" s="363"/>
      <c r="P52" s="363">
        <f t="shared" si="8"/>
        <v>13099.66</v>
      </c>
      <c r="Q52" s="363"/>
      <c r="R52" s="358" t="str">
        <f t="shared" si="9"/>
        <v>No</v>
      </c>
      <c r="S52" s="358"/>
    </row>
    <row r="53" spans="1:19">
      <c r="A53" s="365"/>
      <c r="B53" s="342" t="s">
        <v>369</v>
      </c>
      <c r="C53" s="365"/>
      <c r="D53" s="372">
        <v>1997</v>
      </c>
      <c r="E53" s="365"/>
      <c r="F53" s="373">
        <v>35642</v>
      </c>
      <c r="G53" s="366"/>
      <c r="H53" s="34">
        <v>42319.97</v>
      </c>
      <c r="I53" s="34"/>
      <c r="J53" s="356">
        <f>+'wp-p-restate(audit)'!J53</f>
        <v>15</v>
      </c>
      <c r="K53" s="361"/>
      <c r="L53" s="362">
        <f t="shared" si="6"/>
        <v>0.02</v>
      </c>
      <c r="M53" s="362"/>
      <c r="N53" s="363">
        <f t="shared" si="7"/>
        <v>12695.991</v>
      </c>
      <c r="O53" s="363"/>
      <c r="P53" s="363">
        <f t="shared" si="8"/>
        <v>29623.978999999999</v>
      </c>
      <c r="Q53" s="363"/>
      <c r="R53" s="358" t="str">
        <f t="shared" si="9"/>
        <v>No</v>
      </c>
      <c r="S53" s="358"/>
    </row>
    <row r="54" spans="1:19">
      <c r="A54" s="365"/>
      <c r="B54" s="342" t="s">
        <v>369</v>
      </c>
      <c r="C54" s="365"/>
      <c r="D54" s="372">
        <v>1997</v>
      </c>
      <c r="E54" s="365"/>
      <c r="F54" s="373">
        <v>35642</v>
      </c>
      <c r="G54" s="366"/>
      <c r="H54" s="34">
        <v>117894.63</v>
      </c>
      <c r="I54" s="34"/>
      <c r="J54" s="356">
        <f>+'wp-p-restate(audit)'!J54</f>
        <v>15</v>
      </c>
      <c r="K54" s="361"/>
      <c r="L54" s="362">
        <f t="shared" si="6"/>
        <v>0.02</v>
      </c>
      <c r="M54" s="362"/>
      <c r="N54" s="363">
        <f t="shared" si="7"/>
        <v>35368.389000000003</v>
      </c>
      <c r="O54" s="363"/>
      <c r="P54" s="363">
        <f t="shared" si="8"/>
        <v>82526.241000000009</v>
      </c>
      <c r="Q54" s="363"/>
      <c r="R54" s="358" t="str">
        <f t="shared" si="9"/>
        <v>No</v>
      </c>
      <c r="S54" s="358"/>
    </row>
    <row r="55" spans="1:19">
      <c r="A55" s="365"/>
      <c r="B55" s="342" t="s">
        <v>369</v>
      </c>
      <c r="C55" s="365"/>
      <c r="D55" s="372">
        <v>1997</v>
      </c>
      <c r="E55" s="365"/>
      <c r="F55" s="373">
        <v>35642</v>
      </c>
      <c r="G55" s="366"/>
      <c r="H55" s="34">
        <v>2383</v>
      </c>
      <c r="I55" s="34"/>
      <c r="J55" s="356">
        <f>+'wp-p-restate(audit)'!J55</f>
        <v>15</v>
      </c>
      <c r="K55" s="361"/>
      <c r="L55" s="362">
        <f t="shared" si="6"/>
        <v>0.02</v>
      </c>
      <c r="M55" s="362"/>
      <c r="N55" s="363">
        <f t="shared" si="7"/>
        <v>714.9</v>
      </c>
      <c r="O55" s="363"/>
      <c r="P55" s="363">
        <f t="shared" si="8"/>
        <v>1668.1</v>
      </c>
      <c r="Q55" s="363"/>
      <c r="R55" s="358" t="str">
        <f t="shared" si="9"/>
        <v>No</v>
      </c>
      <c r="S55" s="358"/>
    </row>
    <row r="56" spans="1:19">
      <c r="A56" s="365"/>
      <c r="B56" s="342" t="s">
        <v>369</v>
      </c>
      <c r="C56" s="365"/>
      <c r="D56" s="372">
        <v>1997</v>
      </c>
      <c r="E56" s="365"/>
      <c r="F56" s="373">
        <v>35642</v>
      </c>
      <c r="G56" s="366"/>
      <c r="H56" s="34">
        <v>454</v>
      </c>
      <c r="I56" s="34"/>
      <c r="J56" s="356">
        <f>+'wp-p-restate(audit)'!J56</f>
        <v>15</v>
      </c>
      <c r="K56" s="361"/>
      <c r="L56" s="362">
        <f t="shared" si="6"/>
        <v>0.02</v>
      </c>
      <c r="M56" s="362"/>
      <c r="N56" s="363">
        <f t="shared" si="7"/>
        <v>136.19999999999999</v>
      </c>
      <c r="O56" s="363"/>
      <c r="P56" s="363">
        <f t="shared" si="8"/>
        <v>317.8</v>
      </c>
      <c r="Q56" s="363"/>
      <c r="R56" s="358" t="str">
        <f t="shared" si="9"/>
        <v>No</v>
      </c>
      <c r="S56" s="358"/>
    </row>
    <row r="57" spans="1:19">
      <c r="A57" s="365"/>
      <c r="B57" s="342" t="s">
        <v>640</v>
      </c>
      <c r="D57" s="348">
        <v>1997</v>
      </c>
      <c r="F57" s="354">
        <v>35642</v>
      </c>
      <c r="G57" s="355"/>
      <c r="H57" s="215">
        <v>840.8</v>
      </c>
      <c r="J57" s="356">
        <f>+'wp-p-restate(audit)'!J57</f>
        <v>15</v>
      </c>
      <c r="K57" s="356"/>
      <c r="L57" s="344">
        <f t="shared" si="6"/>
        <v>0</v>
      </c>
      <c r="M57" s="344"/>
      <c r="N57" s="357">
        <f t="shared" si="7"/>
        <v>0</v>
      </c>
      <c r="O57" s="357"/>
      <c r="P57" s="357">
        <f t="shared" si="8"/>
        <v>840.8</v>
      </c>
      <c r="Q57" s="357"/>
      <c r="R57" s="358" t="str">
        <f t="shared" si="9"/>
        <v>No</v>
      </c>
      <c r="S57" s="358"/>
    </row>
    <row r="58" spans="1:19">
      <c r="A58" s="365"/>
      <c r="B58" s="342" t="s">
        <v>640</v>
      </c>
      <c r="D58" s="348">
        <v>1997</v>
      </c>
      <c r="F58" s="354">
        <v>35642</v>
      </c>
      <c r="G58" s="355"/>
      <c r="H58" s="215">
        <v>6853</v>
      </c>
      <c r="J58" s="356">
        <f>+'wp-p-restate(audit)'!J58</f>
        <v>15</v>
      </c>
      <c r="K58" s="356"/>
      <c r="L58" s="344">
        <f t="shared" si="6"/>
        <v>0</v>
      </c>
      <c r="M58" s="344"/>
      <c r="N58" s="357">
        <f t="shared" si="7"/>
        <v>0</v>
      </c>
      <c r="O58" s="357"/>
      <c r="P58" s="357">
        <f t="shared" si="8"/>
        <v>6853</v>
      </c>
      <c r="Q58" s="357"/>
      <c r="R58" s="358" t="str">
        <f t="shared" si="9"/>
        <v>No</v>
      </c>
      <c r="S58" s="358"/>
    </row>
    <row r="59" spans="1:19">
      <c r="A59" s="365"/>
      <c r="B59" s="342" t="s">
        <v>640</v>
      </c>
      <c r="D59" s="348">
        <v>1997</v>
      </c>
      <c r="F59" s="354">
        <v>35642</v>
      </c>
      <c r="G59" s="355"/>
      <c r="H59" s="215">
        <v>628.83000000000004</v>
      </c>
      <c r="J59" s="356">
        <f>+'wp-p-restate(audit)'!J59</f>
        <v>15</v>
      </c>
      <c r="K59" s="356"/>
      <c r="L59" s="344">
        <f t="shared" si="6"/>
        <v>0</v>
      </c>
      <c r="M59" s="344"/>
      <c r="N59" s="357">
        <f t="shared" si="7"/>
        <v>0</v>
      </c>
      <c r="O59" s="357"/>
      <c r="P59" s="357">
        <f t="shared" si="8"/>
        <v>628.83000000000004</v>
      </c>
      <c r="Q59" s="357"/>
      <c r="R59" s="358" t="str">
        <f t="shared" si="9"/>
        <v>No</v>
      </c>
      <c r="S59" s="358"/>
    </row>
    <row r="60" spans="1:19">
      <c r="A60" s="365"/>
      <c r="B60" s="342" t="s">
        <v>640</v>
      </c>
      <c r="D60" s="348">
        <v>1997</v>
      </c>
      <c r="F60" s="354">
        <v>35642</v>
      </c>
      <c r="G60" s="355"/>
      <c r="H60" s="215">
        <v>1025.44</v>
      </c>
      <c r="J60" s="356">
        <f>+'wp-p-restate(audit)'!J60</f>
        <v>15</v>
      </c>
      <c r="K60" s="356"/>
      <c r="L60" s="344">
        <f t="shared" si="6"/>
        <v>0</v>
      </c>
      <c r="M60" s="344"/>
      <c r="N60" s="357">
        <f t="shared" si="7"/>
        <v>0</v>
      </c>
      <c r="O60" s="357"/>
      <c r="P60" s="357">
        <f t="shared" si="8"/>
        <v>1025.44</v>
      </c>
      <c r="Q60" s="357"/>
      <c r="R60" s="358" t="str">
        <f t="shared" si="9"/>
        <v>No</v>
      </c>
      <c r="S60" s="358"/>
    </row>
    <row r="61" spans="1:19">
      <c r="A61" s="365"/>
      <c r="B61" s="342" t="s">
        <v>640</v>
      </c>
      <c r="D61" s="348">
        <v>1997</v>
      </c>
      <c r="F61" s="354">
        <v>35642</v>
      </c>
      <c r="G61" s="355"/>
      <c r="H61" s="215">
        <v>5496</v>
      </c>
      <c r="J61" s="356">
        <f>+'wp-p-restate(audit)'!J61</f>
        <v>15</v>
      </c>
      <c r="K61" s="356"/>
      <c r="L61" s="344">
        <f t="shared" si="6"/>
        <v>0</v>
      </c>
      <c r="M61" s="344"/>
      <c r="N61" s="357">
        <f t="shared" si="7"/>
        <v>0</v>
      </c>
      <c r="O61" s="357"/>
      <c r="P61" s="357">
        <f t="shared" si="8"/>
        <v>5496</v>
      </c>
      <c r="Q61" s="357"/>
      <c r="R61" s="358" t="str">
        <f t="shared" si="9"/>
        <v>No</v>
      </c>
      <c r="S61" s="358"/>
    </row>
    <row r="62" spans="1:19">
      <c r="A62" s="365"/>
      <c r="B62" s="342" t="s">
        <v>640</v>
      </c>
      <c r="D62" s="348">
        <v>1997</v>
      </c>
      <c r="F62" s="354">
        <v>35642</v>
      </c>
      <c r="G62" s="355"/>
      <c r="H62" s="215">
        <v>112</v>
      </c>
      <c r="J62" s="356">
        <f>+'wp-p-restate(audit)'!J62</f>
        <v>15</v>
      </c>
      <c r="K62" s="356"/>
      <c r="L62" s="344">
        <f t="shared" si="6"/>
        <v>0</v>
      </c>
      <c r="M62" s="344"/>
      <c r="N62" s="357">
        <f t="shared" si="7"/>
        <v>0</v>
      </c>
      <c r="O62" s="357"/>
      <c r="P62" s="357">
        <f t="shared" si="8"/>
        <v>112</v>
      </c>
      <c r="Q62" s="357"/>
      <c r="R62" s="358" t="str">
        <f t="shared" si="9"/>
        <v>No</v>
      </c>
      <c r="S62" s="358"/>
    </row>
    <row r="63" spans="1:19">
      <c r="A63" s="365"/>
      <c r="B63" s="365" t="s">
        <v>370</v>
      </c>
      <c r="C63" s="365"/>
      <c r="D63" s="372">
        <v>1997</v>
      </c>
      <c r="E63" s="365"/>
      <c r="F63" s="373">
        <v>35642</v>
      </c>
      <c r="G63" s="366"/>
      <c r="H63" s="34">
        <v>91200.55</v>
      </c>
      <c r="I63" s="34"/>
      <c r="J63" s="356">
        <f>+'wp-p-restate(audit)'!J63</f>
        <v>15</v>
      </c>
      <c r="K63" s="361"/>
      <c r="L63" s="362">
        <f t="shared" si="6"/>
        <v>0.25</v>
      </c>
      <c r="M63" s="362"/>
      <c r="N63" s="363">
        <f t="shared" si="7"/>
        <v>91200.55</v>
      </c>
      <c r="O63" s="363"/>
      <c r="P63" s="363">
        <f t="shared" si="8"/>
        <v>0</v>
      </c>
      <c r="Q63" s="363"/>
      <c r="R63" s="374" t="str">
        <f t="shared" si="9"/>
        <v>Yes</v>
      </c>
      <c r="S63" s="358"/>
    </row>
    <row r="64" spans="1:19">
      <c r="A64" s="365"/>
      <c r="B64" s="365" t="s">
        <v>370</v>
      </c>
      <c r="C64" s="365"/>
      <c r="D64" s="372">
        <v>1997</v>
      </c>
      <c r="E64" s="365"/>
      <c r="F64" s="373">
        <v>35642</v>
      </c>
      <c r="G64" s="366"/>
      <c r="H64" s="34">
        <v>23193.71</v>
      </c>
      <c r="I64" s="34"/>
      <c r="J64" s="356">
        <f>+'wp-p-restate(audit)'!J64</f>
        <v>15</v>
      </c>
      <c r="K64" s="361"/>
      <c r="L64" s="362">
        <f t="shared" si="6"/>
        <v>0.25</v>
      </c>
      <c r="M64" s="362"/>
      <c r="N64" s="363">
        <f t="shared" si="7"/>
        <v>23193.71</v>
      </c>
      <c r="O64" s="363"/>
      <c r="P64" s="363">
        <f t="shared" si="8"/>
        <v>0</v>
      </c>
      <c r="Q64" s="363"/>
      <c r="R64" s="374" t="str">
        <f t="shared" si="9"/>
        <v>Yes</v>
      </c>
      <c r="S64" s="358"/>
    </row>
    <row r="65" spans="1:19">
      <c r="A65" s="365"/>
      <c r="B65" s="365" t="s">
        <v>370</v>
      </c>
      <c r="C65" s="365"/>
      <c r="D65" s="372">
        <v>1997</v>
      </c>
      <c r="E65" s="365"/>
      <c r="F65" s="373">
        <v>35642</v>
      </c>
      <c r="G65" s="366"/>
      <c r="H65" s="34">
        <v>30641.95</v>
      </c>
      <c r="I65" s="34"/>
      <c r="J65" s="356">
        <f>+'wp-p-restate(audit)'!J65</f>
        <v>15</v>
      </c>
      <c r="K65" s="361"/>
      <c r="L65" s="362">
        <f t="shared" si="6"/>
        <v>0.25</v>
      </c>
      <c r="M65" s="362"/>
      <c r="N65" s="363">
        <f t="shared" si="7"/>
        <v>30641.95</v>
      </c>
      <c r="O65" s="363"/>
      <c r="P65" s="363">
        <f t="shared" si="8"/>
        <v>0</v>
      </c>
      <c r="Q65" s="363"/>
      <c r="R65" s="374" t="str">
        <f t="shared" si="9"/>
        <v>Yes</v>
      </c>
      <c r="S65" s="358"/>
    </row>
    <row r="66" spans="1:19">
      <c r="A66" s="365"/>
      <c r="B66" s="365" t="s">
        <v>370</v>
      </c>
      <c r="C66" s="365"/>
      <c r="D66" s="372">
        <v>1997</v>
      </c>
      <c r="E66" s="365"/>
      <c r="F66" s="373">
        <v>35642</v>
      </c>
      <c r="G66" s="366"/>
      <c r="H66" s="34">
        <v>3289</v>
      </c>
      <c r="I66" s="34"/>
      <c r="J66" s="356">
        <f>+'wp-p-restate(audit)'!J66</f>
        <v>15</v>
      </c>
      <c r="K66" s="361"/>
      <c r="L66" s="362">
        <f t="shared" si="6"/>
        <v>0.25</v>
      </c>
      <c r="M66" s="362"/>
      <c r="N66" s="363">
        <f t="shared" si="7"/>
        <v>3289</v>
      </c>
      <c r="O66" s="363"/>
      <c r="P66" s="363">
        <f t="shared" si="8"/>
        <v>0</v>
      </c>
      <c r="Q66" s="363"/>
      <c r="R66" s="374" t="str">
        <f t="shared" si="9"/>
        <v>Yes</v>
      </c>
      <c r="S66" s="358"/>
    </row>
    <row r="67" spans="1:19">
      <c r="A67" s="365"/>
      <c r="B67" s="365" t="s">
        <v>370</v>
      </c>
      <c r="C67" s="365"/>
      <c r="D67" s="372">
        <v>1997</v>
      </c>
      <c r="E67" s="365"/>
      <c r="F67" s="373">
        <v>35642</v>
      </c>
      <c r="G67" s="366"/>
      <c r="H67" s="34">
        <v>626</v>
      </c>
      <c r="I67" s="34"/>
      <c r="J67" s="356">
        <f>+'wp-p-restate(audit)'!J67</f>
        <v>15</v>
      </c>
      <c r="K67" s="361"/>
      <c r="L67" s="362">
        <f t="shared" si="6"/>
        <v>0.25</v>
      </c>
      <c r="M67" s="362"/>
      <c r="N67" s="363">
        <f t="shared" si="7"/>
        <v>626</v>
      </c>
      <c r="O67" s="363"/>
      <c r="P67" s="363">
        <f t="shared" si="8"/>
        <v>0</v>
      </c>
      <c r="Q67" s="363"/>
      <c r="R67" s="374" t="str">
        <f t="shared" si="9"/>
        <v>Yes</v>
      </c>
      <c r="S67" s="358"/>
    </row>
    <row r="68" spans="1:19">
      <c r="A68" s="365"/>
      <c r="B68" s="365" t="s">
        <v>370</v>
      </c>
      <c r="C68" s="365"/>
      <c r="D68" s="372">
        <v>1999</v>
      </c>
      <c r="E68" s="365"/>
      <c r="F68" s="373">
        <v>36342</v>
      </c>
      <c r="G68" s="366"/>
      <c r="H68" s="34">
        <v>23723</v>
      </c>
      <c r="I68" s="34"/>
      <c r="J68" s="356">
        <f>+'wp-p-restate(audit)'!J68</f>
        <v>13</v>
      </c>
      <c r="K68" s="361"/>
      <c r="L68" s="362">
        <f t="shared" si="6"/>
        <v>0.25</v>
      </c>
      <c r="M68" s="362"/>
      <c r="N68" s="363">
        <f t="shared" si="7"/>
        <v>23723</v>
      </c>
      <c r="O68" s="363"/>
      <c r="P68" s="363">
        <f t="shared" si="8"/>
        <v>0</v>
      </c>
      <c r="Q68" s="363"/>
      <c r="R68" s="374" t="str">
        <f t="shared" si="9"/>
        <v>Yes</v>
      </c>
      <c r="S68" s="358"/>
    </row>
    <row r="69" spans="1:19">
      <c r="A69" s="365"/>
      <c r="B69" s="342" t="s">
        <v>369</v>
      </c>
      <c r="C69" s="365"/>
      <c r="D69" s="372">
        <v>2000</v>
      </c>
      <c r="E69" s="365"/>
      <c r="F69" s="373">
        <v>36861</v>
      </c>
      <c r="G69" s="366"/>
      <c r="H69" s="34">
        <v>69976</v>
      </c>
      <c r="I69" s="34"/>
      <c r="J69" s="356">
        <f>+'wp-p-restate(audit)'!J69</f>
        <v>12</v>
      </c>
      <c r="K69" s="361"/>
      <c r="L69" s="362">
        <f t="shared" si="6"/>
        <v>0.02</v>
      </c>
      <c r="M69" s="362"/>
      <c r="N69" s="363">
        <f t="shared" si="7"/>
        <v>16794.239999999998</v>
      </c>
      <c r="O69" s="363"/>
      <c r="P69" s="363">
        <f t="shared" si="8"/>
        <v>53181.760000000002</v>
      </c>
      <c r="Q69" s="363"/>
      <c r="R69" s="358" t="str">
        <f t="shared" si="9"/>
        <v>No</v>
      </c>
      <c r="S69" s="358"/>
    </row>
    <row r="70" spans="1:19">
      <c r="A70" s="365"/>
      <c r="B70" s="365" t="s">
        <v>370</v>
      </c>
      <c r="C70" s="365"/>
      <c r="D70" s="372">
        <v>2000</v>
      </c>
      <c r="E70" s="365"/>
      <c r="F70" s="373">
        <v>36526</v>
      </c>
      <c r="G70" s="366"/>
      <c r="H70" s="34">
        <v>21601</v>
      </c>
      <c r="I70" s="34"/>
      <c r="J70" s="356">
        <f>+'wp-p-restate(audit)'!J70</f>
        <v>12</v>
      </c>
      <c r="K70" s="361"/>
      <c r="L70" s="362">
        <f t="shared" si="6"/>
        <v>0.25</v>
      </c>
      <c r="M70" s="362"/>
      <c r="N70" s="363">
        <f t="shared" si="7"/>
        <v>21601</v>
      </c>
      <c r="O70" s="363"/>
      <c r="P70" s="363">
        <f t="shared" si="8"/>
        <v>0</v>
      </c>
      <c r="Q70" s="363"/>
      <c r="R70" s="374" t="str">
        <f t="shared" si="9"/>
        <v>Yes</v>
      </c>
      <c r="S70" s="358"/>
    </row>
    <row r="71" spans="1:19">
      <c r="A71" s="365"/>
      <c r="B71" s="365" t="s">
        <v>370</v>
      </c>
      <c r="C71" s="365"/>
      <c r="D71" s="372">
        <v>2000</v>
      </c>
      <c r="E71" s="365"/>
      <c r="F71" s="373">
        <v>36586</v>
      </c>
      <c r="G71" s="366"/>
      <c r="H71" s="34">
        <v>24098</v>
      </c>
      <c r="I71" s="34"/>
      <c r="J71" s="356">
        <f>+'wp-p-restate(audit)'!J71</f>
        <v>12</v>
      </c>
      <c r="K71" s="361"/>
      <c r="L71" s="362">
        <f t="shared" si="6"/>
        <v>0.25</v>
      </c>
      <c r="M71" s="362"/>
      <c r="N71" s="363">
        <f t="shared" si="7"/>
        <v>24098</v>
      </c>
      <c r="O71" s="363"/>
      <c r="P71" s="363">
        <f t="shared" si="8"/>
        <v>0</v>
      </c>
      <c r="Q71" s="363"/>
      <c r="R71" s="374" t="str">
        <f t="shared" si="9"/>
        <v>Yes</v>
      </c>
      <c r="S71" s="358"/>
    </row>
    <row r="72" spans="1:19">
      <c r="A72" s="365"/>
      <c r="B72" s="365" t="s">
        <v>370</v>
      </c>
      <c r="C72" s="365"/>
      <c r="D72" s="372">
        <v>2001</v>
      </c>
      <c r="E72" s="365"/>
      <c r="F72" s="373">
        <v>36951</v>
      </c>
      <c r="G72" s="366"/>
      <c r="H72" s="34">
        <v>32326</v>
      </c>
      <c r="I72" s="34"/>
      <c r="J72" s="356">
        <f>+'wp-p-restate(audit)'!J72</f>
        <v>11</v>
      </c>
      <c r="K72" s="361"/>
      <c r="L72" s="362">
        <f t="shared" si="6"/>
        <v>0.25</v>
      </c>
      <c r="M72" s="362"/>
      <c r="N72" s="363">
        <f t="shared" si="7"/>
        <v>32326</v>
      </c>
      <c r="O72" s="363"/>
      <c r="P72" s="363">
        <f t="shared" si="8"/>
        <v>0</v>
      </c>
      <c r="Q72" s="363"/>
      <c r="R72" s="374" t="str">
        <f t="shared" si="9"/>
        <v>Yes</v>
      </c>
      <c r="S72" s="358"/>
    </row>
    <row r="73" spans="1:19">
      <c r="A73" s="365"/>
      <c r="B73" s="365" t="s">
        <v>592</v>
      </c>
      <c r="C73" s="365"/>
      <c r="D73" s="372">
        <v>2002</v>
      </c>
      <c r="E73" s="365"/>
      <c r="F73" s="373"/>
      <c r="G73" s="366"/>
      <c r="H73" s="34">
        <v>36282.69</v>
      </c>
      <c r="I73" s="34"/>
      <c r="J73" s="356">
        <f>+'wp-p-restate(audit)'!J73</f>
        <v>10</v>
      </c>
      <c r="K73" s="361"/>
      <c r="L73" s="362">
        <f t="shared" si="6"/>
        <v>0</v>
      </c>
      <c r="M73" s="362"/>
      <c r="N73" s="363">
        <f t="shared" si="7"/>
        <v>0</v>
      </c>
      <c r="O73" s="363"/>
      <c r="P73" s="363">
        <f t="shared" si="8"/>
        <v>36282.69</v>
      </c>
      <c r="Q73" s="363"/>
      <c r="R73" s="374" t="str">
        <f t="shared" si="9"/>
        <v>No</v>
      </c>
      <c r="S73" s="358"/>
    </row>
    <row r="74" spans="1:19">
      <c r="A74" s="365"/>
      <c r="B74" s="365"/>
      <c r="C74" s="365"/>
      <c r="D74" s="372"/>
      <c r="E74" s="365"/>
      <c r="F74" s="373"/>
      <c r="G74" s="366"/>
      <c r="H74" s="340">
        <f>SUM(H9:H73)</f>
        <v>6000203.1699999999</v>
      </c>
      <c r="I74" s="34"/>
      <c r="J74" s="361"/>
      <c r="K74" s="361"/>
      <c r="L74" s="362"/>
      <c r="M74" s="362"/>
      <c r="N74" s="375">
        <f>SUM(N9:N73)</f>
        <v>3200938.5375999985</v>
      </c>
      <c r="O74" s="363"/>
      <c r="P74" s="375">
        <f>SUM(P9:P73)</f>
        <v>2799264.6323999995</v>
      </c>
      <c r="Q74" s="363"/>
      <c r="R74" s="374"/>
      <c r="S74" s="358"/>
    </row>
    <row r="75" spans="1:19">
      <c r="A75" s="365"/>
      <c r="B75" s="365"/>
      <c r="C75" s="365"/>
      <c r="D75" s="372"/>
      <c r="E75" s="365"/>
      <c r="F75" s="373"/>
      <c r="G75" s="366"/>
      <c r="H75" s="34"/>
      <c r="I75" s="34"/>
      <c r="J75" s="361"/>
      <c r="K75" s="361"/>
      <c r="L75" s="362"/>
      <c r="M75" s="362"/>
      <c r="N75" s="363"/>
      <c r="O75" s="363"/>
      <c r="P75" s="363"/>
      <c r="Q75" s="363"/>
      <c r="R75" s="374"/>
      <c r="S75" s="358"/>
    </row>
    <row r="76" spans="1:19">
      <c r="A76" s="365"/>
      <c r="B76" s="365"/>
      <c r="C76" s="365"/>
      <c r="D76" s="372"/>
      <c r="E76" s="365"/>
      <c r="F76" s="373"/>
      <c r="G76" s="366"/>
      <c r="H76" s="34"/>
      <c r="I76" s="34"/>
      <c r="J76" s="361"/>
      <c r="K76" s="361"/>
      <c r="L76" s="362"/>
      <c r="M76" s="362"/>
      <c r="N76" s="363"/>
      <c r="O76" s="363"/>
      <c r="P76" s="363"/>
      <c r="Q76" s="363"/>
      <c r="R76" s="374"/>
      <c r="S76" s="358"/>
    </row>
    <row r="77" spans="1:19">
      <c r="A77" s="369" t="s">
        <v>787</v>
      </c>
      <c r="B77" s="365"/>
      <c r="C77" s="365"/>
      <c r="D77" s="372"/>
      <c r="E77" s="365"/>
      <c r="F77" s="373"/>
      <c r="G77" s="366"/>
      <c r="H77" s="34"/>
      <c r="I77" s="34"/>
      <c r="J77" s="361"/>
      <c r="K77" s="361"/>
      <c r="L77" s="362"/>
      <c r="M77" s="362"/>
      <c r="N77" s="363"/>
      <c r="O77" s="363"/>
      <c r="P77" s="363"/>
      <c r="Q77" s="363"/>
      <c r="R77" s="374"/>
      <c r="S77" s="358"/>
    </row>
    <row r="78" spans="1:19">
      <c r="A78" s="365"/>
      <c r="B78" s="365" t="s">
        <v>369</v>
      </c>
      <c r="C78" s="365"/>
      <c r="D78" s="372">
        <v>1991</v>
      </c>
      <c r="E78" s="365"/>
      <c r="F78" s="373">
        <v>33434</v>
      </c>
      <c r="G78" s="366"/>
      <c r="H78" s="34">
        <v>11611.3</v>
      </c>
      <c r="I78" s="34"/>
      <c r="J78" s="361">
        <f>+'wp-p-restate(audit)'!J149</f>
        <v>21</v>
      </c>
      <c r="K78" s="361"/>
      <c r="L78" s="362">
        <f t="shared" ref="L78:L88" si="10">VLOOKUP(B78,$T$9:$U$13,2,FALSE)</f>
        <v>0.02</v>
      </c>
      <c r="M78" s="362"/>
      <c r="N78" s="363">
        <f t="shared" ref="N78:N88" si="11">IF(L78*J78*H78&gt;H78,H78,L78*J78*H78)</f>
        <v>4876.7459999999992</v>
      </c>
      <c r="O78" s="363"/>
      <c r="P78" s="363">
        <f t="shared" ref="P78:P88" si="12">H78-N78</f>
        <v>6734.5540000000001</v>
      </c>
      <c r="Q78" s="363"/>
      <c r="R78" s="358" t="str">
        <f t="shared" ref="R78:R88" si="13">IF(N78=H78,"Yes","No")</f>
        <v>No</v>
      </c>
      <c r="S78" s="358"/>
    </row>
    <row r="79" spans="1:19">
      <c r="A79" s="365"/>
      <c r="B79" s="365" t="s">
        <v>369</v>
      </c>
      <c r="C79" s="365"/>
      <c r="D79" s="372">
        <v>1993</v>
      </c>
      <c r="E79" s="365"/>
      <c r="F79" s="373">
        <v>34318</v>
      </c>
      <c r="G79" s="366"/>
      <c r="H79" s="34">
        <v>1938.5</v>
      </c>
      <c r="I79" s="34"/>
      <c r="J79" s="361">
        <f>+'wp-p-restate(audit)'!J150</f>
        <v>19</v>
      </c>
      <c r="K79" s="361"/>
      <c r="L79" s="362">
        <f t="shared" si="10"/>
        <v>0.02</v>
      </c>
      <c r="M79" s="362"/>
      <c r="N79" s="363">
        <f t="shared" si="11"/>
        <v>736.63</v>
      </c>
      <c r="O79" s="363"/>
      <c r="P79" s="363">
        <f t="shared" si="12"/>
        <v>1201.8699999999999</v>
      </c>
      <c r="Q79" s="363"/>
      <c r="R79" s="358" t="str">
        <f t="shared" si="13"/>
        <v>No</v>
      </c>
      <c r="S79" s="358"/>
    </row>
    <row r="80" spans="1:19">
      <c r="A80" s="365"/>
      <c r="B80" s="365" t="s">
        <v>369</v>
      </c>
      <c r="C80" s="365"/>
      <c r="D80" s="372">
        <v>1995</v>
      </c>
      <c r="E80" s="365"/>
      <c r="F80" s="373">
        <v>34710</v>
      </c>
      <c r="G80" s="366"/>
      <c r="H80" s="34">
        <v>5579.76</v>
      </c>
      <c r="I80" s="34"/>
      <c r="J80" s="361">
        <f>+'wp-p-restate(audit)'!J151</f>
        <v>17</v>
      </c>
      <c r="K80" s="361"/>
      <c r="L80" s="362">
        <f t="shared" si="10"/>
        <v>0.02</v>
      </c>
      <c r="M80" s="362"/>
      <c r="N80" s="363">
        <f t="shared" si="11"/>
        <v>1897.1184000000003</v>
      </c>
      <c r="O80" s="363"/>
      <c r="P80" s="363">
        <f t="shared" si="12"/>
        <v>3682.6415999999999</v>
      </c>
      <c r="Q80" s="363"/>
      <c r="R80" s="358" t="str">
        <f t="shared" si="13"/>
        <v>No</v>
      </c>
      <c r="S80" s="358"/>
    </row>
    <row r="81" spans="1:19">
      <c r="A81" s="365"/>
      <c r="B81" s="365" t="s">
        <v>369</v>
      </c>
      <c r="C81" s="365"/>
      <c r="D81" s="372">
        <v>1995</v>
      </c>
      <c r="E81" s="365"/>
      <c r="F81" s="373">
        <v>34773</v>
      </c>
      <c r="G81" s="366"/>
      <c r="H81" s="34">
        <v>22218.75</v>
      </c>
      <c r="I81" s="34"/>
      <c r="J81" s="361">
        <f>+'wp-p-restate(audit)'!J152</f>
        <v>17</v>
      </c>
      <c r="K81" s="361"/>
      <c r="L81" s="362">
        <f t="shared" si="10"/>
        <v>0.02</v>
      </c>
      <c r="M81" s="362"/>
      <c r="N81" s="363">
        <f t="shared" si="11"/>
        <v>7554.3750000000009</v>
      </c>
      <c r="O81" s="363"/>
      <c r="P81" s="363">
        <f t="shared" si="12"/>
        <v>14664.375</v>
      </c>
      <c r="Q81" s="363"/>
      <c r="R81" s="358" t="str">
        <f t="shared" si="13"/>
        <v>No</v>
      </c>
      <c r="S81" s="358"/>
    </row>
    <row r="82" spans="1:19">
      <c r="A82" s="365"/>
      <c r="B82" s="365" t="s">
        <v>369</v>
      </c>
      <c r="C82" s="365"/>
      <c r="D82" s="372">
        <v>1995</v>
      </c>
      <c r="E82" s="365"/>
      <c r="F82" s="373">
        <v>34773</v>
      </c>
      <c r="G82" s="366"/>
      <c r="H82" s="34">
        <v>7500</v>
      </c>
      <c r="I82" s="34"/>
      <c r="J82" s="361">
        <f>+'wp-p-restate(audit)'!J153</f>
        <v>17</v>
      </c>
      <c r="K82" s="361"/>
      <c r="L82" s="362">
        <f t="shared" si="10"/>
        <v>0.02</v>
      </c>
      <c r="M82" s="362"/>
      <c r="N82" s="363">
        <f t="shared" si="11"/>
        <v>2550</v>
      </c>
      <c r="O82" s="363"/>
      <c r="P82" s="363">
        <f t="shared" si="12"/>
        <v>4950</v>
      </c>
      <c r="Q82" s="363"/>
      <c r="R82" s="358" t="str">
        <f t="shared" si="13"/>
        <v>No</v>
      </c>
      <c r="S82" s="358"/>
    </row>
    <row r="83" spans="1:19">
      <c r="A83" s="365"/>
      <c r="B83" s="342" t="s">
        <v>369</v>
      </c>
      <c r="C83" s="365"/>
      <c r="D83" s="372">
        <v>1997</v>
      </c>
      <c r="E83" s="365"/>
      <c r="F83" s="373">
        <v>35625</v>
      </c>
      <c r="G83" s="366"/>
      <c r="H83" s="34">
        <v>8730.5</v>
      </c>
      <c r="I83" s="34"/>
      <c r="J83" s="361">
        <f>+'wp-p-restate(audit)'!J154</f>
        <v>15</v>
      </c>
      <c r="K83" s="361"/>
      <c r="L83" s="362">
        <f t="shared" si="10"/>
        <v>0.02</v>
      </c>
      <c r="M83" s="362"/>
      <c r="N83" s="363">
        <f t="shared" si="11"/>
        <v>2619.15</v>
      </c>
      <c r="O83" s="363"/>
      <c r="P83" s="363">
        <f t="shared" si="12"/>
        <v>6111.35</v>
      </c>
      <c r="Q83" s="363"/>
      <c r="R83" s="358" t="str">
        <f t="shared" si="13"/>
        <v>No</v>
      </c>
      <c r="S83" s="358"/>
    </row>
    <row r="84" spans="1:19">
      <c r="A84" s="365"/>
      <c r="B84" s="365" t="s">
        <v>369</v>
      </c>
      <c r="C84" s="365"/>
      <c r="D84" s="372">
        <v>1997</v>
      </c>
      <c r="E84" s="365"/>
      <c r="F84" s="373">
        <v>35611</v>
      </c>
      <c r="G84" s="366"/>
      <c r="H84" s="34">
        <v>23736.03</v>
      </c>
      <c r="I84" s="34"/>
      <c r="J84" s="361">
        <f>+'wp-p-restate(audit)'!J155</f>
        <v>15</v>
      </c>
      <c r="K84" s="361"/>
      <c r="L84" s="362">
        <f t="shared" si="10"/>
        <v>0.02</v>
      </c>
      <c r="M84" s="362"/>
      <c r="N84" s="363">
        <f t="shared" si="11"/>
        <v>7120.8089999999993</v>
      </c>
      <c r="O84" s="363"/>
      <c r="P84" s="363">
        <f t="shared" si="12"/>
        <v>16615.220999999998</v>
      </c>
      <c r="Q84" s="363"/>
      <c r="R84" s="358" t="str">
        <f t="shared" si="13"/>
        <v>No</v>
      </c>
      <c r="S84" s="358"/>
    </row>
    <row r="85" spans="1:19">
      <c r="A85" s="365"/>
      <c r="B85" s="365" t="s">
        <v>369</v>
      </c>
      <c r="C85" s="365"/>
      <c r="D85" s="372">
        <v>1999</v>
      </c>
      <c r="E85" s="365"/>
      <c r="F85" s="373">
        <v>36397</v>
      </c>
      <c r="G85" s="366"/>
      <c r="H85" s="34">
        <v>10148.14</v>
      </c>
      <c r="I85" s="34"/>
      <c r="J85" s="361">
        <f>+'wp-p-restate(audit)'!J156</f>
        <v>13</v>
      </c>
      <c r="K85" s="361"/>
      <c r="L85" s="362">
        <f t="shared" si="10"/>
        <v>0.02</v>
      </c>
      <c r="M85" s="362"/>
      <c r="N85" s="363">
        <f t="shared" si="11"/>
        <v>2638.5164</v>
      </c>
      <c r="O85" s="363"/>
      <c r="P85" s="363">
        <f t="shared" si="12"/>
        <v>7509.623599999999</v>
      </c>
      <c r="Q85" s="363"/>
      <c r="R85" s="358" t="str">
        <f t="shared" si="13"/>
        <v>No</v>
      </c>
      <c r="S85" s="358"/>
    </row>
    <row r="86" spans="1:19">
      <c r="A86" s="365"/>
      <c r="B86" s="365" t="s">
        <v>369</v>
      </c>
      <c r="C86" s="365"/>
      <c r="D86" s="372">
        <v>2000</v>
      </c>
      <c r="E86" s="365"/>
      <c r="F86" s="373">
        <v>36801</v>
      </c>
      <c r="G86" s="366"/>
      <c r="H86" s="34">
        <v>1866.2</v>
      </c>
      <c r="I86" s="34"/>
      <c r="J86" s="361">
        <f>+'wp-p-restate(audit)'!J157</f>
        <v>12</v>
      </c>
      <c r="K86" s="361"/>
      <c r="L86" s="362">
        <f t="shared" si="10"/>
        <v>0.02</v>
      </c>
      <c r="M86" s="362"/>
      <c r="N86" s="363">
        <f t="shared" si="11"/>
        <v>447.88799999999998</v>
      </c>
      <c r="O86" s="363"/>
      <c r="P86" s="363">
        <f t="shared" si="12"/>
        <v>1418.3120000000001</v>
      </c>
      <c r="Q86" s="363"/>
      <c r="R86" s="358" t="str">
        <f t="shared" si="13"/>
        <v>No</v>
      </c>
      <c r="S86" s="358"/>
    </row>
    <row r="87" spans="1:19">
      <c r="A87" s="365"/>
      <c r="B87" s="365" t="s">
        <v>369</v>
      </c>
      <c r="C87" s="365"/>
      <c r="D87" s="372">
        <v>2000</v>
      </c>
      <c r="E87" s="365"/>
      <c r="F87" s="373">
        <v>36633</v>
      </c>
      <c r="G87" s="366"/>
      <c r="H87" s="34">
        <v>11617.18</v>
      </c>
      <c r="I87" s="34"/>
      <c r="J87" s="361">
        <f>+'wp-p-restate(audit)'!J158</f>
        <v>12</v>
      </c>
      <c r="K87" s="361"/>
      <c r="L87" s="362">
        <f t="shared" si="10"/>
        <v>0.02</v>
      </c>
      <c r="M87" s="362"/>
      <c r="N87" s="363">
        <f t="shared" si="11"/>
        <v>2788.1232</v>
      </c>
      <c r="O87" s="363"/>
      <c r="P87" s="363">
        <f t="shared" si="12"/>
        <v>8829.0568000000003</v>
      </c>
      <c r="Q87" s="363"/>
      <c r="R87" s="358" t="str">
        <f t="shared" si="13"/>
        <v>No</v>
      </c>
      <c r="S87" s="358"/>
    </row>
    <row r="88" spans="1:19">
      <c r="A88" s="365"/>
      <c r="B88" s="365" t="s">
        <v>369</v>
      </c>
      <c r="C88" s="365"/>
      <c r="D88" s="372">
        <v>2000</v>
      </c>
      <c r="E88" s="365"/>
      <c r="F88" s="373">
        <v>36572</v>
      </c>
      <c r="G88" s="366"/>
      <c r="H88" s="34">
        <v>8134.17</v>
      </c>
      <c r="I88" s="34"/>
      <c r="J88" s="361">
        <f>+'wp-p-restate(audit)'!J159</f>
        <v>12</v>
      </c>
      <c r="K88" s="361"/>
      <c r="L88" s="362">
        <f t="shared" si="10"/>
        <v>0.02</v>
      </c>
      <c r="M88" s="362"/>
      <c r="N88" s="363">
        <f t="shared" si="11"/>
        <v>1952.2007999999998</v>
      </c>
      <c r="O88" s="363"/>
      <c r="P88" s="363">
        <f t="shared" si="12"/>
        <v>6181.9692000000005</v>
      </c>
      <c r="Q88" s="363"/>
      <c r="R88" s="358" t="str">
        <f t="shared" si="13"/>
        <v>No</v>
      </c>
      <c r="S88" s="358"/>
    </row>
    <row r="89" spans="1:19">
      <c r="A89" s="365"/>
      <c r="B89" s="365"/>
      <c r="C89" s="365"/>
      <c r="D89" s="372"/>
      <c r="E89" s="365"/>
      <c r="F89" s="373"/>
      <c r="G89" s="366"/>
      <c r="H89" s="340">
        <f>SUM(H78:H88)</f>
        <v>113080.52999999998</v>
      </c>
      <c r="J89" s="361"/>
      <c r="K89" s="361"/>
      <c r="L89" s="362"/>
      <c r="M89" s="362"/>
      <c r="N89" s="375">
        <f>SUM(N78:N88)</f>
        <v>35181.556799999998</v>
      </c>
      <c r="O89" s="363"/>
      <c r="P89" s="375">
        <f>SUM(P78:P88)</f>
        <v>77898.973200000008</v>
      </c>
      <c r="Q89" s="363"/>
      <c r="R89" s="358"/>
      <c r="S89" s="358"/>
    </row>
    <row r="90" spans="1:19">
      <c r="A90" s="365"/>
      <c r="B90" s="365"/>
      <c r="C90" s="365"/>
      <c r="D90" s="372"/>
      <c r="E90" s="365"/>
      <c r="F90" s="373"/>
      <c r="G90" s="366"/>
      <c r="H90" s="34"/>
      <c r="I90" s="34"/>
      <c r="J90" s="361"/>
      <c r="K90" s="361"/>
      <c r="L90" s="362"/>
      <c r="M90" s="362"/>
      <c r="N90" s="363"/>
      <c r="O90" s="363"/>
      <c r="P90" s="363"/>
      <c r="Q90" s="363"/>
      <c r="R90" s="358"/>
      <c r="S90" s="358"/>
    </row>
    <row r="91" spans="1:19">
      <c r="A91" s="365"/>
      <c r="B91" s="365"/>
      <c r="C91" s="365"/>
      <c r="D91" s="372"/>
      <c r="E91" s="365"/>
      <c r="F91" s="373"/>
      <c r="G91" s="366"/>
      <c r="H91" s="34"/>
      <c r="I91" s="34"/>
      <c r="J91" s="361"/>
      <c r="K91" s="361"/>
      <c r="L91" s="362"/>
      <c r="M91" s="362"/>
      <c r="N91" s="363"/>
      <c r="O91" s="363"/>
      <c r="P91" s="363"/>
      <c r="Q91" s="363"/>
      <c r="R91" s="358"/>
      <c r="S91" s="358"/>
    </row>
    <row r="92" spans="1:19">
      <c r="A92" s="369" t="s">
        <v>372</v>
      </c>
      <c r="B92" s="365"/>
      <c r="C92" s="365"/>
      <c r="D92" s="372"/>
      <c r="E92" s="365"/>
      <c r="F92" s="373"/>
      <c r="G92" s="366"/>
      <c r="H92" s="34"/>
      <c r="I92" s="34"/>
      <c r="J92" s="361"/>
      <c r="K92" s="361"/>
      <c r="L92" s="362"/>
      <c r="M92" s="362"/>
      <c r="N92" s="363"/>
      <c r="O92" s="363"/>
      <c r="P92" s="363"/>
      <c r="Q92" s="363"/>
      <c r="R92" s="374"/>
      <c r="S92" s="358"/>
    </row>
    <row r="93" spans="1:19">
      <c r="A93" s="365"/>
      <c r="B93" s="365" t="s">
        <v>369</v>
      </c>
      <c r="C93" s="365"/>
      <c r="D93" s="372">
        <v>1988</v>
      </c>
      <c r="E93" s="365"/>
      <c r="F93" s="373">
        <v>32336</v>
      </c>
      <c r="G93" s="366"/>
      <c r="H93" s="34">
        <v>9255</v>
      </c>
      <c r="I93" s="34"/>
      <c r="J93" s="361">
        <f>+'wp-p-restate(audit)'!J166</f>
        <v>24</v>
      </c>
      <c r="K93" s="361"/>
      <c r="L93" s="362">
        <f t="shared" ref="L93:L101" si="14">VLOOKUP(B93,$T$9:$U$13,2,FALSE)</f>
        <v>0.02</v>
      </c>
      <c r="M93" s="362"/>
      <c r="N93" s="363">
        <f t="shared" ref="N93:N101" si="15">IF(L93*J93*H93&gt;H93,H93,L93*J93*H93)</f>
        <v>4442.3999999999996</v>
      </c>
      <c r="O93" s="363"/>
      <c r="P93" s="363">
        <f t="shared" ref="P93:P101" si="16">H93-N93</f>
        <v>4812.6000000000004</v>
      </c>
      <c r="Q93" s="363"/>
      <c r="R93" s="358" t="str">
        <f t="shared" ref="R93:R101" si="17">IF(N93=H93,"Yes","No")</f>
        <v>No</v>
      </c>
      <c r="S93" s="358"/>
    </row>
    <row r="94" spans="1:19">
      <c r="A94" s="365"/>
      <c r="B94" s="365" t="s">
        <v>369</v>
      </c>
      <c r="C94" s="365"/>
      <c r="D94" s="372">
        <v>1990</v>
      </c>
      <c r="E94" s="365"/>
      <c r="F94" s="373"/>
      <c r="G94" s="366"/>
      <c r="H94" s="34">
        <v>19145.650000000001</v>
      </c>
      <c r="I94" s="34"/>
      <c r="J94" s="361">
        <f>+'wp-p-restate(audit)'!J167</f>
        <v>22</v>
      </c>
      <c r="K94" s="361"/>
      <c r="L94" s="362">
        <f t="shared" si="14"/>
        <v>0.02</v>
      </c>
      <c r="M94" s="362"/>
      <c r="N94" s="363">
        <f t="shared" si="15"/>
        <v>8424.0860000000011</v>
      </c>
      <c r="O94" s="363"/>
      <c r="P94" s="363">
        <f t="shared" si="16"/>
        <v>10721.564</v>
      </c>
      <c r="Q94" s="363"/>
      <c r="R94" s="358" t="str">
        <f t="shared" si="17"/>
        <v>No</v>
      </c>
      <c r="S94" s="358"/>
    </row>
    <row r="95" spans="1:19">
      <c r="A95" s="365"/>
      <c r="B95" s="365" t="s">
        <v>369</v>
      </c>
      <c r="C95" s="365"/>
      <c r="D95" s="372">
        <v>1990</v>
      </c>
      <c r="E95" s="365"/>
      <c r="F95" s="373"/>
      <c r="G95" s="366"/>
      <c r="H95" s="34">
        <v>2885.35</v>
      </c>
      <c r="I95" s="34"/>
      <c r="J95" s="361">
        <f>+'wp-p-restate(audit)'!J168</f>
        <v>22</v>
      </c>
      <c r="K95" s="361"/>
      <c r="L95" s="362">
        <f t="shared" si="14"/>
        <v>0.02</v>
      </c>
      <c r="M95" s="362"/>
      <c r="N95" s="363">
        <f t="shared" si="15"/>
        <v>1269.5539999999999</v>
      </c>
      <c r="O95" s="363"/>
      <c r="P95" s="363">
        <f t="shared" si="16"/>
        <v>1615.796</v>
      </c>
      <c r="Q95" s="363"/>
      <c r="R95" s="358" t="str">
        <f t="shared" si="17"/>
        <v>No</v>
      </c>
      <c r="S95" s="358"/>
    </row>
    <row r="96" spans="1:19">
      <c r="A96" s="365"/>
      <c r="B96" s="365" t="s">
        <v>369</v>
      </c>
      <c r="C96" s="365"/>
      <c r="D96" s="372">
        <v>1992</v>
      </c>
      <c r="E96" s="365"/>
      <c r="F96" s="373">
        <v>33706</v>
      </c>
      <c r="G96" s="366"/>
      <c r="H96" s="34">
        <v>38770.04</v>
      </c>
      <c r="I96" s="34"/>
      <c r="J96" s="361">
        <f>+'wp-p-restate(audit)'!J169</f>
        <v>20</v>
      </c>
      <c r="K96" s="361"/>
      <c r="L96" s="362">
        <f t="shared" si="14"/>
        <v>0.02</v>
      </c>
      <c r="M96" s="362"/>
      <c r="N96" s="363">
        <f t="shared" si="15"/>
        <v>15508.016000000001</v>
      </c>
      <c r="O96" s="363"/>
      <c r="P96" s="363">
        <f t="shared" si="16"/>
        <v>23262.023999999998</v>
      </c>
      <c r="Q96" s="363"/>
      <c r="R96" s="358" t="str">
        <f t="shared" si="17"/>
        <v>No</v>
      </c>
      <c r="S96" s="358"/>
    </row>
    <row r="97" spans="1:19">
      <c r="A97" s="365"/>
      <c r="B97" s="365" t="s">
        <v>369</v>
      </c>
      <c r="C97" s="365"/>
      <c r="D97" s="372">
        <v>1994</v>
      </c>
      <c r="E97" s="365"/>
      <c r="F97" s="373">
        <v>34511</v>
      </c>
      <c r="G97" s="366"/>
      <c r="H97" s="34">
        <v>3600</v>
      </c>
      <c r="I97" s="34"/>
      <c r="J97" s="361">
        <f>+'wp-p-restate(audit)'!J170</f>
        <v>18</v>
      </c>
      <c r="K97" s="361"/>
      <c r="L97" s="362">
        <f t="shared" si="14"/>
        <v>0.02</v>
      </c>
      <c r="M97" s="362"/>
      <c r="N97" s="363">
        <f t="shared" si="15"/>
        <v>1296</v>
      </c>
      <c r="O97" s="363"/>
      <c r="P97" s="363">
        <f t="shared" si="16"/>
        <v>2304</v>
      </c>
      <c r="Q97" s="363"/>
      <c r="R97" s="358" t="str">
        <f t="shared" si="17"/>
        <v>No</v>
      </c>
      <c r="S97" s="358"/>
    </row>
    <row r="98" spans="1:19">
      <c r="A98" s="365"/>
      <c r="B98" s="365" t="s">
        <v>369</v>
      </c>
      <c r="C98" s="365"/>
      <c r="D98" s="372">
        <v>1997</v>
      </c>
      <c r="E98" s="365"/>
      <c r="F98" s="373">
        <v>35488</v>
      </c>
      <c r="G98" s="366"/>
      <c r="H98" s="34">
        <v>592.4</v>
      </c>
      <c r="I98" s="34"/>
      <c r="J98" s="361">
        <f>+'wp-p-restate(audit)'!J171</f>
        <v>15</v>
      </c>
      <c r="K98" s="361"/>
      <c r="L98" s="362">
        <f t="shared" si="14"/>
        <v>0.02</v>
      </c>
      <c r="M98" s="362"/>
      <c r="N98" s="363">
        <f t="shared" si="15"/>
        <v>177.72</v>
      </c>
      <c r="O98" s="363"/>
      <c r="P98" s="363">
        <f t="shared" si="16"/>
        <v>414.67999999999995</v>
      </c>
      <c r="Q98" s="363"/>
      <c r="R98" s="358" t="str">
        <f t="shared" si="17"/>
        <v>No</v>
      </c>
      <c r="S98" s="358"/>
    </row>
    <row r="99" spans="1:19">
      <c r="A99" s="365"/>
      <c r="B99" s="365" t="s">
        <v>369</v>
      </c>
      <c r="C99" s="365"/>
      <c r="D99" s="372">
        <v>1998</v>
      </c>
      <c r="E99" s="365"/>
      <c r="F99" s="373">
        <v>35905</v>
      </c>
      <c r="G99" s="366"/>
      <c r="H99" s="34">
        <v>6393.4</v>
      </c>
      <c r="I99" s="34"/>
      <c r="J99" s="361">
        <f>+'wp-p-restate(audit)'!J172</f>
        <v>14</v>
      </c>
      <c r="K99" s="361"/>
      <c r="L99" s="362">
        <f t="shared" si="14"/>
        <v>0.02</v>
      </c>
      <c r="M99" s="362"/>
      <c r="N99" s="363">
        <f t="shared" si="15"/>
        <v>1790.152</v>
      </c>
      <c r="O99" s="363"/>
      <c r="P99" s="363">
        <f t="shared" si="16"/>
        <v>4603.2479999999996</v>
      </c>
      <c r="Q99" s="363"/>
      <c r="R99" s="358" t="str">
        <f t="shared" si="17"/>
        <v>No</v>
      </c>
      <c r="S99" s="358"/>
    </row>
    <row r="100" spans="1:19">
      <c r="A100" s="365"/>
      <c r="B100" s="365" t="s">
        <v>369</v>
      </c>
      <c r="C100" s="365"/>
      <c r="D100" s="372">
        <v>1998</v>
      </c>
      <c r="E100" s="365"/>
      <c r="F100" s="373">
        <v>35912</v>
      </c>
      <c r="G100" s="366"/>
      <c r="H100" s="34">
        <v>3543.75</v>
      </c>
      <c r="I100" s="34"/>
      <c r="J100" s="361">
        <f>+'wp-p-restate(audit)'!J173</f>
        <v>14</v>
      </c>
      <c r="K100" s="361"/>
      <c r="L100" s="362">
        <f t="shared" si="14"/>
        <v>0.02</v>
      </c>
      <c r="M100" s="362"/>
      <c r="N100" s="363">
        <f t="shared" si="15"/>
        <v>992.25000000000011</v>
      </c>
      <c r="O100" s="363"/>
      <c r="P100" s="363">
        <f t="shared" si="16"/>
        <v>2551.5</v>
      </c>
      <c r="Q100" s="363"/>
      <c r="R100" s="358" t="str">
        <f t="shared" si="17"/>
        <v>No</v>
      </c>
      <c r="S100" s="358"/>
    </row>
    <row r="101" spans="1:19">
      <c r="A101" s="365"/>
      <c r="B101" s="365" t="s">
        <v>369</v>
      </c>
      <c r="C101" s="365"/>
      <c r="D101" s="372">
        <v>1999</v>
      </c>
      <c r="E101" s="365"/>
      <c r="F101" s="373">
        <v>36403</v>
      </c>
      <c r="G101" s="366"/>
      <c r="H101" s="34">
        <v>5087.76</v>
      </c>
      <c r="I101" s="34"/>
      <c r="J101" s="361">
        <f>+'wp-p-restate(audit)'!J174</f>
        <v>13</v>
      </c>
      <c r="K101" s="361"/>
      <c r="L101" s="362">
        <f t="shared" si="14"/>
        <v>0.02</v>
      </c>
      <c r="M101" s="362"/>
      <c r="N101" s="363">
        <f t="shared" si="15"/>
        <v>1322.8176000000001</v>
      </c>
      <c r="O101" s="363"/>
      <c r="P101" s="363">
        <f t="shared" si="16"/>
        <v>3764.9423999999999</v>
      </c>
      <c r="Q101" s="363"/>
      <c r="R101" s="358" t="str">
        <f t="shared" si="17"/>
        <v>No</v>
      </c>
      <c r="S101" s="358"/>
    </row>
    <row r="102" spans="1:19">
      <c r="A102" s="365"/>
      <c r="B102" s="365"/>
      <c r="C102" s="365"/>
      <c r="D102" s="372"/>
      <c r="E102" s="365"/>
      <c r="F102" s="373"/>
      <c r="G102" s="366"/>
      <c r="H102" s="340">
        <f>SUM(H93:H101)</f>
        <v>89273.349999999991</v>
      </c>
      <c r="I102" s="34"/>
      <c r="J102" s="361"/>
      <c r="K102" s="361"/>
      <c r="L102" s="362"/>
      <c r="M102" s="362"/>
      <c r="N102" s="375">
        <f>SUM(N93:N101)</f>
        <v>35222.995600000009</v>
      </c>
      <c r="O102" s="363"/>
      <c r="P102" s="375">
        <f>SUM(P93:P101)</f>
        <v>54050.354399999997</v>
      </c>
      <c r="Q102" s="363"/>
      <c r="R102" s="374"/>
      <c r="S102" s="358"/>
    </row>
    <row r="103" spans="1:19">
      <c r="A103" s="365"/>
      <c r="B103" s="365"/>
      <c r="C103" s="365"/>
      <c r="D103" s="372"/>
      <c r="E103" s="365"/>
      <c r="F103" s="373"/>
      <c r="G103" s="366"/>
      <c r="H103" s="34"/>
      <c r="I103" s="34"/>
      <c r="J103" s="361"/>
      <c r="K103" s="361"/>
      <c r="L103" s="362"/>
      <c r="M103" s="362"/>
      <c r="N103" s="363"/>
      <c r="O103" s="363"/>
      <c r="P103" s="363"/>
      <c r="Q103" s="363"/>
      <c r="R103" s="374"/>
      <c r="S103" s="358"/>
    </row>
    <row r="104" spans="1:19">
      <c r="A104" s="365"/>
      <c r="B104" s="365"/>
      <c r="C104" s="365"/>
      <c r="D104" s="372"/>
      <c r="E104" s="365"/>
      <c r="F104" s="373"/>
      <c r="G104" s="366"/>
      <c r="H104" s="34"/>
      <c r="I104" s="34"/>
      <c r="J104" s="361"/>
      <c r="K104" s="361"/>
      <c r="L104" s="362"/>
      <c r="M104" s="362"/>
      <c r="N104" s="363"/>
      <c r="O104" s="363"/>
      <c r="P104" s="363"/>
      <c r="Q104" s="363"/>
      <c r="R104" s="374"/>
      <c r="S104" s="358"/>
    </row>
    <row r="105" spans="1:19">
      <c r="A105" s="365"/>
      <c r="B105" s="365"/>
      <c r="C105" s="365"/>
      <c r="D105" s="372"/>
      <c r="E105" s="365"/>
      <c r="F105" s="373"/>
      <c r="G105" s="366"/>
      <c r="H105" s="34"/>
      <c r="I105" s="34"/>
      <c r="J105" s="361"/>
      <c r="K105" s="361"/>
      <c r="L105" s="362"/>
      <c r="M105" s="362"/>
      <c r="N105" s="363"/>
      <c r="O105" s="363"/>
      <c r="P105" s="363"/>
      <c r="Q105" s="363"/>
      <c r="R105" s="374"/>
      <c r="S105" s="358"/>
    </row>
    <row r="106" spans="1:19">
      <c r="A106" s="365"/>
      <c r="B106" s="365"/>
      <c r="C106" s="365"/>
      <c r="D106" s="372"/>
      <c r="E106" s="365"/>
      <c r="F106" s="373"/>
      <c r="G106" s="366"/>
      <c r="H106" s="34"/>
      <c r="I106" s="34"/>
      <c r="J106" s="361"/>
      <c r="K106" s="361"/>
      <c r="L106" s="362"/>
      <c r="M106" s="362"/>
      <c r="N106" s="363"/>
      <c r="O106" s="363"/>
      <c r="P106" s="363"/>
      <c r="Q106" s="363"/>
      <c r="R106" s="374"/>
      <c r="S106" s="358"/>
    </row>
    <row r="107" spans="1:19">
      <c r="A107" s="365"/>
      <c r="B107" s="365"/>
      <c r="C107" s="365"/>
      <c r="D107" s="372"/>
      <c r="E107" s="365"/>
      <c r="F107" s="373"/>
      <c r="G107" s="366"/>
      <c r="H107" s="34"/>
      <c r="I107" s="34"/>
      <c r="J107" s="361"/>
      <c r="K107" s="361"/>
      <c r="L107" s="362"/>
      <c r="M107" s="362"/>
      <c r="N107" s="363"/>
      <c r="O107" s="363"/>
      <c r="P107" s="363"/>
      <c r="Q107" s="363"/>
      <c r="R107" s="374"/>
      <c r="S107" s="358"/>
    </row>
    <row r="108" spans="1:19">
      <c r="A108" s="365"/>
      <c r="B108" s="365"/>
      <c r="C108" s="365"/>
      <c r="D108" s="372"/>
      <c r="E108" s="365"/>
      <c r="F108" s="373"/>
      <c r="G108" s="366"/>
      <c r="H108" s="34"/>
      <c r="I108" s="34"/>
      <c r="J108" s="361"/>
      <c r="K108" s="361"/>
      <c r="L108" s="362"/>
      <c r="M108" s="362"/>
      <c r="N108" s="363"/>
      <c r="O108" s="363"/>
      <c r="P108" s="363"/>
      <c r="Q108" s="363"/>
      <c r="R108" s="374"/>
      <c r="S108" s="358"/>
    </row>
    <row r="109" spans="1:19">
      <c r="A109" s="365"/>
      <c r="B109" s="365"/>
      <c r="C109" s="365"/>
      <c r="D109" s="372"/>
      <c r="E109" s="365"/>
      <c r="F109" s="373"/>
      <c r="G109" s="366"/>
      <c r="H109" s="34"/>
      <c r="I109" s="34"/>
      <c r="J109" s="361"/>
      <c r="K109" s="361"/>
      <c r="L109" s="362"/>
      <c r="M109" s="362"/>
      <c r="N109" s="363"/>
      <c r="O109" s="363"/>
      <c r="P109" s="363"/>
      <c r="Q109" s="363"/>
      <c r="R109" s="374"/>
      <c r="S109" s="358"/>
    </row>
    <row r="110" spans="1:19">
      <c r="A110" s="365"/>
      <c r="B110" s="365"/>
      <c r="C110" s="365"/>
      <c r="D110" s="372"/>
      <c r="E110" s="365"/>
      <c r="F110" s="373"/>
      <c r="G110" s="366"/>
      <c r="H110" s="34"/>
      <c r="I110" s="34"/>
      <c r="J110" s="361"/>
      <c r="K110" s="361"/>
      <c r="L110" s="362"/>
      <c r="M110" s="362"/>
      <c r="N110" s="363"/>
      <c r="O110" s="363"/>
      <c r="P110" s="363"/>
      <c r="Q110" s="363"/>
      <c r="R110" s="374"/>
      <c r="S110" s="358"/>
    </row>
    <row r="111" spans="1:19">
      <c r="A111" s="365"/>
      <c r="B111" s="365"/>
      <c r="C111" s="365"/>
      <c r="D111" s="372"/>
      <c r="E111" s="365"/>
      <c r="F111" s="373"/>
      <c r="G111" s="366"/>
      <c r="H111" s="34"/>
      <c r="I111" s="34"/>
      <c r="J111" s="361"/>
      <c r="K111" s="361"/>
      <c r="L111" s="362"/>
      <c r="M111" s="362"/>
      <c r="N111" s="363"/>
      <c r="O111" s="363"/>
      <c r="P111" s="363"/>
      <c r="Q111" s="363"/>
      <c r="R111" s="374"/>
      <c r="S111" s="358"/>
    </row>
    <row r="112" spans="1:19">
      <c r="A112" s="365"/>
      <c r="B112" s="365"/>
      <c r="C112" s="365"/>
      <c r="D112" s="372"/>
      <c r="E112" s="365"/>
      <c r="F112" s="373"/>
      <c r="G112" s="366"/>
      <c r="H112" s="34"/>
      <c r="I112" s="34"/>
      <c r="J112" s="361"/>
      <c r="K112" s="361"/>
      <c r="L112" s="362"/>
      <c r="M112" s="362"/>
      <c r="N112" s="363"/>
      <c r="O112" s="363"/>
      <c r="P112" s="363"/>
      <c r="Q112" s="363"/>
      <c r="R112" s="374"/>
      <c r="S112" s="358"/>
    </row>
    <row r="113" spans="1:19">
      <c r="A113" s="365"/>
      <c r="B113" s="365"/>
      <c r="C113" s="365"/>
      <c r="D113" s="372"/>
      <c r="E113" s="365"/>
      <c r="F113" s="373"/>
      <c r="G113" s="366"/>
      <c r="H113" s="34"/>
      <c r="I113" s="34"/>
      <c r="J113" s="361"/>
      <c r="K113" s="361"/>
      <c r="L113" s="362"/>
      <c r="M113" s="362"/>
      <c r="N113" s="363"/>
      <c r="O113" s="363"/>
      <c r="P113" s="363"/>
      <c r="Q113" s="363"/>
      <c r="R113" s="374"/>
      <c r="S113" s="358"/>
    </row>
    <row r="114" spans="1:19">
      <c r="A114" s="365"/>
      <c r="B114" s="365"/>
      <c r="C114" s="365"/>
      <c r="D114" s="372"/>
      <c r="E114" s="365"/>
      <c r="F114" s="373"/>
      <c r="G114" s="366"/>
      <c r="H114" s="34"/>
      <c r="I114" s="34"/>
      <c r="J114" s="361"/>
      <c r="K114" s="361"/>
      <c r="L114" s="362"/>
      <c r="M114" s="362"/>
      <c r="N114" s="363"/>
      <c r="O114" s="363"/>
      <c r="P114" s="363"/>
      <c r="Q114" s="363"/>
      <c r="R114" s="374"/>
      <c r="S114" s="358"/>
    </row>
    <row r="115" spans="1:19">
      <c r="A115" s="365"/>
      <c r="B115" s="365"/>
      <c r="C115" s="365"/>
      <c r="D115" s="372"/>
      <c r="E115" s="365"/>
      <c r="F115" s="373"/>
      <c r="G115" s="366"/>
      <c r="H115" s="34"/>
      <c r="I115" s="34"/>
      <c r="J115" s="361"/>
      <c r="K115" s="361"/>
      <c r="L115" s="362"/>
      <c r="M115" s="362"/>
      <c r="N115" s="363"/>
      <c r="O115" s="363"/>
      <c r="P115" s="363"/>
      <c r="Q115" s="363"/>
      <c r="R115" s="374"/>
      <c r="S115" s="358"/>
    </row>
    <row r="116" spans="1:19">
      <c r="A116" s="365"/>
      <c r="B116" s="365"/>
      <c r="C116" s="365"/>
      <c r="D116" s="372"/>
      <c r="E116" s="365"/>
      <c r="F116" s="373"/>
      <c r="G116" s="366"/>
      <c r="H116" s="34"/>
      <c r="I116" s="34"/>
      <c r="J116" s="361"/>
      <c r="K116" s="361"/>
      <c r="L116" s="362"/>
      <c r="M116" s="362"/>
      <c r="N116" s="363"/>
      <c r="O116" s="363"/>
      <c r="P116" s="363"/>
      <c r="Q116" s="363"/>
      <c r="R116" s="374"/>
      <c r="S116" s="358"/>
    </row>
    <row r="117" spans="1:19">
      <c r="A117" s="365"/>
      <c r="B117" s="365"/>
      <c r="C117" s="365"/>
      <c r="D117" s="372"/>
      <c r="E117" s="365"/>
      <c r="F117" s="373"/>
      <c r="G117" s="366"/>
      <c r="H117" s="34"/>
      <c r="I117" s="34"/>
      <c r="J117" s="361"/>
      <c r="K117" s="361"/>
      <c r="L117" s="362"/>
      <c r="M117" s="362"/>
      <c r="N117" s="363"/>
      <c r="O117" s="363"/>
      <c r="P117" s="363"/>
      <c r="Q117" s="363"/>
      <c r="R117" s="374"/>
      <c r="S117" s="358"/>
    </row>
    <row r="118" spans="1:19">
      <c r="A118" s="365"/>
      <c r="B118" s="365"/>
      <c r="C118" s="365"/>
      <c r="D118" s="372"/>
      <c r="E118" s="365"/>
      <c r="F118" s="373"/>
      <c r="G118" s="366"/>
      <c r="H118" s="34"/>
      <c r="I118" s="34"/>
      <c r="J118" s="361"/>
      <c r="K118" s="361"/>
      <c r="L118" s="362"/>
      <c r="M118" s="362"/>
      <c r="N118" s="363"/>
      <c r="O118" s="363"/>
      <c r="P118" s="363"/>
      <c r="Q118" s="363"/>
      <c r="R118" s="374"/>
      <c r="S118" s="358"/>
    </row>
    <row r="119" spans="1:19">
      <c r="A119" s="365"/>
      <c r="B119" s="365"/>
      <c r="C119" s="365"/>
      <c r="D119" s="372"/>
      <c r="E119" s="365"/>
      <c r="F119" s="373"/>
      <c r="G119" s="366"/>
      <c r="H119" s="34"/>
      <c r="I119" s="34"/>
      <c r="J119" s="361"/>
      <c r="K119" s="361"/>
      <c r="L119" s="362"/>
      <c r="M119" s="362"/>
      <c r="N119" s="363"/>
      <c r="O119" s="363"/>
      <c r="P119" s="363"/>
      <c r="Q119" s="363"/>
      <c r="R119" s="374"/>
      <c r="S119" s="358"/>
    </row>
    <row r="120" spans="1:19">
      <c r="A120" s="365"/>
      <c r="B120" s="365"/>
      <c r="C120" s="365"/>
      <c r="D120" s="372"/>
      <c r="E120" s="365"/>
      <c r="F120" s="373"/>
      <c r="G120" s="366"/>
      <c r="H120" s="34"/>
      <c r="I120" s="34"/>
      <c r="J120" s="361"/>
      <c r="K120" s="361"/>
      <c r="L120" s="362"/>
      <c r="M120" s="362"/>
      <c r="N120" s="363"/>
      <c r="O120" s="363"/>
      <c r="P120" s="363"/>
      <c r="Q120" s="363"/>
      <c r="R120" s="374"/>
      <c r="S120" s="358"/>
    </row>
    <row r="121" spans="1:19">
      <c r="A121" s="365"/>
      <c r="B121" s="365"/>
      <c r="C121" s="365"/>
      <c r="D121" s="372"/>
      <c r="E121" s="365"/>
      <c r="F121" s="373"/>
      <c r="G121" s="366"/>
      <c r="H121" s="34"/>
      <c r="I121" s="34"/>
      <c r="J121" s="361"/>
      <c r="K121" s="361"/>
      <c r="L121" s="362"/>
      <c r="M121" s="362"/>
      <c r="N121" s="363"/>
      <c r="O121" s="363"/>
      <c r="P121" s="363"/>
      <c r="Q121" s="363"/>
      <c r="R121" s="374"/>
      <c r="S121" s="358"/>
    </row>
    <row r="122" spans="1:19">
      <c r="A122" s="365"/>
      <c r="B122" s="365"/>
      <c r="C122" s="365"/>
      <c r="D122" s="372"/>
      <c r="E122" s="365"/>
      <c r="F122" s="373"/>
      <c r="G122" s="366"/>
      <c r="H122" s="34"/>
      <c r="I122" s="34"/>
      <c r="J122" s="361"/>
      <c r="K122" s="361"/>
      <c r="L122" s="362"/>
      <c r="M122" s="362"/>
      <c r="N122" s="363"/>
      <c r="O122" s="363"/>
      <c r="P122" s="363"/>
      <c r="Q122" s="363"/>
      <c r="R122" s="374"/>
      <c r="S122" s="358"/>
    </row>
    <row r="123" spans="1:19">
      <c r="A123" s="365"/>
      <c r="B123" s="365"/>
      <c r="C123" s="365"/>
      <c r="D123" s="372"/>
      <c r="E123" s="365"/>
      <c r="F123" s="373"/>
      <c r="G123" s="366"/>
      <c r="H123" s="34"/>
      <c r="I123" s="34"/>
      <c r="J123" s="361"/>
      <c r="K123" s="361"/>
      <c r="L123" s="362"/>
      <c r="M123" s="362"/>
      <c r="N123" s="363"/>
      <c r="O123" s="363"/>
      <c r="P123" s="363"/>
      <c r="Q123" s="363"/>
      <c r="R123" s="374"/>
      <c r="S123" s="358"/>
    </row>
    <row r="124" spans="1:19">
      <c r="A124" s="365"/>
      <c r="B124" s="365"/>
      <c r="C124" s="365"/>
      <c r="D124" s="372"/>
      <c r="E124" s="365"/>
      <c r="F124" s="373"/>
      <c r="G124" s="366"/>
      <c r="H124" s="34"/>
      <c r="I124" s="34"/>
      <c r="J124" s="361"/>
      <c r="K124" s="361"/>
      <c r="L124" s="362"/>
      <c r="M124" s="362"/>
      <c r="N124" s="363"/>
      <c r="O124" s="363"/>
      <c r="P124" s="363"/>
      <c r="Q124" s="363"/>
      <c r="R124" s="374"/>
      <c r="S124" s="358"/>
    </row>
    <row r="125" spans="1:19">
      <c r="A125" s="365"/>
      <c r="B125" s="365"/>
      <c r="C125" s="365"/>
      <c r="D125" s="372"/>
      <c r="E125" s="365"/>
      <c r="F125" s="373"/>
      <c r="G125" s="366"/>
      <c r="H125" s="34"/>
      <c r="I125" s="34"/>
      <c r="J125" s="361"/>
      <c r="K125" s="361"/>
      <c r="L125" s="362"/>
      <c r="M125" s="362"/>
      <c r="N125" s="363"/>
      <c r="O125" s="363"/>
      <c r="P125" s="363"/>
      <c r="Q125" s="363"/>
      <c r="R125" s="374"/>
      <c r="S125" s="358"/>
    </row>
    <row r="126" spans="1:19">
      <c r="A126" s="365"/>
      <c r="B126" s="365"/>
      <c r="C126" s="365"/>
      <c r="D126" s="372"/>
      <c r="E126" s="365"/>
      <c r="F126" s="373"/>
      <c r="G126" s="366"/>
      <c r="H126" s="34"/>
      <c r="I126" s="34"/>
      <c r="J126" s="361"/>
      <c r="K126" s="361"/>
      <c r="L126" s="362"/>
      <c r="M126" s="362"/>
      <c r="N126" s="363"/>
      <c r="O126" s="363"/>
      <c r="P126" s="363"/>
      <c r="Q126" s="363"/>
      <c r="R126" s="374"/>
      <c r="S126" s="358"/>
    </row>
    <row r="127" spans="1:19">
      <c r="A127" s="365"/>
      <c r="B127" s="365"/>
      <c r="C127" s="365"/>
      <c r="D127" s="372"/>
      <c r="E127" s="365"/>
      <c r="F127" s="373"/>
      <c r="G127" s="366"/>
      <c r="H127" s="34"/>
      <c r="I127" s="34"/>
      <c r="J127" s="361"/>
      <c r="K127" s="361"/>
      <c r="L127" s="362"/>
      <c r="M127" s="362"/>
      <c r="N127" s="363"/>
      <c r="O127" s="363"/>
      <c r="P127" s="363"/>
      <c r="Q127" s="363"/>
      <c r="R127" s="374"/>
      <c r="S127" s="358"/>
    </row>
    <row r="128" spans="1:19">
      <c r="A128" s="365"/>
      <c r="B128" s="365"/>
      <c r="C128" s="365"/>
      <c r="D128" s="372"/>
      <c r="E128" s="365"/>
      <c r="F128" s="373"/>
      <c r="G128" s="366"/>
      <c r="H128" s="34"/>
      <c r="I128" s="34"/>
      <c r="J128" s="361"/>
      <c r="K128" s="361"/>
      <c r="L128" s="362"/>
      <c r="M128" s="362"/>
      <c r="N128" s="363"/>
      <c r="O128" s="363"/>
      <c r="P128" s="363"/>
      <c r="Q128" s="363"/>
      <c r="R128" s="374"/>
      <c r="S128" s="358"/>
    </row>
    <row r="129" spans="1:19">
      <c r="A129" s="365"/>
      <c r="B129" s="365"/>
      <c r="C129" s="365"/>
      <c r="D129" s="372"/>
      <c r="E129" s="365"/>
      <c r="F129" s="373"/>
      <c r="G129" s="366"/>
      <c r="H129" s="34"/>
      <c r="I129" s="34"/>
      <c r="J129" s="361"/>
      <c r="K129" s="361"/>
      <c r="L129" s="362"/>
      <c r="M129" s="362"/>
      <c r="N129" s="363"/>
      <c r="O129" s="363"/>
      <c r="P129" s="363"/>
      <c r="Q129" s="363"/>
      <c r="R129" s="374"/>
      <c r="S129" s="358"/>
    </row>
    <row r="130" spans="1:19">
      <c r="A130" s="365"/>
      <c r="B130" s="365"/>
      <c r="C130" s="365"/>
      <c r="D130" s="372"/>
      <c r="E130" s="365"/>
      <c r="F130" s="373"/>
      <c r="G130" s="366"/>
      <c r="H130" s="34"/>
      <c r="I130" s="34"/>
      <c r="J130" s="361"/>
      <c r="K130" s="361"/>
      <c r="L130" s="362"/>
      <c r="M130" s="362"/>
      <c r="N130" s="363"/>
      <c r="O130" s="363"/>
      <c r="P130" s="363"/>
      <c r="Q130" s="363"/>
      <c r="R130" s="374"/>
      <c r="S130" s="358"/>
    </row>
    <row r="131" spans="1:19">
      <c r="A131" s="365"/>
      <c r="B131" s="365"/>
      <c r="C131" s="365"/>
      <c r="D131" s="372"/>
      <c r="E131" s="365"/>
      <c r="F131" s="373"/>
      <c r="G131" s="366"/>
      <c r="H131" s="34"/>
      <c r="I131" s="34"/>
      <c r="J131" s="361"/>
      <c r="K131" s="361"/>
      <c r="L131" s="362"/>
      <c r="M131" s="362"/>
      <c r="N131" s="363"/>
      <c r="O131" s="363"/>
      <c r="P131" s="363"/>
      <c r="Q131" s="363"/>
      <c r="R131" s="374"/>
      <c r="S131" s="358"/>
    </row>
    <row r="132" spans="1:19">
      <c r="A132" s="365"/>
      <c r="B132" s="365"/>
      <c r="C132" s="365"/>
      <c r="D132" s="372"/>
      <c r="E132" s="365"/>
      <c r="F132" s="373"/>
      <c r="G132" s="366"/>
      <c r="H132" s="34"/>
      <c r="I132" s="34"/>
      <c r="J132" s="361"/>
      <c r="K132" s="361"/>
      <c r="L132" s="362"/>
      <c r="M132" s="362"/>
      <c r="N132" s="363"/>
      <c r="O132" s="363"/>
      <c r="P132" s="363"/>
      <c r="Q132" s="363"/>
      <c r="R132" s="374"/>
      <c r="S132" s="358"/>
    </row>
    <row r="133" spans="1:19">
      <c r="A133" s="365"/>
      <c r="B133" s="365"/>
      <c r="C133" s="365"/>
      <c r="D133" s="372"/>
      <c r="E133" s="365"/>
      <c r="F133" s="373"/>
      <c r="G133" s="366"/>
      <c r="H133" s="34"/>
      <c r="I133" s="34"/>
      <c r="J133" s="361"/>
      <c r="K133" s="361"/>
      <c r="L133" s="362"/>
      <c r="M133" s="362"/>
      <c r="N133" s="363"/>
      <c r="O133" s="363"/>
      <c r="P133" s="363"/>
      <c r="Q133" s="363"/>
      <c r="R133" s="374"/>
      <c r="S133" s="358"/>
    </row>
    <row r="134" spans="1:19">
      <c r="A134" s="365"/>
      <c r="B134" s="365"/>
      <c r="C134" s="365"/>
      <c r="D134" s="372"/>
      <c r="E134" s="365"/>
      <c r="F134" s="373"/>
      <c r="G134" s="366"/>
      <c r="H134" s="34"/>
      <c r="I134" s="34"/>
      <c r="J134" s="361"/>
      <c r="K134" s="361"/>
      <c r="L134" s="362"/>
      <c r="M134" s="362"/>
      <c r="N134" s="363"/>
      <c r="O134" s="363"/>
      <c r="P134" s="363"/>
      <c r="Q134" s="363"/>
      <c r="R134" s="374"/>
      <c r="S134" s="358"/>
    </row>
    <row r="135" spans="1:19">
      <c r="A135" s="365"/>
      <c r="B135" s="365"/>
      <c r="C135" s="365"/>
      <c r="D135" s="372"/>
      <c r="E135" s="365"/>
      <c r="F135" s="373"/>
      <c r="G135" s="366"/>
      <c r="H135" s="34"/>
      <c r="I135" s="34"/>
      <c r="J135" s="361"/>
      <c r="K135" s="361"/>
      <c r="L135" s="362"/>
      <c r="M135" s="362"/>
      <c r="N135" s="363"/>
      <c r="O135" s="363"/>
      <c r="P135" s="363"/>
      <c r="Q135" s="363"/>
      <c r="R135" s="374"/>
      <c r="S135" s="358"/>
    </row>
    <row r="136" spans="1:19">
      <c r="A136" s="365"/>
      <c r="B136" s="365"/>
      <c r="C136" s="365"/>
      <c r="D136" s="372"/>
      <c r="E136" s="365"/>
      <c r="F136" s="373"/>
      <c r="G136" s="366"/>
      <c r="H136" s="34"/>
      <c r="I136" s="34"/>
      <c r="J136" s="361"/>
      <c r="K136" s="361"/>
      <c r="L136" s="362"/>
      <c r="M136" s="362"/>
      <c r="N136" s="363"/>
      <c r="O136" s="363"/>
      <c r="P136" s="363"/>
      <c r="Q136" s="363"/>
      <c r="R136" s="374"/>
      <c r="S136" s="358"/>
    </row>
    <row r="137" spans="1:19">
      <c r="A137" s="365"/>
      <c r="B137" s="365"/>
      <c r="C137" s="365"/>
      <c r="D137" s="372"/>
      <c r="E137" s="365"/>
      <c r="F137" s="373"/>
      <c r="G137" s="366"/>
      <c r="H137" s="34"/>
      <c r="I137" s="34"/>
      <c r="J137" s="361"/>
      <c r="K137" s="361"/>
      <c r="L137" s="362"/>
      <c r="M137" s="362"/>
      <c r="N137" s="363"/>
      <c r="O137" s="363"/>
      <c r="P137" s="363"/>
      <c r="Q137" s="363"/>
      <c r="R137" s="374"/>
      <c r="S137" s="358"/>
    </row>
    <row r="138" spans="1:19">
      <c r="A138" s="365"/>
      <c r="B138" s="365"/>
      <c r="C138" s="365"/>
      <c r="D138" s="372"/>
      <c r="E138" s="365"/>
      <c r="F138" s="373"/>
      <c r="G138" s="366"/>
      <c r="H138" s="34"/>
      <c r="I138" s="34"/>
      <c r="J138" s="361"/>
      <c r="K138" s="361"/>
      <c r="L138" s="362"/>
      <c r="M138" s="362"/>
      <c r="N138" s="363"/>
      <c r="O138" s="363"/>
      <c r="P138" s="363"/>
      <c r="Q138" s="363"/>
      <c r="R138" s="374"/>
      <c r="S138" s="358"/>
    </row>
    <row r="139" spans="1:19">
      <c r="A139" s="365"/>
      <c r="B139" s="365"/>
      <c r="C139" s="365"/>
      <c r="D139" s="372"/>
      <c r="E139" s="365"/>
      <c r="F139" s="373"/>
      <c r="G139" s="366"/>
      <c r="H139" s="34"/>
      <c r="I139" s="34"/>
      <c r="J139" s="361"/>
      <c r="K139" s="361"/>
      <c r="L139" s="362"/>
      <c r="M139" s="362"/>
      <c r="N139" s="363"/>
      <c r="O139" s="363"/>
      <c r="P139" s="363"/>
      <c r="Q139" s="363"/>
      <c r="R139" s="374"/>
      <c r="S139" s="358"/>
    </row>
    <row r="140" spans="1:19">
      <c r="A140" s="365"/>
      <c r="B140" s="365"/>
      <c r="C140" s="365"/>
      <c r="D140" s="372"/>
      <c r="E140" s="365"/>
      <c r="F140" s="373"/>
      <c r="G140" s="366"/>
      <c r="H140" s="34"/>
      <c r="I140" s="34"/>
      <c r="J140" s="361"/>
      <c r="K140" s="361"/>
      <c r="L140" s="362"/>
      <c r="M140" s="362"/>
      <c r="N140" s="363"/>
      <c r="O140" s="363"/>
      <c r="P140" s="363"/>
      <c r="Q140" s="363"/>
      <c r="R140" s="374"/>
      <c r="S140" s="358"/>
    </row>
    <row r="141" spans="1:19">
      <c r="A141" s="365"/>
      <c r="B141" s="365"/>
      <c r="C141" s="365"/>
      <c r="D141" s="372"/>
      <c r="E141" s="365"/>
      <c r="F141" s="373"/>
      <c r="G141" s="366"/>
      <c r="H141" s="34"/>
      <c r="I141" s="34"/>
      <c r="J141" s="361"/>
      <c r="K141" s="361"/>
      <c r="L141" s="362"/>
      <c r="M141" s="362"/>
      <c r="N141" s="363"/>
      <c r="O141" s="363"/>
      <c r="P141" s="363"/>
      <c r="Q141" s="363"/>
      <c r="R141" s="374"/>
      <c r="S141" s="358"/>
    </row>
    <row r="142" spans="1:19">
      <c r="A142" s="365"/>
      <c r="B142" s="365"/>
      <c r="C142" s="365"/>
      <c r="D142" s="372"/>
      <c r="E142" s="365"/>
      <c r="F142" s="373"/>
      <c r="G142" s="366"/>
      <c r="H142" s="34"/>
      <c r="I142" s="34"/>
      <c r="J142" s="361"/>
      <c r="K142" s="361"/>
      <c r="L142" s="362"/>
      <c r="M142" s="362"/>
      <c r="N142" s="363"/>
      <c r="O142" s="363"/>
      <c r="P142" s="363"/>
      <c r="Q142" s="363"/>
      <c r="R142" s="374"/>
      <c r="S142" s="358"/>
    </row>
    <row r="143" spans="1:19">
      <c r="A143" s="365"/>
      <c r="B143" s="365"/>
      <c r="C143" s="365"/>
      <c r="D143" s="372"/>
      <c r="E143" s="365"/>
      <c r="F143" s="373"/>
      <c r="G143" s="366"/>
      <c r="H143" s="34"/>
      <c r="I143" s="34"/>
      <c r="J143" s="361"/>
      <c r="K143" s="361"/>
      <c r="L143" s="362"/>
      <c r="M143" s="362"/>
      <c r="N143" s="363"/>
      <c r="O143" s="363"/>
      <c r="P143" s="363"/>
      <c r="Q143" s="363"/>
      <c r="R143" s="374"/>
      <c r="S143" s="358"/>
    </row>
    <row r="144" spans="1:19">
      <c r="A144" s="365"/>
      <c r="B144" s="365"/>
      <c r="C144" s="365"/>
      <c r="D144" s="372"/>
      <c r="E144" s="365"/>
      <c r="F144" s="373"/>
      <c r="G144" s="366"/>
      <c r="H144" s="34"/>
      <c r="I144" s="34"/>
      <c r="J144" s="361"/>
      <c r="K144" s="361"/>
      <c r="L144" s="362"/>
      <c r="M144" s="362"/>
      <c r="N144" s="363"/>
      <c r="O144" s="363"/>
      <c r="P144" s="363"/>
      <c r="Q144" s="363"/>
      <c r="R144" s="374"/>
      <c r="S144" s="358"/>
    </row>
    <row r="145" spans="1:19">
      <c r="A145" s="365"/>
      <c r="B145" s="365"/>
      <c r="C145" s="365"/>
      <c r="D145" s="372"/>
      <c r="E145" s="365"/>
      <c r="F145" s="373"/>
      <c r="G145" s="366"/>
      <c r="H145" s="34"/>
      <c r="I145" s="34"/>
      <c r="J145" s="361"/>
      <c r="K145" s="361"/>
      <c r="L145" s="362"/>
      <c r="M145" s="362"/>
      <c r="N145" s="363"/>
      <c r="O145" s="363"/>
      <c r="P145" s="363"/>
      <c r="Q145" s="363"/>
      <c r="R145" s="374"/>
      <c r="S145" s="358"/>
    </row>
    <row r="146" spans="1:19">
      <c r="A146" s="365"/>
      <c r="B146" s="365"/>
      <c r="C146" s="365"/>
      <c r="D146" s="372"/>
      <c r="E146" s="365"/>
      <c r="F146" s="376"/>
      <c r="G146" s="365"/>
      <c r="H146" s="34"/>
      <c r="I146" s="34"/>
      <c r="J146" s="361"/>
      <c r="K146" s="361"/>
      <c r="L146" s="362"/>
      <c r="M146" s="362"/>
      <c r="N146" s="34"/>
      <c r="O146" s="34"/>
      <c r="P146" s="363"/>
      <c r="Q146" s="363"/>
      <c r="R146" s="363"/>
      <c r="S146" s="357"/>
    </row>
    <row r="147" spans="1:19">
      <c r="A147" s="365"/>
      <c r="B147" s="365"/>
      <c r="C147" s="365"/>
      <c r="D147" s="372"/>
      <c r="E147" s="365"/>
      <c r="F147" s="376"/>
      <c r="G147" s="365"/>
      <c r="H147" s="34"/>
      <c r="I147" s="34"/>
      <c r="J147" s="361"/>
      <c r="K147" s="361"/>
      <c r="L147" s="362"/>
      <c r="M147" s="362"/>
      <c r="N147" s="365"/>
      <c r="O147" s="365"/>
      <c r="P147" s="365"/>
      <c r="Q147" s="365"/>
      <c r="R147" s="365"/>
    </row>
    <row r="148" spans="1:19">
      <c r="A148" s="365"/>
      <c r="B148" s="365"/>
      <c r="C148" s="365"/>
      <c r="D148" s="372"/>
      <c r="E148" s="365"/>
      <c r="F148" s="376"/>
      <c r="G148" s="365"/>
      <c r="H148" s="34"/>
      <c r="I148" s="34"/>
      <c r="J148" s="361"/>
      <c r="K148" s="361"/>
      <c r="L148" s="362"/>
      <c r="M148" s="362"/>
      <c r="N148" s="365"/>
      <c r="O148" s="365"/>
      <c r="P148" s="365"/>
      <c r="Q148" s="365"/>
      <c r="R148" s="365"/>
    </row>
    <row r="149" spans="1:19">
      <c r="A149" s="365"/>
      <c r="B149" s="365"/>
      <c r="C149" s="365"/>
      <c r="D149" s="372"/>
      <c r="E149" s="365"/>
      <c r="F149" s="376"/>
      <c r="G149" s="365"/>
      <c r="H149" s="34"/>
      <c r="I149" s="34"/>
      <c r="J149" s="361"/>
      <c r="K149" s="361"/>
      <c r="L149" s="362"/>
      <c r="M149" s="362"/>
      <c r="N149" s="365"/>
      <c r="O149" s="365"/>
      <c r="P149" s="365"/>
      <c r="Q149" s="365"/>
      <c r="R149" s="365"/>
    </row>
    <row r="150" spans="1:19">
      <c r="A150" s="365"/>
      <c r="B150" s="365"/>
      <c r="C150" s="365"/>
      <c r="D150" s="372"/>
      <c r="E150" s="365"/>
      <c r="F150" s="376"/>
      <c r="G150" s="365"/>
      <c r="H150" s="34"/>
      <c r="I150" s="34"/>
      <c r="J150" s="361"/>
      <c r="K150" s="361"/>
      <c r="L150" s="362"/>
      <c r="M150" s="362"/>
      <c r="N150" s="365"/>
      <c r="O150" s="365"/>
      <c r="P150" s="365"/>
      <c r="Q150" s="365"/>
      <c r="R150" s="365"/>
    </row>
    <row r="151" spans="1:19">
      <c r="A151" s="365"/>
      <c r="B151" s="365"/>
      <c r="C151" s="365"/>
      <c r="D151" s="372"/>
      <c r="E151" s="365"/>
      <c r="F151" s="376"/>
      <c r="G151" s="365"/>
      <c r="H151" s="34"/>
      <c r="I151" s="34"/>
      <c r="J151" s="361"/>
      <c r="K151" s="361"/>
      <c r="L151" s="362"/>
      <c r="M151" s="362"/>
      <c r="N151" s="365"/>
      <c r="O151" s="365"/>
      <c r="P151" s="365"/>
      <c r="Q151" s="365"/>
      <c r="R151" s="365"/>
    </row>
    <row r="152" spans="1:19">
      <c r="A152" s="369"/>
      <c r="B152" s="365"/>
      <c r="C152" s="365"/>
      <c r="D152" s="372"/>
      <c r="E152" s="365"/>
      <c r="F152" s="376"/>
      <c r="G152" s="365"/>
      <c r="H152" s="34"/>
      <c r="I152" s="34"/>
      <c r="J152" s="361"/>
      <c r="K152" s="361"/>
      <c r="L152" s="362"/>
      <c r="M152" s="362"/>
      <c r="N152" s="365"/>
      <c r="O152" s="365"/>
      <c r="P152" s="365"/>
      <c r="Q152" s="365"/>
      <c r="R152" s="365"/>
    </row>
    <row r="153" spans="1:19">
      <c r="A153" s="365"/>
      <c r="B153" s="365"/>
      <c r="C153" s="365"/>
      <c r="D153" s="372"/>
      <c r="E153" s="365"/>
      <c r="F153" s="373"/>
      <c r="G153" s="366"/>
      <c r="H153" s="34"/>
      <c r="I153" s="34"/>
      <c r="J153" s="361"/>
      <c r="K153" s="361"/>
      <c r="L153" s="362"/>
      <c r="M153" s="362"/>
      <c r="N153" s="363"/>
      <c r="O153" s="363"/>
      <c r="P153" s="363"/>
      <c r="Q153" s="363"/>
      <c r="R153" s="374"/>
      <c r="S153" s="358"/>
    </row>
    <row r="154" spans="1:19">
      <c r="A154" s="365"/>
      <c r="B154" s="365"/>
      <c r="C154" s="365"/>
      <c r="D154" s="372"/>
      <c r="E154" s="365"/>
      <c r="F154" s="373"/>
      <c r="G154" s="366"/>
      <c r="H154" s="34"/>
      <c r="I154" s="34"/>
      <c r="J154" s="361"/>
      <c r="K154" s="361"/>
      <c r="L154" s="362"/>
      <c r="M154" s="362"/>
      <c r="N154" s="363"/>
      <c r="O154" s="363"/>
      <c r="P154" s="363"/>
      <c r="Q154" s="363"/>
      <c r="R154" s="374"/>
      <c r="S154" s="358"/>
    </row>
    <row r="155" spans="1:19">
      <c r="A155" s="365"/>
      <c r="B155" s="365"/>
      <c r="C155" s="365"/>
      <c r="D155" s="372"/>
      <c r="E155" s="365"/>
      <c r="F155" s="373"/>
      <c r="G155" s="366"/>
      <c r="H155" s="34"/>
      <c r="I155" s="34"/>
      <c r="J155" s="361"/>
      <c r="K155" s="361"/>
      <c r="L155" s="362"/>
      <c r="M155" s="362"/>
      <c r="N155" s="363"/>
      <c r="O155" s="363"/>
      <c r="P155" s="363"/>
      <c r="Q155" s="363"/>
      <c r="R155" s="374"/>
      <c r="S155" s="358"/>
    </row>
    <row r="156" spans="1:19">
      <c r="A156" s="365"/>
      <c r="B156" s="365"/>
      <c r="C156" s="365"/>
      <c r="D156" s="372"/>
      <c r="E156" s="365"/>
      <c r="F156" s="373"/>
      <c r="G156" s="366"/>
      <c r="H156" s="34"/>
      <c r="I156" s="34"/>
      <c r="J156" s="361"/>
      <c r="K156" s="361"/>
      <c r="L156" s="362"/>
      <c r="M156" s="362"/>
      <c r="N156" s="363"/>
      <c r="O156" s="363"/>
      <c r="P156" s="363"/>
      <c r="Q156" s="363"/>
      <c r="R156" s="374"/>
      <c r="S156" s="358"/>
    </row>
    <row r="157" spans="1:19">
      <c r="A157" s="365"/>
      <c r="B157" s="365"/>
      <c r="C157" s="365"/>
      <c r="D157" s="372"/>
      <c r="E157" s="365"/>
      <c r="F157" s="373"/>
      <c r="G157" s="366"/>
      <c r="H157" s="34"/>
      <c r="I157" s="34"/>
      <c r="J157" s="361"/>
      <c r="K157" s="361"/>
      <c r="L157" s="362"/>
      <c r="M157" s="362"/>
      <c r="N157" s="363"/>
      <c r="O157" s="363"/>
      <c r="P157" s="363"/>
      <c r="Q157" s="363"/>
      <c r="R157" s="374"/>
      <c r="S157" s="358"/>
    </row>
    <row r="158" spans="1:19">
      <c r="A158" s="365"/>
      <c r="B158" s="365"/>
      <c r="C158" s="365"/>
      <c r="D158" s="372"/>
      <c r="E158" s="365"/>
      <c r="F158" s="373"/>
      <c r="G158" s="366"/>
      <c r="H158" s="34"/>
      <c r="I158" s="34"/>
      <c r="J158" s="361"/>
      <c r="K158" s="361"/>
      <c r="L158" s="362"/>
      <c r="M158" s="362"/>
      <c r="N158" s="363"/>
      <c r="O158" s="363"/>
      <c r="P158" s="363"/>
      <c r="Q158" s="363"/>
      <c r="R158" s="374"/>
      <c r="S158" s="358"/>
    </row>
    <row r="159" spans="1:19">
      <c r="A159" s="365"/>
      <c r="B159" s="365"/>
      <c r="C159" s="365"/>
      <c r="D159" s="372"/>
      <c r="E159" s="365"/>
      <c r="F159" s="373"/>
      <c r="G159" s="366"/>
      <c r="H159" s="34"/>
      <c r="I159" s="34"/>
      <c r="J159" s="361"/>
      <c r="K159" s="361"/>
      <c r="L159" s="362"/>
      <c r="M159" s="362"/>
      <c r="N159" s="363"/>
      <c r="O159" s="363"/>
      <c r="P159" s="363"/>
      <c r="Q159" s="363"/>
      <c r="R159" s="374"/>
      <c r="S159" s="358"/>
    </row>
    <row r="160" spans="1:19">
      <c r="A160" s="365"/>
      <c r="B160" s="365"/>
      <c r="C160" s="365"/>
      <c r="D160" s="372"/>
      <c r="E160" s="365"/>
      <c r="F160" s="373"/>
      <c r="G160" s="366"/>
      <c r="H160" s="34"/>
      <c r="I160" s="34"/>
      <c r="J160" s="361"/>
      <c r="K160" s="361"/>
      <c r="L160" s="362"/>
      <c r="M160" s="362"/>
      <c r="N160" s="363"/>
      <c r="O160" s="363"/>
      <c r="P160" s="363"/>
      <c r="Q160" s="363"/>
      <c r="R160" s="374"/>
      <c r="S160" s="358"/>
    </row>
    <row r="161" spans="1:19">
      <c r="A161" s="365"/>
      <c r="B161" s="365"/>
      <c r="C161" s="365"/>
      <c r="D161" s="372"/>
      <c r="E161" s="365"/>
      <c r="F161" s="373"/>
      <c r="G161" s="366"/>
      <c r="H161" s="34"/>
      <c r="I161" s="34"/>
      <c r="J161" s="361"/>
      <c r="K161" s="361"/>
      <c r="L161" s="362"/>
      <c r="M161" s="362"/>
      <c r="N161" s="363"/>
      <c r="O161" s="363"/>
      <c r="P161" s="363"/>
      <c r="Q161" s="363"/>
      <c r="R161" s="374"/>
      <c r="S161" s="358"/>
    </row>
    <row r="162" spans="1:19">
      <c r="A162" s="365"/>
      <c r="B162" s="365"/>
      <c r="C162" s="365"/>
      <c r="D162" s="372"/>
      <c r="E162" s="365"/>
      <c r="F162" s="373"/>
      <c r="G162" s="366"/>
      <c r="H162" s="34"/>
      <c r="I162" s="34"/>
      <c r="J162" s="361"/>
      <c r="K162" s="361"/>
      <c r="L162" s="362"/>
      <c r="M162" s="362"/>
      <c r="N162" s="363"/>
      <c r="O162" s="363"/>
      <c r="P162" s="363"/>
      <c r="Q162" s="363"/>
      <c r="R162" s="374"/>
      <c r="S162" s="358"/>
    </row>
    <row r="163" spans="1:19">
      <c r="A163" s="365"/>
      <c r="B163" s="365"/>
      <c r="C163" s="365"/>
      <c r="D163" s="372"/>
      <c r="E163" s="365"/>
      <c r="F163" s="373"/>
      <c r="G163" s="366"/>
      <c r="H163" s="34"/>
      <c r="I163" s="34"/>
      <c r="J163" s="361"/>
      <c r="K163" s="361"/>
      <c r="L163" s="362"/>
      <c r="M163" s="362"/>
      <c r="N163" s="363"/>
      <c r="O163" s="363"/>
      <c r="P163" s="363"/>
      <c r="Q163" s="363"/>
      <c r="R163" s="374"/>
      <c r="S163" s="358"/>
    </row>
    <row r="164" spans="1:19">
      <c r="A164" s="365"/>
      <c r="B164" s="365"/>
      <c r="C164" s="365"/>
      <c r="D164" s="372"/>
      <c r="E164" s="365"/>
      <c r="F164" s="373"/>
      <c r="G164" s="366"/>
      <c r="H164" s="34"/>
      <c r="I164" s="34"/>
      <c r="J164" s="361"/>
      <c r="K164" s="361"/>
      <c r="L164" s="362"/>
      <c r="M164" s="362"/>
      <c r="N164" s="363"/>
      <c r="O164" s="363"/>
      <c r="P164" s="363"/>
      <c r="Q164" s="363"/>
      <c r="R164" s="374"/>
      <c r="S164" s="358"/>
    </row>
    <row r="165" spans="1:19">
      <c r="A165" s="365"/>
      <c r="B165" s="365"/>
      <c r="C165" s="365"/>
      <c r="D165" s="372"/>
      <c r="E165" s="365"/>
      <c r="F165" s="373"/>
      <c r="G165" s="366"/>
      <c r="H165" s="34"/>
      <c r="I165" s="34"/>
      <c r="J165" s="361"/>
      <c r="K165" s="361"/>
      <c r="L165" s="362"/>
      <c r="M165" s="362"/>
      <c r="N165" s="363"/>
      <c r="O165" s="363"/>
      <c r="P165" s="363"/>
      <c r="Q165" s="363"/>
      <c r="R165" s="374"/>
      <c r="S165" s="358"/>
    </row>
    <row r="166" spans="1:19">
      <c r="A166" s="365"/>
      <c r="B166" s="365"/>
      <c r="C166" s="365"/>
      <c r="D166" s="372"/>
      <c r="E166" s="365"/>
      <c r="F166" s="373"/>
      <c r="G166" s="366"/>
      <c r="H166" s="34"/>
      <c r="I166" s="34"/>
      <c r="J166" s="361"/>
      <c r="K166" s="361"/>
      <c r="L166" s="362"/>
      <c r="M166" s="362"/>
      <c r="N166" s="363"/>
      <c r="O166" s="363"/>
      <c r="P166" s="363"/>
      <c r="Q166" s="363"/>
      <c r="R166" s="374"/>
      <c r="S166" s="358"/>
    </row>
    <row r="167" spans="1:19">
      <c r="A167" s="365"/>
      <c r="B167" s="365"/>
      <c r="C167" s="365"/>
      <c r="D167" s="372"/>
      <c r="E167" s="365"/>
      <c r="F167" s="373"/>
      <c r="G167" s="366"/>
      <c r="H167" s="34"/>
      <c r="I167" s="34"/>
      <c r="J167" s="361"/>
      <c r="K167" s="361"/>
      <c r="L167" s="362"/>
      <c r="M167" s="362"/>
      <c r="N167" s="363"/>
      <c r="O167" s="363"/>
      <c r="P167" s="363"/>
      <c r="Q167" s="363"/>
      <c r="R167" s="374"/>
      <c r="S167" s="358"/>
    </row>
    <row r="168" spans="1:19">
      <c r="A168" s="365"/>
      <c r="B168" s="365"/>
      <c r="C168" s="365"/>
      <c r="D168" s="372"/>
      <c r="E168" s="365"/>
      <c r="F168" s="373"/>
      <c r="G168" s="366"/>
      <c r="H168" s="34"/>
      <c r="I168" s="34"/>
      <c r="J168" s="361"/>
      <c r="K168" s="361"/>
      <c r="L168" s="362"/>
      <c r="M168" s="362"/>
      <c r="N168" s="363"/>
      <c r="O168" s="363"/>
      <c r="P168" s="363"/>
      <c r="Q168" s="363"/>
      <c r="R168" s="374"/>
      <c r="S168" s="358"/>
    </row>
    <row r="169" spans="1:19">
      <c r="A169" s="365"/>
      <c r="B169" s="365"/>
      <c r="C169" s="365"/>
      <c r="D169" s="372"/>
      <c r="E169" s="365"/>
      <c r="F169" s="373"/>
      <c r="G169" s="366"/>
      <c r="H169" s="34"/>
      <c r="I169" s="34"/>
      <c r="J169" s="361"/>
      <c r="K169" s="361"/>
      <c r="L169" s="362"/>
      <c r="M169" s="362"/>
      <c r="N169" s="363"/>
      <c r="O169" s="363"/>
      <c r="P169" s="363"/>
      <c r="Q169" s="363"/>
      <c r="R169" s="374"/>
      <c r="S169" s="358"/>
    </row>
    <row r="170" spans="1:19">
      <c r="A170" s="365"/>
      <c r="B170" s="365"/>
      <c r="C170" s="365"/>
      <c r="D170" s="372"/>
      <c r="E170" s="365"/>
      <c r="F170" s="373"/>
      <c r="G170" s="366"/>
      <c r="H170" s="34"/>
      <c r="I170" s="34"/>
      <c r="J170" s="361"/>
      <c r="K170" s="361"/>
      <c r="L170" s="362"/>
      <c r="M170" s="362"/>
      <c r="N170" s="363"/>
      <c r="O170" s="363"/>
      <c r="P170" s="363"/>
      <c r="Q170" s="363"/>
      <c r="R170" s="374"/>
      <c r="S170" s="358"/>
    </row>
    <row r="171" spans="1:19">
      <c r="A171" s="365"/>
      <c r="B171" s="365"/>
      <c r="C171" s="365"/>
      <c r="D171" s="372"/>
      <c r="E171" s="365"/>
      <c r="F171" s="373"/>
      <c r="G171" s="366"/>
      <c r="H171" s="34"/>
      <c r="I171" s="34"/>
      <c r="J171" s="361"/>
      <c r="K171" s="361"/>
      <c r="L171" s="362"/>
      <c r="M171" s="362"/>
      <c r="N171" s="363"/>
      <c r="O171" s="363"/>
      <c r="P171" s="363"/>
      <c r="Q171" s="363"/>
      <c r="R171" s="374"/>
      <c r="S171" s="358"/>
    </row>
    <row r="172" spans="1:19">
      <c r="A172" s="365"/>
      <c r="B172" s="365"/>
      <c r="C172" s="365"/>
      <c r="D172" s="372"/>
      <c r="E172" s="365"/>
      <c r="F172" s="373"/>
      <c r="G172" s="366"/>
      <c r="H172" s="34"/>
      <c r="I172" s="34"/>
      <c r="J172" s="361"/>
      <c r="K172" s="361"/>
      <c r="L172" s="362"/>
      <c r="M172" s="362"/>
      <c r="N172" s="363"/>
      <c r="O172" s="363"/>
      <c r="P172" s="363"/>
      <c r="Q172" s="363"/>
      <c r="R172" s="374"/>
      <c r="S172" s="358"/>
    </row>
    <row r="173" spans="1:19">
      <c r="A173" s="365"/>
      <c r="B173" s="365"/>
      <c r="C173" s="365"/>
      <c r="D173" s="372"/>
      <c r="E173" s="365"/>
      <c r="F173" s="373"/>
      <c r="G173" s="366"/>
      <c r="H173" s="34"/>
      <c r="I173" s="34"/>
      <c r="J173" s="361"/>
      <c r="K173" s="361"/>
      <c r="L173" s="362"/>
      <c r="M173" s="362"/>
      <c r="N173" s="363"/>
      <c r="O173" s="363"/>
      <c r="P173" s="363"/>
      <c r="Q173" s="363"/>
      <c r="R173" s="374"/>
      <c r="S173" s="358"/>
    </row>
    <row r="174" spans="1:19">
      <c r="A174" s="365"/>
      <c r="B174" s="365"/>
      <c r="C174" s="365"/>
      <c r="D174" s="372"/>
      <c r="E174" s="365"/>
      <c r="F174" s="373"/>
      <c r="G174" s="366"/>
      <c r="H174" s="34"/>
      <c r="I174" s="34"/>
      <c r="J174" s="361"/>
      <c r="K174" s="361"/>
      <c r="L174" s="362"/>
      <c r="M174" s="362"/>
      <c r="N174" s="363"/>
      <c r="O174" s="363"/>
      <c r="P174" s="363"/>
      <c r="Q174" s="363"/>
      <c r="R174" s="374"/>
      <c r="S174" s="358"/>
    </row>
    <row r="175" spans="1:19">
      <c r="A175" s="365"/>
      <c r="B175" s="365"/>
      <c r="C175" s="365"/>
      <c r="D175" s="372"/>
      <c r="E175" s="365"/>
      <c r="F175" s="373"/>
      <c r="G175" s="366"/>
      <c r="H175" s="34"/>
      <c r="I175" s="34"/>
      <c r="J175" s="361"/>
      <c r="K175" s="361"/>
      <c r="L175" s="362"/>
      <c r="M175" s="362"/>
      <c r="N175" s="363"/>
      <c r="O175" s="363"/>
      <c r="P175" s="363"/>
      <c r="Q175" s="363"/>
      <c r="R175" s="374"/>
      <c r="S175" s="358"/>
    </row>
    <row r="176" spans="1:19">
      <c r="A176" s="365"/>
      <c r="B176" s="365"/>
      <c r="C176" s="365"/>
      <c r="D176" s="372"/>
      <c r="E176" s="365"/>
      <c r="F176" s="373"/>
      <c r="G176" s="366"/>
      <c r="H176" s="34"/>
      <c r="I176" s="34"/>
      <c r="J176" s="361"/>
      <c r="K176" s="361"/>
      <c r="L176" s="362"/>
      <c r="M176" s="362"/>
      <c r="N176" s="363"/>
      <c r="O176" s="363"/>
      <c r="P176" s="363"/>
      <c r="Q176" s="363"/>
      <c r="R176" s="374"/>
      <c r="S176" s="358"/>
    </row>
    <row r="177" spans="1:19">
      <c r="A177" s="365"/>
      <c r="B177" s="365"/>
      <c r="C177" s="365"/>
      <c r="D177" s="372"/>
      <c r="E177" s="365"/>
      <c r="F177" s="373"/>
      <c r="G177" s="366"/>
      <c r="H177" s="34"/>
      <c r="I177" s="34"/>
      <c r="J177" s="361"/>
      <c r="K177" s="361"/>
      <c r="L177" s="362"/>
      <c r="M177" s="362"/>
      <c r="N177" s="363"/>
      <c r="O177" s="363"/>
      <c r="P177" s="363"/>
      <c r="Q177" s="363"/>
      <c r="R177" s="374"/>
      <c r="S177" s="358"/>
    </row>
    <row r="178" spans="1:19">
      <c r="A178" s="365"/>
      <c r="B178" s="365"/>
      <c r="C178" s="365"/>
      <c r="D178" s="372"/>
      <c r="E178" s="365"/>
      <c r="F178" s="373"/>
      <c r="G178" s="366"/>
      <c r="H178" s="34"/>
      <c r="I178" s="34"/>
      <c r="J178" s="361"/>
      <c r="K178" s="361"/>
      <c r="L178" s="362"/>
      <c r="M178" s="362"/>
      <c r="N178" s="363"/>
      <c r="O178" s="363"/>
      <c r="P178" s="363"/>
      <c r="Q178" s="363"/>
      <c r="R178" s="374"/>
      <c r="S178" s="358"/>
    </row>
    <row r="179" spans="1:19">
      <c r="A179" s="365"/>
      <c r="B179" s="365"/>
      <c r="C179" s="365"/>
      <c r="D179" s="372"/>
      <c r="E179" s="365"/>
      <c r="F179" s="373"/>
      <c r="G179" s="366"/>
      <c r="H179" s="34"/>
      <c r="I179" s="34"/>
      <c r="J179" s="361"/>
      <c r="K179" s="361"/>
      <c r="L179" s="362"/>
      <c r="M179" s="362"/>
      <c r="N179" s="363"/>
      <c r="O179" s="363"/>
      <c r="P179" s="363"/>
      <c r="Q179" s="363"/>
      <c r="R179" s="374"/>
      <c r="S179" s="358"/>
    </row>
    <row r="180" spans="1:19">
      <c r="A180" s="365"/>
      <c r="B180" s="365"/>
      <c r="C180" s="365"/>
      <c r="D180" s="372"/>
      <c r="E180" s="365"/>
      <c r="F180" s="373"/>
      <c r="G180" s="366"/>
      <c r="H180" s="34"/>
      <c r="I180" s="34"/>
      <c r="J180" s="361"/>
      <c r="K180" s="361"/>
      <c r="L180" s="362"/>
      <c r="M180" s="362"/>
      <c r="N180" s="363"/>
      <c r="O180" s="363"/>
      <c r="P180" s="363"/>
      <c r="Q180" s="363"/>
      <c r="R180" s="374"/>
      <c r="S180" s="358"/>
    </row>
    <row r="181" spans="1:19">
      <c r="A181" s="365"/>
      <c r="B181" s="365"/>
      <c r="C181" s="365"/>
      <c r="D181" s="372"/>
      <c r="E181" s="365"/>
      <c r="F181" s="373"/>
      <c r="G181" s="366"/>
      <c r="H181" s="34"/>
      <c r="I181" s="34"/>
      <c r="J181" s="361"/>
      <c r="K181" s="361"/>
      <c r="L181" s="362"/>
      <c r="M181" s="362"/>
      <c r="N181" s="363"/>
      <c r="O181" s="363"/>
      <c r="P181" s="363"/>
      <c r="Q181" s="363"/>
      <c r="R181" s="374"/>
      <c r="S181" s="358"/>
    </row>
    <row r="182" spans="1:19">
      <c r="A182" s="365"/>
      <c r="B182" s="365"/>
      <c r="C182" s="365"/>
      <c r="D182" s="372"/>
      <c r="E182" s="365"/>
      <c r="F182" s="373"/>
      <c r="G182" s="366"/>
      <c r="H182" s="34"/>
      <c r="I182" s="34"/>
      <c r="J182" s="361"/>
      <c r="K182" s="361"/>
      <c r="L182" s="362"/>
      <c r="M182" s="362"/>
      <c r="N182" s="363"/>
      <c r="O182" s="363"/>
      <c r="P182" s="363"/>
      <c r="Q182" s="363"/>
      <c r="R182" s="374"/>
      <c r="S182" s="358"/>
    </row>
    <row r="183" spans="1:19">
      <c r="A183" s="365"/>
      <c r="B183" s="365"/>
      <c r="C183" s="365"/>
      <c r="D183" s="372"/>
      <c r="E183" s="365"/>
      <c r="F183" s="373"/>
      <c r="G183" s="366"/>
      <c r="H183" s="34"/>
      <c r="I183" s="34"/>
      <c r="J183" s="361"/>
      <c r="K183" s="361"/>
      <c r="L183" s="362"/>
      <c r="M183" s="362"/>
      <c r="N183" s="363"/>
      <c r="O183" s="363"/>
      <c r="P183" s="363"/>
      <c r="Q183" s="363"/>
      <c r="R183" s="374"/>
      <c r="S183" s="358"/>
    </row>
    <row r="184" spans="1:19">
      <c r="A184" s="365"/>
      <c r="B184" s="365"/>
      <c r="C184" s="365"/>
      <c r="D184" s="372"/>
      <c r="E184" s="365"/>
      <c r="F184" s="373"/>
      <c r="G184" s="366"/>
      <c r="H184" s="34"/>
      <c r="I184" s="34"/>
      <c r="J184" s="361"/>
      <c r="K184" s="361"/>
      <c r="L184" s="362"/>
      <c r="M184" s="362"/>
      <c r="N184" s="363"/>
      <c r="O184" s="363"/>
      <c r="P184" s="363"/>
      <c r="Q184" s="363"/>
      <c r="R184" s="374"/>
      <c r="S184" s="358"/>
    </row>
    <row r="185" spans="1:19">
      <c r="A185" s="365"/>
      <c r="B185" s="365"/>
      <c r="C185" s="365"/>
      <c r="D185" s="372"/>
      <c r="E185" s="365"/>
      <c r="F185" s="373"/>
      <c r="G185" s="366"/>
      <c r="H185" s="34"/>
      <c r="I185" s="34"/>
      <c r="J185" s="361"/>
      <c r="K185" s="361"/>
      <c r="L185" s="362"/>
      <c r="M185" s="362"/>
      <c r="N185" s="363"/>
      <c r="O185" s="363"/>
      <c r="P185" s="363"/>
      <c r="Q185" s="363"/>
      <c r="R185" s="374"/>
      <c r="S185" s="358"/>
    </row>
    <row r="186" spans="1:19">
      <c r="A186" s="365"/>
      <c r="B186" s="365"/>
      <c r="C186" s="365"/>
      <c r="D186" s="372"/>
      <c r="E186" s="365"/>
      <c r="F186" s="373"/>
      <c r="G186" s="366"/>
      <c r="H186" s="34"/>
      <c r="I186" s="34"/>
      <c r="J186" s="361"/>
      <c r="K186" s="361"/>
      <c r="L186" s="362"/>
      <c r="M186" s="362"/>
      <c r="N186" s="363"/>
      <c r="O186" s="363"/>
      <c r="P186" s="363"/>
      <c r="Q186" s="363"/>
      <c r="R186" s="374"/>
      <c r="S186" s="358"/>
    </row>
    <row r="187" spans="1:19">
      <c r="A187" s="365"/>
      <c r="B187" s="365"/>
      <c r="C187" s="365"/>
      <c r="D187" s="372"/>
      <c r="E187" s="365"/>
      <c r="F187" s="373"/>
      <c r="G187" s="366"/>
      <c r="H187" s="34"/>
      <c r="I187" s="34"/>
      <c r="J187" s="361"/>
      <c r="K187" s="361"/>
      <c r="L187" s="362"/>
      <c r="M187" s="362"/>
      <c r="N187" s="363"/>
      <c r="O187" s="363"/>
      <c r="P187" s="363"/>
      <c r="Q187" s="363"/>
      <c r="R187" s="374"/>
      <c r="S187" s="358"/>
    </row>
    <row r="188" spans="1:19">
      <c r="A188" s="365"/>
      <c r="B188" s="365"/>
      <c r="C188" s="365"/>
      <c r="D188" s="372"/>
      <c r="E188" s="365"/>
      <c r="F188" s="373"/>
      <c r="G188" s="366"/>
      <c r="H188" s="34"/>
      <c r="I188" s="34"/>
      <c r="J188" s="361"/>
      <c r="K188" s="361"/>
      <c r="L188" s="362"/>
      <c r="M188" s="362"/>
      <c r="N188" s="363"/>
      <c r="O188" s="363"/>
      <c r="P188" s="363"/>
      <c r="Q188" s="363"/>
      <c r="R188" s="374"/>
      <c r="S188" s="358"/>
    </row>
    <row r="189" spans="1:19">
      <c r="A189" s="365"/>
      <c r="B189" s="365"/>
      <c r="C189" s="365"/>
      <c r="D189" s="372"/>
      <c r="E189" s="365"/>
      <c r="F189" s="373"/>
      <c r="G189" s="366"/>
      <c r="H189" s="34"/>
      <c r="I189" s="34"/>
      <c r="J189" s="361"/>
      <c r="K189" s="361"/>
      <c r="L189" s="362"/>
      <c r="M189" s="362"/>
      <c r="N189" s="363"/>
      <c r="O189" s="363"/>
      <c r="P189" s="363"/>
      <c r="Q189" s="363"/>
      <c r="R189" s="374"/>
      <c r="S189" s="358"/>
    </row>
    <row r="190" spans="1:19">
      <c r="A190" s="365"/>
      <c r="B190" s="365"/>
      <c r="C190" s="365"/>
      <c r="D190" s="372"/>
      <c r="E190" s="365"/>
      <c r="F190" s="373"/>
      <c r="G190" s="366"/>
      <c r="H190" s="34"/>
      <c r="I190" s="34"/>
      <c r="J190" s="361"/>
      <c r="K190" s="361"/>
      <c r="L190" s="362"/>
      <c r="M190" s="362"/>
      <c r="N190" s="363"/>
      <c r="O190" s="363"/>
      <c r="P190" s="363"/>
      <c r="Q190" s="363"/>
      <c r="R190" s="374"/>
      <c r="S190" s="358"/>
    </row>
    <row r="191" spans="1:19">
      <c r="A191" s="365"/>
      <c r="B191" s="365"/>
      <c r="C191" s="365"/>
      <c r="D191" s="372"/>
      <c r="E191" s="365"/>
      <c r="F191" s="376"/>
      <c r="G191" s="365"/>
      <c r="H191" s="34"/>
      <c r="I191" s="34"/>
      <c r="J191" s="377"/>
      <c r="K191" s="378"/>
      <c r="L191" s="378"/>
      <c r="M191" s="378"/>
      <c r="N191" s="34"/>
      <c r="O191" s="34"/>
      <c r="P191" s="34"/>
      <c r="Q191" s="34"/>
      <c r="R191" s="34"/>
      <c r="S191" s="215"/>
    </row>
    <row r="192" spans="1:19">
      <c r="A192" s="365"/>
      <c r="B192" s="365"/>
      <c r="C192" s="365"/>
      <c r="D192" s="372"/>
      <c r="E192" s="365"/>
      <c r="F192" s="376"/>
      <c r="G192" s="365"/>
      <c r="H192" s="34"/>
      <c r="I192" s="34"/>
      <c r="J192" s="377"/>
      <c r="K192" s="378"/>
      <c r="L192" s="378"/>
      <c r="M192" s="378"/>
      <c r="N192" s="365"/>
      <c r="O192" s="365"/>
      <c r="P192" s="365"/>
      <c r="Q192" s="365"/>
      <c r="R192" s="365"/>
    </row>
    <row r="193" spans="1:19">
      <c r="A193" s="365"/>
      <c r="B193" s="365"/>
      <c r="C193" s="365"/>
      <c r="D193" s="372"/>
      <c r="E193" s="365"/>
      <c r="F193" s="376"/>
      <c r="G193" s="365"/>
      <c r="H193" s="34"/>
      <c r="I193" s="34"/>
      <c r="J193" s="377"/>
      <c r="K193" s="378"/>
      <c r="L193" s="378"/>
      <c r="M193" s="378"/>
      <c r="N193" s="34"/>
      <c r="O193" s="34"/>
      <c r="P193" s="34"/>
      <c r="Q193" s="34"/>
      <c r="R193" s="34"/>
      <c r="S193" s="215"/>
    </row>
    <row r="194" spans="1:19">
      <c r="A194" s="365"/>
      <c r="B194" s="365"/>
      <c r="C194" s="365"/>
      <c r="D194" s="372"/>
      <c r="E194" s="365"/>
      <c r="F194" s="376"/>
      <c r="G194" s="365"/>
      <c r="H194" s="34"/>
      <c r="I194" s="34"/>
      <c r="J194" s="379"/>
      <c r="K194" s="365"/>
      <c r="L194" s="365"/>
      <c r="M194" s="365"/>
      <c r="N194" s="34"/>
      <c r="O194" s="34"/>
      <c r="P194" s="365"/>
      <c r="Q194" s="365"/>
      <c r="R194" s="365"/>
    </row>
    <row r="195" spans="1:19">
      <c r="A195" s="365"/>
      <c r="B195" s="365"/>
      <c r="C195" s="365"/>
      <c r="D195" s="372"/>
      <c r="E195" s="365"/>
      <c r="F195" s="376"/>
      <c r="G195" s="365"/>
      <c r="H195" s="34"/>
      <c r="I195" s="34"/>
      <c r="J195" s="379"/>
      <c r="K195" s="365"/>
      <c r="L195" s="365"/>
      <c r="M195" s="365"/>
      <c r="N195" s="34"/>
      <c r="O195" s="34"/>
      <c r="P195" s="365"/>
      <c r="Q195" s="365"/>
      <c r="R195" s="365"/>
    </row>
    <row r="196" spans="1:19">
      <c r="D196" s="348"/>
      <c r="J196" s="380"/>
      <c r="N196" s="215"/>
      <c r="O196" s="215"/>
    </row>
    <row r="197" spans="1:19">
      <c r="D197" s="348"/>
      <c r="J197" s="380"/>
      <c r="N197" s="357"/>
      <c r="O197" s="357"/>
    </row>
    <row r="198" spans="1:19">
      <c r="D198" s="348"/>
      <c r="J198" s="380"/>
      <c r="N198" s="357"/>
      <c r="O198" s="357"/>
    </row>
    <row r="199" spans="1:19">
      <c r="D199" s="348"/>
      <c r="J199" s="380"/>
    </row>
    <row r="200" spans="1:19">
      <c r="D200" s="348"/>
      <c r="J200" s="380"/>
    </row>
    <row r="201" spans="1:19">
      <c r="D201" s="348"/>
      <c r="J201" s="380"/>
    </row>
    <row r="202" spans="1:19">
      <c r="D202" s="348"/>
      <c r="J202" s="380"/>
    </row>
    <row r="203" spans="1:19">
      <c r="D203" s="348"/>
      <c r="J203" s="380"/>
    </row>
    <row r="204" spans="1:19">
      <c r="D204" s="348"/>
      <c r="J204" s="380"/>
    </row>
    <row r="205" spans="1:19">
      <c r="D205" s="348"/>
      <c r="J205" s="380"/>
    </row>
    <row r="206" spans="1:19">
      <c r="D206" s="348"/>
      <c r="J206" s="380"/>
    </row>
    <row r="207" spans="1:19">
      <c r="D207" s="348"/>
      <c r="J207" s="380"/>
    </row>
    <row r="208" spans="1:19">
      <c r="D208" s="381"/>
      <c r="J208" s="380"/>
    </row>
    <row r="209" spans="4:4">
      <c r="D209" s="381"/>
    </row>
    <row r="210" spans="4:4">
      <c r="D210" s="381"/>
    </row>
    <row r="211" spans="4:4">
      <c r="D211" s="381"/>
    </row>
    <row r="212" spans="4:4">
      <c r="D212" s="381"/>
    </row>
    <row r="213" spans="4:4">
      <c r="D213" s="381"/>
    </row>
  </sheetData>
  <phoneticPr fontId="25" type="noConversion"/>
  <pageMargins left="0.75" right="0.75" top="1" bottom="1" header="0.5" footer="0.5"/>
  <pageSetup scale="59" orientation="landscape" r:id="rId1"/>
  <headerFooter alignWithMargins="0"/>
  <rowBreaks count="3" manualBreakCount="3">
    <brk id="54" max="17" man="1"/>
    <brk id="104" max="17" man="1"/>
    <brk id="149" max="1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F0"/>
    <pageSetUpPr fitToPage="1"/>
  </sheetPr>
  <dimension ref="A1:S116"/>
  <sheetViews>
    <sheetView view="pageBreakPreview" topLeftCell="A10" zoomScale="85" zoomScaleNormal="100" zoomScaleSheetLayoutView="85" workbookViewId="0">
      <selection activeCell="C22" sqref="C22"/>
    </sheetView>
  </sheetViews>
  <sheetFormatPr defaultRowHeight="12.75"/>
  <cols>
    <col min="1" max="1" width="6.375" style="1582" customWidth="1"/>
    <col min="2" max="2" width="9" style="1582"/>
    <col min="3" max="3" width="21.375" style="1582" customWidth="1"/>
    <col min="4" max="4" width="3.375" style="1582" bestFit="1" customWidth="1"/>
    <col min="5" max="5" width="12" style="1582" customWidth="1"/>
    <col min="6" max="6" width="3.375" style="1582" bestFit="1" customWidth="1"/>
    <col min="7" max="7" width="9" style="1582"/>
    <col min="8" max="8" width="2.625" style="1582" bestFit="1" customWidth="1"/>
    <col min="9" max="9" width="11.75" style="1582" customWidth="1"/>
    <col min="10" max="10" width="3.375" style="1582" bestFit="1" customWidth="1"/>
    <col min="11" max="11" width="9" style="1582"/>
    <col min="12" max="12" width="2.625" style="1582" bestFit="1" customWidth="1"/>
    <col min="13" max="13" width="12" style="1582" bestFit="1" customWidth="1"/>
    <col min="14" max="14" width="2.625" style="1582" bestFit="1" customWidth="1"/>
    <col min="15" max="15" width="9" style="1582"/>
    <col min="16" max="16" width="2.625" style="1582" bestFit="1" customWidth="1"/>
    <col min="17" max="16384" width="9" style="1582"/>
  </cols>
  <sheetData>
    <row r="1" spans="1:16" ht="13.5">
      <c r="A1" s="1700" t="s">
        <v>350</v>
      </c>
      <c r="O1" s="1693" t="s">
        <v>2122</v>
      </c>
    </row>
    <row r="2" spans="1:16">
      <c r="A2" s="1583" t="s">
        <v>2063</v>
      </c>
    </row>
    <row r="3" spans="1:16">
      <c r="A3" s="1789" t="s">
        <v>1963</v>
      </c>
      <c r="B3" s="1790"/>
      <c r="C3" s="1791"/>
    </row>
    <row r="5" spans="1:16" s="1583" customFormat="1" ht="23.25" customHeight="1">
      <c r="A5" s="1584"/>
      <c r="C5" s="1585"/>
      <c r="D5" s="1585"/>
      <c r="F5" s="1584"/>
      <c r="H5" s="1586"/>
      <c r="J5" s="1587"/>
      <c r="K5" s="1586"/>
      <c r="L5" s="1586"/>
      <c r="M5" s="1587"/>
      <c r="N5" s="1587"/>
    </row>
    <row r="6" spans="1:16" s="1583" customFormat="1" ht="12" customHeight="1">
      <c r="A6" s="1584"/>
      <c r="B6" s="1584"/>
      <c r="C6" s="1584"/>
      <c r="D6" s="1584"/>
      <c r="F6" s="1584"/>
      <c r="G6" s="1588"/>
      <c r="H6" s="1588"/>
      <c r="I6" s="1588"/>
      <c r="J6" s="1589"/>
      <c r="K6" s="1503"/>
      <c r="L6" s="1584"/>
      <c r="O6" s="1590"/>
    </row>
    <row r="7" spans="1:16" s="1583" customFormat="1" ht="25.5">
      <c r="A7" s="1591" t="s">
        <v>2064</v>
      </c>
      <c r="B7" s="1592" t="s">
        <v>370</v>
      </c>
      <c r="C7" s="1592" t="s">
        <v>2065</v>
      </c>
      <c r="D7" s="1593" t="s">
        <v>1279</v>
      </c>
      <c r="E7" s="1594" t="s">
        <v>2024</v>
      </c>
      <c r="F7" s="1595" t="s">
        <v>1281</v>
      </c>
      <c r="G7" s="1596" t="s">
        <v>2066</v>
      </c>
      <c r="H7" s="1595" t="s">
        <v>1281</v>
      </c>
      <c r="I7" s="1596" t="s">
        <v>2121</v>
      </c>
      <c r="J7" s="1597" t="s">
        <v>1283</v>
      </c>
      <c r="K7" s="1596" t="s">
        <v>2067</v>
      </c>
      <c r="L7" s="1597" t="s">
        <v>1267</v>
      </c>
      <c r="M7" s="1591" t="s">
        <v>2068</v>
      </c>
      <c r="N7" s="1597" t="s">
        <v>1268</v>
      </c>
      <c r="O7" s="1594" t="s">
        <v>2069</v>
      </c>
      <c r="P7" s="1597" t="s">
        <v>1781</v>
      </c>
    </row>
    <row r="8" spans="1:16" s="1583" customFormat="1">
      <c r="A8" s="1598"/>
      <c r="B8" s="1599"/>
      <c r="C8" s="1599"/>
      <c r="D8" s="1600"/>
      <c r="E8" s="1511" t="s">
        <v>909</v>
      </c>
      <c r="F8" s="1601"/>
      <c r="G8" s="1602" t="s">
        <v>852</v>
      </c>
      <c r="H8" s="1589"/>
      <c r="I8" s="1602" t="s">
        <v>853</v>
      </c>
      <c r="J8" s="1589"/>
      <c r="K8" s="1587" t="s">
        <v>854</v>
      </c>
      <c r="L8" s="1601"/>
      <c r="M8" s="1587" t="s">
        <v>855</v>
      </c>
      <c r="O8" s="1603" t="s">
        <v>856</v>
      </c>
    </row>
    <row r="9" spans="1:16" s="1583" customFormat="1">
      <c r="A9" s="1598"/>
      <c r="B9" s="1604" t="s">
        <v>2070</v>
      </c>
      <c r="C9" s="1599"/>
      <c r="D9" s="1593"/>
      <c r="E9" s="1511"/>
      <c r="F9" s="1601"/>
      <c r="G9" s="1602"/>
      <c r="H9" s="1589"/>
      <c r="I9" s="1589"/>
      <c r="J9" s="1589"/>
      <c r="K9" s="1587"/>
      <c r="L9" s="1601"/>
      <c r="O9" s="1603"/>
    </row>
    <row r="10" spans="1:16" s="1583" customFormat="1">
      <c r="A10" s="1605">
        <v>1</v>
      </c>
      <c r="B10" s="1606">
        <v>1137</v>
      </c>
      <c r="C10" s="1607" t="str">
        <f>+'Wp b - salary'!C11</f>
        <v>Maintenance 1</v>
      </c>
      <c r="D10" s="1593"/>
      <c r="E10" s="1511">
        <v>31130.77</v>
      </c>
      <c r="F10" s="1601"/>
      <c r="G10" s="1608">
        <v>2011</v>
      </c>
      <c r="H10" s="1601"/>
      <c r="I10" s="1609">
        <f>IF(G10=2012,1,2013-G10)</f>
        <v>2</v>
      </c>
      <c r="J10" s="1601"/>
      <c r="K10" s="1610">
        <v>0.25</v>
      </c>
      <c r="L10" s="1601"/>
      <c r="M10" s="1611">
        <f>-IF(I10&lt;4,E10*I10*K10,E10)</f>
        <v>-15565.385</v>
      </c>
      <c r="O10" s="1612">
        <f>IF(I10&lt;4,E10*K10,0)</f>
        <v>7782.6925000000001</v>
      </c>
    </row>
    <row r="11" spans="1:16" s="1583" customFormat="1">
      <c r="A11" s="1605">
        <f>+A10+1</f>
        <v>2</v>
      </c>
      <c r="B11" s="1606">
        <v>9942</v>
      </c>
      <c r="C11" s="1607" t="str">
        <f>+'Wp b - salary'!C12</f>
        <v>Maintenance 2</v>
      </c>
      <c r="D11" s="1593"/>
      <c r="E11" s="1511">
        <v>21470</v>
      </c>
      <c r="F11" s="1601"/>
      <c r="G11" s="1608">
        <v>1999</v>
      </c>
      <c r="H11" s="1601"/>
      <c r="I11" s="1609">
        <f>IF(G11=2012,1,2013-G11)</f>
        <v>14</v>
      </c>
      <c r="J11" s="1601"/>
      <c r="K11" s="1610">
        <f>$K$10</f>
        <v>0.25</v>
      </c>
      <c r="L11" s="1601"/>
      <c r="M11" s="1611">
        <f t="shared" ref="M11:M21" si="0">-IF(I11&lt;4,E11*I11*K11,E11)</f>
        <v>-21470</v>
      </c>
      <c r="O11" s="1612">
        <f t="shared" ref="O11:O25" si="1">IF(I11&lt;4,E11*K11,0)</f>
        <v>0</v>
      </c>
    </row>
    <row r="12" spans="1:16" s="1583" customFormat="1">
      <c r="A12" s="1605">
        <f t="shared" ref="A12:A20" si="2">+A11+1</f>
        <v>3</v>
      </c>
      <c r="B12" s="1606">
        <v>804</v>
      </c>
      <c r="C12" s="1607" t="str">
        <f>+'Wp b - salary'!C13</f>
        <v>Maintenance 3</v>
      </c>
      <c r="D12" s="1593"/>
      <c r="E12" s="1511">
        <v>18507.07</v>
      </c>
      <c r="F12" s="1601"/>
      <c r="G12" s="1608">
        <v>2008</v>
      </c>
      <c r="H12" s="1601"/>
      <c r="I12" s="1609">
        <f t="shared" ref="I12:I25" si="3">IF(G12=2012,1,2013-G12)</f>
        <v>5</v>
      </c>
      <c r="J12" s="1601"/>
      <c r="K12" s="1610">
        <f t="shared" ref="K12:K25" si="4">$K$10</f>
        <v>0.25</v>
      </c>
      <c r="L12" s="1601"/>
      <c r="M12" s="1611">
        <f t="shared" si="0"/>
        <v>-18507.07</v>
      </c>
      <c r="O12" s="1612">
        <f t="shared" si="1"/>
        <v>0</v>
      </c>
    </row>
    <row r="13" spans="1:16" s="1583" customFormat="1">
      <c r="A13" s="1605">
        <f t="shared" si="2"/>
        <v>4</v>
      </c>
      <c r="B13" s="1606">
        <v>1129</v>
      </c>
      <c r="C13" s="1607" t="str">
        <f>+'Wp b - salary'!C14</f>
        <v>Maintenance 4</v>
      </c>
      <c r="D13" s="1593"/>
      <c r="E13" s="1511">
        <f>30387.38+2001.7</f>
        <v>32389.08</v>
      </c>
      <c r="F13" s="1601"/>
      <c r="G13" s="1608">
        <v>2011</v>
      </c>
      <c r="H13" s="1601"/>
      <c r="I13" s="1609">
        <f t="shared" si="3"/>
        <v>2</v>
      </c>
      <c r="J13" s="1601"/>
      <c r="K13" s="1610">
        <f t="shared" si="4"/>
        <v>0.25</v>
      </c>
      <c r="L13" s="1601"/>
      <c r="M13" s="1611">
        <f t="shared" si="0"/>
        <v>-16194.54</v>
      </c>
      <c r="O13" s="1612">
        <f t="shared" si="1"/>
        <v>8097.27</v>
      </c>
    </row>
    <row r="14" spans="1:16" s="1583" customFormat="1">
      <c r="A14" s="1605">
        <f t="shared" si="2"/>
        <v>5</v>
      </c>
      <c r="B14" s="1606">
        <v>873</v>
      </c>
      <c r="C14" s="1607" t="str">
        <f>+'Wp b - salary'!C15</f>
        <v>Maintenance 5</v>
      </c>
      <c r="D14" s="1593"/>
      <c r="E14" s="1511">
        <v>23307.03</v>
      </c>
      <c r="F14" s="1601"/>
      <c r="G14" s="1608">
        <v>2008</v>
      </c>
      <c r="H14" s="1601"/>
      <c r="I14" s="1609">
        <f t="shared" si="3"/>
        <v>5</v>
      </c>
      <c r="J14" s="1601"/>
      <c r="K14" s="1610">
        <f t="shared" si="4"/>
        <v>0.25</v>
      </c>
      <c r="L14" s="1601"/>
      <c r="M14" s="1611">
        <f t="shared" si="0"/>
        <v>-23307.03</v>
      </c>
      <c r="O14" s="1612">
        <f t="shared" si="1"/>
        <v>0</v>
      </c>
    </row>
    <row r="15" spans="1:16" s="1583" customFormat="1">
      <c r="A15" s="1605">
        <f t="shared" si="2"/>
        <v>6</v>
      </c>
      <c r="B15" s="1606">
        <v>875</v>
      </c>
      <c r="C15" s="1607" t="str">
        <f>+'Wp b - salary'!C16</f>
        <v>Maintenance 6</v>
      </c>
      <c r="D15" s="1593"/>
      <c r="E15" s="1511">
        <v>18903</v>
      </c>
      <c r="F15" s="1601"/>
      <c r="G15" s="1608">
        <v>2008</v>
      </c>
      <c r="H15" s="1601"/>
      <c r="I15" s="1609">
        <f t="shared" si="3"/>
        <v>5</v>
      </c>
      <c r="J15" s="1601"/>
      <c r="K15" s="1610">
        <f t="shared" si="4"/>
        <v>0.25</v>
      </c>
      <c r="L15" s="1601"/>
      <c r="M15" s="1611">
        <f t="shared" si="0"/>
        <v>-18903</v>
      </c>
      <c r="O15" s="1612">
        <f t="shared" si="1"/>
        <v>0</v>
      </c>
    </row>
    <row r="16" spans="1:16" s="1583" customFormat="1">
      <c r="A16" s="1605">
        <f t="shared" si="2"/>
        <v>7</v>
      </c>
      <c r="B16" s="1606">
        <v>332</v>
      </c>
      <c r="C16" s="1607" t="str">
        <f>+'Wp b - salary'!C17</f>
        <v>Maintenance 7</v>
      </c>
      <c r="D16" s="1593"/>
      <c r="E16" s="1511">
        <v>18358.86</v>
      </c>
      <c r="F16" s="1601"/>
      <c r="G16" s="1608">
        <v>2003</v>
      </c>
      <c r="H16" s="1601"/>
      <c r="I16" s="1609">
        <f t="shared" si="3"/>
        <v>10</v>
      </c>
      <c r="J16" s="1601"/>
      <c r="K16" s="1610">
        <f t="shared" si="4"/>
        <v>0.25</v>
      </c>
      <c r="L16" s="1601"/>
      <c r="M16" s="1611">
        <f t="shared" si="0"/>
        <v>-18358.86</v>
      </c>
      <c r="O16" s="1612">
        <f t="shared" si="1"/>
        <v>0</v>
      </c>
    </row>
    <row r="17" spans="1:19" s="1583" customFormat="1">
      <c r="A17" s="1605">
        <f t="shared" si="2"/>
        <v>8</v>
      </c>
      <c r="B17" s="1606">
        <v>69</v>
      </c>
      <c r="C17" s="1607" t="str">
        <f>+'Wp b - salary'!C18</f>
        <v>Maintenance 8</v>
      </c>
      <c r="D17" s="1593"/>
      <c r="E17" s="1511">
        <v>20885</v>
      </c>
      <c r="F17" s="1601"/>
      <c r="G17" s="1608">
        <v>2000</v>
      </c>
      <c r="H17" s="1601"/>
      <c r="I17" s="1609">
        <f t="shared" si="3"/>
        <v>13</v>
      </c>
      <c r="J17" s="1601"/>
      <c r="K17" s="1610">
        <f t="shared" si="4"/>
        <v>0.25</v>
      </c>
      <c r="L17" s="1601"/>
      <c r="M17" s="1611">
        <f t="shared" si="0"/>
        <v>-20885</v>
      </c>
      <c r="O17" s="1612">
        <f t="shared" si="1"/>
        <v>0</v>
      </c>
    </row>
    <row r="18" spans="1:19" s="1583" customFormat="1">
      <c r="A18" s="1605">
        <f t="shared" si="2"/>
        <v>9</v>
      </c>
      <c r="B18" s="1606">
        <v>70</v>
      </c>
      <c r="C18" s="1607" t="str">
        <f>+'Wp b - salary'!C19</f>
        <v>Maintenance 9</v>
      </c>
      <c r="D18" s="1593"/>
      <c r="E18" s="1511">
        <v>18770</v>
      </c>
      <c r="F18" s="1601"/>
      <c r="G18" s="1608">
        <v>2000</v>
      </c>
      <c r="H18" s="1601"/>
      <c r="I18" s="1609">
        <f t="shared" si="3"/>
        <v>13</v>
      </c>
      <c r="J18" s="1601"/>
      <c r="K18" s="1610">
        <f t="shared" si="4"/>
        <v>0.25</v>
      </c>
      <c r="L18" s="1601"/>
      <c r="M18" s="1611">
        <f t="shared" si="0"/>
        <v>-18770</v>
      </c>
      <c r="O18" s="1612">
        <f t="shared" si="1"/>
        <v>0</v>
      </c>
    </row>
    <row r="19" spans="1:19" s="1583" customFormat="1">
      <c r="A19" s="1605">
        <f t="shared" si="2"/>
        <v>10</v>
      </c>
      <c r="B19" s="1606">
        <v>817</v>
      </c>
      <c r="C19" s="1607" t="str">
        <f>+'Wp b - salary'!C20</f>
        <v>Maintenance 10</v>
      </c>
      <c r="D19" s="1593"/>
      <c r="E19" s="1511">
        <v>26994.18</v>
      </c>
      <c r="F19" s="1601"/>
      <c r="G19" s="1608">
        <v>2008</v>
      </c>
      <c r="H19" s="1601"/>
      <c r="I19" s="1609">
        <f t="shared" si="3"/>
        <v>5</v>
      </c>
      <c r="J19" s="1601"/>
      <c r="K19" s="1610">
        <f t="shared" si="4"/>
        <v>0.25</v>
      </c>
      <c r="L19" s="1601"/>
      <c r="M19" s="1611">
        <f t="shared" si="0"/>
        <v>-26994.18</v>
      </c>
      <c r="O19" s="1612">
        <f t="shared" si="1"/>
        <v>0</v>
      </c>
    </row>
    <row r="20" spans="1:19" s="1583" customFormat="1">
      <c r="A20" s="1605">
        <f t="shared" si="2"/>
        <v>11</v>
      </c>
      <c r="B20" s="1606">
        <v>616</v>
      </c>
      <c r="C20" s="1607" t="str">
        <f>+'Wp b - salary'!C21</f>
        <v>Maintenance 11</v>
      </c>
      <c r="D20" s="1593"/>
      <c r="E20" s="1511">
        <v>23222.83</v>
      </c>
      <c r="F20" s="1601"/>
      <c r="G20" s="1608">
        <v>2006</v>
      </c>
      <c r="H20" s="1601"/>
      <c r="I20" s="1609">
        <f t="shared" si="3"/>
        <v>7</v>
      </c>
      <c r="J20" s="1601"/>
      <c r="K20" s="1610">
        <f t="shared" si="4"/>
        <v>0.25</v>
      </c>
      <c r="L20" s="1601"/>
      <c r="M20" s="1611">
        <f t="shared" si="0"/>
        <v>-23222.83</v>
      </c>
      <c r="O20" s="1612">
        <f t="shared" si="1"/>
        <v>0</v>
      </c>
    </row>
    <row r="21" spans="1:19" s="1583" customFormat="1">
      <c r="A21" s="1605">
        <f>+A20+1</f>
        <v>12</v>
      </c>
      <c r="B21" s="1606">
        <v>701</v>
      </c>
      <c r="C21" s="1607" t="str">
        <f>+'Wp b - salary'!C24</f>
        <v>Supervisory 1</v>
      </c>
      <c r="D21" s="1593"/>
      <c r="E21" s="1511">
        <v>39156.49</v>
      </c>
      <c r="F21" s="1601"/>
      <c r="G21" s="1608">
        <v>2006</v>
      </c>
      <c r="H21" s="1601"/>
      <c r="I21" s="1609">
        <f t="shared" si="3"/>
        <v>7</v>
      </c>
      <c r="J21" s="1601"/>
      <c r="K21" s="1610">
        <f t="shared" si="4"/>
        <v>0.25</v>
      </c>
      <c r="L21" s="1601"/>
      <c r="M21" s="1611">
        <f t="shared" si="0"/>
        <v>-39156.49</v>
      </c>
      <c r="O21" s="1612">
        <f t="shared" si="1"/>
        <v>0</v>
      </c>
    </row>
    <row r="22" spans="1:19" s="1583" customFormat="1">
      <c r="A22" s="1605">
        <f t="shared" ref="A22:A25" si="5">+A21+1</f>
        <v>13</v>
      </c>
      <c r="B22" s="1698">
        <v>818</v>
      </c>
      <c r="C22" s="1607" t="str">
        <f>+'Wp b - salary'!C25</f>
        <v>Supervisory 2</v>
      </c>
      <c r="D22" s="1593"/>
      <c r="E22" s="1511">
        <v>29220</v>
      </c>
      <c r="F22" s="1694"/>
      <c r="G22" s="1695">
        <v>2007</v>
      </c>
      <c r="H22" s="1694"/>
      <c r="I22" s="1609">
        <f t="shared" si="3"/>
        <v>6</v>
      </c>
      <c r="J22" s="1694"/>
      <c r="K22" s="1610">
        <f t="shared" si="4"/>
        <v>0.25</v>
      </c>
      <c r="L22" s="1694"/>
      <c r="M22" s="1696">
        <f t="shared" ref="M22" si="6">-IF(I22&lt;4,E22*I22*K22,E22)</f>
        <v>-29220</v>
      </c>
      <c r="N22" s="1697"/>
      <c r="O22" s="1612">
        <f t="shared" si="1"/>
        <v>0</v>
      </c>
    </row>
    <row r="23" spans="1:19" s="1583" customFormat="1">
      <c r="A23" s="1605">
        <f t="shared" si="5"/>
        <v>14</v>
      </c>
      <c r="B23" s="1698" t="s">
        <v>2120</v>
      </c>
      <c r="C23" s="1607" t="str">
        <f>+'Wp b - salary'!C26</f>
        <v>Supervisory 3</v>
      </c>
      <c r="D23" s="1593"/>
      <c r="E23" s="1511">
        <v>0</v>
      </c>
      <c r="F23" s="1601"/>
      <c r="G23" s="1608"/>
      <c r="H23" s="1601"/>
      <c r="I23" s="1609"/>
      <c r="J23" s="1601"/>
      <c r="K23" s="1610">
        <f t="shared" si="4"/>
        <v>0.25</v>
      </c>
      <c r="L23" s="1601"/>
      <c r="M23" s="1611">
        <v>0</v>
      </c>
      <c r="O23" s="1612">
        <f t="shared" si="1"/>
        <v>0</v>
      </c>
    </row>
    <row r="24" spans="1:19" s="1583" customFormat="1">
      <c r="A24" s="1605">
        <f t="shared" si="5"/>
        <v>15</v>
      </c>
      <c r="B24" s="1698" t="s">
        <v>2120</v>
      </c>
      <c r="C24" s="1607" t="str">
        <f>+'Wp b - salary'!C27</f>
        <v>Supervisory 4</v>
      </c>
      <c r="D24" s="1593"/>
      <c r="E24" s="1511">
        <v>0</v>
      </c>
      <c r="F24" s="1601"/>
      <c r="G24" s="1608"/>
      <c r="H24" s="1601"/>
      <c r="I24" s="1609"/>
      <c r="J24" s="1601"/>
      <c r="K24" s="1610">
        <f t="shared" si="4"/>
        <v>0.25</v>
      </c>
      <c r="L24" s="1601"/>
      <c r="M24" s="1611">
        <v>0</v>
      </c>
      <c r="O24" s="1612">
        <f t="shared" si="1"/>
        <v>0</v>
      </c>
    </row>
    <row r="25" spans="1:19" s="1583" customFormat="1">
      <c r="A25" s="1605">
        <f t="shared" si="5"/>
        <v>16</v>
      </c>
      <c r="B25" s="1698">
        <v>640</v>
      </c>
      <c r="C25" s="1607" t="str">
        <f>+'Wp b - salary'!C28</f>
        <v>Supervisory 5</v>
      </c>
      <c r="D25" s="1593"/>
      <c r="E25" s="1511">
        <v>25586</v>
      </c>
      <c r="F25" s="1694"/>
      <c r="G25" s="1695">
        <v>2005</v>
      </c>
      <c r="H25" s="1694"/>
      <c r="I25" s="1609">
        <f t="shared" si="3"/>
        <v>8</v>
      </c>
      <c r="J25" s="1694"/>
      <c r="K25" s="1610">
        <f t="shared" si="4"/>
        <v>0.25</v>
      </c>
      <c r="L25" s="1694"/>
      <c r="M25" s="1696">
        <f t="shared" ref="M25" si="7">-IF(I25&lt;4,E25*I25*K25,E25)</f>
        <v>-25586</v>
      </c>
      <c r="N25" s="1697"/>
      <c r="O25" s="1612">
        <f t="shared" si="1"/>
        <v>0</v>
      </c>
    </row>
    <row r="26" spans="1:19" s="1583" customFormat="1">
      <c r="A26" s="1605"/>
      <c r="B26" s="1606"/>
      <c r="C26" s="1607"/>
      <c r="D26" s="1593"/>
      <c r="E26" s="1511"/>
      <c r="F26" s="1601"/>
      <c r="G26" s="1608"/>
      <c r="H26" s="1601"/>
      <c r="I26" s="1609"/>
      <c r="J26" s="1601"/>
      <c r="K26" s="1610"/>
      <c r="L26" s="1601"/>
      <c r="M26" s="1611"/>
      <c r="O26" s="1612"/>
    </row>
    <row r="27" spans="1:19" s="1583" customFormat="1" ht="13.5" thickBot="1">
      <c r="A27" s="1605"/>
      <c r="B27" s="1606"/>
      <c r="D27" s="1584"/>
      <c r="E27" s="1613">
        <f>SUM(E10:E26)</f>
        <v>347900.31</v>
      </c>
      <c r="G27" s="1503"/>
      <c r="K27" s="1503"/>
      <c r="L27" s="1503"/>
      <c r="M27" s="1613">
        <f>SUM(M10:M26)</f>
        <v>-316140.38500000001</v>
      </c>
      <c r="O27" s="1613">
        <f>SUM(O10:O26)</f>
        <v>15879.962500000001</v>
      </c>
    </row>
    <row r="28" spans="1:19" s="1583" customFormat="1" ht="13.5" thickTop="1">
      <c r="A28" s="1605"/>
      <c r="B28" s="1606"/>
      <c r="D28" s="1584"/>
      <c r="E28" s="1611"/>
      <c r="G28" s="1503"/>
      <c r="K28" s="1503"/>
      <c r="L28" s="1503"/>
      <c r="M28" s="1611"/>
      <c r="O28" s="1611"/>
    </row>
    <row r="29" spans="1:19" s="1583" customFormat="1">
      <c r="A29" s="1605"/>
      <c r="B29" s="1606"/>
      <c r="D29" s="1584"/>
      <c r="G29" s="1503"/>
      <c r="K29" s="1503"/>
      <c r="L29" s="1503"/>
    </row>
    <row r="30" spans="1:19" s="1583" customFormat="1" ht="25.5">
      <c r="A30" s="1614"/>
      <c r="B30" s="1606"/>
      <c r="C30" s="1600"/>
      <c r="D30" s="1584"/>
      <c r="E30" s="1615" t="s">
        <v>2124</v>
      </c>
      <c r="F30" s="1597" t="s">
        <v>2071</v>
      </c>
      <c r="G30" s="1594" t="s">
        <v>2024</v>
      </c>
      <c r="H30" s="1595" t="s">
        <v>1281</v>
      </c>
      <c r="I30" s="1594" t="s">
        <v>2072</v>
      </c>
      <c r="J30" s="1597" t="s">
        <v>2073</v>
      </c>
      <c r="K30" s="1591" t="s">
        <v>2068</v>
      </c>
      <c r="M30" s="1596" t="s">
        <v>2074</v>
      </c>
      <c r="N30" s="1597" t="s">
        <v>2075</v>
      </c>
    </row>
    <row r="31" spans="1:19" s="1583" customFormat="1">
      <c r="A31" s="1605">
        <f>+A25+1</f>
        <v>17</v>
      </c>
      <c r="B31" s="1606">
        <f t="shared" ref="B31:B41" si="8">+B10</f>
        <v>1137</v>
      </c>
      <c r="C31" s="1616" t="str">
        <f t="shared" ref="C31:C42" si="9">C10</f>
        <v>Maintenance 1</v>
      </c>
      <c r="D31" s="1617"/>
      <c r="E31" s="1618">
        <f>+'Wp b - salary'!Y11</f>
        <v>1</v>
      </c>
      <c r="F31" s="1597"/>
      <c r="G31" s="1503">
        <f>E10</f>
        <v>31130.77</v>
      </c>
      <c r="H31" s="1595"/>
      <c r="I31" s="1611">
        <f>G31*E31</f>
        <v>31130.77</v>
      </c>
      <c r="J31" s="1597"/>
      <c r="K31" s="1611">
        <f>M10</f>
        <v>-15565.385</v>
      </c>
      <c r="M31" s="1503">
        <f>K31*E31</f>
        <v>-15565.385</v>
      </c>
      <c r="Q31" s="1619"/>
      <c r="R31" s="1582"/>
      <c r="S31" s="1620"/>
    </row>
    <row r="32" spans="1:19" s="1583" customFormat="1">
      <c r="A32" s="1605">
        <f>+A31+1</f>
        <v>18</v>
      </c>
      <c r="B32" s="1606">
        <f t="shared" si="8"/>
        <v>9942</v>
      </c>
      <c r="C32" s="1616" t="str">
        <f t="shared" si="9"/>
        <v>Maintenance 2</v>
      </c>
      <c r="D32" s="1617"/>
      <c r="E32" s="1618">
        <f>+'Wp b - salary'!Y12</f>
        <v>1</v>
      </c>
      <c r="F32" s="1597"/>
      <c r="G32" s="1503">
        <f>E11</f>
        <v>21470</v>
      </c>
      <c r="H32" s="1595"/>
      <c r="I32" s="1611">
        <f>G32*E32</f>
        <v>21470</v>
      </c>
      <c r="J32" s="1597"/>
      <c r="K32" s="1611">
        <f>M11</f>
        <v>-21470</v>
      </c>
      <c r="M32" s="1503">
        <f>K32*E32</f>
        <v>-21470</v>
      </c>
      <c r="Q32" s="1621"/>
      <c r="R32" s="1622"/>
      <c r="S32" s="1620"/>
    </row>
    <row r="33" spans="1:19" s="1583" customFormat="1">
      <c r="A33" s="1605">
        <f t="shared" ref="A33:A46" si="10">+A32+1</f>
        <v>19</v>
      </c>
      <c r="B33" s="1606">
        <f t="shared" si="8"/>
        <v>804</v>
      </c>
      <c r="C33" s="1616" t="str">
        <f t="shared" si="9"/>
        <v>Maintenance 3</v>
      </c>
      <c r="D33" s="1617"/>
      <c r="E33" s="1618">
        <f>+'Wp b - salary'!Y13</f>
        <v>1</v>
      </c>
      <c r="F33" s="1597"/>
      <c r="G33" s="1503">
        <f t="shared" ref="G33:G46" si="11">E12</f>
        <v>18507.07</v>
      </c>
      <c r="H33" s="1595"/>
      <c r="I33" s="1611">
        <f t="shared" ref="I33:I46" si="12">G33*E33</f>
        <v>18507.07</v>
      </c>
      <c r="J33" s="1597"/>
      <c r="K33" s="1611">
        <f t="shared" ref="K33:K46" si="13">M12</f>
        <v>-18507.07</v>
      </c>
      <c r="M33" s="1503">
        <f t="shared" ref="M33:M46" si="14">K33*E33</f>
        <v>-18507.07</v>
      </c>
      <c r="Q33" s="1619"/>
      <c r="R33" s="1582"/>
      <c r="S33" s="1620"/>
    </row>
    <row r="34" spans="1:19" s="1583" customFormat="1">
      <c r="A34" s="1605">
        <f t="shared" si="10"/>
        <v>20</v>
      </c>
      <c r="B34" s="1606">
        <f t="shared" si="8"/>
        <v>1129</v>
      </c>
      <c r="C34" s="1616" t="str">
        <f t="shared" si="9"/>
        <v>Maintenance 4</v>
      </c>
      <c r="D34" s="1617"/>
      <c r="E34" s="1618">
        <f>+'Wp b - salary'!Y14</f>
        <v>1</v>
      </c>
      <c r="F34" s="1597"/>
      <c r="G34" s="1503">
        <f t="shared" si="11"/>
        <v>32389.08</v>
      </c>
      <c r="H34" s="1595"/>
      <c r="I34" s="1611">
        <f t="shared" si="12"/>
        <v>32389.08</v>
      </c>
      <c r="J34" s="1597"/>
      <c r="K34" s="1611">
        <f t="shared" si="13"/>
        <v>-16194.54</v>
      </c>
      <c r="M34" s="1503">
        <f t="shared" si="14"/>
        <v>-16194.54</v>
      </c>
      <c r="Q34" s="1621"/>
      <c r="R34" s="1622"/>
      <c r="S34" s="1620"/>
    </row>
    <row r="35" spans="1:19" s="1583" customFormat="1">
      <c r="A35" s="1605">
        <f t="shared" si="10"/>
        <v>21</v>
      </c>
      <c r="B35" s="1606">
        <f t="shared" si="8"/>
        <v>873</v>
      </c>
      <c r="C35" s="1616" t="str">
        <f t="shared" si="9"/>
        <v>Maintenance 5</v>
      </c>
      <c r="D35" s="1623"/>
      <c r="E35" s="1618">
        <f>+'Wp b - salary'!Y15</f>
        <v>1</v>
      </c>
      <c r="F35" s="1597"/>
      <c r="G35" s="1503">
        <f t="shared" si="11"/>
        <v>23307.03</v>
      </c>
      <c r="H35" s="1595"/>
      <c r="I35" s="1611">
        <f t="shared" si="12"/>
        <v>23307.03</v>
      </c>
      <c r="J35" s="1597"/>
      <c r="K35" s="1611">
        <f t="shared" si="13"/>
        <v>-23307.03</v>
      </c>
      <c r="M35" s="1503">
        <f t="shared" si="14"/>
        <v>-23307.03</v>
      </c>
      <c r="Q35" s="1621"/>
      <c r="R35" s="1624"/>
      <c r="S35" s="1620"/>
    </row>
    <row r="36" spans="1:19" s="1583" customFormat="1">
      <c r="A36" s="1605">
        <f t="shared" si="10"/>
        <v>22</v>
      </c>
      <c r="B36" s="1606">
        <f t="shared" si="8"/>
        <v>875</v>
      </c>
      <c r="C36" s="1616" t="str">
        <f t="shared" si="9"/>
        <v>Maintenance 6</v>
      </c>
      <c r="D36" s="1593"/>
      <c r="E36" s="1618">
        <f>+'Wp b - salary'!Y16</f>
        <v>1</v>
      </c>
      <c r="F36" s="1597"/>
      <c r="G36" s="1503">
        <f t="shared" si="11"/>
        <v>18903</v>
      </c>
      <c r="H36" s="1595"/>
      <c r="I36" s="1611">
        <f t="shared" si="12"/>
        <v>18903</v>
      </c>
      <c r="J36" s="1597"/>
      <c r="K36" s="1611">
        <f t="shared" si="13"/>
        <v>-18903</v>
      </c>
      <c r="M36" s="1503">
        <f t="shared" si="14"/>
        <v>-18903</v>
      </c>
      <c r="Q36" s="1621"/>
      <c r="R36" s="1607"/>
      <c r="S36" s="1620"/>
    </row>
    <row r="37" spans="1:19" s="1583" customFormat="1">
      <c r="A37" s="1605">
        <f t="shared" si="10"/>
        <v>23</v>
      </c>
      <c r="B37" s="1606">
        <f t="shared" si="8"/>
        <v>332</v>
      </c>
      <c r="C37" s="1616" t="str">
        <f t="shared" si="9"/>
        <v>Maintenance 7</v>
      </c>
      <c r="D37" s="1593"/>
      <c r="E37" s="1618">
        <f>+'Wp b - salary'!Y17</f>
        <v>1</v>
      </c>
      <c r="F37" s="1597"/>
      <c r="G37" s="1503">
        <f t="shared" si="11"/>
        <v>18358.86</v>
      </c>
      <c r="H37" s="1595"/>
      <c r="I37" s="1611">
        <f t="shared" si="12"/>
        <v>18358.86</v>
      </c>
      <c r="J37" s="1597"/>
      <c r="K37" s="1611">
        <f t="shared" si="13"/>
        <v>-18358.86</v>
      </c>
      <c r="M37" s="1503">
        <f t="shared" si="14"/>
        <v>-18358.86</v>
      </c>
      <c r="Q37" s="1621"/>
      <c r="R37" s="1607"/>
      <c r="S37" s="1620"/>
    </row>
    <row r="38" spans="1:19" s="1583" customFormat="1">
      <c r="A38" s="1605">
        <f t="shared" si="10"/>
        <v>24</v>
      </c>
      <c r="B38" s="1606">
        <f t="shared" si="8"/>
        <v>69</v>
      </c>
      <c r="C38" s="1616" t="str">
        <f t="shared" si="9"/>
        <v>Maintenance 8</v>
      </c>
      <c r="D38" s="1593"/>
      <c r="E38" s="1618">
        <f>+'Wp b - salary'!Y18</f>
        <v>1</v>
      </c>
      <c r="F38" s="1597"/>
      <c r="G38" s="1503">
        <f t="shared" si="11"/>
        <v>20885</v>
      </c>
      <c r="H38" s="1595"/>
      <c r="I38" s="1611">
        <f t="shared" si="12"/>
        <v>20885</v>
      </c>
      <c r="J38" s="1597"/>
      <c r="K38" s="1611">
        <f t="shared" si="13"/>
        <v>-20885</v>
      </c>
      <c r="M38" s="1503">
        <f t="shared" si="14"/>
        <v>-20885</v>
      </c>
      <c r="Q38" s="1621"/>
      <c r="R38" s="1607"/>
      <c r="S38" s="1620"/>
    </row>
    <row r="39" spans="1:19" s="1583" customFormat="1">
      <c r="A39" s="1605">
        <f t="shared" si="10"/>
        <v>25</v>
      </c>
      <c r="B39" s="1606">
        <f t="shared" si="8"/>
        <v>70</v>
      </c>
      <c r="C39" s="1616" t="str">
        <f t="shared" si="9"/>
        <v>Maintenance 9</v>
      </c>
      <c r="D39" s="1593"/>
      <c r="E39" s="1618">
        <f>+'Wp b - salary'!Y19</f>
        <v>1</v>
      </c>
      <c r="F39" s="1597"/>
      <c r="G39" s="1503">
        <f t="shared" si="11"/>
        <v>18770</v>
      </c>
      <c r="H39" s="1595"/>
      <c r="I39" s="1611">
        <f t="shared" si="12"/>
        <v>18770</v>
      </c>
      <c r="J39" s="1597"/>
      <c r="K39" s="1611">
        <f t="shared" si="13"/>
        <v>-18770</v>
      </c>
      <c r="M39" s="1503">
        <f t="shared" si="14"/>
        <v>-18770</v>
      </c>
      <c r="Q39" s="1621"/>
      <c r="R39" s="1607"/>
      <c r="S39" s="1620"/>
    </row>
    <row r="40" spans="1:19" s="1583" customFormat="1">
      <c r="A40" s="1605">
        <f t="shared" si="10"/>
        <v>26</v>
      </c>
      <c r="B40" s="1606">
        <f t="shared" si="8"/>
        <v>817</v>
      </c>
      <c r="C40" s="1616" t="str">
        <f t="shared" si="9"/>
        <v>Maintenance 10</v>
      </c>
      <c r="D40" s="1593"/>
      <c r="E40" s="1618">
        <f>+'Wp b - salary'!Y20</f>
        <v>1</v>
      </c>
      <c r="F40" s="1597"/>
      <c r="G40" s="1503">
        <f t="shared" si="11"/>
        <v>26994.18</v>
      </c>
      <c r="H40" s="1595"/>
      <c r="I40" s="1611">
        <f t="shared" si="12"/>
        <v>26994.18</v>
      </c>
      <c r="J40" s="1597"/>
      <c r="K40" s="1611">
        <f t="shared" si="13"/>
        <v>-26994.18</v>
      </c>
      <c r="M40" s="1503">
        <f t="shared" si="14"/>
        <v>-26994.18</v>
      </c>
      <c r="Q40" s="1621"/>
      <c r="R40" s="1607"/>
      <c r="S40" s="1620"/>
    </row>
    <row r="41" spans="1:19" s="1583" customFormat="1">
      <c r="A41" s="1605">
        <f t="shared" si="10"/>
        <v>27</v>
      </c>
      <c r="B41" s="1606">
        <f t="shared" si="8"/>
        <v>616</v>
      </c>
      <c r="C41" s="1616" t="str">
        <f t="shared" si="9"/>
        <v>Maintenance 11</v>
      </c>
      <c r="D41" s="1593"/>
      <c r="E41" s="1618">
        <f>+'Wp b - salary'!Y21</f>
        <v>1</v>
      </c>
      <c r="F41" s="1597"/>
      <c r="G41" s="1503">
        <f t="shared" si="11"/>
        <v>23222.83</v>
      </c>
      <c r="H41" s="1595"/>
      <c r="I41" s="1611">
        <f t="shared" si="12"/>
        <v>23222.83</v>
      </c>
      <c r="J41" s="1597"/>
      <c r="K41" s="1611">
        <f t="shared" si="13"/>
        <v>-23222.83</v>
      </c>
      <c r="M41" s="1503">
        <f t="shared" si="14"/>
        <v>-23222.83</v>
      </c>
      <c r="Q41" s="1621"/>
      <c r="R41" s="1607"/>
      <c r="S41" s="1620"/>
    </row>
    <row r="42" spans="1:19" s="1583" customFormat="1">
      <c r="A42" s="1605">
        <f t="shared" si="10"/>
        <v>28</v>
      </c>
      <c r="B42" s="1606">
        <f t="shared" ref="B42:B46" si="15">+B21</f>
        <v>701</v>
      </c>
      <c r="C42" s="1616" t="str">
        <f t="shared" si="9"/>
        <v>Supervisory 1</v>
      </c>
      <c r="D42" s="1593"/>
      <c r="E42" s="1618">
        <f>+'Wp b - salary'!Y24</f>
        <v>0.21677963406806305</v>
      </c>
      <c r="F42" s="1597"/>
      <c r="G42" s="1503">
        <f t="shared" si="11"/>
        <v>39156.49</v>
      </c>
      <c r="H42" s="1595"/>
      <c r="I42" s="1611">
        <f t="shared" si="12"/>
        <v>8488.32957358977</v>
      </c>
      <c r="J42" s="1597"/>
      <c r="K42" s="1611">
        <f t="shared" si="13"/>
        <v>-39156.49</v>
      </c>
      <c r="M42" s="1503">
        <f t="shared" si="14"/>
        <v>-8488.32957358977</v>
      </c>
      <c r="Q42" s="1621"/>
      <c r="R42" s="1607"/>
      <c r="S42" s="1620"/>
    </row>
    <row r="43" spans="1:19" s="1583" customFormat="1">
      <c r="A43" s="1605">
        <f t="shared" si="10"/>
        <v>29</v>
      </c>
      <c r="B43" s="1606">
        <f t="shared" si="15"/>
        <v>818</v>
      </c>
      <c r="C43" s="1616" t="str">
        <f t="shared" ref="C43:C46" si="16">C22</f>
        <v>Supervisory 2</v>
      </c>
      <c r="D43" s="1593"/>
      <c r="E43" s="1618">
        <f>+'Wp b - salary'!Y25</f>
        <v>6.9774677565532461E-2</v>
      </c>
      <c r="F43" s="1597"/>
      <c r="G43" s="1503">
        <f t="shared" si="11"/>
        <v>29220</v>
      </c>
      <c r="H43" s="1595"/>
      <c r="I43" s="1611">
        <f t="shared" si="12"/>
        <v>2038.8160784648585</v>
      </c>
      <c r="J43" s="1597"/>
      <c r="K43" s="1611">
        <f t="shared" si="13"/>
        <v>-29220</v>
      </c>
      <c r="M43" s="1503">
        <f t="shared" si="14"/>
        <v>-2038.8160784648585</v>
      </c>
      <c r="Q43" s="1621"/>
      <c r="R43" s="1607"/>
      <c r="S43" s="1620"/>
    </row>
    <row r="44" spans="1:19" s="1583" customFormat="1">
      <c r="A44" s="1605">
        <f t="shared" si="10"/>
        <v>30</v>
      </c>
      <c r="B44" s="1606" t="str">
        <f t="shared" si="15"/>
        <v>N/A</v>
      </c>
      <c r="C44" s="1616" t="str">
        <f t="shared" si="16"/>
        <v>Supervisory 3</v>
      </c>
      <c r="D44" s="1593"/>
      <c r="E44" s="1618">
        <f>+'Wp b - salary'!Y26</f>
        <v>6.9774677565532461E-2</v>
      </c>
      <c r="F44" s="1597"/>
      <c r="G44" s="1503">
        <f t="shared" si="11"/>
        <v>0</v>
      </c>
      <c r="H44" s="1595"/>
      <c r="I44" s="1611">
        <f t="shared" si="12"/>
        <v>0</v>
      </c>
      <c r="J44" s="1597"/>
      <c r="K44" s="1611">
        <f t="shared" si="13"/>
        <v>0</v>
      </c>
      <c r="M44" s="1503">
        <f t="shared" si="14"/>
        <v>0</v>
      </c>
      <c r="Q44" s="1621"/>
      <c r="R44" s="1607"/>
      <c r="S44" s="1620"/>
    </row>
    <row r="45" spans="1:19" s="1583" customFormat="1">
      <c r="A45" s="1605">
        <f t="shared" si="10"/>
        <v>31</v>
      </c>
      <c r="B45" s="1606" t="str">
        <f t="shared" si="15"/>
        <v>N/A</v>
      </c>
      <c r="C45" s="1616" t="str">
        <f t="shared" si="16"/>
        <v>Supervisory 4</v>
      </c>
      <c r="D45" s="1593"/>
      <c r="E45" s="1618">
        <f>+'Wp b - salary'!Y27</f>
        <v>6.9774677565532461E-2</v>
      </c>
      <c r="F45" s="1597"/>
      <c r="G45" s="1503">
        <f t="shared" si="11"/>
        <v>0</v>
      </c>
      <c r="H45" s="1595"/>
      <c r="I45" s="1611">
        <f t="shared" si="12"/>
        <v>0</v>
      </c>
      <c r="J45" s="1597"/>
      <c r="K45" s="1611">
        <f t="shared" si="13"/>
        <v>0</v>
      </c>
      <c r="M45" s="1503">
        <f t="shared" si="14"/>
        <v>0</v>
      </c>
      <c r="Q45" s="1621"/>
      <c r="R45" s="1607"/>
      <c r="S45" s="1620"/>
    </row>
    <row r="46" spans="1:19" s="1583" customFormat="1">
      <c r="A46" s="1605">
        <f t="shared" si="10"/>
        <v>32</v>
      </c>
      <c r="B46" s="1606">
        <f t="shared" si="15"/>
        <v>640</v>
      </c>
      <c r="C46" s="1616" t="str">
        <f t="shared" si="16"/>
        <v>Supervisory 5</v>
      </c>
      <c r="D46" s="1593"/>
      <c r="E46" s="1618">
        <f>+'Wp b - salary'!Y28</f>
        <v>6.9774677565532461E-2</v>
      </c>
      <c r="F46" s="1597"/>
      <c r="G46" s="1503">
        <f t="shared" si="11"/>
        <v>25586</v>
      </c>
      <c r="H46" s="1595"/>
      <c r="I46" s="1611">
        <f t="shared" si="12"/>
        <v>1785.2549001917137</v>
      </c>
      <c r="J46" s="1597"/>
      <c r="K46" s="1611">
        <f t="shared" si="13"/>
        <v>-25586</v>
      </c>
      <c r="M46" s="1503">
        <f t="shared" si="14"/>
        <v>-1785.2549001917137</v>
      </c>
      <c r="Q46" s="1621"/>
      <c r="R46" s="1607"/>
      <c r="S46" s="1620"/>
    </row>
    <row r="47" spans="1:19" s="1583" customFormat="1">
      <c r="A47" s="1605"/>
      <c r="B47" s="1625"/>
      <c r="C47" s="1616"/>
      <c r="D47" s="1593"/>
      <c r="E47" s="1618"/>
      <c r="F47" s="1597"/>
      <c r="G47" s="1503"/>
      <c r="H47" s="1595"/>
      <c r="I47" s="1611"/>
      <c r="J47" s="1597"/>
      <c r="K47" s="1611"/>
      <c r="M47" s="1503"/>
      <c r="Q47" s="1621"/>
      <c r="R47" s="1607"/>
      <c r="S47" s="1620"/>
    </row>
    <row r="48" spans="1:19" s="1583" customFormat="1" ht="13.5" thickBot="1">
      <c r="A48" s="1605">
        <f>+A46+1</f>
        <v>33</v>
      </c>
      <c r="B48" s="1626" t="s">
        <v>2076</v>
      </c>
      <c r="D48" s="1584"/>
      <c r="G48" s="1503"/>
      <c r="I48" s="1613">
        <f>SUM(I31:I42)</f>
        <v>262426.14957358979</v>
      </c>
      <c r="K48" s="1503"/>
      <c r="L48" s="1503"/>
      <c r="M48" s="1613">
        <f>SUM(M31:M42)</f>
        <v>-230666.2245735898</v>
      </c>
    </row>
    <row r="49" spans="1:13" s="1583" customFormat="1" ht="13.5" thickTop="1">
      <c r="A49" s="1614"/>
      <c r="B49" s="1587"/>
      <c r="D49" s="1584"/>
      <c r="G49" s="1503"/>
      <c r="I49" s="1611"/>
      <c r="K49" s="1503"/>
      <c r="L49" s="1503"/>
      <c r="M49" s="1611"/>
    </row>
    <row r="50" spans="1:13" s="1583" customFormat="1">
      <c r="A50" s="1605">
        <f>+A48+1</f>
        <v>34</v>
      </c>
      <c r="B50" s="1626" t="s">
        <v>2079</v>
      </c>
      <c r="D50" s="1586" t="s">
        <v>2078</v>
      </c>
      <c r="G50" s="1503"/>
      <c r="I50" s="1611">
        <f>I$48*1</f>
        <v>262426.14957358979</v>
      </c>
      <c r="K50" s="1503"/>
      <c r="L50" s="1503"/>
      <c r="M50" s="1611">
        <f>M$48*1</f>
        <v>-230666.2245735898</v>
      </c>
    </row>
    <row r="51" spans="1:13" s="1583" customFormat="1">
      <c r="A51" s="1605">
        <f>+A50+1</f>
        <v>35</v>
      </c>
      <c r="B51" s="1626" t="s">
        <v>2077</v>
      </c>
      <c r="D51" s="1586" t="s">
        <v>2080</v>
      </c>
      <c r="G51" s="1503"/>
      <c r="I51" s="1611">
        <f>I$48*0</f>
        <v>0</v>
      </c>
      <c r="K51" s="1503"/>
      <c r="L51" s="1503"/>
      <c r="M51" s="1611">
        <f>M$48*0</f>
        <v>0</v>
      </c>
    </row>
    <row r="52" spans="1:13" s="1583" customFormat="1">
      <c r="A52" s="1614"/>
      <c r="B52" s="1587"/>
      <c r="D52" s="1584"/>
      <c r="G52" s="1503"/>
      <c r="K52" s="1503"/>
      <c r="L52" s="1503"/>
    </row>
    <row r="53" spans="1:13" s="1583" customFormat="1" ht="38.25">
      <c r="A53" s="1614"/>
      <c r="B53" s="1627" t="s">
        <v>2081</v>
      </c>
      <c r="C53" s="1600"/>
      <c r="D53" s="1584"/>
      <c r="E53" s="1615" t="str">
        <f t="shared" ref="E53:E58" si="17">+E30</f>
        <v>% Used in WSC of Kentucky</v>
      </c>
      <c r="F53" s="1597" t="s">
        <v>2071</v>
      </c>
      <c r="G53" s="1594" t="s">
        <v>2069</v>
      </c>
      <c r="I53" s="1596" t="s">
        <v>2082</v>
      </c>
      <c r="J53" s="1597" t="s">
        <v>2083</v>
      </c>
      <c r="K53" s="1503"/>
      <c r="L53" s="1503"/>
    </row>
    <row r="54" spans="1:13" s="1583" customFormat="1">
      <c r="A54" s="1605">
        <f>+A51+1</f>
        <v>36</v>
      </c>
      <c r="B54" s="1625">
        <f t="shared" ref="B54:C64" si="18">B31</f>
        <v>1137</v>
      </c>
      <c r="C54" s="1628" t="str">
        <f t="shared" si="18"/>
        <v>Maintenance 1</v>
      </c>
      <c r="D54" s="1584"/>
      <c r="E54" s="1618">
        <f t="shared" si="17"/>
        <v>1</v>
      </c>
      <c r="G54" s="1503">
        <f>O10</f>
        <v>7782.6925000000001</v>
      </c>
      <c r="I54" s="1503">
        <f>E54*G54</f>
        <v>7782.6925000000001</v>
      </c>
      <c r="K54" s="1503"/>
      <c r="L54" s="1503"/>
    </row>
    <row r="55" spans="1:13" s="1583" customFormat="1">
      <c r="A55" s="1605">
        <f>+A54+1</f>
        <v>37</v>
      </c>
      <c r="B55" s="1625">
        <f t="shared" si="18"/>
        <v>9942</v>
      </c>
      <c r="C55" s="1628" t="str">
        <f t="shared" si="18"/>
        <v>Maintenance 2</v>
      </c>
      <c r="D55" s="1584"/>
      <c r="E55" s="1618">
        <f t="shared" si="17"/>
        <v>1</v>
      </c>
      <c r="G55" s="1503">
        <f>O11</f>
        <v>0</v>
      </c>
      <c r="I55" s="1503">
        <f>E55*G55</f>
        <v>0</v>
      </c>
      <c r="K55" s="1503"/>
      <c r="L55" s="1503"/>
    </row>
    <row r="56" spans="1:13" s="1583" customFormat="1">
      <c r="A56" s="1605">
        <f t="shared" ref="A56:A69" si="19">+A55+1</f>
        <v>38</v>
      </c>
      <c r="B56" s="1625">
        <f t="shared" si="18"/>
        <v>804</v>
      </c>
      <c r="C56" s="1628" t="str">
        <f t="shared" si="18"/>
        <v>Maintenance 3</v>
      </c>
      <c r="D56" s="1584"/>
      <c r="E56" s="1618">
        <f t="shared" si="17"/>
        <v>1</v>
      </c>
      <c r="G56" s="1503">
        <f t="shared" ref="G56:G69" si="20">O12</f>
        <v>0</v>
      </c>
      <c r="I56" s="1503">
        <f t="shared" ref="I56:I69" si="21">E56*G56</f>
        <v>0</v>
      </c>
      <c r="K56" s="1503"/>
      <c r="L56" s="1503"/>
    </row>
    <row r="57" spans="1:13" s="1583" customFormat="1">
      <c r="A57" s="1605">
        <f t="shared" si="19"/>
        <v>39</v>
      </c>
      <c r="B57" s="1625">
        <f t="shared" si="18"/>
        <v>1129</v>
      </c>
      <c r="C57" s="1628" t="str">
        <f t="shared" si="18"/>
        <v>Maintenance 4</v>
      </c>
      <c r="D57" s="1584"/>
      <c r="E57" s="1618">
        <f t="shared" si="17"/>
        <v>1</v>
      </c>
      <c r="G57" s="1503">
        <f t="shared" si="20"/>
        <v>8097.27</v>
      </c>
      <c r="I57" s="1503">
        <f t="shared" si="21"/>
        <v>8097.27</v>
      </c>
      <c r="K57" s="1503"/>
      <c r="L57" s="1503"/>
    </row>
    <row r="58" spans="1:13" s="1583" customFormat="1">
      <c r="A58" s="1605">
        <f t="shared" si="19"/>
        <v>40</v>
      </c>
      <c r="B58" s="1625">
        <f t="shared" si="18"/>
        <v>873</v>
      </c>
      <c r="C58" s="1628" t="str">
        <f t="shared" si="18"/>
        <v>Maintenance 5</v>
      </c>
      <c r="D58" s="1584"/>
      <c r="E58" s="1618">
        <f t="shared" si="17"/>
        <v>1</v>
      </c>
      <c r="G58" s="1503">
        <f t="shared" si="20"/>
        <v>0</v>
      </c>
      <c r="I58" s="1503">
        <f t="shared" si="21"/>
        <v>0</v>
      </c>
      <c r="K58" s="1503"/>
      <c r="L58" s="1503"/>
    </row>
    <row r="59" spans="1:13" s="1583" customFormat="1">
      <c r="A59" s="1605">
        <f t="shared" si="19"/>
        <v>41</v>
      </c>
      <c r="B59" s="1625">
        <f t="shared" si="18"/>
        <v>875</v>
      </c>
      <c r="C59" s="1628" t="str">
        <f t="shared" si="18"/>
        <v>Maintenance 6</v>
      </c>
      <c r="D59" s="1584"/>
      <c r="E59" s="1618">
        <f t="shared" ref="E59:E69" si="22">+E36</f>
        <v>1</v>
      </c>
      <c r="G59" s="1503">
        <f t="shared" si="20"/>
        <v>0</v>
      </c>
      <c r="I59" s="1503">
        <f t="shared" si="21"/>
        <v>0</v>
      </c>
      <c r="K59" s="1503"/>
      <c r="L59" s="1503"/>
    </row>
    <row r="60" spans="1:13" s="1583" customFormat="1">
      <c r="A60" s="1605">
        <f t="shared" si="19"/>
        <v>42</v>
      </c>
      <c r="B60" s="1625">
        <f t="shared" si="18"/>
        <v>332</v>
      </c>
      <c r="C60" s="1628" t="str">
        <f t="shared" si="18"/>
        <v>Maintenance 7</v>
      </c>
      <c r="D60" s="1584"/>
      <c r="E60" s="1618">
        <f t="shared" si="22"/>
        <v>1</v>
      </c>
      <c r="G60" s="1503">
        <f t="shared" si="20"/>
        <v>0</v>
      </c>
      <c r="I60" s="1503">
        <f t="shared" si="21"/>
        <v>0</v>
      </c>
      <c r="K60" s="1503"/>
      <c r="L60" s="1503"/>
    </row>
    <row r="61" spans="1:13" s="1583" customFormat="1">
      <c r="A61" s="1605">
        <f t="shared" si="19"/>
        <v>43</v>
      </c>
      <c r="B61" s="1625">
        <f t="shared" si="18"/>
        <v>69</v>
      </c>
      <c r="C61" s="1628" t="str">
        <f t="shared" si="18"/>
        <v>Maintenance 8</v>
      </c>
      <c r="D61" s="1584"/>
      <c r="E61" s="1618">
        <f t="shared" si="22"/>
        <v>1</v>
      </c>
      <c r="G61" s="1503">
        <f t="shared" si="20"/>
        <v>0</v>
      </c>
      <c r="I61" s="1503">
        <f t="shared" si="21"/>
        <v>0</v>
      </c>
      <c r="K61" s="1503"/>
      <c r="L61" s="1503"/>
    </row>
    <row r="62" spans="1:13" s="1583" customFormat="1">
      <c r="A62" s="1605">
        <f t="shared" si="19"/>
        <v>44</v>
      </c>
      <c r="B62" s="1625">
        <f t="shared" si="18"/>
        <v>70</v>
      </c>
      <c r="C62" s="1628" t="str">
        <f t="shared" si="18"/>
        <v>Maintenance 9</v>
      </c>
      <c r="D62" s="1584"/>
      <c r="E62" s="1618">
        <f t="shared" si="22"/>
        <v>1</v>
      </c>
      <c r="G62" s="1503">
        <f t="shared" si="20"/>
        <v>0</v>
      </c>
      <c r="I62" s="1503">
        <f t="shared" si="21"/>
        <v>0</v>
      </c>
      <c r="K62" s="1503"/>
      <c r="L62" s="1503"/>
    </row>
    <row r="63" spans="1:13" s="1583" customFormat="1">
      <c r="A63" s="1605">
        <f t="shared" si="19"/>
        <v>45</v>
      </c>
      <c r="B63" s="1625">
        <f t="shared" si="18"/>
        <v>817</v>
      </c>
      <c r="C63" s="1628" t="str">
        <f t="shared" si="18"/>
        <v>Maintenance 10</v>
      </c>
      <c r="D63" s="1584"/>
      <c r="E63" s="1618">
        <f t="shared" si="22"/>
        <v>1</v>
      </c>
      <c r="G63" s="1503">
        <f t="shared" si="20"/>
        <v>0</v>
      </c>
      <c r="I63" s="1503">
        <f t="shared" si="21"/>
        <v>0</v>
      </c>
      <c r="K63" s="1503"/>
      <c r="L63" s="1503"/>
    </row>
    <row r="64" spans="1:13" s="1583" customFormat="1">
      <c r="A64" s="1605">
        <f t="shared" si="19"/>
        <v>46</v>
      </c>
      <c r="B64" s="1625">
        <f t="shared" si="18"/>
        <v>616</v>
      </c>
      <c r="C64" s="1628" t="str">
        <f t="shared" si="18"/>
        <v>Maintenance 11</v>
      </c>
      <c r="D64" s="1584"/>
      <c r="E64" s="1618">
        <f t="shared" si="22"/>
        <v>1</v>
      </c>
      <c r="G64" s="1503">
        <f t="shared" si="20"/>
        <v>0</v>
      </c>
      <c r="I64" s="1503">
        <f t="shared" si="21"/>
        <v>0</v>
      </c>
      <c r="K64" s="1503"/>
      <c r="L64" s="1503"/>
    </row>
    <row r="65" spans="1:12" s="1583" customFormat="1">
      <c r="A65" s="1605">
        <f t="shared" si="19"/>
        <v>47</v>
      </c>
      <c r="B65" s="1625">
        <f>B42</f>
        <v>701</v>
      </c>
      <c r="C65" s="1628" t="str">
        <f>C42</f>
        <v>Supervisory 1</v>
      </c>
      <c r="D65" s="1584"/>
      <c r="E65" s="1618">
        <f t="shared" si="22"/>
        <v>0.21677963406806305</v>
      </c>
      <c r="G65" s="1503">
        <f t="shared" si="20"/>
        <v>0</v>
      </c>
      <c r="I65" s="1503">
        <f t="shared" si="21"/>
        <v>0</v>
      </c>
      <c r="K65" s="1503"/>
      <c r="L65" s="1503"/>
    </row>
    <row r="66" spans="1:12" s="1583" customFormat="1">
      <c r="A66" s="1605">
        <f t="shared" si="19"/>
        <v>48</v>
      </c>
      <c r="B66" s="1625">
        <f t="shared" ref="B66:C66" si="23">B43</f>
        <v>818</v>
      </c>
      <c r="C66" s="1628" t="str">
        <f t="shared" si="23"/>
        <v>Supervisory 2</v>
      </c>
      <c r="D66" s="1584"/>
      <c r="E66" s="1618">
        <f t="shared" si="22"/>
        <v>6.9774677565532461E-2</v>
      </c>
      <c r="G66" s="1503">
        <f t="shared" si="20"/>
        <v>0</v>
      </c>
      <c r="I66" s="1503">
        <f t="shared" si="21"/>
        <v>0</v>
      </c>
      <c r="K66" s="1503"/>
      <c r="L66" s="1503"/>
    </row>
    <row r="67" spans="1:12" s="1583" customFormat="1">
      <c r="A67" s="1605">
        <f t="shared" si="19"/>
        <v>49</v>
      </c>
      <c r="B67" s="1625" t="str">
        <f t="shared" ref="B67:C67" si="24">B44</f>
        <v>N/A</v>
      </c>
      <c r="C67" s="1628" t="str">
        <f t="shared" si="24"/>
        <v>Supervisory 3</v>
      </c>
      <c r="D67" s="1584"/>
      <c r="E67" s="1618">
        <f t="shared" si="22"/>
        <v>6.9774677565532461E-2</v>
      </c>
      <c r="G67" s="1503">
        <f t="shared" si="20"/>
        <v>0</v>
      </c>
      <c r="I67" s="1503">
        <f t="shared" si="21"/>
        <v>0</v>
      </c>
      <c r="K67" s="1503"/>
      <c r="L67" s="1503"/>
    </row>
    <row r="68" spans="1:12" s="1583" customFormat="1">
      <c r="A68" s="1605">
        <f t="shared" si="19"/>
        <v>50</v>
      </c>
      <c r="B68" s="1625" t="str">
        <f t="shared" ref="B68:C68" si="25">B45</f>
        <v>N/A</v>
      </c>
      <c r="C68" s="1628" t="str">
        <f t="shared" si="25"/>
        <v>Supervisory 4</v>
      </c>
      <c r="D68" s="1584"/>
      <c r="E68" s="1618">
        <f t="shared" si="22"/>
        <v>6.9774677565532461E-2</v>
      </c>
      <c r="G68" s="1503">
        <f t="shared" si="20"/>
        <v>0</v>
      </c>
      <c r="I68" s="1503">
        <f t="shared" si="21"/>
        <v>0</v>
      </c>
      <c r="K68" s="1503"/>
      <c r="L68" s="1503"/>
    </row>
    <row r="69" spans="1:12" s="1583" customFormat="1">
      <c r="A69" s="1605">
        <f t="shared" si="19"/>
        <v>51</v>
      </c>
      <c r="B69" s="1625">
        <f t="shared" ref="B69:C69" si="26">B46</f>
        <v>640</v>
      </c>
      <c r="C69" s="1628" t="str">
        <f t="shared" si="26"/>
        <v>Supervisory 5</v>
      </c>
      <c r="D69" s="1584"/>
      <c r="E69" s="1618">
        <f t="shared" si="22"/>
        <v>6.9774677565532461E-2</v>
      </c>
      <c r="G69" s="1503">
        <f t="shared" si="20"/>
        <v>0</v>
      </c>
      <c r="I69" s="1503">
        <f t="shared" si="21"/>
        <v>0</v>
      </c>
      <c r="K69" s="1503"/>
      <c r="L69" s="1503"/>
    </row>
    <row r="70" spans="1:12" s="1583" customFormat="1">
      <c r="A70" s="1605"/>
      <c r="B70" s="1625"/>
      <c r="C70" s="1628"/>
      <c r="D70" s="1584"/>
      <c r="E70" s="1618"/>
      <c r="G70" s="1503"/>
      <c r="I70" s="1629"/>
      <c r="K70" s="1503"/>
      <c r="L70" s="1503"/>
    </row>
    <row r="71" spans="1:12" s="1583" customFormat="1" ht="13.5" thickBot="1">
      <c r="A71" s="1605">
        <f>+A69+1</f>
        <v>52</v>
      </c>
      <c r="B71" s="1583" t="s">
        <v>2084</v>
      </c>
      <c r="D71" s="1584"/>
      <c r="E71" s="1630"/>
      <c r="F71" s="1584"/>
      <c r="G71" s="1631"/>
      <c r="I71" s="1613">
        <f>SUM(I54:I65)</f>
        <v>15879.962500000001</v>
      </c>
      <c r="K71" s="1503"/>
      <c r="L71" s="1503"/>
    </row>
    <row r="72" spans="1:12" s="1583" customFormat="1" ht="13.5" thickTop="1">
      <c r="A72" s="1587"/>
      <c r="D72" s="1584"/>
      <c r="E72" s="1630"/>
      <c r="F72" s="1584"/>
      <c r="G72" s="1631"/>
      <c r="K72" s="1503"/>
      <c r="L72" s="1503"/>
    </row>
    <row r="73" spans="1:12" s="1583" customFormat="1">
      <c r="A73" s="1605">
        <f>+A71+1</f>
        <v>53</v>
      </c>
      <c r="B73" s="1626" t="s">
        <v>2079</v>
      </c>
      <c r="D73" s="1586" t="s">
        <v>2078</v>
      </c>
      <c r="E73" s="1630"/>
      <c r="F73" s="1584"/>
      <c r="G73" s="1631"/>
      <c r="I73" s="1611">
        <f>I71*1</f>
        <v>15879.962500000001</v>
      </c>
      <c r="K73" s="1503"/>
      <c r="L73" s="1503"/>
    </row>
    <row r="74" spans="1:12" s="1583" customFormat="1">
      <c r="A74" s="1605">
        <f>+A73+1</f>
        <v>54</v>
      </c>
      <c r="B74" s="1626" t="s">
        <v>2077</v>
      </c>
      <c r="D74" s="1586" t="s">
        <v>2080</v>
      </c>
      <c r="E74" s="1630"/>
      <c r="F74" s="1584"/>
      <c r="G74" s="1631"/>
      <c r="I74" s="1611">
        <f>I71*0</f>
        <v>0</v>
      </c>
      <c r="K74" s="1503"/>
      <c r="L74" s="1503"/>
    </row>
    <row r="75" spans="1:12" s="1583" customFormat="1">
      <c r="D75" s="1584"/>
      <c r="E75" s="1584"/>
      <c r="F75" s="1584"/>
      <c r="G75" s="1632"/>
      <c r="K75" s="1503"/>
      <c r="L75" s="1503"/>
    </row>
    <row r="76" spans="1:12" s="1583" customFormat="1">
      <c r="B76" s="1633" t="s">
        <v>1279</v>
      </c>
      <c r="C76" s="1583" t="s">
        <v>2130</v>
      </c>
      <c r="D76" s="1584"/>
      <c r="G76" s="1503"/>
      <c r="K76" s="1503"/>
      <c r="L76" s="1503"/>
    </row>
    <row r="77" spans="1:12" s="1583" customFormat="1">
      <c r="B77" s="1634" t="s">
        <v>1281</v>
      </c>
      <c r="C77" s="1583" t="s">
        <v>2085</v>
      </c>
      <c r="D77" s="1584"/>
      <c r="G77" s="1503"/>
      <c r="K77" s="1503"/>
      <c r="L77" s="1503"/>
    </row>
    <row r="78" spans="1:12" s="1583" customFormat="1">
      <c r="B78" s="1597" t="s">
        <v>1283</v>
      </c>
      <c r="C78" s="1583" t="s">
        <v>2086</v>
      </c>
      <c r="D78" s="1584"/>
      <c r="G78" s="1503"/>
      <c r="K78" s="1503"/>
      <c r="L78" s="1503"/>
    </row>
    <row r="79" spans="1:12" s="1583" customFormat="1">
      <c r="B79" s="1597" t="s">
        <v>1267</v>
      </c>
      <c r="C79" s="1583" t="s">
        <v>2087</v>
      </c>
      <c r="D79" s="1584"/>
      <c r="G79" s="1503"/>
      <c r="K79" s="1503"/>
      <c r="L79" s="1503"/>
    </row>
    <row r="80" spans="1:12" s="1583" customFormat="1">
      <c r="B80" s="1597" t="s">
        <v>1268</v>
      </c>
      <c r="C80" s="1583" t="s">
        <v>2088</v>
      </c>
      <c r="D80" s="1584"/>
      <c r="G80" s="1503"/>
      <c r="K80" s="1503"/>
      <c r="L80" s="1503"/>
    </row>
    <row r="81" spans="2:19" s="1583" customFormat="1">
      <c r="B81" s="1597" t="s">
        <v>1781</v>
      </c>
      <c r="C81" s="1583" t="s">
        <v>2089</v>
      </c>
      <c r="D81" s="1584"/>
      <c r="G81" s="1503"/>
      <c r="K81" s="1503"/>
      <c r="L81" s="1503"/>
    </row>
    <row r="82" spans="2:19" s="1583" customFormat="1">
      <c r="B82" s="1597" t="s">
        <v>2071</v>
      </c>
      <c r="C82" s="1583" t="s">
        <v>2090</v>
      </c>
      <c r="D82" s="1584"/>
      <c r="G82" s="1503"/>
      <c r="K82" s="1503"/>
      <c r="L82" s="1503"/>
    </row>
    <row r="83" spans="2:19" s="1583" customFormat="1">
      <c r="B83" s="1597" t="s">
        <v>2073</v>
      </c>
      <c r="C83" s="1584" t="s">
        <v>2091</v>
      </c>
      <c r="D83" s="1584"/>
      <c r="G83" s="1503"/>
      <c r="K83" s="1503"/>
      <c r="L83" s="1503"/>
    </row>
    <row r="84" spans="2:19" s="1583" customFormat="1">
      <c r="B84" s="1597" t="s">
        <v>2075</v>
      </c>
      <c r="C84" s="1584" t="s">
        <v>2089</v>
      </c>
      <c r="D84" s="1635"/>
      <c r="G84" s="1503"/>
      <c r="K84" s="1503"/>
      <c r="L84" s="1503"/>
    </row>
    <row r="85" spans="2:19" s="1583" customFormat="1">
      <c r="B85" s="1597" t="s">
        <v>2083</v>
      </c>
      <c r="C85" s="1584" t="s">
        <v>2091</v>
      </c>
      <c r="D85" s="1635"/>
      <c r="E85" s="1636"/>
      <c r="G85" s="1503"/>
      <c r="K85" s="1503"/>
      <c r="L85" s="1503"/>
      <c r="Q85" s="1582"/>
      <c r="R85" s="1582"/>
      <c r="S85" s="1582"/>
    </row>
    <row r="86" spans="2:19">
      <c r="B86" s="1637" t="s">
        <v>2078</v>
      </c>
      <c r="C86" s="1582" t="str">
        <f>"Water allocation based on customer ratio of "&amp;TEXT(1,"##.#0%")</f>
        <v>Water allocation based on customer ratio of 100.0%</v>
      </c>
    </row>
    <row r="87" spans="2:19">
      <c r="B87" s="1637" t="s">
        <v>2080</v>
      </c>
      <c r="C87" s="1582" t="str">
        <f>"Sewer allocation based on customer ratio of "&amp;TEXT(0,"##.#0%")</f>
        <v>Sewer allocation based on customer ratio of .0%</v>
      </c>
    </row>
    <row r="88" spans="2:19">
      <c r="B88" s="1637"/>
      <c r="C88" s="1693"/>
    </row>
    <row r="103" spans="1:1">
      <c r="A103" s="1583"/>
    </row>
    <row r="104" spans="1:1">
      <c r="A104" s="1583"/>
    </row>
    <row r="105" spans="1:1">
      <c r="A105" s="1583"/>
    </row>
    <row r="106" spans="1:1">
      <c r="A106" s="1583"/>
    </row>
    <row r="107" spans="1:1">
      <c r="A107" s="1583"/>
    </row>
    <row r="108" spans="1:1">
      <c r="A108" s="1583"/>
    </row>
    <row r="109" spans="1:1">
      <c r="A109" s="1583"/>
    </row>
    <row r="110" spans="1:1">
      <c r="A110" s="1583"/>
    </row>
    <row r="111" spans="1:1">
      <c r="A111" s="1583"/>
    </row>
    <row r="112" spans="1:1">
      <c r="A112" s="1583"/>
    </row>
    <row r="113" spans="1:1">
      <c r="A113" s="1583"/>
    </row>
    <row r="114" spans="1:1">
      <c r="A114" s="1583"/>
    </row>
    <row r="115" spans="1:1">
      <c r="A115" s="1583"/>
    </row>
    <row r="116" spans="1:1">
      <c r="A116" s="1583"/>
    </row>
  </sheetData>
  <mergeCells count="1">
    <mergeCell ref="A3:C3"/>
  </mergeCells>
  <pageMargins left="1.5" right="0.7" top="0.75" bottom="0.75" header="0.3" footer="0.3"/>
  <pageSetup scale="68" fitToHeight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B0F0"/>
    <pageSetUpPr fitToPage="1"/>
  </sheetPr>
  <dimension ref="A1:J66"/>
  <sheetViews>
    <sheetView view="pageBreakPreview" topLeftCell="A13" zoomScaleNormal="100" zoomScaleSheetLayoutView="100" workbookViewId="0">
      <selection activeCell="C22" sqref="C22"/>
    </sheetView>
  </sheetViews>
  <sheetFormatPr defaultRowHeight="12.75"/>
  <cols>
    <col min="1" max="1" width="3.5" style="1582" customWidth="1"/>
    <col min="2" max="2" width="8.5" style="1638" customWidth="1"/>
    <col min="3" max="3" width="27.875" style="1582" bestFit="1" customWidth="1"/>
    <col min="4" max="4" width="2.625" style="1582" bestFit="1" customWidth="1"/>
    <col min="5" max="5" width="12.25" style="1582" customWidth="1"/>
    <col min="6" max="6" width="3.625" style="1582" customWidth="1"/>
    <col min="7" max="7" width="12" style="1582" customWidth="1"/>
    <col min="8" max="8" width="2.625" style="1582" bestFit="1" customWidth="1"/>
    <col min="9" max="9" width="11.375" style="1582" customWidth="1"/>
    <col min="10" max="10" width="2.625" style="1582" bestFit="1" customWidth="1"/>
    <col min="11" max="16384" width="9" style="1582"/>
  </cols>
  <sheetData>
    <row r="1" spans="1:10" ht="13.5">
      <c r="A1" s="1699" t="str">
        <f>'wp-p2 Allocation of Vehicles'!A1</f>
        <v>WATER SERVICE CORPORATION OF KENTUCKY</v>
      </c>
      <c r="I1" s="1637" t="s">
        <v>2123</v>
      </c>
    </row>
    <row r="2" spans="1:10">
      <c r="A2" s="1601" t="s">
        <v>2092</v>
      </c>
    </row>
    <row r="3" spans="1:10">
      <c r="A3" s="1789" t="str">
        <f>+'wp-p2 Allocation of Vehicles'!A3:C3</f>
        <v>Test Year Ended December 31, 2012</v>
      </c>
      <c r="B3" s="1789"/>
      <c r="C3" s="1789"/>
    </row>
    <row r="5" spans="1:10" ht="12.75" customHeight="1">
      <c r="A5" s="1601"/>
      <c r="B5" s="1599"/>
      <c r="C5" s="1601"/>
      <c r="D5" s="1595"/>
      <c r="F5" s="1639"/>
      <c r="H5" s="1640"/>
      <c r="J5" s="1601"/>
    </row>
    <row r="6" spans="1:10" ht="12.75" customHeight="1">
      <c r="A6" s="1601"/>
      <c r="C6" s="1595"/>
      <c r="D6" s="1595"/>
      <c r="E6" s="1588"/>
      <c r="F6" s="1639"/>
      <c r="G6" s="1589"/>
      <c r="H6" s="1641"/>
      <c r="I6" s="1589"/>
      <c r="J6" s="1601"/>
    </row>
    <row r="7" spans="1:10" ht="51">
      <c r="A7" s="1642" t="s">
        <v>2064</v>
      </c>
      <c r="B7" s="1615" t="s">
        <v>182</v>
      </c>
      <c r="C7" s="1592" t="s">
        <v>830</v>
      </c>
      <c r="D7" s="1600"/>
      <c r="E7" s="1643" t="s">
        <v>2125</v>
      </c>
      <c r="F7" s="1586" t="s">
        <v>1279</v>
      </c>
      <c r="G7" s="1644" t="s">
        <v>2126</v>
      </c>
      <c r="H7" s="1586" t="s">
        <v>1281</v>
      </c>
      <c r="I7" s="1615" t="s">
        <v>2127</v>
      </c>
      <c r="J7" s="1587" t="s">
        <v>1283</v>
      </c>
    </row>
    <row r="8" spans="1:10">
      <c r="A8" s="1645"/>
      <c r="B8" s="1600"/>
      <c r="C8" s="1600"/>
      <c r="D8" s="1600"/>
      <c r="E8" s="1646" t="s">
        <v>909</v>
      </c>
      <c r="F8" s="1586"/>
      <c r="G8" s="1646" t="s">
        <v>852</v>
      </c>
      <c r="H8" s="1586"/>
      <c r="I8" s="1646" t="s">
        <v>853</v>
      </c>
      <c r="J8" s="1587"/>
    </row>
    <row r="9" spans="1:10">
      <c r="A9" s="1647"/>
      <c r="B9" s="1599"/>
      <c r="C9" s="1601" t="s">
        <v>2093</v>
      </c>
      <c r="D9" s="1595"/>
      <c r="E9" s="1648"/>
      <c r="F9" s="1639"/>
      <c r="G9" s="1649"/>
      <c r="H9" s="1640"/>
      <c r="I9" s="1601"/>
      <c r="J9" s="1601"/>
    </row>
    <row r="10" spans="1:10">
      <c r="A10" s="1645">
        <v>1</v>
      </c>
      <c r="B10" s="1650">
        <v>6215</v>
      </c>
      <c r="C10" s="1601" t="s">
        <v>2094</v>
      </c>
      <c r="D10" s="1595"/>
      <c r="E10" s="1649">
        <v>33780.58</v>
      </c>
      <c r="F10" s="1639"/>
      <c r="G10" s="1649">
        <v>15</v>
      </c>
      <c r="H10" s="1640"/>
      <c r="I10" s="1651">
        <f>E10/G10</f>
        <v>2252.0386666666668</v>
      </c>
      <c r="J10" s="1601"/>
    </row>
    <row r="11" spans="1:10">
      <c r="A11" s="1645">
        <v>2</v>
      </c>
      <c r="B11" s="1650">
        <v>6220</v>
      </c>
      <c r="C11" s="1601" t="s">
        <v>2095</v>
      </c>
      <c r="D11" s="1595"/>
      <c r="E11" s="1649">
        <v>12721.73</v>
      </c>
      <c r="F11" s="1639"/>
      <c r="G11" s="1649">
        <v>15</v>
      </c>
      <c r="H11" s="1640"/>
      <c r="I11" s="1651">
        <f>E11/G11</f>
        <v>848.1153333333333</v>
      </c>
      <c r="J11" s="1601"/>
    </row>
    <row r="12" spans="1:10">
      <c r="A12" s="1645">
        <v>3</v>
      </c>
      <c r="B12" s="1650">
        <v>6225</v>
      </c>
      <c r="C12" s="1601" t="s">
        <v>2096</v>
      </c>
      <c r="D12" s="1595"/>
      <c r="E12" s="1649">
        <v>0</v>
      </c>
      <c r="F12" s="1639"/>
      <c r="G12" s="1649">
        <v>15</v>
      </c>
      <c r="H12" s="1640"/>
      <c r="I12" s="1651">
        <f>E12/G12</f>
        <v>0</v>
      </c>
      <c r="J12" s="1601"/>
    </row>
    <row r="13" spans="1:10">
      <c r="A13" s="1645">
        <v>4</v>
      </c>
      <c r="B13" s="1650">
        <v>6230</v>
      </c>
      <c r="C13" s="1601" t="s">
        <v>2097</v>
      </c>
      <c r="D13" s="1595"/>
      <c r="E13" s="1652">
        <v>0</v>
      </c>
      <c r="F13" s="1639"/>
      <c r="G13" s="1649">
        <v>15</v>
      </c>
      <c r="H13" s="1640"/>
      <c r="I13" s="1653">
        <f>E13/G13</f>
        <v>0</v>
      </c>
      <c r="J13" s="1601"/>
    </row>
    <row r="14" spans="1:10">
      <c r="A14" s="1645">
        <v>5</v>
      </c>
      <c r="B14" s="1599"/>
      <c r="C14" s="1601" t="s">
        <v>2093</v>
      </c>
      <c r="D14" s="1595"/>
      <c r="E14" s="1649">
        <f>SUM(E10:E13)</f>
        <v>46502.31</v>
      </c>
      <c r="F14" s="1639"/>
      <c r="G14" s="1649">
        <v>15</v>
      </c>
      <c r="H14" s="1640"/>
      <c r="I14" s="1651">
        <f>E14/G14</f>
        <v>3100.154</v>
      </c>
      <c r="J14" s="1601"/>
    </row>
    <row r="15" spans="1:10">
      <c r="A15" s="1645"/>
      <c r="B15" s="1599"/>
      <c r="C15" s="1601"/>
      <c r="D15" s="1595"/>
      <c r="E15" s="1648"/>
      <c r="F15" s="1639"/>
      <c r="G15" s="1649"/>
      <c r="H15" s="1640"/>
      <c r="I15" s="1601"/>
      <c r="J15" s="1601"/>
    </row>
    <row r="16" spans="1:10">
      <c r="B16" s="1582"/>
      <c r="C16" s="1654"/>
      <c r="D16" s="1595"/>
      <c r="E16" s="1648"/>
      <c r="F16" s="1639"/>
      <c r="G16" s="1649"/>
      <c r="H16" s="1640"/>
      <c r="I16" s="883"/>
      <c r="J16" s="1601"/>
    </row>
    <row r="17" spans="1:10">
      <c r="A17" s="1655"/>
      <c r="B17" s="1582"/>
      <c r="C17" s="1654"/>
      <c r="D17" s="1595"/>
      <c r="E17" s="1648"/>
      <c r="F17" s="1639"/>
      <c r="G17" s="1649"/>
      <c r="H17" s="1640"/>
      <c r="I17" s="883"/>
      <c r="J17" s="1601"/>
    </row>
    <row r="18" spans="1:10">
      <c r="A18" s="1645">
        <v>6</v>
      </c>
      <c r="B18" s="1599"/>
      <c r="C18" s="1601"/>
      <c r="D18" s="1595"/>
      <c r="E18" s="1648"/>
      <c r="F18" s="1639"/>
      <c r="G18" s="1649"/>
      <c r="H18" s="1640"/>
      <c r="I18" s="1503">
        <f>I14+I16</f>
        <v>3100.154</v>
      </c>
      <c r="J18" s="1601"/>
    </row>
    <row r="19" spans="1:10">
      <c r="A19" s="1645"/>
      <c r="B19" s="1599"/>
      <c r="C19" s="1601"/>
      <c r="D19" s="1595"/>
      <c r="E19" s="1648"/>
      <c r="F19" s="1639"/>
      <c r="G19" s="1649"/>
      <c r="H19" s="1640"/>
      <c r="I19" s="1601"/>
      <c r="J19" s="1601"/>
    </row>
    <row r="20" spans="1:10" ht="12.75" customHeight="1">
      <c r="A20" s="1645"/>
      <c r="B20" s="1600"/>
      <c r="C20" s="1595"/>
      <c r="D20" s="1595"/>
      <c r="F20" s="1656"/>
      <c r="H20" s="1657"/>
      <c r="J20" s="1601"/>
    </row>
    <row r="21" spans="1:10" ht="48" customHeight="1">
      <c r="A21" s="1645"/>
      <c r="B21" s="1592" t="s">
        <v>508</v>
      </c>
      <c r="C21" s="1592" t="s">
        <v>2065</v>
      </c>
      <c r="D21" s="1587" t="s">
        <v>1281</v>
      </c>
      <c r="E21" s="1615" t="str">
        <f>+'wp-p2 Allocation of Vehicles'!E30</f>
        <v>% Used in WSC of Kentucky</v>
      </c>
      <c r="F21" s="1600" t="s">
        <v>1267</v>
      </c>
      <c r="G21" s="1615" t="str">
        <f>I7</f>
        <v>TYE 12/31/2012 Expense per Vehicle</v>
      </c>
      <c r="H21" s="1646"/>
      <c r="I21" s="1615" t="s">
        <v>2128</v>
      </c>
      <c r="J21" s="1601" t="s">
        <v>1268</v>
      </c>
    </row>
    <row r="22" spans="1:10">
      <c r="A22" s="1645">
        <f>+A18+1</f>
        <v>7</v>
      </c>
      <c r="B22" s="1658">
        <f>+'wp-p2 Allocation of Vehicles'!B10</f>
        <v>1137</v>
      </c>
      <c r="C22" s="1627" t="str">
        <f>+'wp-p2 Allocation of Vehicles'!C10</f>
        <v>Maintenance 1</v>
      </c>
      <c r="D22" s="1595"/>
      <c r="E22" s="1659">
        <f>+'wp-p2 Allocation of Vehicles'!E31</f>
        <v>1</v>
      </c>
      <c r="F22" s="1600"/>
      <c r="G22" s="1640">
        <f t="shared" ref="G22:G32" si="0">I$18</f>
        <v>3100.154</v>
      </c>
      <c r="H22" s="1646"/>
      <c r="I22" s="1660">
        <f>E22*G22</f>
        <v>3100.154</v>
      </c>
      <c r="J22" s="1601"/>
    </row>
    <row r="23" spans="1:10">
      <c r="A23" s="1645">
        <f>+A22+1</f>
        <v>8</v>
      </c>
      <c r="B23" s="1658">
        <f>+'wp-p2 Allocation of Vehicles'!B11</f>
        <v>9942</v>
      </c>
      <c r="C23" s="1627" t="str">
        <f>+'wp-p2 Allocation of Vehicles'!C11</f>
        <v>Maintenance 2</v>
      </c>
      <c r="D23" s="1595"/>
      <c r="E23" s="1659">
        <f>+'wp-p2 Allocation of Vehicles'!E32</f>
        <v>1</v>
      </c>
      <c r="F23" s="1600"/>
      <c r="G23" s="1640">
        <f t="shared" si="0"/>
        <v>3100.154</v>
      </c>
      <c r="H23" s="1646"/>
      <c r="I23" s="1660">
        <f>E23*G23</f>
        <v>3100.154</v>
      </c>
      <c r="J23" s="1601"/>
    </row>
    <row r="24" spans="1:10">
      <c r="A24" s="1645">
        <f>+A23+1</f>
        <v>9</v>
      </c>
      <c r="B24" s="1658">
        <f>+'wp-p2 Allocation of Vehicles'!B12</f>
        <v>804</v>
      </c>
      <c r="C24" s="1627" t="str">
        <f>+'wp-p2 Allocation of Vehicles'!C12</f>
        <v>Maintenance 3</v>
      </c>
      <c r="D24" s="1595"/>
      <c r="E24" s="1659">
        <f>+'wp-p2 Allocation of Vehicles'!E33</f>
        <v>1</v>
      </c>
      <c r="F24" s="1600"/>
      <c r="G24" s="1640">
        <f t="shared" si="0"/>
        <v>3100.154</v>
      </c>
      <c r="H24" s="1646"/>
      <c r="I24" s="1660">
        <f>E24*G24</f>
        <v>3100.154</v>
      </c>
      <c r="J24" s="1601"/>
    </row>
    <row r="25" spans="1:10">
      <c r="A25" s="1645">
        <f t="shared" ref="A25:A37" si="1">+A24+1</f>
        <v>10</v>
      </c>
      <c r="B25" s="1658">
        <f>+'wp-p2 Allocation of Vehicles'!B13</f>
        <v>1129</v>
      </c>
      <c r="C25" s="1627" t="str">
        <f>+'wp-p2 Allocation of Vehicles'!C13</f>
        <v>Maintenance 4</v>
      </c>
      <c r="D25" s="1595"/>
      <c r="E25" s="1659">
        <f>+'wp-p2 Allocation of Vehicles'!E34</f>
        <v>1</v>
      </c>
      <c r="F25" s="1600"/>
      <c r="G25" s="1640">
        <f t="shared" si="0"/>
        <v>3100.154</v>
      </c>
      <c r="H25" s="1646"/>
      <c r="I25" s="1660">
        <f>E25*G25</f>
        <v>3100.154</v>
      </c>
      <c r="J25" s="1601"/>
    </row>
    <row r="26" spans="1:10">
      <c r="A26" s="1645">
        <f t="shared" si="1"/>
        <v>11</v>
      </c>
      <c r="B26" s="1658">
        <f>+'wp-p2 Allocation of Vehicles'!B14</f>
        <v>873</v>
      </c>
      <c r="C26" s="1627" t="str">
        <f>+'wp-p2 Allocation of Vehicles'!C14</f>
        <v>Maintenance 5</v>
      </c>
      <c r="D26" s="1595"/>
      <c r="E26" s="1659">
        <f>+'wp-p2 Allocation of Vehicles'!E35</f>
        <v>1</v>
      </c>
      <c r="F26" s="1600"/>
      <c r="G26" s="1640">
        <f t="shared" si="0"/>
        <v>3100.154</v>
      </c>
      <c r="H26" s="1646"/>
      <c r="I26" s="1660">
        <f>E26*G26</f>
        <v>3100.154</v>
      </c>
      <c r="J26" s="1601"/>
    </row>
    <row r="27" spans="1:10">
      <c r="A27" s="1645">
        <f t="shared" si="1"/>
        <v>12</v>
      </c>
      <c r="B27" s="1658">
        <f>+'wp-p2 Allocation of Vehicles'!B15</f>
        <v>875</v>
      </c>
      <c r="C27" s="1627" t="str">
        <f>+'wp-p2 Allocation of Vehicles'!C15</f>
        <v>Maintenance 6</v>
      </c>
      <c r="D27" s="1595"/>
      <c r="E27" s="1659">
        <f>+'wp-p2 Allocation of Vehicles'!E36</f>
        <v>1</v>
      </c>
      <c r="F27" s="1600"/>
      <c r="G27" s="1640">
        <f t="shared" si="0"/>
        <v>3100.154</v>
      </c>
      <c r="H27" s="1646"/>
      <c r="I27" s="1660">
        <f t="shared" ref="I27:I32" si="2">E27*G27</f>
        <v>3100.154</v>
      </c>
      <c r="J27" s="1601"/>
    </row>
    <row r="28" spans="1:10">
      <c r="A28" s="1645">
        <f t="shared" si="1"/>
        <v>13</v>
      </c>
      <c r="B28" s="1658">
        <f>+'wp-p2 Allocation of Vehicles'!B16</f>
        <v>332</v>
      </c>
      <c r="C28" s="1627" t="str">
        <f>+'wp-p2 Allocation of Vehicles'!C16</f>
        <v>Maintenance 7</v>
      </c>
      <c r="D28" s="1595"/>
      <c r="E28" s="1659">
        <f>+'wp-p2 Allocation of Vehicles'!E37</f>
        <v>1</v>
      </c>
      <c r="F28" s="1600"/>
      <c r="G28" s="1640">
        <f t="shared" si="0"/>
        <v>3100.154</v>
      </c>
      <c r="H28" s="1646"/>
      <c r="I28" s="1660">
        <f t="shared" si="2"/>
        <v>3100.154</v>
      </c>
      <c r="J28" s="1601"/>
    </row>
    <row r="29" spans="1:10">
      <c r="A29" s="1645">
        <f t="shared" si="1"/>
        <v>14</v>
      </c>
      <c r="B29" s="1658">
        <f>+'wp-p2 Allocation of Vehicles'!B17</f>
        <v>69</v>
      </c>
      <c r="C29" s="1627" t="str">
        <f>+'wp-p2 Allocation of Vehicles'!C17</f>
        <v>Maintenance 8</v>
      </c>
      <c r="D29" s="1595"/>
      <c r="E29" s="1659">
        <f>+'wp-p2 Allocation of Vehicles'!E38</f>
        <v>1</v>
      </c>
      <c r="F29" s="1600"/>
      <c r="G29" s="1640">
        <f t="shared" si="0"/>
        <v>3100.154</v>
      </c>
      <c r="H29" s="1646"/>
      <c r="I29" s="1660">
        <f t="shared" si="2"/>
        <v>3100.154</v>
      </c>
      <c r="J29" s="1601"/>
    </row>
    <row r="30" spans="1:10">
      <c r="A30" s="1645">
        <f t="shared" si="1"/>
        <v>15</v>
      </c>
      <c r="B30" s="1658">
        <f>+'wp-p2 Allocation of Vehicles'!B18</f>
        <v>70</v>
      </c>
      <c r="C30" s="1627" t="str">
        <f>+'wp-p2 Allocation of Vehicles'!C18</f>
        <v>Maintenance 9</v>
      </c>
      <c r="D30" s="1595"/>
      <c r="E30" s="1659">
        <f>+'wp-p2 Allocation of Vehicles'!E39</f>
        <v>1</v>
      </c>
      <c r="F30" s="1600"/>
      <c r="G30" s="1640">
        <f t="shared" si="0"/>
        <v>3100.154</v>
      </c>
      <c r="H30" s="1646"/>
      <c r="I30" s="1660">
        <f t="shared" si="2"/>
        <v>3100.154</v>
      </c>
      <c r="J30" s="1601"/>
    </row>
    <row r="31" spans="1:10">
      <c r="A31" s="1645">
        <f t="shared" si="1"/>
        <v>16</v>
      </c>
      <c r="B31" s="1658">
        <f>+'wp-p2 Allocation of Vehicles'!B19</f>
        <v>817</v>
      </c>
      <c r="C31" s="1627" t="str">
        <f>+'wp-p2 Allocation of Vehicles'!C19</f>
        <v>Maintenance 10</v>
      </c>
      <c r="D31" s="1595"/>
      <c r="E31" s="1659">
        <f>+'wp-p2 Allocation of Vehicles'!E40</f>
        <v>1</v>
      </c>
      <c r="F31" s="1600"/>
      <c r="G31" s="1640">
        <f t="shared" si="0"/>
        <v>3100.154</v>
      </c>
      <c r="H31" s="1646"/>
      <c r="I31" s="1660">
        <f t="shared" si="2"/>
        <v>3100.154</v>
      </c>
      <c r="J31" s="1601"/>
    </row>
    <row r="32" spans="1:10">
      <c r="A32" s="1645">
        <f t="shared" si="1"/>
        <v>17</v>
      </c>
      <c r="B32" s="1658">
        <f>+'wp-p2 Allocation of Vehicles'!B20</f>
        <v>616</v>
      </c>
      <c r="C32" s="1627" t="str">
        <f>+'wp-p2 Allocation of Vehicles'!C20</f>
        <v>Maintenance 11</v>
      </c>
      <c r="D32" s="1595"/>
      <c r="E32" s="1659">
        <f>+'wp-p2 Allocation of Vehicles'!E41</f>
        <v>1</v>
      </c>
      <c r="F32" s="1600"/>
      <c r="G32" s="1640">
        <f t="shared" si="0"/>
        <v>3100.154</v>
      </c>
      <c r="H32" s="1646"/>
      <c r="I32" s="1660">
        <f t="shared" si="2"/>
        <v>3100.154</v>
      </c>
      <c r="J32" s="1601"/>
    </row>
    <row r="33" spans="1:10">
      <c r="A33" s="1645">
        <f t="shared" si="1"/>
        <v>18</v>
      </c>
      <c r="B33" s="1658">
        <f>+'wp-p2 Allocation of Vehicles'!B21</f>
        <v>701</v>
      </c>
      <c r="C33" s="1627" t="str">
        <f>+'wp-p2 Allocation of Vehicles'!C21</f>
        <v>Supervisory 1</v>
      </c>
      <c r="D33" s="1595"/>
      <c r="E33" s="1659">
        <f>+'wp-p2 Allocation of Vehicles'!E42</f>
        <v>0.21677963406806305</v>
      </c>
      <c r="F33" s="1600"/>
      <c r="G33" s="1640">
        <f t="shared" ref="G33:G37" si="3">I$18</f>
        <v>3100.154</v>
      </c>
      <c r="H33" s="1646"/>
      <c r="I33" s="1660">
        <f t="shared" ref="I33:I37" si="4">E33*G33</f>
        <v>672.05024967464192</v>
      </c>
      <c r="J33" s="1601"/>
    </row>
    <row r="34" spans="1:10" s="1693" customFormat="1">
      <c r="A34" s="1645">
        <f t="shared" si="1"/>
        <v>19</v>
      </c>
      <c r="B34" s="1658">
        <f>+'wp-p2 Allocation of Vehicles'!B22</f>
        <v>818</v>
      </c>
      <c r="C34" s="1627" t="str">
        <f>+'wp-p2 Allocation of Vehicles'!C22</f>
        <v>Supervisory 2</v>
      </c>
      <c r="D34" s="1595"/>
      <c r="E34" s="1659">
        <f>+'wp-p2 Allocation of Vehicles'!E43</f>
        <v>6.9774677565532461E-2</v>
      </c>
      <c r="F34" s="1600"/>
      <c r="G34" s="1640">
        <f t="shared" si="3"/>
        <v>3100.154</v>
      </c>
      <c r="H34" s="1646"/>
      <c r="I34" s="1660">
        <f t="shared" si="4"/>
        <v>216.31224575349572</v>
      </c>
      <c r="J34" s="1601"/>
    </row>
    <row r="35" spans="1:10" s="1693" customFormat="1">
      <c r="A35" s="1645">
        <f t="shared" si="1"/>
        <v>20</v>
      </c>
      <c r="B35" s="1658" t="str">
        <f>+'wp-p2 Allocation of Vehicles'!B23</f>
        <v>N/A</v>
      </c>
      <c r="C35" s="1627" t="str">
        <f>+'wp-p2 Allocation of Vehicles'!C23</f>
        <v>Supervisory 3</v>
      </c>
      <c r="D35" s="1595"/>
      <c r="E35" s="1659">
        <f>+'wp-p2 Allocation of Vehicles'!E44</f>
        <v>6.9774677565532461E-2</v>
      </c>
      <c r="F35" s="1600"/>
      <c r="G35" s="1640">
        <f t="shared" si="3"/>
        <v>3100.154</v>
      </c>
      <c r="H35" s="1646"/>
      <c r="I35" s="1660">
        <f t="shared" si="4"/>
        <v>216.31224575349572</v>
      </c>
      <c r="J35" s="1601"/>
    </row>
    <row r="36" spans="1:10" s="1693" customFormat="1">
      <c r="A36" s="1645">
        <f t="shared" si="1"/>
        <v>21</v>
      </c>
      <c r="B36" s="1658" t="str">
        <f>+'wp-p2 Allocation of Vehicles'!B24</f>
        <v>N/A</v>
      </c>
      <c r="C36" s="1627" t="str">
        <f>+'wp-p2 Allocation of Vehicles'!C24</f>
        <v>Supervisory 4</v>
      </c>
      <c r="D36" s="1595"/>
      <c r="E36" s="1659">
        <f>+'wp-p2 Allocation of Vehicles'!E45</f>
        <v>6.9774677565532461E-2</v>
      </c>
      <c r="F36" s="1600"/>
      <c r="G36" s="1640">
        <f t="shared" si="3"/>
        <v>3100.154</v>
      </c>
      <c r="H36" s="1646"/>
      <c r="I36" s="1660">
        <f t="shared" si="4"/>
        <v>216.31224575349572</v>
      </c>
      <c r="J36" s="1601"/>
    </row>
    <row r="37" spans="1:10" s="1693" customFormat="1">
      <c r="A37" s="1645">
        <f t="shared" si="1"/>
        <v>22</v>
      </c>
      <c r="B37" s="1658">
        <f>+'wp-p2 Allocation of Vehicles'!B25</f>
        <v>640</v>
      </c>
      <c r="C37" s="1627" t="str">
        <f>+'wp-p2 Allocation of Vehicles'!C25</f>
        <v>Supervisory 5</v>
      </c>
      <c r="D37" s="1595"/>
      <c r="E37" s="1659">
        <f>+'wp-p2 Allocation of Vehicles'!E46</f>
        <v>6.9774677565532461E-2</v>
      </c>
      <c r="F37" s="1600"/>
      <c r="G37" s="1640">
        <f t="shared" si="3"/>
        <v>3100.154</v>
      </c>
      <c r="H37" s="1646"/>
      <c r="I37" s="1660">
        <f t="shared" si="4"/>
        <v>216.31224575349572</v>
      </c>
      <c r="J37" s="1601"/>
    </row>
    <row r="38" spans="1:10">
      <c r="A38" s="1645"/>
      <c r="B38" s="1658"/>
      <c r="C38" s="1627"/>
      <c r="D38" s="1595"/>
      <c r="E38" s="1659"/>
      <c r="F38" s="1600"/>
      <c r="G38" s="1640"/>
      <c r="H38" s="1646"/>
      <c r="I38" s="1660"/>
      <c r="J38" s="1601"/>
    </row>
    <row r="39" spans="1:10" ht="13.5" thickBot="1">
      <c r="A39" s="1647"/>
      <c r="B39" s="1621"/>
      <c r="C39" s="1624"/>
      <c r="D39" s="1595"/>
      <c r="E39" s="1648"/>
      <c r="F39" s="1649" t="s">
        <v>2098</v>
      </c>
      <c r="G39" s="1649"/>
      <c r="H39" s="1640"/>
      <c r="I39" s="1661">
        <f>SUM(I22:I33)</f>
        <v>34773.744249674637</v>
      </c>
      <c r="J39" s="1601"/>
    </row>
    <row r="40" spans="1:10" ht="13.5" thickTop="1">
      <c r="A40" s="1647"/>
      <c r="B40" s="1621"/>
      <c r="C40" s="1601"/>
      <c r="D40" s="1595"/>
      <c r="E40" s="1648"/>
      <c r="F40" s="1639"/>
      <c r="G40" s="1601"/>
      <c r="H40" s="1640"/>
      <c r="I40" s="1640"/>
      <c r="J40" s="1601"/>
    </row>
    <row r="41" spans="1:10">
      <c r="A41" s="1647">
        <f>+A37+1</f>
        <v>23</v>
      </c>
      <c r="B41" s="1626" t="s">
        <v>2099</v>
      </c>
      <c r="C41" s="1601"/>
      <c r="D41" s="1595" t="s">
        <v>1781</v>
      </c>
      <c r="E41" s="1648"/>
      <c r="F41" s="1639"/>
      <c r="G41" s="1649"/>
      <c r="H41" s="1640"/>
      <c r="I41" s="1503">
        <f>I39*1</f>
        <v>34773.744249674637</v>
      </c>
      <c r="J41" s="1601"/>
    </row>
    <row r="42" spans="1:10">
      <c r="A42" s="1647">
        <f>+A41+1</f>
        <v>24</v>
      </c>
      <c r="B42" s="1626" t="s">
        <v>2100</v>
      </c>
      <c r="C42" s="1601"/>
      <c r="D42" s="1595" t="s">
        <v>2071</v>
      </c>
      <c r="E42" s="1648"/>
      <c r="F42" s="1639"/>
      <c r="G42" s="1649"/>
      <c r="H42" s="1640"/>
      <c r="I42" s="1503">
        <f>I39*0</f>
        <v>0</v>
      </c>
      <c r="J42" s="1601"/>
    </row>
    <row r="43" spans="1:10">
      <c r="A43" s="1601"/>
      <c r="B43" s="1599"/>
      <c r="C43" s="1601"/>
      <c r="D43" s="1595"/>
      <c r="E43" s="1648"/>
      <c r="F43" s="1639"/>
      <c r="G43" s="1649"/>
      <c r="H43" s="1640"/>
      <c r="I43" s="1601"/>
      <c r="J43" s="1601"/>
    </row>
    <row r="44" spans="1:10">
      <c r="A44" s="1601"/>
      <c r="B44" s="1587" t="s">
        <v>1279</v>
      </c>
      <c r="C44" s="1583" t="s">
        <v>2129</v>
      </c>
      <c r="D44" s="1595"/>
      <c r="E44" s="1648"/>
      <c r="F44" s="1639"/>
      <c r="G44" s="1649"/>
      <c r="H44" s="1640"/>
      <c r="I44" s="1601"/>
      <c r="J44" s="1601"/>
    </row>
    <row r="45" spans="1:10">
      <c r="A45" s="1601"/>
      <c r="B45" s="1587" t="s">
        <v>1281</v>
      </c>
      <c r="C45" s="1583" t="s">
        <v>2131</v>
      </c>
      <c r="D45" s="1595"/>
      <c r="E45" s="1648"/>
      <c r="F45" s="1639"/>
      <c r="G45" s="1649"/>
      <c r="H45" s="1640"/>
      <c r="I45" s="1601"/>
      <c r="J45" s="1601"/>
    </row>
    <row r="46" spans="1:10">
      <c r="A46" s="1601"/>
      <c r="B46" s="1587" t="s">
        <v>1283</v>
      </c>
      <c r="C46" s="1583" t="s">
        <v>2101</v>
      </c>
      <c r="D46" s="1595"/>
      <c r="E46" s="1648"/>
      <c r="F46" s="1639"/>
      <c r="G46" s="1649"/>
      <c r="H46" s="1640"/>
      <c r="I46" s="1601"/>
      <c r="J46" s="1601"/>
    </row>
    <row r="47" spans="1:10">
      <c r="A47" s="1601"/>
      <c r="B47" s="1587" t="s">
        <v>1267</v>
      </c>
      <c r="C47" s="1583" t="s">
        <v>2090</v>
      </c>
      <c r="D47" s="1595"/>
      <c r="E47" s="1648"/>
      <c r="F47" s="1639"/>
      <c r="G47" s="1649"/>
      <c r="H47" s="1640"/>
      <c r="I47" s="1601"/>
      <c r="J47" s="1601"/>
    </row>
    <row r="48" spans="1:10">
      <c r="A48" s="1601"/>
      <c r="B48" s="1599" t="s">
        <v>1268</v>
      </c>
      <c r="C48" s="1584" t="s">
        <v>2091</v>
      </c>
      <c r="D48" s="1595"/>
      <c r="E48" s="1648"/>
      <c r="F48" s="1639"/>
      <c r="G48" s="1649"/>
      <c r="H48" s="1640"/>
      <c r="I48" s="1601"/>
      <c r="J48" s="1601"/>
    </row>
    <row r="49" spans="1:10">
      <c r="A49" s="1601"/>
      <c r="B49" s="1599" t="s">
        <v>1781</v>
      </c>
      <c r="C49" s="1583" t="str">
        <f>"Water allocation based on customer ratio of "&amp;TEXT(1,"##.#0%")</f>
        <v>Water allocation based on customer ratio of 100.0%</v>
      </c>
      <c r="D49" s="1595"/>
      <c r="E49" s="1648"/>
      <c r="F49" s="1639"/>
      <c r="G49" s="1649"/>
      <c r="H49" s="1640"/>
      <c r="I49" s="1601"/>
      <c r="J49" s="1601"/>
    </row>
    <row r="50" spans="1:10">
      <c r="B50" s="1638" t="s">
        <v>2071</v>
      </c>
      <c r="C50" s="1583" t="str">
        <f>"Sewer allocation based on customer ratio of "&amp;TEXT(0,"##.#0%")</f>
        <v>Sewer allocation based on customer ratio of .0%</v>
      </c>
    </row>
    <row r="56" spans="1:10">
      <c r="B56" s="1582"/>
      <c r="C56" s="1662"/>
      <c r="F56" s="1663"/>
    </row>
    <row r="57" spans="1:10">
      <c r="B57" s="1582"/>
      <c r="C57" s="1662"/>
      <c r="F57" s="1663"/>
    </row>
    <row r="58" spans="1:10">
      <c r="B58" s="1582"/>
      <c r="C58" s="1621"/>
      <c r="E58" s="1664"/>
      <c r="F58" s="1663"/>
    </row>
    <row r="59" spans="1:10">
      <c r="B59" s="1582"/>
      <c r="C59" s="1662"/>
      <c r="F59" s="1663"/>
    </row>
    <row r="60" spans="1:10">
      <c r="B60" s="1582"/>
      <c r="C60" s="1621"/>
      <c r="F60" s="1663"/>
    </row>
    <row r="61" spans="1:10">
      <c r="B61" s="1582"/>
      <c r="C61" s="1619"/>
      <c r="F61" s="1663"/>
    </row>
    <row r="62" spans="1:10">
      <c r="B62" s="1582"/>
      <c r="C62" s="1621"/>
      <c r="F62" s="1663"/>
    </row>
    <row r="63" spans="1:10">
      <c r="B63" s="1582"/>
      <c r="C63" s="1621"/>
      <c r="E63" s="1494"/>
      <c r="F63" s="1663"/>
    </row>
    <row r="64" spans="1:10">
      <c r="B64" s="1582"/>
      <c r="C64" s="1662"/>
      <c r="F64" s="1663"/>
    </row>
    <row r="65" spans="2:6">
      <c r="B65" s="1582"/>
      <c r="C65" s="1621"/>
      <c r="E65" s="1664"/>
      <c r="F65" s="1663"/>
    </row>
    <row r="66" spans="2:6">
      <c r="B66" s="1582"/>
      <c r="E66" s="1494"/>
    </row>
  </sheetData>
  <mergeCells count="1">
    <mergeCell ref="A3:C3"/>
  </mergeCells>
  <pageMargins left="1.5" right="0.7" top="0.75" bottom="0.75" header="0.3" footer="0.3"/>
  <pageSetup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  <pageSetUpPr fitToPage="1"/>
  </sheetPr>
  <dimension ref="A1:N91"/>
  <sheetViews>
    <sheetView view="pageBreakPreview" topLeftCell="A41" zoomScaleNormal="100" zoomScaleSheetLayoutView="100" workbookViewId="0">
      <selection activeCell="I29" sqref="I29"/>
    </sheetView>
  </sheetViews>
  <sheetFormatPr defaultRowHeight="12.75"/>
  <cols>
    <col min="1" max="1" width="3.375" style="1499" customWidth="1"/>
    <col min="2" max="2" width="32.875" style="1494" bestFit="1" customWidth="1"/>
    <col min="3" max="3" width="10.625" style="1494" customWidth="1"/>
    <col min="4" max="4" width="5" style="1493" customWidth="1"/>
    <col min="5" max="5" width="7" style="1494" bestFit="1" customWidth="1"/>
    <col min="6" max="6" width="3.625" style="1493" customWidth="1"/>
    <col min="7" max="7" width="10.625" style="1493" customWidth="1"/>
    <col min="8" max="8" width="3.625" style="1493" customWidth="1"/>
    <col min="9" max="9" width="10.625" style="1494" customWidth="1"/>
    <col min="10" max="10" width="3.625" style="1493" customWidth="1"/>
    <col min="11" max="16384" width="9" style="1494"/>
  </cols>
  <sheetData>
    <row r="1" spans="1:14" ht="13.5">
      <c r="A1" s="1792" t="str">
        <f>+'wp-p4-alloc of WSC computers'!A1:B1</f>
        <v>WATER SERVICE CORPORATION OF KENTUCKY</v>
      </c>
      <c r="B1" s="1792"/>
      <c r="C1" s="1492"/>
      <c r="E1" s="1492"/>
      <c r="I1" s="1495" t="s">
        <v>2109</v>
      </c>
    </row>
    <row r="2" spans="1:14">
      <c r="A2" s="1793" t="s">
        <v>2021</v>
      </c>
      <c r="B2" s="1793"/>
    </row>
    <row r="3" spans="1:14">
      <c r="A3" s="1793" t="s">
        <v>2022</v>
      </c>
      <c r="B3" s="1793"/>
    </row>
    <row r="4" spans="1:14">
      <c r="A4" s="1794" t="str">
        <f>+'wp-p4-alloc of WSC computers'!A4:C4</f>
        <v>Test Year Ended December 31, 2012</v>
      </c>
      <c r="B4" s="1794"/>
      <c r="C4" s="1795"/>
    </row>
    <row r="5" spans="1:14">
      <c r="A5" s="1496"/>
    </row>
    <row r="6" spans="1:14">
      <c r="A6" s="1496"/>
    </row>
    <row r="7" spans="1:14" s="1497" customFormat="1" ht="57.75" customHeight="1">
      <c r="A7" s="1497" t="s">
        <v>2023</v>
      </c>
      <c r="B7" s="1497" t="s">
        <v>1732</v>
      </c>
      <c r="C7" s="1497" t="s">
        <v>2024</v>
      </c>
      <c r="D7" s="1493"/>
      <c r="E7" s="1497" t="s">
        <v>2025</v>
      </c>
      <c r="F7" s="1493"/>
      <c r="G7" s="1498" t="s">
        <v>2026</v>
      </c>
      <c r="H7" s="1493" t="s">
        <v>1283</v>
      </c>
      <c r="I7" s="1497" t="s">
        <v>2027</v>
      </c>
      <c r="J7" s="1493"/>
    </row>
    <row r="8" spans="1:14">
      <c r="C8" s="1496" t="s">
        <v>2028</v>
      </c>
      <c r="E8" s="1496" t="s">
        <v>2029</v>
      </c>
      <c r="G8" s="1496" t="s">
        <v>2030</v>
      </c>
      <c r="I8" s="1496" t="s">
        <v>1733</v>
      </c>
    </row>
    <row r="10" spans="1:14" s="1671" customFormat="1" ht="15" hidden="1">
      <c r="A10" s="1669"/>
      <c r="B10" s="1670" t="s">
        <v>2031</v>
      </c>
      <c r="D10" s="1672"/>
      <c r="F10" s="1672"/>
      <c r="G10" s="1672"/>
      <c r="H10" s="1672"/>
      <c r="J10" s="1672"/>
    </row>
    <row r="11" spans="1:14" s="1671" customFormat="1" hidden="1">
      <c r="A11" s="1673">
        <v>1</v>
      </c>
      <c r="B11" s="1674">
        <v>1987</v>
      </c>
      <c r="C11" s="1675">
        <v>0</v>
      </c>
      <c r="D11" s="1672"/>
      <c r="E11" s="1676" t="s">
        <v>2102</v>
      </c>
      <c r="F11" s="1672"/>
      <c r="G11" s="1677">
        <v>0</v>
      </c>
      <c r="H11" s="1672"/>
      <c r="I11" s="1675">
        <v>0</v>
      </c>
      <c r="J11" s="1672"/>
      <c r="K11" s="1666"/>
      <c r="L11" s="1666"/>
      <c r="M11" s="1666"/>
      <c r="N11" s="1678"/>
    </row>
    <row r="12" spans="1:14" s="1671" customFormat="1" hidden="1">
      <c r="A12" s="1673">
        <v>2</v>
      </c>
      <c r="B12" s="1674">
        <v>1988</v>
      </c>
      <c r="C12" s="1675">
        <v>0</v>
      </c>
      <c r="D12" s="1672"/>
      <c r="E12" s="1676" t="s">
        <v>2102</v>
      </c>
      <c r="F12" s="1672"/>
      <c r="G12" s="1677">
        <v>0</v>
      </c>
      <c r="H12" s="1672"/>
      <c r="I12" s="1675">
        <v>0</v>
      </c>
      <c r="J12" s="1672"/>
      <c r="K12" s="1666"/>
      <c r="L12" s="1666"/>
      <c r="M12" s="1666"/>
      <c r="N12" s="1678"/>
    </row>
    <row r="13" spans="1:14" s="1671" customFormat="1" hidden="1">
      <c r="A13" s="1673">
        <v>3</v>
      </c>
      <c r="B13" s="1674">
        <v>1989</v>
      </c>
      <c r="C13" s="1675">
        <v>0</v>
      </c>
      <c r="D13" s="1672"/>
      <c r="E13" s="1676" t="s">
        <v>2102</v>
      </c>
      <c r="F13" s="1672"/>
      <c r="G13" s="1677">
        <v>0</v>
      </c>
      <c r="H13" s="1672"/>
      <c r="I13" s="1675">
        <v>0</v>
      </c>
      <c r="J13" s="1672"/>
      <c r="K13" s="1666"/>
      <c r="L13" s="1666"/>
      <c r="M13" s="1666"/>
      <c r="N13" s="1678"/>
    </row>
    <row r="14" spans="1:14" s="1671" customFormat="1" hidden="1">
      <c r="A14" s="1673">
        <v>4</v>
      </c>
      <c r="B14" s="1674">
        <v>1992</v>
      </c>
      <c r="C14" s="1675">
        <v>0</v>
      </c>
      <c r="D14" s="1672"/>
      <c r="E14" s="1676" t="s">
        <v>2102</v>
      </c>
      <c r="F14" s="1672"/>
      <c r="G14" s="1677">
        <v>0</v>
      </c>
      <c r="H14" s="1672"/>
      <c r="I14" s="1675">
        <v>0</v>
      </c>
      <c r="J14" s="1672"/>
      <c r="K14" s="1666"/>
      <c r="L14" s="1666"/>
      <c r="M14" s="1666"/>
      <c r="N14" s="1666"/>
    </row>
    <row r="15" spans="1:14" s="1671" customFormat="1" hidden="1">
      <c r="A15" s="1673">
        <v>5</v>
      </c>
      <c r="B15" s="1674">
        <v>1994</v>
      </c>
      <c r="C15" s="1675">
        <v>0</v>
      </c>
      <c r="D15" s="1672"/>
      <c r="E15" s="1676" t="s">
        <v>2102</v>
      </c>
      <c r="F15" s="1672"/>
      <c r="G15" s="1677">
        <v>0</v>
      </c>
      <c r="H15" s="1672"/>
      <c r="I15" s="1675">
        <v>0</v>
      </c>
      <c r="J15" s="1672"/>
      <c r="K15" s="1666"/>
      <c r="L15" s="1666"/>
      <c r="M15" s="1666"/>
      <c r="N15" s="1678"/>
    </row>
    <row r="16" spans="1:14" s="1671" customFormat="1" hidden="1">
      <c r="A16" s="1673">
        <v>6</v>
      </c>
      <c r="B16" s="1674">
        <v>1998</v>
      </c>
      <c r="C16" s="1675">
        <v>0</v>
      </c>
      <c r="D16" s="1672"/>
      <c r="E16" s="1676" t="s">
        <v>2102</v>
      </c>
      <c r="F16" s="1672"/>
      <c r="G16" s="1677">
        <v>0</v>
      </c>
      <c r="H16" s="1672"/>
      <c r="I16" s="1675">
        <v>0</v>
      </c>
      <c r="J16" s="1672"/>
      <c r="K16" s="1666"/>
      <c r="L16" s="1666"/>
      <c r="M16" s="1666"/>
      <c r="N16" s="1678"/>
    </row>
    <row r="17" spans="1:14" s="1681" customFormat="1" ht="5.0999999999999996" hidden="1" customHeight="1">
      <c r="A17" s="1679"/>
      <c r="B17" s="1680"/>
      <c r="C17" s="1681">
        <v>0</v>
      </c>
      <c r="D17" s="1682"/>
      <c r="E17" s="1683">
        <f>2009.5-B17</f>
        <v>2009.5</v>
      </c>
      <c r="F17" s="1682"/>
      <c r="G17" s="1682">
        <v>0</v>
      </c>
      <c r="H17" s="1682"/>
      <c r="I17" s="1681">
        <v>0</v>
      </c>
      <c r="J17" s="1682"/>
      <c r="K17" s="1666"/>
      <c r="L17" s="1666"/>
      <c r="M17" s="1666"/>
      <c r="N17" s="1678"/>
    </row>
    <row r="18" spans="1:14" s="1671" customFormat="1" hidden="1">
      <c r="A18" s="1673">
        <v>7</v>
      </c>
      <c r="B18" s="1671" t="s">
        <v>2032</v>
      </c>
      <c r="C18" s="1675">
        <f>SUM(C11:C17)</f>
        <v>0</v>
      </c>
      <c r="D18" s="1672"/>
      <c r="E18" s="1684"/>
      <c r="F18" s="1672"/>
      <c r="G18" s="1675">
        <f>SUM(G11:G17)</f>
        <v>0</v>
      </c>
      <c r="H18" s="1672"/>
      <c r="I18" s="1675">
        <f>SUM(I11:I17)</f>
        <v>0</v>
      </c>
      <c r="J18" s="1672"/>
      <c r="K18" s="1666"/>
      <c r="L18" s="1666"/>
      <c r="M18" s="1666"/>
      <c r="N18" s="1685"/>
    </row>
    <row r="19" spans="1:14" s="1671" customFormat="1" hidden="1">
      <c r="A19" s="1673">
        <v>8</v>
      </c>
      <c r="B19" s="1671" t="s">
        <v>2104</v>
      </c>
      <c r="C19" s="1686">
        <v>1</v>
      </c>
      <c r="D19" s="1672"/>
      <c r="E19" s="1684"/>
      <c r="F19" s="1672"/>
      <c r="G19" s="1686">
        <f>C19</f>
        <v>1</v>
      </c>
      <c r="H19" s="1672"/>
      <c r="I19" s="1686">
        <f>G19</f>
        <v>1</v>
      </c>
      <c r="J19" s="1672"/>
    </row>
    <row r="20" spans="1:14" s="1681" customFormat="1" ht="5.0999999999999996" hidden="1" customHeight="1">
      <c r="A20" s="1679"/>
      <c r="B20" s="1680"/>
      <c r="C20" s="1681">
        <v>0</v>
      </c>
      <c r="D20" s="1682"/>
      <c r="E20" s="1682"/>
      <c r="F20" s="1682"/>
      <c r="G20" s="1681">
        <v>0</v>
      </c>
      <c r="H20" s="1682"/>
      <c r="I20" s="1681">
        <v>0</v>
      </c>
      <c r="J20" s="1682"/>
    </row>
    <row r="21" spans="1:14" s="1671" customFormat="1" ht="15" hidden="1">
      <c r="A21" s="1673">
        <v>9</v>
      </c>
      <c r="B21" s="1671" t="str">
        <f>" State Mainframe computers Allocation"</f>
        <v xml:space="preserve"> State Mainframe computers Allocation</v>
      </c>
      <c r="C21" s="1675">
        <f>+C18*C19</f>
        <v>0</v>
      </c>
      <c r="D21" s="1687"/>
      <c r="E21" s="1688"/>
      <c r="F21" s="1687"/>
      <c r="G21" s="1675">
        <f>+G18*G19</f>
        <v>0</v>
      </c>
      <c r="H21" s="1687"/>
      <c r="I21" s="1675">
        <f>+I18*I19</f>
        <v>0</v>
      </c>
      <c r="J21" s="1672"/>
    </row>
    <row r="22" spans="1:14" s="1671" customFormat="1" ht="15" hidden="1">
      <c r="A22" s="1673"/>
      <c r="C22" s="1689"/>
      <c r="D22" s="1672"/>
      <c r="E22" s="1684"/>
      <c r="F22" s="1672"/>
      <c r="G22" s="1672"/>
      <c r="H22" s="1672"/>
      <c r="I22" s="1689"/>
      <c r="J22" s="1672"/>
    </row>
    <row r="23" spans="1:14" s="1671" customFormat="1" hidden="1">
      <c r="A23" s="1673">
        <v>10</v>
      </c>
      <c r="B23" s="1671" t="s">
        <v>2033</v>
      </c>
      <c r="C23" s="1675">
        <v>0</v>
      </c>
      <c r="D23" s="1669" t="s">
        <v>1279</v>
      </c>
      <c r="E23" s="1684"/>
      <c r="F23" s="1672"/>
      <c r="G23" s="1677">
        <v>0</v>
      </c>
      <c r="H23" s="1672"/>
      <c r="I23" s="1675">
        <v>0</v>
      </c>
      <c r="J23" s="1669" t="s">
        <v>1279</v>
      </c>
    </row>
    <row r="24" spans="1:14" s="1671" customFormat="1" hidden="1">
      <c r="A24" s="1673">
        <v>11</v>
      </c>
      <c r="B24" s="1671" t="s">
        <v>2034</v>
      </c>
      <c r="C24" s="1675">
        <v>0</v>
      </c>
      <c r="D24" s="1669" t="s">
        <v>1281</v>
      </c>
      <c r="E24" s="1684"/>
      <c r="F24" s="1672"/>
      <c r="G24" s="1677">
        <v>0</v>
      </c>
      <c r="H24" s="1672"/>
      <c r="I24" s="1675">
        <v>0</v>
      </c>
      <c r="J24" s="1669" t="s">
        <v>1281</v>
      </c>
    </row>
    <row r="25" spans="1:14" hidden="1">
      <c r="A25" s="1501"/>
      <c r="C25" s="1503"/>
      <c r="E25" s="1496"/>
      <c r="I25" s="1503"/>
    </row>
    <row r="26" spans="1:14" ht="15">
      <c r="A26" s="1501"/>
      <c r="B26" s="1500" t="s">
        <v>2035</v>
      </c>
      <c r="C26" s="1503"/>
      <c r="E26" s="1496"/>
      <c r="I26" s="1503"/>
    </row>
    <row r="27" spans="1:14">
      <c r="A27" s="1501">
        <v>1</v>
      </c>
      <c r="B27" s="1494" t="s">
        <v>2103</v>
      </c>
      <c r="C27" s="1503">
        <v>3671.16</v>
      </c>
      <c r="E27" s="1496"/>
      <c r="G27" s="1511">
        <v>0</v>
      </c>
      <c r="I27" s="1503">
        <f>-C27</f>
        <v>-3671.16</v>
      </c>
      <c r="K27" s="1504"/>
      <c r="L27" s="1504"/>
      <c r="M27" s="1504"/>
      <c r="N27" s="1505"/>
    </row>
    <row r="28" spans="1:14">
      <c r="A28" s="1501">
        <f>+A27+1</f>
        <v>2</v>
      </c>
      <c r="B28" s="1502">
        <v>2003</v>
      </c>
      <c r="C28" s="1503">
        <v>3592.2</v>
      </c>
      <c r="E28" s="1512">
        <v>10</v>
      </c>
      <c r="G28" s="1511">
        <v>0</v>
      </c>
      <c r="I28" s="1503">
        <f>-IF(C28/$D$89*E28&gt;=C28,C28,C28/$D$89*E28)</f>
        <v>-3592.2</v>
      </c>
      <c r="K28" s="1504"/>
      <c r="L28" s="1504"/>
      <c r="M28" s="1504"/>
      <c r="N28" s="1505"/>
    </row>
    <row r="29" spans="1:14">
      <c r="A29" s="1501">
        <f t="shared" ref="A29:A37" si="0">+A28+1</f>
        <v>3</v>
      </c>
      <c r="B29" s="1502">
        <v>2004</v>
      </c>
      <c r="C29" s="1503">
        <v>2282.0400000000004</v>
      </c>
      <c r="E29" s="1512">
        <v>9</v>
      </c>
      <c r="G29" s="1511">
        <v>0</v>
      </c>
      <c r="I29" s="1503">
        <f t="shared" ref="I29:I37" si="1">-IF(C29/$D$89*E29&gt;=C29,C29,C29/$D$89*E29)</f>
        <v>-2282.0400000000004</v>
      </c>
      <c r="K29" s="1504"/>
      <c r="L29" s="1504"/>
      <c r="M29" s="1504"/>
      <c r="N29" s="1505"/>
    </row>
    <row r="30" spans="1:14">
      <c r="A30" s="1501">
        <f t="shared" si="0"/>
        <v>4</v>
      </c>
      <c r="B30" s="1502">
        <v>2005</v>
      </c>
      <c r="C30" s="1503">
        <v>4032.1000000000004</v>
      </c>
      <c r="E30" s="1512">
        <v>8</v>
      </c>
      <c r="G30" s="1511">
        <v>0</v>
      </c>
      <c r="I30" s="1503">
        <f t="shared" si="1"/>
        <v>-4032.1000000000004</v>
      </c>
      <c r="K30" s="1504"/>
      <c r="L30" s="1504"/>
      <c r="M30" s="1504"/>
      <c r="N30" s="1504"/>
    </row>
    <row r="31" spans="1:14">
      <c r="A31" s="1501">
        <f t="shared" si="0"/>
        <v>5</v>
      </c>
      <c r="B31" s="1502">
        <v>2006</v>
      </c>
      <c r="C31" s="1503">
        <v>1729.5400000000004</v>
      </c>
      <c r="E31" s="1512">
        <v>7</v>
      </c>
      <c r="G31" s="1511">
        <v>0</v>
      </c>
      <c r="I31" s="1503">
        <f t="shared" si="1"/>
        <v>-1729.5400000000004</v>
      </c>
      <c r="K31" s="1504"/>
      <c r="L31" s="1504"/>
      <c r="M31" s="1504"/>
      <c r="N31" s="1505"/>
    </row>
    <row r="32" spans="1:14">
      <c r="A32" s="1501">
        <f t="shared" si="0"/>
        <v>6</v>
      </c>
      <c r="B32" s="1502">
        <v>2007</v>
      </c>
      <c r="C32" s="1503">
        <v>27120.61</v>
      </c>
      <c r="E32" s="1512">
        <v>6</v>
      </c>
      <c r="G32" s="1511">
        <v>0</v>
      </c>
      <c r="I32" s="1503">
        <f t="shared" si="1"/>
        <v>-27120.61</v>
      </c>
      <c r="K32" s="1504"/>
      <c r="L32" s="1504"/>
      <c r="M32" s="1504"/>
      <c r="N32" s="1505"/>
    </row>
    <row r="33" spans="1:14">
      <c r="A33" s="1501">
        <f t="shared" si="0"/>
        <v>7</v>
      </c>
      <c r="B33" s="1502">
        <v>2008</v>
      </c>
      <c r="C33" s="1503">
        <v>151.47</v>
      </c>
      <c r="E33" s="1512">
        <v>5</v>
      </c>
      <c r="G33" s="1511">
        <v>0</v>
      </c>
      <c r="I33" s="1503">
        <f t="shared" si="1"/>
        <v>-151.47</v>
      </c>
      <c r="K33" s="1504"/>
      <c r="L33" s="1504"/>
      <c r="M33" s="1504"/>
      <c r="N33" s="1505"/>
    </row>
    <row r="34" spans="1:14">
      <c r="A34" s="1501">
        <f t="shared" si="0"/>
        <v>8</v>
      </c>
      <c r="B34" s="1502">
        <v>2009</v>
      </c>
      <c r="C34" s="1503">
        <v>0</v>
      </c>
      <c r="E34" s="1512">
        <v>4</v>
      </c>
      <c r="G34" s="1511">
        <v>0</v>
      </c>
      <c r="I34" s="1503">
        <f t="shared" si="1"/>
        <v>0</v>
      </c>
      <c r="K34" s="1504"/>
      <c r="L34" s="1504"/>
      <c r="M34" s="1504"/>
      <c r="N34" s="1513"/>
    </row>
    <row r="35" spans="1:14">
      <c r="A35" s="1501">
        <f t="shared" si="0"/>
        <v>9</v>
      </c>
      <c r="B35" s="1502">
        <v>2010</v>
      </c>
      <c r="C35" s="1503">
        <v>0</v>
      </c>
      <c r="E35" s="1512">
        <v>3</v>
      </c>
      <c r="G35" s="1544">
        <f>+C35/$D$89</f>
        <v>0</v>
      </c>
      <c r="I35" s="1503">
        <f t="shared" si="1"/>
        <v>0</v>
      </c>
    </row>
    <row r="36" spans="1:14">
      <c r="A36" s="1501">
        <f t="shared" si="0"/>
        <v>10</v>
      </c>
      <c r="B36" s="1502">
        <v>2011</v>
      </c>
      <c r="C36" s="1503">
        <v>0</v>
      </c>
      <c r="E36" s="1512">
        <v>2</v>
      </c>
      <c r="G36" s="1511">
        <v>0</v>
      </c>
      <c r="I36" s="1503">
        <f t="shared" si="1"/>
        <v>0</v>
      </c>
    </row>
    <row r="37" spans="1:14">
      <c r="A37" s="1501">
        <f t="shared" si="0"/>
        <v>11</v>
      </c>
      <c r="B37" s="1502">
        <v>2012</v>
      </c>
      <c r="C37" s="1503">
        <v>0</v>
      </c>
      <c r="E37" s="1512">
        <v>1</v>
      </c>
      <c r="G37" s="1511">
        <v>0</v>
      </c>
      <c r="I37" s="1503">
        <f t="shared" si="1"/>
        <v>0</v>
      </c>
    </row>
    <row r="38" spans="1:14" s="907" customFormat="1" ht="5.0999999999999996" customHeight="1">
      <c r="A38" s="1506"/>
      <c r="B38" s="1507"/>
      <c r="C38" s="907">
        <v>0</v>
      </c>
      <c r="D38" s="1508"/>
      <c r="E38" s="1508"/>
      <c r="F38" s="1508"/>
      <c r="G38" s="907">
        <v>0</v>
      </c>
      <c r="H38" s="1508"/>
      <c r="I38" s="907">
        <v>0</v>
      </c>
      <c r="J38" s="1508"/>
    </row>
    <row r="39" spans="1:14">
      <c r="A39" s="1501">
        <f>+A37+1</f>
        <v>12</v>
      </c>
      <c r="B39" s="1494" t="s">
        <v>2036</v>
      </c>
      <c r="C39" s="1503">
        <f>SUM(C27:C38)</f>
        <v>42579.12</v>
      </c>
      <c r="E39" s="1665"/>
      <c r="G39" s="1503">
        <f>SUM(G27:G38)</f>
        <v>0</v>
      </c>
      <c r="I39" s="1503">
        <f>SUM(I27:I38)</f>
        <v>-42579.12</v>
      </c>
    </row>
    <row r="40" spans="1:14">
      <c r="A40" s="1501">
        <f t="shared" ref="A40" si="2">+A39+1</f>
        <v>13</v>
      </c>
      <c r="B40" s="1494" t="str">
        <f>B19</f>
        <v>Percentage allocated to WSC of Kentucky</v>
      </c>
      <c r="C40" s="1510">
        <f>+C19</f>
        <v>1</v>
      </c>
      <c r="E40" s="1496"/>
      <c r="G40" s="1510">
        <f>C40</f>
        <v>1</v>
      </c>
      <c r="I40" s="1510">
        <f>C40</f>
        <v>1</v>
      </c>
    </row>
    <row r="41" spans="1:14" s="907" customFormat="1" ht="5.0999999999999996" customHeight="1">
      <c r="A41" s="1506"/>
      <c r="B41" s="1507"/>
      <c r="C41" s="907">
        <v>0</v>
      </c>
      <c r="D41" s="1508"/>
      <c r="E41" s="1508"/>
      <c r="F41" s="1508"/>
      <c r="G41" s="907">
        <v>0</v>
      </c>
      <c r="H41" s="1508"/>
      <c r="I41" s="907">
        <v>0</v>
      </c>
      <c r="J41" s="1508"/>
    </row>
    <row r="42" spans="1:14">
      <c r="A42" s="1501">
        <f>+A40+1</f>
        <v>14</v>
      </c>
      <c r="B42" s="1494" t="s">
        <v>2037</v>
      </c>
      <c r="C42" s="1503">
        <f>+C39*C40</f>
        <v>42579.12</v>
      </c>
      <c r="E42" s="1496"/>
      <c r="G42" s="1503">
        <f>+G39*G40</f>
        <v>0</v>
      </c>
      <c r="I42" s="1503">
        <f>+I39*I40</f>
        <v>-42579.12</v>
      </c>
    </row>
    <row r="43" spans="1:14">
      <c r="A43" s="1501"/>
      <c r="C43" s="1503"/>
      <c r="E43" s="1496"/>
      <c r="I43" s="1503"/>
    </row>
    <row r="44" spans="1:14">
      <c r="A44" s="1501">
        <f>+A42+1</f>
        <v>15</v>
      </c>
      <c r="B44" s="1494" t="s">
        <v>2038</v>
      </c>
      <c r="C44" s="1503">
        <f>+C42*1</f>
        <v>42579.12</v>
      </c>
      <c r="D44" s="1499" t="s">
        <v>1279</v>
      </c>
      <c r="E44" s="1496"/>
      <c r="G44" s="1503">
        <f>+G42*1</f>
        <v>0</v>
      </c>
      <c r="H44" s="1499" t="s">
        <v>1279</v>
      </c>
      <c r="I44" s="1503">
        <f>+I42*1</f>
        <v>-42579.12</v>
      </c>
      <c r="J44" s="1499" t="s">
        <v>1279</v>
      </c>
    </row>
    <row r="45" spans="1:14">
      <c r="A45" s="1501">
        <f t="shared" ref="A45" si="3">+A44+1</f>
        <v>16</v>
      </c>
      <c r="B45" s="1494" t="s">
        <v>2039</v>
      </c>
      <c r="C45" s="1503">
        <v>0</v>
      </c>
      <c r="D45" s="1499" t="s">
        <v>1281</v>
      </c>
      <c r="E45" s="1496"/>
      <c r="G45" s="1503">
        <v>0</v>
      </c>
      <c r="H45" s="1499" t="s">
        <v>1281</v>
      </c>
      <c r="I45" s="1503">
        <v>0</v>
      </c>
      <c r="J45" s="1499" t="s">
        <v>1281</v>
      </c>
      <c r="L45" s="1514"/>
    </row>
    <row r="46" spans="1:14">
      <c r="A46" s="1501"/>
      <c r="C46" s="1503"/>
      <c r="E46" s="1496"/>
      <c r="I46" s="1503"/>
    </row>
    <row r="47" spans="1:14">
      <c r="A47" s="1501"/>
      <c r="C47" s="1503"/>
      <c r="E47" s="1496"/>
      <c r="I47" s="1503"/>
    </row>
    <row r="48" spans="1:14">
      <c r="A48" s="1501"/>
      <c r="B48" s="1515" t="s">
        <v>2040</v>
      </c>
      <c r="C48" s="1503"/>
      <c r="E48" s="1496"/>
      <c r="I48" s="1503"/>
    </row>
    <row r="49" spans="1:14">
      <c r="A49" s="1501">
        <f>+A45+1</f>
        <v>17</v>
      </c>
      <c r="B49" s="1518">
        <v>2002</v>
      </c>
      <c r="C49" s="1503">
        <v>2108.9899999999998</v>
      </c>
      <c r="D49" s="1494"/>
      <c r="E49" s="1519">
        <v>11</v>
      </c>
      <c r="G49" s="1544">
        <v>0</v>
      </c>
      <c r="I49" s="1503">
        <f>-IF(C49/$D$91*E49&gt;=C49,C49,C49/$D$91*E49)</f>
        <v>-2108.9899999999998</v>
      </c>
      <c r="J49" s="1517"/>
      <c r="K49" s="1504"/>
      <c r="L49" s="1504"/>
      <c r="M49" s="1504"/>
      <c r="N49" s="1505"/>
    </row>
    <row r="50" spans="1:14">
      <c r="A50" s="1501">
        <f t="shared" ref="A50:A59" si="4">+A49+1</f>
        <v>18</v>
      </c>
      <c r="B50" s="1518">
        <v>2003</v>
      </c>
      <c r="C50" s="1503">
        <v>0</v>
      </c>
      <c r="D50" s="1494"/>
      <c r="E50" s="1519">
        <v>10</v>
      </c>
      <c r="G50" s="1511">
        <v>0</v>
      </c>
      <c r="I50" s="1503">
        <f t="shared" ref="I50:I59" si="5">-IF(C50/$D$91*E50&gt;=C50,C50,C50/$D$91*E50)</f>
        <v>0</v>
      </c>
      <c r="J50" s="1517"/>
      <c r="K50" s="1504"/>
      <c r="L50" s="1504"/>
      <c r="M50" s="1504"/>
      <c r="N50" s="1504"/>
    </row>
    <row r="51" spans="1:14">
      <c r="A51" s="1501">
        <f t="shared" si="4"/>
        <v>19</v>
      </c>
      <c r="B51" s="1518">
        <v>2004</v>
      </c>
      <c r="C51" s="1503">
        <v>619.91999999999996</v>
      </c>
      <c r="D51" s="1494"/>
      <c r="E51" s="1519">
        <v>9</v>
      </c>
      <c r="G51" s="1511">
        <v>0</v>
      </c>
      <c r="I51" s="1503">
        <f t="shared" si="5"/>
        <v>-619.91999999999996</v>
      </c>
      <c r="J51" s="1517"/>
      <c r="K51" s="1504"/>
      <c r="L51" s="1504"/>
      <c r="M51" s="1504"/>
      <c r="N51" s="1505"/>
    </row>
    <row r="52" spans="1:14">
      <c r="A52" s="1501">
        <f t="shared" si="4"/>
        <v>20</v>
      </c>
      <c r="B52" s="1518">
        <v>2005</v>
      </c>
      <c r="C52" s="1503">
        <v>125.82</v>
      </c>
      <c r="D52" s="1494"/>
      <c r="E52" s="1519">
        <v>8</v>
      </c>
      <c r="G52" s="1511">
        <v>0</v>
      </c>
      <c r="I52" s="1503">
        <f t="shared" si="5"/>
        <v>-125.82</v>
      </c>
      <c r="J52" s="1517"/>
      <c r="K52" s="1504"/>
      <c r="L52" s="1504"/>
      <c r="M52" s="1504"/>
      <c r="N52" s="1505"/>
    </row>
    <row r="53" spans="1:14">
      <c r="A53" s="1501">
        <f t="shared" si="4"/>
        <v>21</v>
      </c>
      <c r="B53" s="1518">
        <v>2006</v>
      </c>
      <c r="C53" s="1503">
        <v>382.75</v>
      </c>
      <c r="D53" s="1494"/>
      <c r="E53" s="1519">
        <v>7</v>
      </c>
      <c r="G53" s="1511">
        <v>0</v>
      </c>
      <c r="I53" s="1503">
        <f t="shared" si="5"/>
        <v>-382.75</v>
      </c>
      <c r="J53" s="1517"/>
      <c r="K53" s="1504"/>
      <c r="L53" s="1504"/>
      <c r="M53" s="1504"/>
      <c r="N53" s="1505"/>
    </row>
    <row r="54" spans="1:14">
      <c r="A54" s="1501">
        <f t="shared" si="4"/>
        <v>22</v>
      </c>
      <c r="B54" s="1518">
        <v>2007</v>
      </c>
      <c r="C54" s="1503">
        <v>0</v>
      </c>
      <c r="D54" s="1494"/>
      <c r="E54" s="1519">
        <v>6</v>
      </c>
      <c r="G54" s="1511">
        <v>0</v>
      </c>
      <c r="I54" s="1503">
        <f t="shared" si="5"/>
        <v>0</v>
      </c>
      <c r="J54" s="1517"/>
      <c r="K54" s="1504"/>
      <c r="L54" s="1504"/>
      <c r="M54" s="1504"/>
      <c r="N54" s="1509"/>
    </row>
    <row r="55" spans="1:14">
      <c r="A55" s="1501">
        <f t="shared" si="4"/>
        <v>23</v>
      </c>
      <c r="B55" s="1518">
        <v>2008</v>
      </c>
      <c r="C55" s="1503">
        <v>0</v>
      </c>
      <c r="D55" s="1494"/>
      <c r="E55" s="1519">
        <v>5</v>
      </c>
      <c r="G55" s="1511">
        <v>0</v>
      </c>
      <c r="I55" s="1503">
        <f t="shared" si="5"/>
        <v>0</v>
      </c>
      <c r="J55" s="1517"/>
      <c r="K55" s="1504"/>
      <c r="L55" s="1504"/>
      <c r="M55" s="1504"/>
      <c r="N55" s="1509"/>
    </row>
    <row r="56" spans="1:14">
      <c r="A56" s="1501">
        <f t="shared" si="4"/>
        <v>24</v>
      </c>
      <c r="B56" s="1518">
        <v>2009</v>
      </c>
      <c r="C56" s="1503">
        <v>0</v>
      </c>
      <c r="D56" s="1494"/>
      <c r="E56" s="1519">
        <v>4</v>
      </c>
      <c r="G56" s="1511">
        <v>0</v>
      </c>
      <c r="I56" s="1503">
        <f t="shared" si="5"/>
        <v>0</v>
      </c>
      <c r="J56" s="1517"/>
      <c r="K56" s="1504"/>
      <c r="L56" s="1504"/>
      <c r="M56" s="1504"/>
      <c r="N56" s="1509"/>
    </row>
    <row r="57" spans="1:14">
      <c r="A57" s="1501">
        <f t="shared" si="4"/>
        <v>25</v>
      </c>
      <c r="B57" s="1518">
        <v>2010</v>
      </c>
      <c r="C57" s="1503">
        <v>0</v>
      </c>
      <c r="D57" s="1494"/>
      <c r="E57" s="1519">
        <v>3</v>
      </c>
      <c r="G57" s="1544">
        <f>+C57/$D$91</f>
        <v>0</v>
      </c>
      <c r="I57" s="1503">
        <f t="shared" si="5"/>
        <v>0</v>
      </c>
      <c r="J57" s="1517"/>
      <c r="K57" s="1504"/>
      <c r="L57" s="1504"/>
      <c r="M57" s="1504"/>
      <c r="N57" s="1509"/>
    </row>
    <row r="58" spans="1:14">
      <c r="A58" s="1501">
        <f t="shared" si="4"/>
        <v>26</v>
      </c>
      <c r="B58" s="1518">
        <v>2011</v>
      </c>
      <c r="C58" s="1503">
        <v>0</v>
      </c>
      <c r="D58" s="1494"/>
      <c r="E58" s="1519">
        <v>2</v>
      </c>
      <c r="G58" s="1544">
        <f t="shared" ref="G58:G59" si="6">+C58/$D$91</f>
        <v>0</v>
      </c>
      <c r="I58" s="1503">
        <f t="shared" si="5"/>
        <v>0</v>
      </c>
      <c r="J58" s="1517"/>
      <c r="K58" s="1504"/>
      <c r="L58" s="1504"/>
      <c r="M58" s="1504"/>
      <c r="N58" s="1509"/>
    </row>
    <row r="59" spans="1:14">
      <c r="A59" s="1501">
        <f t="shared" si="4"/>
        <v>27</v>
      </c>
      <c r="B59" s="1518">
        <v>2012</v>
      </c>
      <c r="C59" s="1503">
        <v>0</v>
      </c>
      <c r="D59" s="1494"/>
      <c r="E59" s="1519">
        <v>1</v>
      </c>
      <c r="G59" s="1544">
        <f t="shared" si="6"/>
        <v>0</v>
      </c>
      <c r="I59" s="1503">
        <f t="shared" si="5"/>
        <v>0</v>
      </c>
      <c r="J59" s="1517"/>
      <c r="K59" s="1504"/>
      <c r="L59" s="1504"/>
      <c r="M59" s="1504"/>
      <c r="N59" s="1509"/>
    </row>
    <row r="60" spans="1:14" ht="6" customHeight="1">
      <c r="A60" s="1501"/>
      <c r="B60" s="1518"/>
      <c r="C60" s="1520">
        <v>0</v>
      </c>
      <c r="D60" s="1494"/>
      <c r="E60" s="1496"/>
      <c r="G60" s="907">
        <v>0</v>
      </c>
      <c r="I60" s="907">
        <v>0</v>
      </c>
    </row>
    <row r="61" spans="1:14">
      <c r="A61" s="1501">
        <f>+A59+1</f>
        <v>28</v>
      </c>
      <c r="B61" s="1518" t="s">
        <v>2041</v>
      </c>
      <c r="C61" s="1503">
        <f>SUM(C49:C60)</f>
        <v>3237.48</v>
      </c>
      <c r="D61" s="1494"/>
      <c r="E61" s="1496"/>
      <c r="G61" s="1503">
        <f>SUM(G46:G60)</f>
        <v>0</v>
      </c>
      <c r="I61" s="1503">
        <f>SUM(I49:I54)</f>
        <v>-3237.48</v>
      </c>
    </row>
    <row r="62" spans="1:14">
      <c r="A62" s="1501">
        <f t="shared" ref="A62" si="7">+A61+1</f>
        <v>29</v>
      </c>
      <c r="B62" s="1518" t="str">
        <f>B19</f>
        <v>Percentage allocated to WSC of Kentucky</v>
      </c>
      <c r="C62" s="1510">
        <f>C40</f>
        <v>1</v>
      </c>
      <c r="D62" s="1494"/>
      <c r="E62" s="1496"/>
      <c r="G62" s="1510">
        <f>C62</f>
        <v>1</v>
      </c>
      <c r="I62" s="1510">
        <f>G62</f>
        <v>1</v>
      </c>
    </row>
    <row r="63" spans="1:14" ht="4.5" customHeight="1">
      <c r="A63" s="1506"/>
      <c r="B63" s="1518"/>
      <c r="C63" s="907">
        <v>0</v>
      </c>
      <c r="D63" s="1494"/>
      <c r="E63" s="1496"/>
      <c r="G63" s="907">
        <v>0</v>
      </c>
      <c r="I63" s="907">
        <v>0</v>
      </c>
    </row>
    <row r="64" spans="1:14">
      <c r="A64" s="1501">
        <f>+A62+1</f>
        <v>30</v>
      </c>
      <c r="B64" s="1518" t="s">
        <v>2042</v>
      </c>
      <c r="C64" s="1503">
        <f>C61*C62</f>
        <v>3237.48</v>
      </c>
      <c r="D64" s="1494"/>
      <c r="E64" s="1496"/>
      <c r="G64" s="1503">
        <f>+G61*G62</f>
        <v>0</v>
      </c>
      <c r="I64" s="1503">
        <f>I61*I62</f>
        <v>-3237.48</v>
      </c>
    </row>
    <row r="65" spans="1:10">
      <c r="A65" s="1501"/>
      <c r="B65" s="1518"/>
      <c r="C65" s="1521"/>
      <c r="D65" s="1494"/>
      <c r="E65" s="1496"/>
      <c r="I65" s="1503"/>
    </row>
    <row r="66" spans="1:10">
      <c r="A66" s="1501">
        <f>+A64+1</f>
        <v>31</v>
      </c>
      <c r="B66" s="1494" t="s">
        <v>2038</v>
      </c>
      <c r="C66" s="1503">
        <f>+C64*1</f>
        <v>3237.48</v>
      </c>
      <c r="D66" s="1499" t="s">
        <v>1279</v>
      </c>
      <c r="E66" s="1496"/>
      <c r="G66" s="1503">
        <f>+G64*1</f>
        <v>0</v>
      </c>
      <c r="H66" s="1499" t="s">
        <v>1279</v>
      </c>
      <c r="I66" s="1503">
        <f>+I64*1</f>
        <v>-3237.48</v>
      </c>
      <c r="J66" s="1499" t="s">
        <v>1279</v>
      </c>
    </row>
    <row r="67" spans="1:10">
      <c r="A67" s="1501">
        <f t="shared" ref="A67" si="8">+A66+1</f>
        <v>32</v>
      </c>
      <c r="B67" s="1494" t="s">
        <v>2039</v>
      </c>
      <c r="C67" s="1503">
        <v>0</v>
      </c>
      <c r="D67" s="1499" t="s">
        <v>1281</v>
      </c>
      <c r="E67" s="1496"/>
      <c r="G67" s="1503">
        <v>0</v>
      </c>
      <c r="H67" s="1499" t="s">
        <v>1281</v>
      </c>
      <c r="I67" s="1503">
        <v>0</v>
      </c>
      <c r="J67" s="1499" t="s">
        <v>1281</v>
      </c>
    </row>
    <row r="68" spans="1:10">
      <c r="A68" s="1501"/>
      <c r="B68" s="1518"/>
      <c r="C68" s="1521"/>
      <c r="D68" s="1494"/>
      <c r="E68" s="1496"/>
      <c r="I68" s="1503"/>
    </row>
    <row r="69" spans="1:10" ht="15">
      <c r="A69" s="1501"/>
      <c r="B69" s="1500" t="s">
        <v>2110</v>
      </c>
      <c r="C69" s="1503"/>
      <c r="E69" s="1496"/>
      <c r="I69" s="1503"/>
    </row>
    <row r="70" spans="1:10">
      <c r="A70" s="1501">
        <f>+A67+1</f>
        <v>33</v>
      </c>
      <c r="B70" s="1494" t="s">
        <v>2115</v>
      </c>
      <c r="C70" s="1503">
        <f>+C23+C44+C66</f>
        <v>45816.600000000006</v>
      </c>
      <c r="E70" s="1496"/>
      <c r="G70" s="1503">
        <f>+G23+G44+G66</f>
        <v>0</v>
      </c>
      <c r="I70" s="1503">
        <f>+I23+I44+I66</f>
        <v>-45816.600000000006</v>
      </c>
    </row>
    <row r="71" spans="1:10">
      <c r="A71" s="1501">
        <f>+A70+1</f>
        <v>34</v>
      </c>
      <c r="B71" s="1494" t="s">
        <v>2116</v>
      </c>
      <c r="C71" s="1503">
        <f>+C24+C45+C67</f>
        <v>0</v>
      </c>
      <c r="E71" s="1496"/>
      <c r="G71" s="1503">
        <f>+G24+G45+G67</f>
        <v>0</v>
      </c>
      <c r="I71" s="1503">
        <f>+I24+I45+I67</f>
        <v>0</v>
      </c>
    </row>
    <row r="72" spans="1:10">
      <c r="A72" s="1501"/>
      <c r="E72" s="1496"/>
    </row>
    <row r="73" spans="1:10">
      <c r="A73" s="1501"/>
      <c r="E73" s="1496"/>
    </row>
    <row r="74" spans="1:10" ht="15">
      <c r="A74" s="1501"/>
      <c r="B74" s="1500" t="s">
        <v>2043</v>
      </c>
      <c r="E74" s="1496"/>
    </row>
    <row r="75" spans="1:10">
      <c r="A75" s="1501">
        <f>+A71+1</f>
        <v>35</v>
      </c>
      <c r="B75" s="1516" t="str">
        <f>+B26</f>
        <v>Mini-computers</v>
      </c>
      <c r="C75" s="1522">
        <f>SUM(C27:C34)</f>
        <v>42579.12</v>
      </c>
      <c r="E75" s="1496"/>
    </row>
    <row r="76" spans="1:10">
      <c r="A76" s="1501">
        <f>+A75+1</f>
        <v>36</v>
      </c>
      <c r="B76" s="1516" t="str">
        <f>B48</f>
        <v>Software Amortization</v>
      </c>
      <c r="C76" s="1522">
        <f>SUM(C49:C56)</f>
        <v>3237.48</v>
      </c>
    </row>
    <row r="77" spans="1:10" s="907" customFormat="1" ht="5.0999999999999996" customHeight="1">
      <c r="A77" s="1506"/>
      <c r="B77" s="1507"/>
      <c r="C77" s="907">
        <v>0</v>
      </c>
      <c r="D77" s="1508"/>
      <c r="F77" s="1508"/>
      <c r="G77" s="1508"/>
      <c r="H77" s="1508"/>
      <c r="J77" s="1508"/>
    </row>
    <row r="78" spans="1:10">
      <c r="A78" s="1501">
        <f>+A76+1</f>
        <v>37</v>
      </c>
      <c r="B78" s="1494" t="s">
        <v>2044</v>
      </c>
      <c r="C78" s="1503">
        <f>SUM(C75:C77)</f>
        <v>45816.600000000006</v>
      </c>
      <c r="I78" s="1503"/>
    </row>
    <row r="79" spans="1:10">
      <c r="A79" s="1501">
        <f>+A78+1</f>
        <v>38</v>
      </c>
      <c r="B79" s="1516" t="str">
        <f>+B40</f>
        <v>Percentage allocated to WSC of Kentucky</v>
      </c>
      <c r="C79" s="1510">
        <f>+C40</f>
        <v>1</v>
      </c>
    </row>
    <row r="80" spans="1:10" s="907" customFormat="1" ht="5.0999999999999996" customHeight="1">
      <c r="A80" s="1506"/>
      <c r="B80" s="1507"/>
      <c r="C80" s="907">
        <v>0</v>
      </c>
      <c r="D80" s="1508"/>
      <c r="F80" s="1508"/>
      <c r="G80" s="1508"/>
      <c r="H80" s="1508"/>
      <c r="J80" s="1508"/>
    </row>
    <row r="81" spans="1:9">
      <c r="A81" s="1501">
        <f>+A79+1</f>
        <v>39</v>
      </c>
      <c r="B81" s="1494" t="s">
        <v>2044</v>
      </c>
      <c r="C81" s="1503">
        <f>+C78*C79</f>
        <v>45816.600000000006</v>
      </c>
      <c r="I81" s="1503"/>
    </row>
    <row r="84" spans="1:9">
      <c r="A84" s="1499" t="s">
        <v>1279</v>
      </c>
      <c r="B84" s="1504" t="s">
        <v>2117</v>
      </c>
      <c r="C84" s="1510"/>
    </row>
    <row r="85" spans="1:9">
      <c r="A85" s="1499" t="s">
        <v>1281</v>
      </c>
      <c r="B85" s="1504" t="s">
        <v>2118</v>
      </c>
      <c r="C85" s="1510"/>
    </row>
    <row r="86" spans="1:9">
      <c r="A86" s="1538" t="s">
        <v>1283</v>
      </c>
      <c r="B86" s="1494" t="s">
        <v>2108</v>
      </c>
      <c r="C86" s="1558"/>
      <c r="D86" s="1534"/>
    </row>
    <row r="87" spans="1:9">
      <c r="A87" s="1538"/>
      <c r="B87" s="1525"/>
      <c r="C87" s="1496" t="s">
        <v>2106</v>
      </c>
      <c r="D87" s="1496" t="s">
        <v>2107</v>
      </c>
      <c r="E87" s="1496" t="s">
        <v>569</v>
      </c>
    </row>
    <row r="88" spans="1:9">
      <c r="A88" s="1538"/>
      <c r="B88" s="1690" t="s">
        <v>2045</v>
      </c>
      <c r="C88" s="1691">
        <v>60</v>
      </c>
      <c r="D88" s="1691">
        <v>5</v>
      </c>
      <c r="E88" s="1668">
        <f>1/D88</f>
        <v>0.2</v>
      </c>
    </row>
    <row r="89" spans="1:9">
      <c r="A89" s="1538"/>
      <c r="B89" s="1690" t="s">
        <v>2047</v>
      </c>
      <c r="C89" s="1691">
        <v>36</v>
      </c>
      <c r="D89" s="1691">
        <v>3</v>
      </c>
      <c r="E89" s="1668">
        <f>1/D89</f>
        <v>0.33333333333333331</v>
      </c>
    </row>
    <row r="90" spans="1:9">
      <c r="A90" s="1538"/>
      <c r="B90" s="1690" t="s">
        <v>2048</v>
      </c>
      <c r="C90" s="1691">
        <v>96</v>
      </c>
      <c r="D90" s="1691">
        <v>8</v>
      </c>
      <c r="E90" s="1668">
        <f>1/D90</f>
        <v>0.125</v>
      </c>
    </row>
    <row r="91" spans="1:9">
      <c r="A91" s="1538"/>
      <c r="B91" s="1690" t="s">
        <v>2049</v>
      </c>
      <c r="C91" s="1691">
        <v>36</v>
      </c>
      <c r="D91" s="1691">
        <v>3</v>
      </c>
      <c r="E91" s="1668">
        <f>1/D91</f>
        <v>0.33333333333333331</v>
      </c>
    </row>
  </sheetData>
  <mergeCells count="4">
    <mergeCell ref="A1:B1"/>
    <mergeCell ref="A2:B2"/>
    <mergeCell ref="A3:B3"/>
    <mergeCell ref="A4:C4"/>
  </mergeCells>
  <pageMargins left="1.5" right="0.7" top="0.75" bottom="0.75" header="0.3" footer="0.3"/>
  <pageSetup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692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34" sqref="B34"/>
    </sheetView>
  </sheetViews>
  <sheetFormatPr defaultRowHeight="12.75"/>
  <cols>
    <col min="1" max="1" width="9" style="858"/>
    <col min="2" max="2" width="35.75" style="858" bestFit="1" customWidth="1"/>
    <col min="3" max="3" width="14.875" style="883" bestFit="1" customWidth="1"/>
    <col min="4" max="4" width="14.875" style="883" customWidth="1"/>
    <col min="5" max="5" width="15" style="883" bestFit="1" customWidth="1"/>
    <col min="6" max="7" width="14.125" style="883" bestFit="1" customWidth="1"/>
    <col min="8" max="8" width="14.125" style="903" bestFit="1" customWidth="1"/>
    <col min="9" max="9" width="9" style="883"/>
    <col min="10" max="10" width="10.25" style="883" bestFit="1" customWidth="1"/>
    <col min="11" max="16" width="9" style="883"/>
    <col min="17" max="19" width="11.25" style="883" bestFit="1" customWidth="1"/>
    <col min="20" max="16384" width="9" style="883"/>
  </cols>
  <sheetData>
    <row r="1" spans="1:8" s="858" customFormat="1" ht="13.5">
      <c r="A1" s="1774" t="str">
        <f>'Input Schedule'!G6</f>
        <v>WATER SERVICE CORPORATION OF KENTUCKY</v>
      </c>
      <c r="B1" s="1774"/>
      <c r="C1" s="1774"/>
      <c r="H1" s="859"/>
    </row>
    <row r="2" spans="1:8" s="858" customFormat="1" ht="14.25" thickBot="1">
      <c r="A2" s="1775" t="str">
        <f>'Input Schedule'!G9</f>
        <v>Test Year 12/31/2012</v>
      </c>
      <c r="B2" s="1775"/>
      <c r="C2" s="1775"/>
      <c r="F2" s="860"/>
      <c r="H2" s="859"/>
    </row>
    <row r="3" spans="1:8" s="858" customFormat="1">
      <c r="C3" s="861" t="s">
        <v>477</v>
      </c>
      <c r="D3" s="862" t="s">
        <v>477</v>
      </c>
      <c r="E3" s="862" t="s">
        <v>477</v>
      </c>
      <c r="F3" s="861"/>
      <c r="G3" s="862"/>
      <c r="H3" s="863"/>
    </row>
    <row r="4" spans="1:8" s="858" customFormat="1">
      <c r="C4" s="864" t="s">
        <v>822</v>
      </c>
      <c r="D4" s="865" t="s">
        <v>104</v>
      </c>
      <c r="E4" s="865" t="s">
        <v>1150</v>
      </c>
      <c r="F4" s="864" t="s">
        <v>921</v>
      </c>
      <c r="G4" s="865" t="s">
        <v>921</v>
      </c>
      <c r="H4" s="866" t="s">
        <v>90</v>
      </c>
    </row>
    <row r="5" spans="1:8" s="867" customFormat="1">
      <c r="A5" s="1347" t="s">
        <v>1151</v>
      </c>
      <c r="B5" s="1348" t="s">
        <v>172</v>
      </c>
      <c r="C5" s="1349" t="str">
        <f>'Input Schedule'!G9</f>
        <v>Test Year 12/31/2012</v>
      </c>
      <c r="D5" s="1350" t="str">
        <f>'Input Schedule'!G9</f>
        <v>Test Year 12/31/2012</v>
      </c>
      <c r="E5" s="1350" t="str">
        <f>'Input Schedule'!G9</f>
        <v>Test Year 12/31/2012</v>
      </c>
      <c r="F5" s="1349" t="s">
        <v>822</v>
      </c>
      <c r="G5" s="1350" t="s">
        <v>104</v>
      </c>
      <c r="H5" s="1351" t="s">
        <v>91</v>
      </c>
    </row>
    <row r="6" spans="1:8" s="873" customFormat="1" ht="15">
      <c r="A6" s="868"/>
      <c r="B6" s="869"/>
      <c r="C6" s="870"/>
      <c r="D6" s="871"/>
      <c r="E6" s="871"/>
      <c r="F6" s="870"/>
      <c r="G6" s="871"/>
      <c r="H6" s="872"/>
    </row>
    <row r="7" spans="1:8" s="873" customFormat="1" ht="15">
      <c r="A7" s="1776" t="s">
        <v>1152</v>
      </c>
      <c r="B7" s="1776"/>
      <c r="C7" s="874"/>
      <c r="D7" s="875"/>
      <c r="E7" s="875"/>
      <c r="F7" s="874"/>
      <c r="G7" s="875"/>
      <c r="H7" s="876"/>
    </row>
    <row r="8" spans="1:8" s="873" customFormat="1" ht="15">
      <c r="A8" s="1753"/>
      <c r="B8" s="1753"/>
      <c r="C8" s="874"/>
      <c r="D8" s="875"/>
      <c r="E8" s="875"/>
      <c r="F8" s="874"/>
      <c r="G8" s="875"/>
      <c r="H8" s="876"/>
    </row>
    <row r="9" spans="1:8">
      <c r="A9" s="877">
        <v>1020</v>
      </c>
      <c r="B9" s="858" t="str">
        <f>INDEX('COPY ELECTRONIC TB HERE'!$B$2:$B$449,MATCH('Linked TB'!A9,'COPY ELECTRONIC TB HERE'!$A$2:$A$449,0))</f>
        <v xml:space="preserve">     ORGANIZATION</v>
      </c>
      <c r="C9" s="878">
        <f>+E9</f>
        <v>128111.41</v>
      </c>
      <c r="D9" s="879">
        <v>0</v>
      </c>
      <c r="E9" s="881">
        <f>INDEX('COPY ELECTRONIC TB HERE'!$D$2:$D$449,MATCH('Linked TB'!A9,'COPY ELECTRONIC TB HERE'!$A$2:$A$449,0))</f>
        <v>128111.41</v>
      </c>
      <c r="F9" s="888">
        <f>+IF(UPPER(H9)="ACTUAL",C9,INDEX(ALLOCATION_TABLE,MATCH(UPPER(H9),INDEX(ALLOCATION_TABLE,0,1),0),5)*E9)</f>
        <v>128111.41</v>
      </c>
      <c r="G9" s="881">
        <f t="shared" ref="G9:G38" si="0">+E9-F9</f>
        <v>0</v>
      </c>
      <c r="H9" s="882" t="s">
        <v>503</v>
      </c>
    </row>
    <row r="10" spans="1:8">
      <c r="A10" s="877">
        <v>1025</v>
      </c>
      <c r="B10" s="858" t="str">
        <f>INDEX('COPY ELECTRONIC TB HERE'!$B$2:$B$449,MATCH('Linked TB'!A10,'COPY ELECTRONIC TB HERE'!$A$2:$A$449,0))</f>
        <v xml:space="preserve">     FRANCHISES</v>
      </c>
      <c r="C10" s="878">
        <f>+E10</f>
        <v>0</v>
      </c>
      <c r="D10" s="879">
        <v>0</v>
      </c>
      <c r="E10" s="881">
        <f>INDEX('COPY ELECTRONIC TB HERE'!$D$2:$D$449,MATCH('Linked TB'!A10,'COPY ELECTRONIC TB HERE'!$A$2:$A$449,0))</f>
        <v>0</v>
      </c>
      <c r="F10" s="888">
        <f>+IF(UPPER(H10)="ACTUAL",C10,INDEX(ALLOCATION_TABLE,MATCH(UPPER(H10),INDEX(ALLOCATION_TABLE,0,1),0),5)*E10)</f>
        <v>0</v>
      </c>
      <c r="G10" s="881">
        <f>+E10-F10</f>
        <v>0</v>
      </c>
      <c r="H10" s="882" t="s">
        <v>503</v>
      </c>
    </row>
    <row r="11" spans="1:8">
      <c r="A11" s="877">
        <v>1040</v>
      </c>
      <c r="B11" s="858" t="str">
        <f>INDEX('COPY ELECTRONIC TB HERE'!$B$2:$B$449,MATCH('Linked TB'!A11,'COPY ELECTRONIC TB HERE'!$A$2:$A$449,0))</f>
        <v xml:space="preserve">     LAND &amp; LAND RIGHTS TRANS</v>
      </c>
      <c r="C11" s="878">
        <f>+E11</f>
        <v>0</v>
      </c>
      <c r="D11" s="879">
        <v>0</v>
      </c>
      <c r="E11" s="881">
        <f>INDEX('COPY ELECTRONIC TB HERE'!$D$2:$D$449,MATCH('Linked TB'!A11,'COPY ELECTRONIC TB HERE'!$A$2:$A$449,0))</f>
        <v>0</v>
      </c>
      <c r="F11" s="888">
        <f>+IF(UPPER(H11)="ACTUAL",C11,INDEX(ALLOCATION_TABLE,MATCH(UPPER(H11),INDEX(ALLOCATION_TABLE,0,1),0),5)*E11)</f>
        <v>0</v>
      </c>
      <c r="G11" s="881">
        <f>+E11-F11</f>
        <v>0</v>
      </c>
      <c r="H11" s="882" t="s">
        <v>503</v>
      </c>
    </row>
    <row r="12" spans="1:8">
      <c r="A12" s="877">
        <v>1045</v>
      </c>
      <c r="B12" s="858" t="str">
        <f>INDEX('COPY ELECTRONIC TB HERE'!$B$2:$B$449,MATCH('Linked TB'!A12,'COPY ELECTRONIC TB HERE'!$A$2:$A$449,0))</f>
        <v xml:space="preserve">     LAND &amp; LAND RIGHTS GEN PL</v>
      </c>
      <c r="C12" s="878">
        <f t="shared" ref="C12:C38" si="1">+E12</f>
        <v>22680.63</v>
      </c>
      <c r="D12" s="879">
        <v>0</v>
      </c>
      <c r="E12" s="881">
        <f>INDEX('COPY ELECTRONIC TB HERE'!$D$2:$D$449,MATCH('Linked TB'!A12,'COPY ELECTRONIC TB HERE'!$A$2:$A$449,0))</f>
        <v>22680.63</v>
      </c>
      <c r="F12" s="888">
        <f t="shared" ref="F12:F37" si="2">+IF(UPPER(H12)="ACTUAL",C12,INDEX(ALLOCATION_TABLE,MATCH(UPPER(H12),INDEX(ALLOCATION_TABLE,0,1),0),5)*E12)</f>
        <v>22680.63</v>
      </c>
      <c r="G12" s="881">
        <f t="shared" si="0"/>
        <v>0</v>
      </c>
      <c r="H12" s="882" t="s">
        <v>503</v>
      </c>
    </row>
    <row r="13" spans="1:8">
      <c r="A13" s="877">
        <v>1050</v>
      </c>
      <c r="B13" s="858" t="str">
        <f>INDEX('COPY ELECTRONIC TB HERE'!$B$2:$B$449,MATCH('Linked TB'!A13,'COPY ELECTRONIC TB HERE'!$A$2:$A$449,0))</f>
        <v xml:space="preserve">     STRUCT &amp; IMPRV SRC SUPPLY</v>
      </c>
      <c r="C13" s="878">
        <f t="shared" si="1"/>
        <v>114758.11</v>
      </c>
      <c r="D13" s="879">
        <v>0</v>
      </c>
      <c r="E13" s="881">
        <f>INDEX('COPY ELECTRONIC TB HERE'!$D$2:$D$449,MATCH('Linked TB'!A13,'COPY ELECTRONIC TB HERE'!$A$2:$A$449,0))</f>
        <v>114758.11</v>
      </c>
      <c r="F13" s="888">
        <f t="shared" si="2"/>
        <v>114758.11</v>
      </c>
      <c r="G13" s="881">
        <f t="shared" si="0"/>
        <v>0</v>
      </c>
      <c r="H13" s="882" t="s">
        <v>503</v>
      </c>
    </row>
    <row r="14" spans="1:8">
      <c r="A14" s="877">
        <v>1055</v>
      </c>
      <c r="B14" s="858" t="str">
        <f>INDEX('COPY ELECTRONIC TB HERE'!$B$2:$B$449,MATCH('Linked TB'!A14,'COPY ELECTRONIC TB HERE'!$A$2:$A$449,0))</f>
        <v xml:space="preserve">     STRUCT &amp; IMPRV WTR TRT PL</v>
      </c>
      <c r="C14" s="878">
        <f t="shared" si="1"/>
        <v>455474.07</v>
      </c>
      <c r="D14" s="879">
        <v>0</v>
      </c>
      <c r="E14" s="881">
        <f>INDEX('COPY ELECTRONIC TB HERE'!$D$2:$D$449,MATCH('Linked TB'!A14,'COPY ELECTRONIC TB HERE'!$A$2:$A$449,0))</f>
        <v>455474.07</v>
      </c>
      <c r="F14" s="888">
        <f t="shared" si="2"/>
        <v>455474.07</v>
      </c>
      <c r="G14" s="881">
        <f t="shared" si="0"/>
        <v>0</v>
      </c>
      <c r="H14" s="882" t="s">
        <v>503</v>
      </c>
    </row>
    <row r="15" spans="1:8">
      <c r="A15" s="877">
        <v>1060</v>
      </c>
      <c r="B15" s="858" t="str">
        <f>INDEX('COPY ELECTRONIC TB HERE'!$B$2:$B$449,MATCH('Linked TB'!A15,'COPY ELECTRONIC TB HERE'!$A$2:$A$449,0))</f>
        <v xml:space="preserve">     STRUCT &amp; IMPRV TRANS DIST</v>
      </c>
      <c r="C15" s="878">
        <f>+E15</f>
        <v>0</v>
      </c>
      <c r="D15" s="879">
        <v>0</v>
      </c>
      <c r="E15" s="881">
        <f>INDEX('COPY ELECTRONIC TB HERE'!$D$2:$D$449,MATCH('Linked TB'!A15,'COPY ELECTRONIC TB HERE'!$A$2:$A$449,0))</f>
        <v>0</v>
      </c>
      <c r="F15" s="888">
        <f>+IF(UPPER(H15)="ACTUAL",C15,INDEX(ALLOCATION_TABLE,MATCH(UPPER(H15),INDEX(ALLOCATION_TABLE,0,1),0),5)*E15)</f>
        <v>0</v>
      </c>
      <c r="G15" s="881">
        <f>+E15-F15</f>
        <v>0</v>
      </c>
      <c r="H15" s="882" t="s">
        <v>503</v>
      </c>
    </row>
    <row r="16" spans="1:8">
      <c r="A16" s="877">
        <v>1065</v>
      </c>
      <c r="B16" s="858" t="str">
        <f>INDEX('COPY ELECTRONIC TB HERE'!$B$2:$B$449,MATCH('Linked TB'!A16,'COPY ELECTRONIC TB HERE'!$A$2:$A$449,0))</f>
        <v xml:space="preserve">     STRUCT &amp; IMPRV GEN PLT</v>
      </c>
      <c r="C16" s="878">
        <f>+E16</f>
        <v>129602.66</v>
      </c>
      <c r="D16" s="879">
        <v>0</v>
      </c>
      <c r="E16" s="881">
        <f>INDEX('COPY ELECTRONIC TB HERE'!$D$2:$D$449,MATCH('Linked TB'!A16,'COPY ELECTRONIC TB HERE'!$A$2:$A$449,0))</f>
        <v>129602.66</v>
      </c>
      <c r="F16" s="888">
        <f>+IF(UPPER(H16)="ACTUAL",C16,INDEX(ALLOCATION_TABLE,MATCH(UPPER(H16),INDEX(ALLOCATION_TABLE,0,1),0),5)*E16)</f>
        <v>129602.66</v>
      </c>
      <c r="G16" s="881">
        <f>+E16-F16</f>
        <v>0</v>
      </c>
      <c r="H16" s="882" t="s">
        <v>503</v>
      </c>
    </row>
    <row r="17" spans="1:8">
      <c r="A17" s="877">
        <v>1080</v>
      </c>
      <c r="B17" s="858" t="str">
        <f>INDEX('COPY ELECTRONIC TB HERE'!$B$2:$B$449,MATCH('Linked TB'!A17,'COPY ELECTRONIC TB HERE'!$A$2:$A$449,0))</f>
        <v xml:space="preserve">     WELLS &amp; SPRINGS</v>
      </c>
      <c r="C17" s="878">
        <f t="shared" si="1"/>
        <v>475874.13</v>
      </c>
      <c r="D17" s="879">
        <v>0</v>
      </c>
      <c r="E17" s="881">
        <f>INDEX('COPY ELECTRONIC TB HERE'!$D$2:$D$449,MATCH('Linked TB'!A17,'COPY ELECTRONIC TB HERE'!$A$2:$A$449,0))</f>
        <v>475874.13</v>
      </c>
      <c r="F17" s="888">
        <f t="shared" si="2"/>
        <v>475874.13</v>
      </c>
      <c r="G17" s="881">
        <f t="shared" si="0"/>
        <v>0</v>
      </c>
      <c r="H17" s="882" t="s">
        <v>503</v>
      </c>
    </row>
    <row r="18" spans="1:8">
      <c r="A18" s="877">
        <v>1090</v>
      </c>
      <c r="B18" s="858" t="str">
        <f>INDEX('COPY ELECTRONIC TB HERE'!$B$2:$B$449,MATCH('Linked TB'!A18,'COPY ELECTRONIC TB HERE'!$A$2:$A$449,0))</f>
        <v xml:space="preserve">     SUPPLY MAINS</v>
      </c>
      <c r="C18" s="878">
        <f>+E18</f>
        <v>8822.06</v>
      </c>
      <c r="D18" s="879">
        <v>0</v>
      </c>
      <c r="E18" s="881">
        <f>INDEX('COPY ELECTRONIC TB HERE'!$D$2:$D$449,MATCH('Linked TB'!A18,'COPY ELECTRONIC TB HERE'!$A$2:$A$449,0))</f>
        <v>8822.06</v>
      </c>
      <c r="F18" s="888">
        <f>+IF(UPPER(H18)="ACTUAL",C18,INDEX(ALLOCATION_TABLE,MATCH(UPPER(H18),INDEX(ALLOCATION_TABLE,0,1),0),5)*E18)</f>
        <v>8822.06</v>
      </c>
      <c r="G18" s="881">
        <f>+E18-F18</f>
        <v>0</v>
      </c>
      <c r="H18" s="882" t="s">
        <v>503</v>
      </c>
    </row>
    <row r="19" spans="1:8">
      <c r="A19" s="877">
        <v>1100</v>
      </c>
      <c r="B19" s="858" t="str">
        <f>INDEX('COPY ELECTRONIC TB HERE'!$B$2:$B$449,MATCH('Linked TB'!A19,'COPY ELECTRONIC TB HERE'!$A$2:$A$449,0))</f>
        <v xml:space="preserve">     ELECTRIC PUMP EQUIP SRC PUMP</v>
      </c>
      <c r="C19" s="878">
        <f>+E19</f>
        <v>7283.51</v>
      </c>
      <c r="D19" s="879">
        <v>0</v>
      </c>
      <c r="E19" s="881">
        <f>INDEX('COPY ELECTRONIC TB HERE'!$D$2:$D$449,MATCH('Linked TB'!A19,'COPY ELECTRONIC TB HERE'!$A$2:$A$449,0))</f>
        <v>7283.51</v>
      </c>
      <c r="F19" s="888">
        <f>+IF(UPPER(H19)="ACTUAL",C19,INDEX(ALLOCATION_TABLE,MATCH(UPPER(H19),INDEX(ALLOCATION_TABLE,0,1),0),5)*E19)</f>
        <v>7283.51</v>
      </c>
      <c r="G19" s="881">
        <f>+E19-F19</f>
        <v>0</v>
      </c>
      <c r="H19" s="882" t="s">
        <v>503</v>
      </c>
    </row>
    <row r="20" spans="1:8">
      <c r="A20" s="877">
        <v>1105</v>
      </c>
      <c r="B20" s="858" t="str">
        <f>INDEX('COPY ELECTRONIC TB HERE'!$B$2:$B$449,MATCH('Linked TB'!A20,'COPY ELECTRONIC TB HERE'!$A$2:$A$449,0))</f>
        <v xml:space="preserve">     ELECTRIC PUMP EQUIP WTP</v>
      </c>
      <c r="C20" s="878">
        <f t="shared" si="1"/>
        <v>677173.35</v>
      </c>
      <c r="D20" s="879">
        <v>0</v>
      </c>
      <c r="E20" s="881">
        <f>INDEX('COPY ELECTRONIC TB HERE'!$D$2:$D$449,MATCH('Linked TB'!A20,'COPY ELECTRONIC TB HERE'!$A$2:$A$449,0))</f>
        <v>677173.35</v>
      </c>
      <c r="F20" s="888">
        <f t="shared" si="2"/>
        <v>677173.35</v>
      </c>
      <c r="G20" s="881">
        <f t="shared" si="0"/>
        <v>0</v>
      </c>
      <c r="H20" s="882" t="s">
        <v>503</v>
      </c>
    </row>
    <row r="21" spans="1:8">
      <c r="A21" s="877">
        <v>1110</v>
      </c>
      <c r="B21" s="858" t="str">
        <f>INDEX('COPY ELECTRONIC TB HERE'!$B$2:$B$449,MATCH('Linked TB'!A21,'COPY ELECTRONIC TB HERE'!$A$2:$A$449,0))</f>
        <v xml:space="preserve">     ELECTRIC PUMP EQUIP TRANS</v>
      </c>
      <c r="C21" s="878">
        <f t="shared" si="1"/>
        <v>6754.82</v>
      </c>
      <c r="D21" s="879">
        <v>0</v>
      </c>
      <c r="E21" s="881">
        <f>INDEX('COPY ELECTRONIC TB HERE'!$D$2:$D$449,MATCH('Linked TB'!A21,'COPY ELECTRONIC TB HERE'!$A$2:$A$449,0))</f>
        <v>6754.82</v>
      </c>
      <c r="F21" s="888">
        <f>+IF(UPPER(H21)="ACTUAL",C21,INDEX(ALLOCATION_TABLE,MATCH(UPPER(H21),INDEX(ALLOCATION_TABLE,0,1),0),5)*E21)</f>
        <v>6754.82</v>
      </c>
      <c r="G21" s="881">
        <f t="shared" si="0"/>
        <v>0</v>
      </c>
      <c r="H21" s="882" t="s">
        <v>503</v>
      </c>
    </row>
    <row r="22" spans="1:8">
      <c r="A22" s="877">
        <v>1115</v>
      </c>
      <c r="B22" s="858" t="str">
        <f>INDEX('COPY ELECTRONIC TB HERE'!$B$2:$B$449,MATCH('Linked TB'!A22,'COPY ELECTRONIC TB HERE'!$A$2:$A$449,0))</f>
        <v xml:space="preserve">     WATER TREATMENT EQPT</v>
      </c>
      <c r="C22" s="878">
        <f t="shared" si="1"/>
        <v>598217.5</v>
      </c>
      <c r="D22" s="879">
        <v>0</v>
      </c>
      <c r="E22" s="881">
        <f>INDEX('COPY ELECTRONIC TB HERE'!$D$2:$D$449,MATCH('Linked TB'!A22,'COPY ELECTRONIC TB HERE'!$A$2:$A$449,0))</f>
        <v>598217.5</v>
      </c>
      <c r="F22" s="888">
        <f t="shared" si="2"/>
        <v>598217.5</v>
      </c>
      <c r="G22" s="881">
        <f t="shared" si="0"/>
        <v>0</v>
      </c>
      <c r="H22" s="882" t="s">
        <v>503</v>
      </c>
    </row>
    <row r="23" spans="1:8">
      <c r="A23" s="877">
        <v>1120</v>
      </c>
      <c r="B23" s="858" t="str">
        <f>INDEX('COPY ELECTRONIC TB HERE'!$B$2:$B$449,MATCH('Linked TB'!A23,'COPY ELECTRONIC TB HERE'!$A$2:$A$449,0))</f>
        <v xml:space="preserve">     DIST RESV &amp; STANDPIPES</v>
      </c>
      <c r="C23" s="878">
        <f t="shared" si="1"/>
        <v>525328.65</v>
      </c>
      <c r="D23" s="879">
        <v>0</v>
      </c>
      <c r="E23" s="881">
        <f>INDEX('COPY ELECTRONIC TB HERE'!$D$2:$D$449,MATCH('Linked TB'!A23,'COPY ELECTRONIC TB HERE'!$A$2:$A$449,0))</f>
        <v>525328.65</v>
      </c>
      <c r="F23" s="888">
        <f t="shared" si="2"/>
        <v>525328.65</v>
      </c>
      <c r="G23" s="881">
        <f t="shared" si="0"/>
        <v>0</v>
      </c>
      <c r="H23" s="882" t="s">
        <v>503</v>
      </c>
    </row>
    <row r="24" spans="1:8">
      <c r="A24" s="877">
        <v>1125</v>
      </c>
      <c r="B24" s="858" t="str">
        <f>INDEX('COPY ELECTRONIC TB HERE'!$B$2:$B$449,MATCH('Linked TB'!A24,'COPY ELECTRONIC TB HERE'!$A$2:$A$449,0))</f>
        <v xml:space="preserve">     TRANS &amp; DISTR MAINS</v>
      </c>
      <c r="C24" s="878">
        <f t="shared" si="1"/>
        <v>3111464.84</v>
      </c>
      <c r="D24" s="879">
        <v>0</v>
      </c>
      <c r="E24" s="881">
        <f>INDEX('COPY ELECTRONIC TB HERE'!$D$2:$D$449,MATCH('Linked TB'!A24,'COPY ELECTRONIC TB HERE'!$A$2:$A$449,0))</f>
        <v>3111464.84</v>
      </c>
      <c r="F24" s="888">
        <f t="shared" si="2"/>
        <v>3111464.84</v>
      </c>
      <c r="G24" s="881">
        <f t="shared" si="0"/>
        <v>0</v>
      </c>
      <c r="H24" s="882" t="s">
        <v>503</v>
      </c>
    </row>
    <row r="25" spans="1:8">
      <c r="A25" s="877">
        <v>1130</v>
      </c>
      <c r="B25" s="858" t="str">
        <f>INDEX('COPY ELECTRONIC TB HERE'!$B$2:$B$449,MATCH('Linked TB'!A25,'COPY ELECTRONIC TB HERE'!$A$2:$A$449,0))</f>
        <v xml:space="preserve">     SERVICE LINES</v>
      </c>
      <c r="C25" s="878">
        <f t="shared" si="1"/>
        <v>710231.66</v>
      </c>
      <c r="D25" s="879">
        <v>0</v>
      </c>
      <c r="E25" s="881">
        <f>INDEX('COPY ELECTRONIC TB HERE'!$D$2:$D$449,MATCH('Linked TB'!A25,'COPY ELECTRONIC TB HERE'!$A$2:$A$449,0))</f>
        <v>710231.66</v>
      </c>
      <c r="F25" s="888">
        <f t="shared" si="2"/>
        <v>710231.66</v>
      </c>
      <c r="G25" s="881">
        <f t="shared" si="0"/>
        <v>0</v>
      </c>
      <c r="H25" s="882" t="s">
        <v>503</v>
      </c>
    </row>
    <row r="26" spans="1:8">
      <c r="A26" s="877">
        <v>1135</v>
      </c>
      <c r="B26" s="858" t="str">
        <f>INDEX('COPY ELECTRONIC TB HERE'!$B$2:$B$449,MATCH('Linked TB'!A26,'COPY ELECTRONIC TB HERE'!$A$2:$A$449,0))</f>
        <v xml:space="preserve">     METERS</v>
      </c>
      <c r="C26" s="878">
        <f t="shared" si="1"/>
        <v>705371.17</v>
      </c>
      <c r="D26" s="879">
        <v>0</v>
      </c>
      <c r="E26" s="881">
        <f>INDEX('COPY ELECTRONIC TB HERE'!$D$2:$D$449,MATCH('Linked TB'!A26,'COPY ELECTRONIC TB HERE'!$A$2:$A$449,0))</f>
        <v>705371.17</v>
      </c>
      <c r="F26" s="888">
        <f t="shared" si="2"/>
        <v>705371.17</v>
      </c>
      <c r="G26" s="881">
        <f t="shared" si="0"/>
        <v>0</v>
      </c>
      <c r="H26" s="882" t="s">
        <v>503</v>
      </c>
    </row>
    <row r="27" spans="1:8">
      <c r="A27" s="877">
        <v>1140</v>
      </c>
      <c r="B27" s="858" t="str">
        <f>INDEX('COPY ELECTRONIC TB HERE'!$B$2:$B$449,MATCH('Linked TB'!A27,'COPY ELECTRONIC TB HERE'!$A$2:$A$449,0))</f>
        <v xml:space="preserve">     METER INSTALLATIONS</v>
      </c>
      <c r="C27" s="878">
        <f t="shared" si="1"/>
        <v>514400.83</v>
      </c>
      <c r="D27" s="879">
        <v>0</v>
      </c>
      <c r="E27" s="881">
        <f>INDEX('COPY ELECTRONIC TB HERE'!$D$2:$D$449,MATCH('Linked TB'!A27,'COPY ELECTRONIC TB HERE'!$A$2:$A$449,0))</f>
        <v>514400.83</v>
      </c>
      <c r="F27" s="888">
        <f t="shared" si="2"/>
        <v>514400.83</v>
      </c>
      <c r="G27" s="881">
        <f t="shared" si="0"/>
        <v>0</v>
      </c>
      <c r="H27" s="882" t="s">
        <v>503</v>
      </c>
    </row>
    <row r="28" spans="1:8">
      <c r="A28" s="877">
        <v>1145</v>
      </c>
      <c r="B28" s="858" t="str">
        <f>INDEX('COPY ELECTRONIC TB HERE'!$B$2:$B$449,MATCH('Linked TB'!A28,'COPY ELECTRONIC TB HERE'!$A$2:$A$449,0))</f>
        <v xml:space="preserve">     HYDRANTS</v>
      </c>
      <c r="C28" s="878">
        <f>+E28</f>
        <v>387152.09</v>
      </c>
      <c r="D28" s="879">
        <v>0</v>
      </c>
      <c r="E28" s="881">
        <f>INDEX('COPY ELECTRONIC TB HERE'!$D$2:$D$449,MATCH('Linked TB'!A28,'COPY ELECTRONIC TB HERE'!$A$2:$A$449,0))</f>
        <v>387152.09</v>
      </c>
      <c r="F28" s="888">
        <f>+IF(UPPER(H28)="ACTUAL",C28,INDEX(ALLOCATION_TABLE,MATCH(UPPER(H28),INDEX(ALLOCATION_TABLE,0,1),0),5)*E28)</f>
        <v>387152.09</v>
      </c>
      <c r="G28" s="881">
        <f>+E28-F28</f>
        <v>0</v>
      </c>
      <c r="H28" s="882" t="s">
        <v>503</v>
      </c>
    </row>
    <row r="29" spans="1:8">
      <c r="A29" s="877">
        <v>1150</v>
      </c>
      <c r="B29" s="858" t="str">
        <f>INDEX('COPY ELECTRONIC TB HERE'!$B$2:$B$449,MATCH('Linked TB'!A29,'COPY ELECTRONIC TB HERE'!$A$2:$A$449,0))</f>
        <v xml:space="preserve">     BACKFLOW PREVENTION DEVIC</v>
      </c>
      <c r="C29" s="878">
        <f>+E29</f>
        <v>0</v>
      </c>
      <c r="D29" s="879">
        <v>0</v>
      </c>
      <c r="E29" s="881">
        <f>INDEX('COPY ELECTRONIC TB HERE'!$D$2:$D$449,MATCH('Linked TB'!A29,'COPY ELECTRONIC TB HERE'!$A$2:$A$449,0))</f>
        <v>0</v>
      </c>
      <c r="F29" s="888">
        <f>+IF(UPPER(H29)="ACTUAL",C29,INDEX(ALLOCATION_TABLE,MATCH(UPPER(H29),INDEX(ALLOCATION_TABLE,0,1),0),5)*E29)</f>
        <v>0</v>
      </c>
      <c r="G29" s="881">
        <f>+E29-F29</f>
        <v>0</v>
      </c>
      <c r="H29" s="882" t="s">
        <v>503</v>
      </c>
    </row>
    <row r="30" spans="1:8">
      <c r="A30" s="877">
        <v>1170</v>
      </c>
      <c r="B30" s="858" t="str">
        <f>INDEX('COPY ELECTRONIC TB HERE'!$B$2:$B$449,MATCH('Linked TB'!A30,'COPY ELECTRONIC TB HERE'!$A$2:$A$449,0))</f>
        <v xml:space="preserve">     OTH PLT&amp;MISC EQUIP TRANS</v>
      </c>
      <c r="C30" s="878">
        <f>+E30</f>
        <v>0</v>
      </c>
      <c r="D30" s="879">
        <v>0</v>
      </c>
      <c r="E30" s="881">
        <f>INDEX('COPY ELECTRONIC TB HERE'!$D$2:$D$449,MATCH('Linked TB'!A30,'COPY ELECTRONIC TB HERE'!$A$2:$A$449,0))</f>
        <v>0</v>
      </c>
      <c r="F30" s="888">
        <f>+IF(UPPER(H30)="ACTUAL",C30,INDEX(ALLOCATION_TABLE,MATCH(UPPER(H30),INDEX(ALLOCATION_TABLE,0,1),0),5)*E30)</f>
        <v>0</v>
      </c>
      <c r="G30" s="881">
        <f>+E30-F30</f>
        <v>0</v>
      </c>
      <c r="H30" s="882" t="s">
        <v>503</v>
      </c>
    </row>
    <row r="31" spans="1:8">
      <c r="A31" s="877">
        <v>1175</v>
      </c>
      <c r="B31" s="858" t="str">
        <f>INDEX('COPY ELECTRONIC TB HERE'!$B$2:$B$449,MATCH('Linked TB'!A31,'COPY ELECTRONIC TB HERE'!$A$2:$A$449,0))</f>
        <v xml:space="preserve">     OFFICE STRUCT &amp; IMPRV</v>
      </c>
      <c r="C31" s="878">
        <f>+E31</f>
        <v>149903.66</v>
      </c>
      <c r="D31" s="879">
        <v>0</v>
      </c>
      <c r="E31" s="881">
        <f>INDEX('COPY ELECTRONIC TB HERE'!$D$2:$D$449,MATCH('Linked TB'!A31,'COPY ELECTRONIC TB HERE'!$A$2:$A$449,0))</f>
        <v>149903.66</v>
      </c>
      <c r="F31" s="888">
        <f>+IF(UPPER(H31)="ACTUAL",C31,INDEX(ALLOCATION_TABLE,MATCH(UPPER(H31),INDEX(ALLOCATION_TABLE,0,1),0),5)*E31)</f>
        <v>149903.66</v>
      </c>
      <c r="G31" s="881">
        <f>+E31-F31</f>
        <v>0</v>
      </c>
      <c r="H31" s="882" t="s">
        <v>503</v>
      </c>
    </row>
    <row r="32" spans="1:8">
      <c r="A32" s="877">
        <v>1180</v>
      </c>
      <c r="B32" s="858" t="str">
        <f>INDEX('COPY ELECTRONIC TB HERE'!$B$2:$B$449,MATCH('Linked TB'!A32,'COPY ELECTRONIC TB HERE'!$A$2:$A$449,0))</f>
        <v xml:space="preserve">     OFFICE FURN &amp; EQPT</v>
      </c>
      <c r="C32" s="878">
        <f t="shared" si="1"/>
        <v>101672.93</v>
      </c>
      <c r="D32" s="879">
        <v>0</v>
      </c>
      <c r="E32" s="881">
        <f>INDEX('COPY ELECTRONIC TB HERE'!$D$2:$D$449,MATCH('Linked TB'!A32,'COPY ELECTRONIC TB HERE'!$A$2:$A$449,0))</f>
        <v>101672.93</v>
      </c>
      <c r="F32" s="888">
        <f t="shared" si="2"/>
        <v>101672.93</v>
      </c>
      <c r="G32" s="881">
        <f t="shared" si="0"/>
        <v>0</v>
      </c>
      <c r="H32" s="882" t="s">
        <v>503</v>
      </c>
    </row>
    <row r="33" spans="1:8">
      <c r="A33" s="877">
        <v>1190</v>
      </c>
      <c r="B33" s="858" t="str">
        <f>INDEX('COPY ELECTRONIC TB HERE'!$B$2:$B$449,MATCH('Linked TB'!A33,'COPY ELECTRONIC TB HERE'!$A$2:$A$449,0))</f>
        <v xml:space="preserve">     TOOL SHOP &amp; MISC EQPT</v>
      </c>
      <c r="C33" s="878">
        <f t="shared" si="1"/>
        <v>264646.53000000003</v>
      </c>
      <c r="D33" s="879">
        <v>0</v>
      </c>
      <c r="E33" s="881">
        <f>INDEX('COPY ELECTRONIC TB HERE'!$D$2:$D$449,MATCH('Linked TB'!A33,'COPY ELECTRONIC TB HERE'!$A$2:$A$449,0))</f>
        <v>264646.53000000003</v>
      </c>
      <c r="F33" s="888">
        <f t="shared" si="2"/>
        <v>264646.53000000003</v>
      </c>
      <c r="G33" s="881">
        <f t="shared" si="0"/>
        <v>0</v>
      </c>
      <c r="H33" s="882" t="s">
        <v>503</v>
      </c>
    </row>
    <row r="34" spans="1:8">
      <c r="A34" s="877">
        <v>1195</v>
      </c>
      <c r="B34" s="858" t="str">
        <f>INDEX('COPY ELECTRONIC TB HERE'!$B$2:$B$449,MATCH('Linked TB'!A34,'COPY ELECTRONIC TB HERE'!$A$2:$A$449,0))</f>
        <v xml:space="preserve">     LABORATORY EQUIPMENT</v>
      </c>
      <c r="C34" s="878">
        <f t="shared" si="1"/>
        <v>58851.44</v>
      </c>
      <c r="D34" s="879">
        <v>0</v>
      </c>
      <c r="E34" s="881">
        <f>INDEX('COPY ELECTRONIC TB HERE'!$D$2:$D$449,MATCH('Linked TB'!A34,'COPY ELECTRONIC TB HERE'!$A$2:$A$449,0))</f>
        <v>58851.44</v>
      </c>
      <c r="F34" s="888">
        <f t="shared" si="2"/>
        <v>58851.44</v>
      </c>
      <c r="G34" s="881">
        <f t="shared" si="0"/>
        <v>0</v>
      </c>
      <c r="H34" s="882" t="s">
        <v>503</v>
      </c>
    </row>
    <row r="35" spans="1:8">
      <c r="A35" s="877">
        <v>1200</v>
      </c>
      <c r="B35" s="858" t="str">
        <f>INDEX('COPY ELECTRONIC TB HERE'!$B$2:$B$449,MATCH('Linked TB'!A35,'COPY ELECTRONIC TB HERE'!$A$2:$A$449,0))</f>
        <v xml:space="preserve">     POWER OPERATED EQUIP</v>
      </c>
      <c r="C35" s="878">
        <f t="shared" ref="C35" si="3">+E35</f>
        <v>2570.16</v>
      </c>
      <c r="D35" s="879">
        <v>0</v>
      </c>
      <c r="E35" s="881">
        <f>INDEX('COPY ELECTRONIC TB HERE'!$D$2:$D$449,MATCH('Linked TB'!A35,'COPY ELECTRONIC TB HERE'!$A$2:$A$449,0))</f>
        <v>2570.16</v>
      </c>
      <c r="F35" s="888">
        <f t="shared" ref="F35" si="4">+IF(UPPER(H35)="ACTUAL",C35,INDEX(ALLOCATION_TABLE,MATCH(UPPER(H35),INDEX(ALLOCATION_TABLE,0,1),0),5)*E35)</f>
        <v>2570.16</v>
      </c>
      <c r="G35" s="881">
        <f t="shared" ref="G35" si="5">+E35-F35</f>
        <v>0</v>
      </c>
      <c r="H35" s="882" t="s">
        <v>503</v>
      </c>
    </row>
    <row r="36" spans="1:8">
      <c r="A36" s="877">
        <v>1205</v>
      </c>
      <c r="B36" s="858" t="str">
        <f>INDEX('COPY ELECTRONIC TB HERE'!$B$2:$B$449,MATCH('Linked TB'!A36,'COPY ELECTRONIC TB HERE'!$A$2:$A$449,0))</f>
        <v xml:space="preserve">     COMMUNICATION EQPT</v>
      </c>
      <c r="C36" s="878">
        <f>+E36</f>
        <v>55329.9</v>
      </c>
      <c r="D36" s="879">
        <v>0</v>
      </c>
      <c r="E36" s="881">
        <f>INDEX('COPY ELECTRONIC TB HERE'!$D$2:$D$449,MATCH('Linked TB'!A36,'COPY ELECTRONIC TB HERE'!$A$2:$A$449,0))</f>
        <v>55329.9</v>
      </c>
      <c r="F36" s="888">
        <f>+IF(UPPER(H36)="ACTUAL",C36,INDEX(ALLOCATION_TABLE,MATCH(UPPER(H36),INDEX(ALLOCATION_TABLE,0,1),0),5)*E36)</f>
        <v>55329.9</v>
      </c>
      <c r="G36" s="881">
        <f>+E36-F36</f>
        <v>0</v>
      </c>
      <c r="H36" s="882" t="s">
        <v>503</v>
      </c>
    </row>
    <row r="37" spans="1:8">
      <c r="A37" s="877">
        <v>1210</v>
      </c>
      <c r="B37" s="858" t="str">
        <f>INDEX('COPY ELECTRONIC TB HERE'!$B$2:$B$449,MATCH('Linked TB'!A37,'COPY ELECTRONIC TB HERE'!$A$2:$A$449,0))</f>
        <v xml:space="preserve">     MISC EQUIPMENT</v>
      </c>
      <c r="C37" s="878">
        <f t="shared" si="1"/>
        <v>0</v>
      </c>
      <c r="D37" s="879">
        <v>0</v>
      </c>
      <c r="E37" s="881">
        <f>INDEX('COPY ELECTRONIC TB HERE'!$D$2:$D$449,MATCH('Linked TB'!A37,'COPY ELECTRONIC TB HERE'!$A$2:$A$449,0))</f>
        <v>0</v>
      </c>
      <c r="F37" s="888">
        <f t="shared" si="2"/>
        <v>0</v>
      </c>
      <c r="G37" s="881">
        <f t="shared" si="0"/>
        <v>0</v>
      </c>
      <c r="H37" s="882" t="s">
        <v>503</v>
      </c>
    </row>
    <row r="38" spans="1:8">
      <c r="A38" s="877">
        <v>1215</v>
      </c>
      <c r="B38" s="858" t="str">
        <f>INDEX('COPY ELECTRONIC TB HERE'!$B$2:$B$449,MATCH('Linked TB'!A38,'COPY ELECTRONIC TB HERE'!$A$2:$A$449,0))</f>
        <v xml:space="preserve">     WATER PLANT ALLOCATED</v>
      </c>
      <c r="C38" s="878">
        <f t="shared" si="1"/>
        <v>69976</v>
      </c>
      <c r="D38" s="879">
        <v>0</v>
      </c>
      <c r="E38" s="881">
        <f>INDEX('COPY ELECTRONIC TB HERE'!$D$2:$D$449,MATCH('Linked TB'!A38,'COPY ELECTRONIC TB HERE'!$A$2:$A$449,0))</f>
        <v>69976</v>
      </c>
      <c r="F38" s="888">
        <f>+IF(UPPER(H38)="ACTUAL",C38,INDEX(ALLOCATION_TABLE,MATCH(UPPER(H38),INDEX(ALLOCATION_TABLE,0,1),0),5)*E38)</f>
        <v>69976</v>
      </c>
      <c r="G38" s="881">
        <f t="shared" si="0"/>
        <v>0</v>
      </c>
      <c r="H38" s="882" t="s">
        <v>503</v>
      </c>
    </row>
    <row r="39" spans="1:8">
      <c r="A39" s="884">
        <v>1220</v>
      </c>
      <c r="B39" s="858" t="str">
        <f>INDEX('COPY ELECTRONIC TB HERE'!$B$2:$B$449,MATCH('Linked TB'!A39,'COPY ELECTRONIC TB HERE'!$A$2:$A$449,0))</f>
        <v xml:space="preserve">     OTHER TANGIBLE PLT WATER</v>
      </c>
      <c r="C39" s="878">
        <f>+E39</f>
        <v>0</v>
      </c>
      <c r="D39" s="879"/>
      <c r="E39" s="881">
        <f>INDEX('COPY ELECTRONIC TB HERE'!$D$2:$D$449,MATCH('Linked TB'!A39,'COPY ELECTRONIC TB HERE'!$A$2:$A$449,0))</f>
        <v>0</v>
      </c>
      <c r="F39" s="888">
        <f>+IF(UPPER(H39)="ACTUAL",C39,INDEX(ALLOCATION_TABLE,MATCH(UPPER(H39),INDEX(ALLOCATION_TABLE,0,1),0),5)*E39)</f>
        <v>0</v>
      </c>
      <c r="G39" s="881">
        <f>+E39-F39</f>
        <v>0</v>
      </c>
      <c r="H39" s="882" t="s">
        <v>503</v>
      </c>
    </row>
    <row r="40" spans="1:8">
      <c r="A40" s="877">
        <v>1245</v>
      </c>
      <c r="B40" s="858" t="str">
        <f>INDEX('COPY ELECTRONIC TB HERE'!$B$2:$B$449,MATCH('Linked TB'!A40,'COPY ELECTRONIC TB HERE'!$A$2:$A$449,0))</f>
        <v xml:space="preserve">     ORGANIZATION</v>
      </c>
      <c r="C40" s="878">
        <v>0</v>
      </c>
      <c r="D40" s="879">
        <f t="shared" ref="D40:D62" si="6">+E40</f>
        <v>0</v>
      </c>
      <c r="E40" s="881">
        <f>INDEX('COPY ELECTRONIC TB HERE'!$D$2:$D$449,MATCH('Linked TB'!A40,'COPY ELECTRONIC TB HERE'!$A$2:$A$449,0))</f>
        <v>0</v>
      </c>
      <c r="F40" s="888">
        <f>+IF(UPPER(H40)="ACTUAL",C40,INDEX(ALLOCATION_TABLE,MATCH(UPPER(H40),INDEX(ALLOCATION_TABLE,0,1),0),5)*E40)</f>
        <v>0</v>
      </c>
      <c r="G40" s="881">
        <f>+E40-F40</f>
        <v>0</v>
      </c>
      <c r="H40" s="882" t="s">
        <v>503</v>
      </c>
    </row>
    <row r="41" spans="1:8">
      <c r="A41" s="877">
        <v>1250</v>
      </c>
      <c r="B41" s="858" t="str">
        <f>INDEX('COPY ELECTRONIC TB HERE'!$B$2:$B$449,MATCH('Linked TB'!A41,'COPY ELECTRONIC TB HERE'!$A$2:$A$449,0))</f>
        <v xml:space="preserve">     FRANCHISES INTANG PLT</v>
      </c>
      <c r="C41" s="878">
        <v>0</v>
      </c>
      <c r="D41" s="879">
        <f t="shared" si="6"/>
        <v>0</v>
      </c>
      <c r="E41" s="881">
        <f>INDEX('COPY ELECTRONIC TB HERE'!$D$2:$D$449,MATCH('Linked TB'!A41,'COPY ELECTRONIC TB HERE'!$A$2:$A$449,0))</f>
        <v>0</v>
      </c>
      <c r="F41" s="888">
        <f t="shared" ref="F41:F67" si="7">+IF(UPPER(H41)="ACTUAL",C41,INDEX(ALLOCATION_TABLE,MATCH(UPPER(H41),INDEX(ALLOCATION_TABLE,0,1),0),5)*E41)</f>
        <v>0</v>
      </c>
      <c r="G41" s="881">
        <f t="shared" ref="G41:G67" si="8">+E41-F41</f>
        <v>0</v>
      </c>
      <c r="H41" s="882" t="s">
        <v>503</v>
      </c>
    </row>
    <row r="42" spans="1:8">
      <c r="A42" s="877">
        <v>1285</v>
      </c>
      <c r="B42" s="858" t="str">
        <f>INDEX('COPY ELECTRONIC TB HERE'!$B$2:$B$449,MATCH('Linked TB'!A42,'COPY ELECTRONIC TB HERE'!$A$2:$A$449,0))</f>
        <v xml:space="preserve">     LAND &amp; LAND RIGHTS GEN PL</v>
      </c>
      <c r="C42" s="878">
        <v>0</v>
      </c>
      <c r="D42" s="879">
        <f t="shared" si="6"/>
        <v>0</v>
      </c>
      <c r="E42" s="881">
        <f>INDEX('COPY ELECTRONIC TB HERE'!$D$2:$D$449,MATCH('Linked TB'!A42,'COPY ELECTRONIC TB HERE'!$A$2:$A$449,0))</f>
        <v>0</v>
      </c>
      <c r="F42" s="888">
        <f t="shared" si="7"/>
        <v>0</v>
      </c>
      <c r="G42" s="881">
        <f t="shared" si="8"/>
        <v>0</v>
      </c>
      <c r="H42" s="882" t="s">
        <v>503</v>
      </c>
    </row>
    <row r="43" spans="1:8">
      <c r="A43" s="877">
        <v>1290</v>
      </c>
      <c r="B43" s="858" t="str">
        <f>INDEX('COPY ELECTRONIC TB HERE'!$B$2:$B$449,MATCH('Linked TB'!A43,'COPY ELECTRONIC TB HERE'!$A$2:$A$449,0))</f>
        <v xml:space="preserve">     STRUCT/IMPRV COLL PLT</v>
      </c>
      <c r="C43" s="878">
        <v>0</v>
      </c>
      <c r="D43" s="879">
        <f t="shared" si="6"/>
        <v>0</v>
      </c>
      <c r="E43" s="881">
        <f>INDEX('COPY ELECTRONIC TB HERE'!$D$2:$D$449,MATCH('Linked TB'!A43,'COPY ELECTRONIC TB HERE'!$A$2:$A$449,0))</f>
        <v>0</v>
      </c>
      <c r="F43" s="888">
        <f t="shared" si="7"/>
        <v>0</v>
      </c>
      <c r="G43" s="881">
        <f t="shared" si="8"/>
        <v>0</v>
      </c>
      <c r="H43" s="882" t="s">
        <v>503</v>
      </c>
    </row>
    <row r="44" spans="1:8">
      <c r="A44" s="877">
        <v>1295</v>
      </c>
      <c r="B44" s="858" t="str">
        <f>INDEX('COPY ELECTRONIC TB HERE'!$B$2:$B$449,MATCH('Linked TB'!A44,'COPY ELECTRONIC TB HERE'!$A$2:$A$449,0))</f>
        <v xml:space="preserve">     STRUCT/IMPRV PUMP PLT LS</v>
      </c>
      <c r="C44" s="878">
        <v>0</v>
      </c>
      <c r="D44" s="879">
        <f t="shared" si="6"/>
        <v>0</v>
      </c>
      <c r="E44" s="881">
        <f>INDEX('COPY ELECTRONIC TB HERE'!$D$2:$D$449,MATCH('Linked TB'!A44,'COPY ELECTRONIC TB HERE'!$A$2:$A$449,0))</f>
        <v>0</v>
      </c>
      <c r="F44" s="888">
        <f t="shared" si="7"/>
        <v>0</v>
      </c>
      <c r="G44" s="881">
        <f t="shared" si="8"/>
        <v>0</v>
      </c>
      <c r="H44" s="882" t="s">
        <v>503</v>
      </c>
    </row>
    <row r="45" spans="1:8">
      <c r="A45" s="877">
        <v>1305</v>
      </c>
      <c r="B45" s="858" t="str">
        <f>INDEX('COPY ELECTRONIC TB HERE'!$B$2:$B$449,MATCH('Linked TB'!A45,'COPY ELECTRONIC TB HERE'!$A$2:$A$449,0))</f>
        <v xml:space="preserve">     STRUCT/IMPRV RECLAIM WTP</v>
      </c>
      <c r="C45" s="878">
        <v>0</v>
      </c>
      <c r="D45" s="879">
        <f t="shared" si="6"/>
        <v>0</v>
      </c>
      <c r="E45" s="881">
        <f>INDEX('COPY ELECTRONIC TB HERE'!$D$2:$D$449,MATCH('Linked TB'!A45,'COPY ELECTRONIC TB HERE'!$A$2:$A$449,0))</f>
        <v>0</v>
      </c>
      <c r="F45" s="888">
        <f t="shared" si="7"/>
        <v>0</v>
      </c>
      <c r="G45" s="881">
        <f t="shared" si="8"/>
        <v>0</v>
      </c>
      <c r="H45" s="882" t="s">
        <v>503</v>
      </c>
    </row>
    <row r="46" spans="1:8">
      <c r="A46" s="877">
        <v>1315</v>
      </c>
      <c r="B46" s="858" t="str">
        <f>INDEX('COPY ELECTRONIC TB HERE'!$B$2:$B$449,MATCH('Linked TB'!A46,'COPY ELECTRONIC TB HERE'!$A$2:$A$449,0))</f>
        <v xml:space="preserve">     STRUCT/IMPRV GEN PLT</v>
      </c>
      <c r="C46" s="878">
        <v>0</v>
      </c>
      <c r="D46" s="879">
        <f t="shared" si="6"/>
        <v>179.35</v>
      </c>
      <c r="E46" s="881">
        <f>INDEX('COPY ELECTRONIC TB HERE'!$D$2:$D$449,MATCH('Linked TB'!A46,'COPY ELECTRONIC TB HERE'!$A$2:$A$449,0))</f>
        <v>179.35</v>
      </c>
      <c r="F46" s="888">
        <f t="shared" si="7"/>
        <v>0</v>
      </c>
      <c r="G46" s="881">
        <f t="shared" si="8"/>
        <v>179.35</v>
      </c>
      <c r="H46" s="882" t="s">
        <v>503</v>
      </c>
    </row>
    <row r="47" spans="1:8">
      <c r="A47" s="877">
        <v>1330</v>
      </c>
      <c r="B47" s="858" t="str">
        <f>INDEX('COPY ELECTRONIC TB HERE'!$B$2:$B$449,MATCH('Linked TB'!A47,'COPY ELECTRONIC TB HERE'!$A$2:$A$449,0))</f>
        <v xml:space="preserve">     POWER GEN EQUIP TREAT PLT</v>
      </c>
      <c r="C47" s="878">
        <v>0</v>
      </c>
      <c r="D47" s="879">
        <f t="shared" si="6"/>
        <v>0</v>
      </c>
      <c r="E47" s="881">
        <f>INDEX('COPY ELECTRONIC TB HERE'!$D$2:$D$449,MATCH('Linked TB'!A47,'COPY ELECTRONIC TB HERE'!$A$2:$A$449,0))</f>
        <v>0</v>
      </c>
      <c r="F47" s="888">
        <f t="shared" si="7"/>
        <v>0</v>
      </c>
      <c r="G47" s="881">
        <f t="shared" si="8"/>
        <v>0</v>
      </c>
      <c r="H47" s="882" t="s">
        <v>503</v>
      </c>
    </row>
    <row r="48" spans="1:8">
      <c r="A48" s="877">
        <v>1345</v>
      </c>
      <c r="B48" s="858" t="str">
        <f>INDEX('COPY ELECTRONIC TB HERE'!$B$2:$B$449,MATCH('Linked TB'!A48,'COPY ELECTRONIC TB HERE'!$A$2:$A$449,0))</f>
        <v xml:space="preserve">     SEWER FORCE MAIN</v>
      </c>
      <c r="C48" s="878">
        <v>0</v>
      </c>
      <c r="D48" s="879">
        <f t="shared" si="6"/>
        <v>674.91</v>
      </c>
      <c r="E48" s="881">
        <f>INDEX('COPY ELECTRONIC TB HERE'!$D$2:$D$449,MATCH('Linked TB'!A48,'COPY ELECTRONIC TB HERE'!$A$2:$A$449,0))</f>
        <v>674.91</v>
      </c>
      <c r="F48" s="888">
        <f t="shared" si="7"/>
        <v>0</v>
      </c>
      <c r="G48" s="881">
        <f t="shared" si="8"/>
        <v>674.91</v>
      </c>
      <c r="H48" s="882" t="s">
        <v>503</v>
      </c>
    </row>
    <row r="49" spans="1:8">
      <c r="A49" s="877">
        <v>1350</v>
      </c>
      <c r="B49" s="858" t="str">
        <f>INDEX('COPY ELECTRONIC TB HERE'!$B$2:$B$449,MATCH('Linked TB'!A49,'COPY ELECTRONIC TB HERE'!$A$2:$A$449,0))</f>
        <v xml:space="preserve">     SEWER GRAVITY MAIN/MANHOL</v>
      </c>
      <c r="C49" s="878">
        <v>0</v>
      </c>
      <c r="D49" s="879">
        <f t="shared" si="6"/>
        <v>2029.57</v>
      </c>
      <c r="E49" s="881">
        <f>INDEX('COPY ELECTRONIC TB HERE'!$D$2:$D$449,MATCH('Linked TB'!A49,'COPY ELECTRONIC TB HERE'!$A$2:$A$449,0))</f>
        <v>2029.57</v>
      </c>
      <c r="F49" s="888">
        <f t="shared" si="7"/>
        <v>0</v>
      </c>
      <c r="G49" s="881">
        <f t="shared" si="8"/>
        <v>2029.57</v>
      </c>
      <c r="H49" s="882" t="s">
        <v>503</v>
      </c>
    </row>
    <row r="50" spans="1:8">
      <c r="A50" s="877">
        <v>1360</v>
      </c>
      <c r="B50" s="858" t="str">
        <f>INDEX('COPY ELECTRONIC TB HERE'!$B$2:$B$449,MATCH('Linked TB'!A50,'COPY ELECTRONIC TB HERE'!$A$2:$A$449,0))</f>
        <v xml:space="preserve">     SERVICES TO CUSTOMERS</v>
      </c>
      <c r="C50" s="878">
        <v>0</v>
      </c>
      <c r="D50" s="879">
        <f t="shared" si="6"/>
        <v>442.52</v>
      </c>
      <c r="E50" s="881">
        <f>INDEX('COPY ELECTRONIC TB HERE'!$D$2:$D$449,MATCH('Linked TB'!A50,'COPY ELECTRONIC TB HERE'!$A$2:$A$449,0))</f>
        <v>442.52</v>
      </c>
      <c r="F50" s="888">
        <f t="shared" si="7"/>
        <v>0</v>
      </c>
      <c r="G50" s="881">
        <f t="shared" si="8"/>
        <v>442.52</v>
      </c>
      <c r="H50" s="882" t="s">
        <v>503</v>
      </c>
    </row>
    <row r="51" spans="1:8">
      <c r="A51" s="877">
        <v>1365</v>
      </c>
      <c r="B51" s="858" t="str">
        <f>INDEX('COPY ELECTRONIC TB HERE'!$B$2:$B$449,MATCH('Linked TB'!A51,'COPY ELECTRONIC TB HERE'!$A$2:$A$449,0))</f>
        <v xml:space="preserve">     FLOW MEASURE DEVICES</v>
      </c>
      <c r="C51" s="878">
        <v>0</v>
      </c>
      <c r="D51" s="879">
        <f t="shared" si="6"/>
        <v>3304.79</v>
      </c>
      <c r="E51" s="881">
        <f>INDEX('COPY ELECTRONIC TB HERE'!$D$2:$D$449,MATCH('Linked TB'!A51,'COPY ELECTRONIC TB HERE'!$A$2:$A$449,0))</f>
        <v>3304.79</v>
      </c>
      <c r="F51" s="888">
        <f t="shared" si="7"/>
        <v>0</v>
      </c>
      <c r="G51" s="881">
        <f t="shared" si="8"/>
        <v>3304.79</v>
      </c>
      <c r="H51" s="882" t="s">
        <v>503</v>
      </c>
    </row>
    <row r="52" spans="1:8">
      <c r="A52" s="877">
        <v>1370</v>
      </c>
      <c r="B52" s="858" t="str">
        <f>INDEX('COPY ELECTRONIC TB HERE'!$B$2:$B$449,MATCH('Linked TB'!A52,'COPY ELECTRONIC TB HERE'!$A$2:$A$449,0))</f>
        <v xml:space="preserve">     FLOW MEASURE INSTALL</v>
      </c>
      <c r="C52" s="878">
        <v>0</v>
      </c>
      <c r="D52" s="879">
        <f t="shared" si="6"/>
        <v>0</v>
      </c>
      <c r="E52" s="881">
        <f>INDEX('COPY ELECTRONIC TB HERE'!$D$2:$D$449,MATCH('Linked TB'!A52,'COPY ELECTRONIC TB HERE'!$A$2:$A$449,0))</f>
        <v>0</v>
      </c>
      <c r="F52" s="888">
        <f t="shared" si="7"/>
        <v>0</v>
      </c>
      <c r="G52" s="881">
        <f t="shared" si="8"/>
        <v>0</v>
      </c>
      <c r="H52" s="882" t="s">
        <v>503</v>
      </c>
    </row>
    <row r="53" spans="1:8">
      <c r="A53" s="877">
        <v>1380</v>
      </c>
      <c r="B53" s="858" t="str">
        <f>INDEX('COPY ELECTRONIC TB HERE'!$B$2:$B$449,MATCH('Linked TB'!A53,'COPY ELECTRONIC TB HERE'!$A$2:$A$449,0))</f>
        <v xml:space="preserve">     PUMPING EQUIPMENT PUMP PL</v>
      </c>
      <c r="C53" s="878">
        <v>0</v>
      </c>
      <c r="D53" s="879">
        <f t="shared" si="6"/>
        <v>7720.6</v>
      </c>
      <c r="E53" s="881">
        <f>INDEX('COPY ELECTRONIC TB HERE'!$D$2:$D$449,MATCH('Linked TB'!A53,'COPY ELECTRONIC TB HERE'!$A$2:$A$449,0))</f>
        <v>7720.6</v>
      </c>
      <c r="F53" s="888">
        <f t="shared" si="7"/>
        <v>0</v>
      </c>
      <c r="G53" s="881">
        <f t="shared" si="8"/>
        <v>7720.6</v>
      </c>
      <c r="H53" s="882" t="s">
        <v>503</v>
      </c>
    </row>
    <row r="54" spans="1:8">
      <c r="A54" s="877">
        <v>1385</v>
      </c>
      <c r="B54" s="858" t="str">
        <f>INDEX('COPY ELECTRONIC TB HERE'!$B$2:$B$449,MATCH('Linked TB'!A54,'COPY ELECTRONIC TB HERE'!$A$2:$A$449,0))</f>
        <v xml:space="preserve">     PUMPING EQUIPMENT RECLAIM</v>
      </c>
      <c r="C54" s="878">
        <v>0</v>
      </c>
      <c r="D54" s="879">
        <f t="shared" si="6"/>
        <v>0</v>
      </c>
      <c r="E54" s="881">
        <f>INDEX('COPY ELECTRONIC TB HERE'!$D$2:$D$449,MATCH('Linked TB'!A54,'COPY ELECTRONIC TB HERE'!$A$2:$A$449,0))</f>
        <v>0</v>
      </c>
      <c r="F54" s="888">
        <f t="shared" si="7"/>
        <v>0</v>
      </c>
      <c r="G54" s="881">
        <f t="shared" si="8"/>
        <v>0</v>
      </c>
      <c r="H54" s="882" t="s">
        <v>503</v>
      </c>
    </row>
    <row r="55" spans="1:8">
      <c r="A55" s="877">
        <v>1395</v>
      </c>
      <c r="B55" s="858" t="str">
        <f>INDEX('COPY ELECTRONIC TB HERE'!$B$2:$B$449,MATCH('Linked TB'!A55,'COPY ELECTRONIC TB HERE'!$A$2:$A$449,0))</f>
        <v xml:space="preserve">     TREAT/DISP EQUIP LAGOON</v>
      </c>
      <c r="C55" s="878">
        <v>0</v>
      </c>
      <c r="D55" s="879">
        <f t="shared" si="6"/>
        <v>232.8</v>
      </c>
      <c r="E55" s="881">
        <f>INDEX('COPY ELECTRONIC TB HERE'!$D$2:$D$449,MATCH('Linked TB'!A55,'COPY ELECTRONIC TB HERE'!$A$2:$A$449,0))</f>
        <v>232.8</v>
      </c>
      <c r="F55" s="888">
        <f>+IF(UPPER(H55)="ACTUAL",C55,INDEX(ALLOCATION_TABLE,MATCH(UPPER(H55),INDEX(ALLOCATION_TABLE,0,1),0),5)*E55)</f>
        <v>0</v>
      </c>
      <c r="G55" s="881">
        <f t="shared" si="8"/>
        <v>232.8</v>
      </c>
      <c r="H55" s="882" t="s">
        <v>503</v>
      </c>
    </row>
    <row r="56" spans="1:8">
      <c r="A56" s="877">
        <v>1400</v>
      </c>
      <c r="B56" s="858" t="str">
        <f>INDEX('COPY ELECTRONIC TB HERE'!$B$2:$B$449,MATCH('Linked TB'!A56,'COPY ELECTRONIC TB HERE'!$A$2:$A$449,0))</f>
        <v xml:space="preserve">     TREAT/DISP EQUIP TRT PLT</v>
      </c>
      <c r="C56" s="878">
        <v>0</v>
      </c>
      <c r="D56" s="879">
        <f t="shared" si="6"/>
        <v>11201</v>
      </c>
      <c r="E56" s="881">
        <f>INDEX('COPY ELECTRONIC TB HERE'!$D$2:$D$449,MATCH('Linked TB'!A56,'COPY ELECTRONIC TB HERE'!$A$2:$A$449,0))</f>
        <v>11201</v>
      </c>
      <c r="F56" s="888">
        <f t="shared" si="7"/>
        <v>0</v>
      </c>
      <c r="G56" s="881">
        <f t="shared" si="8"/>
        <v>11201</v>
      </c>
      <c r="H56" s="882" t="s">
        <v>503</v>
      </c>
    </row>
    <row r="57" spans="1:8">
      <c r="A57" s="877">
        <v>1410</v>
      </c>
      <c r="B57" s="858" t="str">
        <f>INDEX('COPY ELECTRONIC TB HERE'!$B$2:$B$449,MATCH('Linked TB'!A57,'COPY ELECTRONIC TB HERE'!$A$2:$A$449,0))</f>
        <v xml:space="preserve">     PLANT SEWERS TRTMT PLT</v>
      </c>
      <c r="C57" s="878">
        <v>0</v>
      </c>
      <c r="D57" s="879">
        <f t="shared" si="6"/>
        <v>0</v>
      </c>
      <c r="E57" s="881">
        <f>INDEX('COPY ELECTRONIC TB HERE'!$D$2:$D$449,MATCH('Linked TB'!A57,'COPY ELECTRONIC TB HERE'!$A$2:$A$449,0))</f>
        <v>0</v>
      </c>
      <c r="F57" s="888">
        <f t="shared" si="7"/>
        <v>0</v>
      </c>
      <c r="G57" s="881">
        <f t="shared" si="8"/>
        <v>0</v>
      </c>
      <c r="H57" s="882" t="s">
        <v>503</v>
      </c>
    </row>
    <row r="58" spans="1:8">
      <c r="A58" s="877">
        <v>1430</v>
      </c>
      <c r="B58" s="858" t="str">
        <f>INDEX('COPY ELECTRONIC TB HERE'!$B$2:$B$449,MATCH('Linked TB'!A58,'COPY ELECTRONIC TB HERE'!$A$2:$A$449,0))</f>
        <v xml:space="preserve">     OTHER PLT COLLECTION</v>
      </c>
      <c r="C58" s="878">
        <v>0</v>
      </c>
      <c r="D58" s="879">
        <f t="shared" si="6"/>
        <v>0</v>
      </c>
      <c r="E58" s="881">
        <f>INDEX('COPY ELECTRONIC TB HERE'!$D$2:$D$449,MATCH('Linked TB'!A58,'COPY ELECTRONIC TB HERE'!$A$2:$A$449,0))</f>
        <v>0</v>
      </c>
      <c r="F58" s="888">
        <f t="shared" si="7"/>
        <v>0</v>
      </c>
      <c r="G58" s="881">
        <f t="shared" si="8"/>
        <v>0</v>
      </c>
      <c r="H58" s="882" t="s">
        <v>503</v>
      </c>
    </row>
    <row r="59" spans="1:8">
      <c r="A59" s="877">
        <v>1435</v>
      </c>
      <c r="B59" s="858" t="str">
        <f>INDEX('COPY ELECTRONIC TB HERE'!$B$2:$B$449,MATCH('Linked TB'!A59,'COPY ELECTRONIC TB HERE'!$A$2:$A$449,0))</f>
        <v xml:space="preserve">     OTHER PLT PUMP</v>
      </c>
      <c r="C59" s="878">
        <v>0</v>
      </c>
      <c r="D59" s="879">
        <f t="shared" si="6"/>
        <v>0</v>
      </c>
      <c r="E59" s="881">
        <f>INDEX('COPY ELECTRONIC TB HERE'!$D$2:$D$449,MATCH('Linked TB'!A59,'COPY ELECTRONIC TB HERE'!$A$2:$A$449,0))</f>
        <v>0</v>
      </c>
      <c r="F59" s="888">
        <f t="shared" si="7"/>
        <v>0</v>
      </c>
      <c r="G59" s="881">
        <f t="shared" si="8"/>
        <v>0</v>
      </c>
      <c r="H59" s="882" t="s">
        <v>503</v>
      </c>
    </row>
    <row r="60" spans="1:8">
      <c r="A60" s="877">
        <v>1465</v>
      </c>
      <c r="B60" s="858" t="str">
        <f>INDEX('COPY ELECTRONIC TB HERE'!$B$2:$B$449,MATCH('Linked TB'!A60,'COPY ELECTRONIC TB HERE'!$A$2:$A$449,0))</f>
        <v xml:space="preserve">     STORES EQUIPMENT</v>
      </c>
      <c r="C60" s="878">
        <v>0</v>
      </c>
      <c r="D60" s="879">
        <f t="shared" si="6"/>
        <v>0</v>
      </c>
      <c r="E60" s="881">
        <f>INDEX('COPY ELECTRONIC TB HERE'!$D$2:$D$449,MATCH('Linked TB'!A60,'COPY ELECTRONIC TB HERE'!$A$2:$A$449,0))</f>
        <v>0</v>
      </c>
      <c r="F60" s="888">
        <f t="shared" si="7"/>
        <v>0</v>
      </c>
      <c r="G60" s="881">
        <f t="shared" si="8"/>
        <v>0</v>
      </c>
      <c r="H60" s="882" t="s">
        <v>503</v>
      </c>
    </row>
    <row r="61" spans="1:8">
      <c r="A61" s="877">
        <v>1470</v>
      </c>
      <c r="B61" s="858" t="str">
        <f>INDEX('COPY ELECTRONIC TB HERE'!$B$2:$B$449,MATCH('Linked TB'!A61,'COPY ELECTRONIC TB HERE'!$A$2:$A$449,0))</f>
        <v xml:space="preserve">     TOOL SHOP &amp; MISC EQPT</v>
      </c>
      <c r="C61" s="878">
        <v>0</v>
      </c>
      <c r="D61" s="879">
        <f t="shared" si="6"/>
        <v>251.99</v>
      </c>
      <c r="E61" s="881">
        <f>INDEX('COPY ELECTRONIC TB HERE'!$D$2:$D$449,MATCH('Linked TB'!A61,'COPY ELECTRONIC TB HERE'!$A$2:$A$449,0))</f>
        <v>251.99</v>
      </c>
      <c r="F61" s="888">
        <f t="shared" si="7"/>
        <v>0</v>
      </c>
      <c r="G61" s="881">
        <f t="shared" si="8"/>
        <v>251.99</v>
      </c>
      <c r="H61" s="882" t="s">
        <v>503</v>
      </c>
    </row>
    <row r="62" spans="1:8">
      <c r="A62" s="877">
        <v>1475</v>
      </c>
      <c r="B62" s="858" t="str">
        <f>INDEX('COPY ELECTRONIC TB HERE'!$B$2:$B$449,MATCH('Linked TB'!A62,'COPY ELECTRONIC TB HERE'!$A$2:$A$449,0))</f>
        <v xml:space="preserve">     LABORATORY EQPT</v>
      </c>
      <c r="C62" s="878">
        <v>0</v>
      </c>
      <c r="D62" s="879">
        <f t="shared" si="6"/>
        <v>1733.05</v>
      </c>
      <c r="E62" s="881">
        <f>INDEX('COPY ELECTRONIC TB HERE'!$D$2:$D$449,MATCH('Linked TB'!A62,'COPY ELECTRONIC TB HERE'!$A$2:$A$449,0))</f>
        <v>1733.05</v>
      </c>
      <c r="F62" s="888">
        <f t="shared" si="7"/>
        <v>0</v>
      </c>
      <c r="G62" s="881">
        <f t="shared" si="8"/>
        <v>1733.05</v>
      </c>
      <c r="H62" s="882" t="s">
        <v>503</v>
      </c>
    </row>
    <row r="63" spans="1:8">
      <c r="A63" s="877">
        <v>1480</v>
      </c>
      <c r="B63" s="858" t="str">
        <f>INDEX('COPY ELECTRONIC TB HERE'!$B$2:$B$449,MATCH('Linked TB'!A63,'COPY ELECTRONIC TB HERE'!$A$2:$A$449,0))</f>
        <v xml:space="preserve">     POWER OPERATED EQUIP</v>
      </c>
      <c r="C63" s="878">
        <v>0</v>
      </c>
      <c r="D63" s="879">
        <f>+E63</f>
        <v>0</v>
      </c>
      <c r="E63" s="881">
        <f>INDEX('COPY ELECTRONIC TB HERE'!$D$2:$D$449,MATCH('Linked TB'!A63,'COPY ELECTRONIC TB HERE'!$A$2:$A$449,0))</f>
        <v>0</v>
      </c>
      <c r="F63" s="888">
        <f t="shared" si="7"/>
        <v>0</v>
      </c>
      <c r="G63" s="881">
        <f t="shared" si="8"/>
        <v>0</v>
      </c>
      <c r="H63" s="882" t="s">
        <v>503</v>
      </c>
    </row>
    <row r="64" spans="1:8">
      <c r="A64" s="877">
        <v>1485</v>
      </c>
      <c r="B64" s="858" t="str">
        <f>INDEX('COPY ELECTRONIC TB HERE'!$B$2:$B$449,MATCH('Linked TB'!A64,'COPY ELECTRONIC TB HERE'!$A$2:$A$449,0))</f>
        <v xml:space="preserve">     COMMUNICATION EQPT</v>
      </c>
      <c r="C64" s="878">
        <v>0</v>
      </c>
      <c r="D64" s="879">
        <f>+E64</f>
        <v>0</v>
      </c>
      <c r="E64" s="881">
        <f>INDEX('COPY ELECTRONIC TB HERE'!$D$2:$D$449,MATCH('Linked TB'!A64,'COPY ELECTRONIC TB HERE'!$A$2:$A$449,0))</f>
        <v>0</v>
      </c>
      <c r="F64" s="888">
        <f t="shared" si="7"/>
        <v>0</v>
      </c>
      <c r="G64" s="881">
        <f t="shared" si="8"/>
        <v>0</v>
      </c>
      <c r="H64" s="882" t="s">
        <v>503</v>
      </c>
    </row>
    <row r="65" spans="1:8">
      <c r="A65" s="877">
        <v>1490</v>
      </c>
      <c r="B65" s="858" t="str">
        <f>INDEX('COPY ELECTRONIC TB HERE'!$B$2:$B$449,MATCH('Linked TB'!A65,'COPY ELECTRONIC TB HERE'!$A$2:$A$449,0))</f>
        <v xml:space="preserve">     MISC EQUIP SEWER</v>
      </c>
      <c r="C65" s="878">
        <v>0</v>
      </c>
      <c r="D65" s="879">
        <f>+E65</f>
        <v>0</v>
      </c>
      <c r="E65" s="881">
        <f>INDEX('COPY ELECTRONIC TB HERE'!$D$2:$D$449,MATCH('Linked TB'!A65,'COPY ELECTRONIC TB HERE'!$A$2:$A$449,0))</f>
        <v>0</v>
      </c>
      <c r="F65" s="888">
        <f t="shared" si="7"/>
        <v>0</v>
      </c>
      <c r="G65" s="881">
        <f t="shared" si="8"/>
        <v>0</v>
      </c>
      <c r="H65" s="882" t="s">
        <v>503</v>
      </c>
    </row>
    <row r="66" spans="1:8">
      <c r="A66" s="877">
        <v>1535</v>
      </c>
      <c r="B66" s="858" t="str">
        <f>INDEX('COPY ELECTRONIC TB HERE'!$B$2:$B$449,MATCH('Linked TB'!A66,'COPY ELECTRONIC TB HERE'!$A$2:$A$449,0))</f>
        <v xml:space="preserve">     REUSE DIST RESERVOIRS</v>
      </c>
      <c r="C66" s="878">
        <v>0</v>
      </c>
      <c r="D66" s="879">
        <f>+E66</f>
        <v>0</v>
      </c>
      <c r="E66" s="881">
        <f>INDEX('COPY ELECTRONIC TB HERE'!$D$2:$D$449,MATCH('Linked TB'!A66,'COPY ELECTRONIC TB HERE'!$A$2:$A$449,0))</f>
        <v>0</v>
      </c>
      <c r="F66" s="888">
        <f t="shared" si="7"/>
        <v>0</v>
      </c>
      <c r="G66" s="881">
        <f t="shared" si="8"/>
        <v>0</v>
      </c>
      <c r="H66" s="882" t="s">
        <v>503</v>
      </c>
    </row>
    <row r="67" spans="1:8">
      <c r="A67" s="877">
        <v>1540</v>
      </c>
      <c r="B67" s="858" t="str">
        <f>INDEX('COPY ELECTRONIC TB HERE'!$B$2:$B$449,MATCH('Linked TB'!A67,'COPY ELECTRONIC TB HERE'!$A$2:$A$449,0))</f>
        <v xml:space="preserve">     REUSE TRANMISSION &amp; DIST</v>
      </c>
      <c r="C67" s="878">
        <v>0</v>
      </c>
      <c r="D67" s="879">
        <f>+E67</f>
        <v>358.7</v>
      </c>
      <c r="E67" s="881">
        <f>INDEX('COPY ELECTRONIC TB HERE'!$D$2:$D$449,MATCH('Linked TB'!A67,'COPY ELECTRONIC TB HERE'!$A$2:$A$449,0))</f>
        <v>358.7</v>
      </c>
      <c r="F67" s="888">
        <f t="shared" si="7"/>
        <v>0</v>
      </c>
      <c r="G67" s="881">
        <f t="shared" si="8"/>
        <v>358.7</v>
      </c>
      <c r="H67" s="882" t="s">
        <v>503</v>
      </c>
    </row>
    <row r="68" spans="1:8" ht="6" customHeight="1">
      <c r="A68" s="877"/>
      <c r="C68" s="885">
        <v>0</v>
      </c>
      <c r="D68" s="886">
        <v>0</v>
      </c>
      <c r="E68" s="887">
        <v>0</v>
      </c>
      <c r="F68" s="893">
        <v>0</v>
      </c>
      <c r="G68" s="887">
        <v>0</v>
      </c>
      <c r="H68" s="882"/>
    </row>
    <row r="69" spans="1:8">
      <c r="A69" s="877" t="s">
        <v>1153</v>
      </c>
      <c r="B69" s="858" t="s">
        <v>1154</v>
      </c>
      <c r="C69" s="888">
        <f>SUM(C9:C68)</f>
        <v>9281652.1099999994</v>
      </c>
      <c r="D69" s="881">
        <f>SUM(D9:D68)</f>
        <v>28129.280000000002</v>
      </c>
      <c r="E69" s="881">
        <f>SUM(E9:E68)</f>
        <v>9309781.3899999987</v>
      </c>
      <c r="F69" s="888">
        <f>SUM(F9:F68)</f>
        <v>9281652.1099999994</v>
      </c>
      <c r="G69" s="881">
        <f>SUM(G9:G68)</f>
        <v>28129.280000000002</v>
      </c>
      <c r="H69" s="882"/>
    </row>
    <row r="70" spans="1:8">
      <c r="A70" s="877"/>
      <c r="C70" s="888"/>
      <c r="D70" s="881"/>
      <c r="E70" s="881"/>
      <c r="F70" s="888"/>
      <c r="G70" s="881"/>
      <c r="H70" s="882"/>
    </row>
    <row r="71" spans="1:8">
      <c r="A71" s="889">
        <v>1555</v>
      </c>
      <c r="B71" s="858" t="str">
        <f>INDEX('COPY ELECTRONIC TB HERE'!$B$2:$B$449,MATCH('Linked TB'!A71,'COPY ELECTRONIC TB HERE'!$A$2:$A$449,0))</f>
        <v xml:space="preserve">     TRANSPORTATION EQPT WTR</v>
      </c>
      <c r="C71" s="878">
        <f>+E71</f>
        <v>573846.25</v>
      </c>
      <c r="D71" s="879">
        <v>0</v>
      </c>
      <c r="E71" s="881">
        <f>INDEX('COPY ELECTRONIC TB HERE'!$D$2:$D$449,MATCH('Linked TB'!A71,'COPY ELECTRONIC TB HERE'!$A$2:$A$449,0))</f>
        <v>573846.25</v>
      </c>
      <c r="F71" s="888">
        <f>+IF(UPPER(H71)="ACTUAL",C71,INDEX(ALLOCATION_TABLE,MATCH(UPPER(H71),INDEX(ALLOCATION_TABLE,0,1),0),5)*E71)</f>
        <v>573846.25</v>
      </c>
      <c r="G71" s="881">
        <f>+E71-F71</f>
        <v>0</v>
      </c>
      <c r="H71" s="882" t="s">
        <v>503</v>
      </c>
    </row>
    <row r="72" spans="1:8" ht="5.0999999999999996" customHeight="1">
      <c r="A72" s="877"/>
      <c r="C72" s="885">
        <v>0</v>
      </c>
      <c r="D72" s="886">
        <v>0</v>
      </c>
      <c r="E72" s="887">
        <v>0</v>
      </c>
      <c r="F72" s="893">
        <v>0</v>
      </c>
      <c r="G72" s="887">
        <v>0</v>
      </c>
      <c r="H72" s="882"/>
    </row>
    <row r="73" spans="1:8">
      <c r="A73" s="877" t="s">
        <v>1153</v>
      </c>
      <c r="B73" s="858" t="s">
        <v>1155</v>
      </c>
      <c r="C73" s="888">
        <f>SUM(C71:C72)</f>
        <v>573846.25</v>
      </c>
      <c r="D73" s="881">
        <f>SUM(D71:D72)</f>
        <v>0</v>
      </c>
      <c r="E73" s="881">
        <f>SUM(E71:E72)</f>
        <v>573846.25</v>
      </c>
      <c r="F73" s="888">
        <f>SUM(F71:F72)</f>
        <v>573846.25</v>
      </c>
      <c r="G73" s="881">
        <f>SUM(G71:G72)</f>
        <v>0</v>
      </c>
      <c r="H73" s="882"/>
    </row>
    <row r="74" spans="1:8">
      <c r="A74" s="877"/>
      <c r="C74" s="878"/>
      <c r="D74" s="879"/>
      <c r="E74" s="881"/>
      <c r="F74" s="888"/>
      <c r="G74" s="881"/>
      <c r="H74" s="882"/>
    </row>
    <row r="75" spans="1:8">
      <c r="A75" s="877">
        <v>1580</v>
      </c>
      <c r="B75" s="858" t="str">
        <f>INDEX('COPY ELECTRONIC TB HERE'!$B$2:$B$449,MATCH('Linked TB'!A75,'COPY ELECTRONIC TB HERE'!$A$2:$A$449,0))</f>
        <v xml:space="preserve">     MAINFRAME COMPUTER WTR</v>
      </c>
      <c r="C75" s="878">
        <f>+E75</f>
        <v>30156.85</v>
      </c>
      <c r="D75" s="879">
        <v>0</v>
      </c>
      <c r="E75" s="881">
        <f>INDEX('COPY ELECTRONIC TB HERE'!$D$2:$D$449,MATCH('Linked TB'!A75,'COPY ELECTRONIC TB HERE'!$A$2:$A$449,0))</f>
        <v>30156.85</v>
      </c>
      <c r="F75" s="888">
        <f>+IF(UPPER(H75)="ACTUAL",C75,INDEX(ALLOCATION_TABLE,MATCH(UPPER(H75),INDEX(ALLOCATION_TABLE,0,1),0),5)*E75)</f>
        <v>30156.85</v>
      </c>
      <c r="G75" s="881">
        <f>+E75-F75</f>
        <v>0</v>
      </c>
      <c r="H75" s="882" t="s">
        <v>503</v>
      </c>
    </row>
    <row r="76" spans="1:8">
      <c r="A76" s="877">
        <v>1585</v>
      </c>
      <c r="B76" s="858" t="str">
        <f>INDEX('COPY ELECTRONIC TB HERE'!$B$2:$B$449,MATCH('Linked TB'!A76,'COPY ELECTRONIC TB HERE'!$A$2:$A$449,0))</f>
        <v xml:space="preserve">     MINI COMPUTERS WTR</v>
      </c>
      <c r="C76" s="878">
        <f>+E76</f>
        <v>88454.21</v>
      </c>
      <c r="D76" s="879">
        <v>0</v>
      </c>
      <c r="E76" s="881">
        <f>INDEX('COPY ELECTRONIC TB HERE'!$D$2:$D$449,MATCH('Linked TB'!A76,'COPY ELECTRONIC TB HERE'!$A$2:$A$449,0))</f>
        <v>88454.21</v>
      </c>
      <c r="F76" s="888">
        <f>+IF(UPPER(H76)="ACTUAL",C76,INDEX(ALLOCATION_TABLE,MATCH(UPPER(H76),INDEX(ALLOCATION_TABLE,0,1),0),5)*E76)</f>
        <v>88454.21</v>
      </c>
      <c r="G76" s="881">
        <f>+E76-F76</f>
        <v>0</v>
      </c>
      <c r="H76" s="882" t="s">
        <v>503</v>
      </c>
    </row>
    <row r="77" spans="1:8">
      <c r="A77" s="877">
        <v>1590</v>
      </c>
      <c r="B77" s="858" t="str">
        <f>INDEX('COPY ELECTRONIC TB HERE'!$B$2:$B$449,MATCH('Linked TB'!A77,'COPY ELECTRONIC TB HERE'!$A$2:$A$449,0))</f>
        <v xml:space="preserve">     COMP SYS COST WTR</v>
      </c>
      <c r="C77" s="878">
        <f>+E77</f>
        <v>636707.48</v>
      </c>
      <c r="D77" s="879">
        <v>0</v>
      </c>
      <c r="E77" s="881">
        <f>INDEX('COPY ELECTRONIC TB HERE'!$D$2:$D$449,MATCH('Linked TB'!A77,'COPY ELECTRONIC TB HERE'!$A$2:$A$449,0))</f>
        <v>636707.48</v>
      </c>
      <c r="F77" s="888">
        <f>+IF(UPPER(H77)="ACTUAL",C77,INDEX(ALLOCATION_TABLE,MATCH(UPPER(H77),INDEX(ALLOCATION_TABLE,0,1),0),5)*E77)</f>
        <v>636707.48</v>
      </c>
      <c r="G77" s="881">
        <f>+E77-F77</f>
        <v>0</v>
      </c>
      <c r="H77" s="882" t="s">
        <v>503</v>
      </c>
    </row>
    <row r="78" spans="1:8">
      <c r="A78" s="877">
        <v>1595</v>
      </c>
      <c r="B78" s="858" t="str">
        <f>INDEX('COPY ELECTRONIC TB HERE'!$B$2:$B$449,MATCH('Linked TB'!A78,'COPY ELECTRONIC TB HERE'!$A$2:$A$449,0))</f>
        <v xml:space="preserve">     MICRO SYS COST WTR</v>
      </c>
      <c r="C78" s="878">
        <f>+E78</f>
        <v>18843.97</v>
      </c>
      <c r="D78" s="879">
        <v>0</v>
      </c>
      <c r="E78" s="881">
        <f>INDEX('COPY ELECTRONIC TB HERE'!$D$2:$D$449,MATCH('Linked TB'!A78,'COPY ELECTRONIC TB HERE'!$A$2:$A$449,0))</f>
        <v>18843.97</v>
      </c>
      <c r="F78" s="888">
        <f>+IF(UPPER(H78)="ACTUAL",C78,INDEX(ALLOCATION_TABLE,MATCH(UPPER(H78),INDEX(ALLOCATION_TABLE,0,1),0),5)*E78)</f>
        <v>18843.97</v>
      </c>
      <c r="G78" s="881">
        <f>+E78-F78</f>
        <v>0</v>
      </c>
      <c r="H78" s="882" t="s">
        <v>503</v>
      </c>
    </row>
    <row r="79" spans="1:8" ht="5.0999999999999996" customHeight="1">
      <c r="A79" s="877"/>
      <c r="C79" s="885">
        <v>0</v>
      </c>
      <c r="D79" s="886">
        <v>0</v>
      </c>
      <c r="E79" s="887">
        <v>0</v>
      </c>
      <c r="F79" s="893">
        <v>0</v>
      </c>
      <c r="G79" s="887">
        <v>0</v>
      </c>
      <c r="H79" s="882"/>
    </row>
    <row r="80" spans="1:8">
      <c r="A80" s="877" t="s">
        <v>1153</v>
      </c>
      <c r="B80" s="858" t="s">
        <v>1156</v>
      </c>
      <c r="C80" s="888">
        <f>SUM(C75:C79)</f>
        <v>774162.51</v>
      </c>
      <c r="D80" s="881">
        <f>SUM(D75:D79)</f>
        <v>0</v>
      </c>
      <c r="E80" s="881">
        <f>SUM(E75:E79)</f>
        <v>774162.51</v>
      </c>
      <c r="F80" s="888">
        <f>SUM(F75:F79)</f>
        <v>774162.51</v>
      </c>
      <c r="G80" s="881">
        <f>SUM(G75:G79)</f>
        <v>0</v>
      </c>
      <c r="H80" s="882"/>
    </row>
    <row r="81" spans="1:8">
      <c r="A81" s="877"/>
      <c r="C81" s="878"/>
      <c r="D81" s="879"/>
      <c r="E81" s="881"/>
      <c r="F81" s="888"/>
      <c r="G81" s="881"/>
      <c r="H81" s="882"/>
    </row>
    <row r="82" spans="1:8">
      <c r="A82" s="877">
        <v>1665</v>
      </c>
      <c r="B82" s="858" t="str">
        <f>INDEX('COPY ELECTRONIC TB HERE'!$B$2:$B$449,MATCH('Linked TB'!A82,'COPY ELECTRONIC TB HERE'!$A$2:$A$449,0))</f>
        <v xml:space="preserve">     WIP - CAPITALIZED TIME</v>
      </c>
      <c r="C82" s="878">
        <f>+E82</f>
        <v>138513.91999999998</v>
      </c>
      <c r="D82" s="879">
        <v>0</v>
      </c>
      <c r="E82" s="881">
        <f>INDEX('COPY ELECTRONIC TB HERE'!$D$2:$D$449,MATCH('Linked TB'!A82,'COPY ELECTRONIC TB HERE'!$A$2:$A$449,0))</f>
        <v>138513.91999999998</v>
      </c>
      <c r="F82" s="888">
        <f t="shared" ref="F82:F96" si="9">+IF(UPPER(H82)="ACTUAL",C82,INDEX(ALLOCATION_TABLE,MATCH(UPPER(H82),INDEX(ALLOCATION_TABLE,0,1),0),5)*E82)</f>
        <v>138513.91999999998</v>
      </c>
      <c r="G82" s="881">
        <f>+E82-F82</f>
        <v>0</v>
      </c>
      <c r="H82" s="882" t="s">
        <v>503</v>
      </c>
    </row>
    <row r="83" spans="1:8">
      <c r="A83" s="877">
        <v>1666</v>
      </c>
      <c r="B83" s="858" t="str">
        <f>INDEX('COPY ELECTRONIC TB HERE'!$B$2:$B$449,MATCH('Linked TB'!A83,'COPY ELECTRONIC TB HERE'!$A$2:$A$449,0))</f>
        <v xml:space="preserve">     WIP - INTEREST DURING CONSTR</v>
      </c>
      <c r="C83" s="878">
        <f t="shared" ref="C83:C93" si="10">+E83</f>
        <v>13178.100000000002</v>
      </c>
      <c r="D83" s="879">
        <v>0</v>
      </c>
      <c r="E83" s="881">
        <f>INDEX('COPY ELECTRONIC TB HERE'!$D$2:$D$449,MATCH('Linked TB'!A83,'COPY ELECTRONIC TB HERE'!$A$2:$A$449,0))</f>
        <v>13178.100000000002</v>
      </c>
      <c r="F83" s="888">
        <f t="shared" si="9"/>
        <v>13178.100000000002</v>
      </c>
      <c r="G83" s="881">
        <f t="shared" ref="G83:G91" si="11">+E83-F83</f>
        <v>0</v>
      </c>
      <c r="H83" s="882" t="s">
        <v>503</v>
      </c>
    </row>
    <row r="84" spans="1:8">
      <c r="A84" s="877">
        <v>1667</v>
      </c>
      <c r="B84" s="858" t="str">
        <f>INDEX('COPY ELECTRONIC TB HERE'!$B$2:$B$449,MATCH('Linked TB'!A84,'COPY ELECTRONIC TB HERE'!$A$2:$A$449,0))</f>
        <v xml:space="preserve">     WIP - ENGINEERING</v>
      </c>
      <c r="C84" s="878">
        <f t="shared" si="10"/>
        <v>3150</v>
      </c>
      <c r="D84" s="879">
        <v>0</v>
      </c>
      <c r="E84" s="881">
        <f>INDEX('COPY ELECTRONIC TB HERE'!$D$2:$D$449,MATCH('Linked TB'!A84,'COPY ELECTRONIC TB HERE'!$A$2:$A$449,0))</f>
        <v>3150</v>
      </c>
      <c r="F84" s="888">
        <f t="shared" si="9"/>
        <v>3150</v>
      </c>
      <c r="G84" s="881">
        <f t="shared" si="11"/>
        <v>0</v>
      </c>
      <c r="H84" s="882" t="s">
        <v>503</v>
      </c>
    </row>
    <row r="85" spans="1:8">
      <c r="A85" s="877">
        <v>1668</v>
      </c>
      <c r="B85" s="858" t="str">
        <f>INDEX('COPY ELECTRONIC TB HERE'!$B$2:$B$449,MATCH('Linked TB'!A85,'COPY ELECTRONIC TB HERE'!$A$2:$A$449,0))</f>
        <v xml:space="preserve">     WIP - LABOR/INSTALLATION</v>
      </c>
      <c r="C85" s="878">
        <f t="shared" si="10"/>
        <v>269671.96999999997</v>
      </c>
      <c r="D85" s="879">
        <v>0</v>
      </c>
      <c r="E85" s="881">
        <f>INDEX('COPY ELECTRONIC TB HERE'!$D$2:$D$449,MATCH('Linked TB'!A85,'COPY ELECTRONIC TB HERE'!$A$2:$A$449,0))</f>
        <v>269671.96999999997</v>
      </c>
      <c r="F85" s="888">
        <f t="shared" si="9"/>
        <v>269671.96999999997</v>
      </c>
      <c r="G85" s="881">
        <f t="shared" si="11"/>
        <v>0</v>
      </c>
      <c r="H85" s="882" t="s">
        <v>503</v>
      </c>
    </row>
    <row r="86" spans="1:8">
      <c r="A86" s="877">
        <v>1669</v>
      </c>
      <c r="B86" s="858" t="str">
        <f>INDEX('COPY ELECTRONIC TB HERE'!$B$2:$B$449,MATCH('Linked TB'!A86,'COPY ELECTRONIC TB HERE'!$A$2:$A$449,0))</f>
        <v xml:space="preserve">     WIP - EQUIPMENT</v>
      </c>
      <c r="C86" s="878">
        <f t="shared" si="10"/>
        <v>204363.16999999998</v>
      </c>
      <c r="D86" s="879">
        <v>0</v>
      </c>
      <c r="E86" s="881">
        <f>INDEX('COPY ELECTRONIC TB HERE'!$D$2:$D$449,MATCH('Linked TB'!A86,'COPY ELECTRONIC TB HERE'!$A$2:$A$449,0))</f>
        <v>204363.16999999998</v>
      </c>
      <c r="F86" s="888">
        <f t="shared" si="9"/>
        <v>204363.16999999998</v>
      </c>
      <c r="G86" s="881">
        <f t="shared" si="11"/>
        <v>0</v>
      </c>
      <c r="H86" s="882" t="s">
        <v>503</v>
      </c>
    </row>
    <row r="87" spans="1:8">
      <c r="A87" s="877">
        <v>1670</v>
      </c>
      <c r="B87" s="858" t="str">
        <f>INDEX('COPY ELECTRONIC TB HERE'!$B$2:$B$449,MATCH('Linked TB'!A87,'COPY ELECTRONIC TB HERE'!$A$2:$A$449,0))</f>
        <v xml:space="preserve">     WIP - MATERIAL</v>
      </c>
      <c r="C87" s="878">
        <f t="shared" si="10"/>
        <v>143275.58000000002</v>
      </c>
      <c r="D87" s="879">
        <v>0</v>
      </c>
      <c r="E87" s="881">
        <f>INDEX('COPY ELECTRONIC TB HERE'!$D$2:$D$449,MATCH('Linked TB'!A87,'COPY ELECTRONIC TB HERE'!$A$2:$A$449,0))</f>
        <v>143275.58000000002</v>
      </c>
      <c r="F87" s="888">
        <f t="shared" si="9"/>
        <v>143275.58000000002</v>
      </c>
      <c r="G87" s="881">
        <f t="shared" si="11"/>
        <v>0</v>
      </c>
      <c r="H87" s="882" t="s">
        <v>503</v>
      </c>
    </row>
    <row r="88" spans="1:8">
      <c r="A88" s="877">
        <v>1672</v>
      </c>
      <c r="B88" s="858" t="str">
        <f>INDEX('COPY ELECTRONIC TB HERE'!$B$2:$B$449,MATCH('Linked TB'!A88,'COPY ELECTRONIC TB HERE'!$A$2:$A$449,0))</f>
        <v xml:space="preserve">     WIP - PIPING</v>
      </c>
      <c r="C88" s="878">
        <f t="shared" si="10"/>
        <v>45367.13</v>
      </c>
      <c r="D88" s="879">
        <v>0</v>
      </c>
      <c r="E88" s="881">
        <f>INDEX('COPY ELECTRONIC TB HERE'!$D$2:$D$449,MATCH('Linked TB'!A88,'COPY ELECTRONIC TB HERE'!$A$2:$A$449,0))</f>
        <v>45367.13</v>
      </c>
      <c r="F88" s="888">
        <f t="shared" si="9"/>
        <v>45367.13</v>
      </c>
      <c r="G88" s="881">
        <f t="shared" si="11"/>
        <v>0</v>
      </c>
      <c r="H88" s="882" t="s">
        <v>503</v>
      </c>
    </row>
    <row r="89" spans="1:8">
      <c r="A89" s="877">
        <v>1673</v>
      </c>
      <c r="B89" s="858" t="str">
        <f>INDEX('COPY ELECTRONIC TB HERE'!$B$2:$B$449,MATCH('Linked TB'!A89,'COPY ELECTRONIC TB HERE'!$A$2:$A$449,0))</f>
        <v xml:space="preserve">     WIP - SITE WORK</v>
      </c>
      <c r="C89" s="878">
        <f t="shared" si="10"/>
        <v>1410</v>
      </c>
      <c r="D89" s="879">
        <v>0</v>
      </c>
      <c r="E89" s="881">
        <f>INDEX('COPY ELECTRONIC TB HERE'!$D$2:$D$449,MATCH('Linked TB'!A89,'COPY ELECTRONIC TB HERE'!$A$2:$A$449,0))</f>
        <v>1410</v>
      </c>
      <c r="F89" s="888">
        <f t="shared" si="9"/>
        <v>1410</v>
      </c>
      <c r="G89" s="881">
        <f t="shared" si="11"/>
        <v>0</v>
      </c>
      <c r="H89" s="882" t="s">
        <v>503</v>
      </c>
    </row>
    <row r="90" spans="1:8">
      <c r="A90" s="877">
        <v>1683</v>
      </c>
      <c r="B90" s="858" t="str">
        <f>INDEX('COPY ELECTRONIC TB HERE'!$B$2:$B$449,MATCH('Linked TB'!A90,'COPY ELECTRONIC TB HERE'!$A$2:$A$449,0))</f>
        <v xml:space="preserve">     WIP - PUMPS/EQUIPMENT</v>
      </c>
      <c r="C90" s="878">
        <f t="shared" si="10"/>
        <v>6351.62</v>
      </c>
      <c r="D90" s="879">
        <v>0</v>
      </c>
      <c r="E90" s="881">
        <f>INDEX('COPY ELECTRONIC TB HERE'!$D$2:$D$449,MATCH('Linked TB'!A90,'COPY ELECTRONIC TB HERE'!$A$2:$A$449,0))</f>
        <v>6351.62</v>
      </c>
      <c r="F90" s="888">
        <f t="shared" si="9"/>
        <v>6351.62</v>
      </c>
      <c r="G90" s="881">
        <f t="shared" si="11"/>
        <v>0</v>
      </c>
      <c r="H90" s="882" t="s">
        <v>503</v>
      </c>
    </row>
    <row r="91" spans="1:8">
      <c r="A91" s="877">
        <v>1699</v>
      </c>
      <c r="B91" s="858" t="str">
        <f>INDEX('COPY ELECTRONIC TB HERE'!$B$2:$B$449,MATCH('Linked TB'!A91,'COPY ELECTRONIC TB HERE'!$A$2:$A$449,0))</f>
        <v xml:space="preserve">     WIP - TRANSFER TO FIXED ASSETS</v>
      </c>
      <c r="C91" s="878">
        <f t="shared" si="10"/>
        <v>-825281.49000000011</v>
      </c>
      <c r="D91" s="879">
        <v>0</v>
      </c>
      <c r="E91" s="881">
        <f>INDEX('COPY ELECTRONIC TB HERE'!$D$2:$D$449,MATCH('Linked TB'!A91,'COPY ELECTRONIC TB HERE'!$A$2:$A$449,0))</f>
        <v>-825281.49000000011</v>
      </c>
      <c r="F91" s="888">
        <f t="shared" si="9"/>
        <v>-825281.49000000011</v>
      </c>
      <c r="G91" s="881">
        <f t="shared" si="11"/>
        <v>0</v>
      </c>
      <c r="H91" s="882" t="s">
        <v>503</v>
      </c>
    </row>
    <row r="92" spans="1:8">
      <c r="A92" s="877">
        <v>1739</v>
      </c>
      <c r="B92" s="858" t="str">
        <f>INDEX('COPY ELECTRONIC TB HERE'!$B$2:$B$449,MATCH('Linked TB'!A92,'COPY ELECTRONIC TB HERE'!$A$2:$A$449,0))</f>
        <v xml:space="preserve">     SEWER PLANT IN PROCESS</v>
      </c>
      <c r="C92" s="878">
        <f t="shared" si="10"/>
        <v>0</v>
      </c>
      <c r="D92" s="879">
        <f>+E92</f>
        <v>0</v>
      </c>
      <c r="E92" s="881">
        <f>INDEX('COPY ELECTRONIC TB HERE'!$D$2:$D$449,MATCH('Linked TB'!A92,'COPY ELECTRONIC TB HERE'!$A$2:$A$449,0))</f>
        <v>0</v>
      </c>
      <c r="F92" s="888">
        <f t="shared" si="9"/>
        <v>0</v>
      </c>
      <c r="G92" s="881">
        <f>+E92-F92</f>
        <v>0</v>
      </c>
      <c r="H92" s="882" t="s">
        <v>503</v>
      </c>
    </row>
    <row r="93" spans="1:8">
      <c r="A93" s="877">
        <v>1769</v>
      </c>
      <c r="B93" s="858" t="str">
        <f>INDEX('COPY ELECTRONIC TB HERE'!$B$2:$B$449,MATCH('Linked TB'!A93,'COPY ELECTRONIC TB HERE'!$A$2:$A$449,0))</f>
        <v xml:space="preserve">     OTHER PLANT IN PROCESS</v>
      </c>
      <c r="C93" s="878">
        <f t="shared" si="10"/>
        <v>0</v>
      </c>
      <c r="D93" s="879">
        <f>+E93</f>
        <v>0</v>
      </c>
      <c r="E93" s="881">
        <f>INDEX('COPY ELECTRONIC TB HERE'!$D$2:$D$449,MATCH('Linked TB'!A93,'COPY ELECTRONIC TB HERE'!$A$2:$A$449,0))</f>
        <v>0</v>
      </c>
      <c r="F93" s="888">
        <f t="shared" si="9"/>
        <v>0</v>
      </c>
      <c r="G93" s="881">
        <f>+E93-F93</f>
        <v>0</v>
      </c>
      <c r="H93" s="882" t="s">
        <v>503</v>
      </c>
    </row>
    <row r="94" spans="1:8">
      <c r="A94" s="877">
        <v>1775</v>
      </c>
      <c r="B94" s="858" t="str">
        <f>INDEX('COPY ELECTRONIC TB HERE'!$B$2:$B$449,MATCH('Linked TB'!A94,'COPY ELECTRONIC TB HERE'!$A$2:$A$449,0))</f>
        <v xml:space="preserve">     WIP - CAPITALIZED TIME</v>
      </c>
      <c r="C94" s="878">
        <v>0</v>
      </c>
      <c r="D94" s="879">
        <f t="shared" ref="D94:D95" si="12">+E94</f>
        <v>6518.89</v>
      </c>
      <c r="E94" s="881">
        <f>INDEX('COPY ELECTRONIC TB HERE'!$D$2:$D$449,MATCH('Linked TB'!A94,'COPY ELECTRONIC TB HERE'!$A$2:$A$449,0))</f>
        <v>6518.89</v>
      </c>
      <c r="F94" s="888">
        <f t="shared" si="9"/>
        <v>0</v>
      </c>
      <c r="G94" s="881">
        <f t="shared" ref="G94:G95" si="13">+E94-F94</f>
        <v>6518.89</v>
      </c>
      <c r="H94" s="882" t="s">
        <v>503</v>
      </c>
    </row>
    <row r="95" spans="1:8">
      <c r="A95" s="877">
        <v>1782</v>
      </c>
      <c r="B95" s="858" t="str">
        <f>INDEX('COPY ELECTRONIC TB HERE'!$B$2:$B$449,MATCH('Linked TB'!A95,'COPY ELECTRONIC TB HERE'!$A$2:$A$449,0))</f>
        <v xml:space="preserve">     WIP - CONTRACTOR/LABOR</v>
      </c>
      <c r="C95" s="878">
        <v>0</v>
      </c>
      <c r="D95" s="879">
        <f t="shared" si="12"/>
        <v>95125.58</v>
      </c>
      <c r="E95" s="881">
        <f>INDEX('COPY ELECTRONIC TB HERE'!$D$2:$D$449,MATCH('Linked TB'!A95,'COPY ELECTRONIC TB HERE'!$A$2:$A$449,0))</f>
        <v>95125.58</v>
      </c>
      <c r="F95" s="888">
        <f t="shared" si="9"/>
        <v>0</v>
      </c>
      <c r="G95" s="881">
        <f t="shared" si="13"/>
        <v>95125.58</v>
      </c>
      <c r="H95" s="882" t="s">
        <v>503</v>
      </c>
    </row>
    <row r="96" spans="1:8">
      <c r="A96" s="877">
        <v>1799</v>
      </c>
      <c r="B96" s="858" t="str">
        <f>INDEX('COPY ELECTRONIC TB HERE'!$B$2:$B$449,MATCH('Linked TB'!A96,'COPY ELECTRONIC TB HERE'!$A$2:$A$449,0))</f>
        <v xml:space="preserve">     DEFERRED PLANT IN PROCESS</v>
      </c>
      <c r="C96" s="878">
        <v>0</v>
      </c>
      <c r="D96" s="879">
        <f>+E96</f>
        <v>-101644.47</v>
      </c>
      <c r="E96" s="881">
        <f>INDEX('COPY ELECTRONIC TB HERE'!$D$2:$D$449,MATCH('Linked TB'!A96,'COPY ELECTRONIC TB HERE'!$A$2:$A$449,0))</f>
        <v>-101644.47</v>
      </c>
      <c r="F96" s="888">
        <f t="shared" si="9"/>
        <v>0</v>
      </c>
      <c r="G96" s="881">
        <f>+E96-F96</f>
        <v>-101644.47</v>
      </c>
      <c r="H96" s="882" t="s">
        <v>503</v>
      </c>
    </row>
    <row r="97" spans="1:8" ht="5.0999999999999996" customHeight="1">
      <c r="A97" s="877"/>
      <c r="C97" s="885">
        <v>0</v>
      </c>
      <c r="D97" s="886">
        <v>0</v>
      </c>
      <c r="E97" s="887">
        <v>0</v>
      </c>
      <c r="F97" s="893">
        <v>0</v>
      </c>
      <c r="G97" s="887">
        <v>0</v>
      </c>
      <c r="H97" s="882"/>
    </row>
    <row r="98" spans="1:8">
      <c r="A98" s="877" t="s">
        <v>1153</v>
      </c>
      <c r="B98" s="858" t="s">
        <v>1157</v>
      </c>
      <c r="C98" s="888">
        <f>SUM(C82:C97)</f>
        <v>-1.1641532182693481E-10</v>
      </c>
      <c r="D98" s="881">
        <f>SUM(D82:D97)</f>
        <v>0</v>
      </c>
      <c r="E98" s="881">
        <f>SUM(E82:E97)</f>
        <v>-1.1641532182693481E-10</v>
      </c>
      <c r="F98" s="1354">
        <f>SUM(F82:F97)</f>
        <v>-1.1641532182693481E-10</v>
      </c>
      <c r="G98" s="881">
        <f>SUM(G82:G97)</f>
        <v>0</v>
      </c>
      <c r="H98" s="882"/>
    </row>
    <row r="99" spans="1:8">
      <c r="A99" s="877"/>
      <c r="C99" s="878"/>
      <c r="D99" s="879"/>
      <c r="E99" s="881"/>
      <c r="F99" s="888"/>
      <c r="G99" s="881"/>
      <c r="H99" s="882"/>
    </row>
    <row r="100" spans="1:8">
      <c r="A100" s="877">
        <v>1835</v>
      </c>
      <c r="B100" s="858" t="str">
        <f>INDEX('COPY ELECTRONIC TB HERE'!$B$2:$B$449,MATCH('Linked TB'!A100,'COPY ELECTRONIC TB HERE'!$A$2:$A$449,0))</f>
        <v xml:space="preserve">     ACC DEPR-ORGANIZATION</v>
      </c>
      <c r="C100" s="878">
        <f>+E100</f>
        <v>-14634.56</v>
      </c>
      <c r="D100" s="879">
        <v>0</v>
      </c>
      <c r="E100" s="881">
        <f>INDEX('COPY ELECTRONIC TB HERE'!$D$2:$D$449,MATCH('Linked TB'!A100,'COPY ELECTRONIC TB HERE'!$A$2:$A$449,0))</f>
        <v>-14634.56</v>
      </c>
      <c r="F100" s="888">
        <f>+IF(UPPER(H100)="ACTUAL",C100,INDEX(ALLOCATION_TABLE,MATCH(UPPER(H100),INDEX(ALLOCATION_TABLE,0,1),0),5)*E100)</f>
        <v>-14634.56</v>
      </c>
      <c r="G100" s="881">
        <f>+E100-F100</f>
        <v>0</v>
      </c>
      <c r="H100" s="882" t="s">
        <v>503</v>
      </c>
    </row>
    <row r="101" spans="1:8">
      <c r="A101" s="877">
        <v>1840</v>
      </c>
      <c r="B101" s="858" t="str">
        <f>INDEX('COPY ELECTRONIC TB HERE'!$B$2:$B$449,MATCH('Linked TB'!A101,'COPY ELECTRONIC TB HERE'!$A$2:$A$449,0))</f>
        <v xml:space="preserve">     ACC DEPR-FRANCHISES</v>
      </c>
      <c r="C101" s="878">
        <f t="shared" ref="C101:C127" si="14">+E101</f>
        <v>0</v>
      </c>
      <c r="D101" s="879">
        <v>0</v>
      </c>
      <c r="E101" s="881">
        <f>INDEX('COPY ELECTRONIC TB HERE'!$D$2:$D$449,MATCH('Linked TB'!A101,'COPY ELECTRONIC TB HERE'!$A$2:$A$449,0))</f>
        <v>0</v>
      </c>
      <c r="F101" s="888">
        <f t="shared" ref="F101:F127" si="15">+IF(UPPER(H101)="ACTUAL",C101,INDEX(ALLOCATION_TABLE,MATCH(UPPER(H101),INDEX(ALLOCATION_TABLE,0,1),0),5)*E101)</f>
        <v>0</v>
      </c>
      <c r="G101" s="881">
        <f t="shared" ref="G101:G127" si="16">+E101-F101</f>
        <v>0</v>
      </c>
      <c r="H101" s="882" t="s">
        <v>503</v>
      </c>
    </row>
    <row r="102" spans="1:8">
      <c r="A102" s="877">
        <v>1845</v>
      </c>
      <c r="B102" s="858" t="str">
        <f>INDEX('COPY ELECTRONIC TB HERE'!$B$2:$B$449,MATCH('Linked TB'!A102,'COPY ELECTRONIC TB HERE'!$A$2:$A$449,0))</f>
        <v xml:space="preserve">     ACC DEPR-STRUCT&amp;IMPRV SRC</v>
      </c>
      <c r="C102" s="878">
        <f t="shared" si="14"/>
        <v>-28339.11</v>
      </c>
      <c r="D102" s="879">
        <v>0</v>
      </c>
      <c r="E102" s="881">
        <f>INDEX('COPY ELECTRONIC TB HERE'!$D$2:$D$449,MATCH('Linked TB'!A102,'COPY ELECTRONIC TB HERE'!$A$2:$A$449,0))</f>
        <v>-28339.11</v>
      </c>
      <c r="F102" s="888">
        <f t="shared" si="15"/>
        <v>-28339.11</v>
      </c>
      <c r="G102" s="881">
        <f t="shared" si="16"/>
        <v>0</v>
      </c>
      <c r="H102" s="882" t="s">
        <v>503</v>
      </c>
    </row>
    <row r="103" spans="1:8">
      <c r="A103" s="877">
        <v>1850</v>
      </c>
      <c r="B103" s="858" t="str">
        <f>INDEX('COPY ELECTRONIC TB HERE'!$B$2:$B$449,MATCH('Linked TB'!A103,'COPY ELECTRONIC TB HERE'!$A$2:$A$449,0))</f>
        <v xml:space="preserve">     ACC DEPR-STRUCT&amp;IMPRV WTP</v>
      </c>
      <c r="C103" s="878">
        <f t="shared" si="14"/>
        <v>-170405.97</v>
      </c>
      <c r="D103" s="879">
        <v>0</v>
      </c>
      <c r="E103" s="881">
        <f>INDEX('COPY ELECTRONIC TB HERE'!$D$2:$D$449,MATCH('Linked TB'!A103,'COPY ELECTRONIC TB HERE'!$A$2:$A$449,0))</f>
        <v>-170405.97</v>
      </c>
      <c r="F103" s="888">
        <f t="shared" si="15"/>
        <v>-170405.97</v>
      </c>
      <c r="G103" s="881">
        <f t="shared" si="16"/>
        <v>0</v>
      </c>
      <c r="H103" s="882" t="s">
        <v>503</v>
      </c>
    </row>
    <row r="104" spans="1:8">
      <c r="A104" s="877">
        <v>1855</v>
      </c>
      <c r="B104" s="858" t="str">
        <f>INDEX('COPY ELECTRONIC TB HERE'!$B$2:$B$449,MATCH('Linked TB'!A104,'COPY ELECTRONIC TB HERE'!$A$2:$A$449,0))</f>
        <v xml:space="preserve">     ACC DEPR-STRUCT&amp;IMPRV TRN</v>
      </c>
      <c r="C104" s="878">
        <f>+E104</f>
        <v>0</v>
      </c>
      <c r="D104" s="879">
        <v>0</v>
      </c>
      <c r="E104" s="881">
        <f>INDEX('COPY ELECTRONIC TB HERE'!$D$2:$D$449,MATCH('Linked TB'!A104,'COPY ELECTRONIC TB HERE'!$A$2:$A$449,0))</f>
        <v>0</v>
      </c>
      <c r="F104" s="888">
        <f>+IF(UPPER(H104)="ACTUAL",C104,INDEX(ALLOCATION_TABLE,MATCH(UPPER(H104),INDEX(ALLOCATION_TABLE,0,1),0),5)*E104)</f>
        <v>0</v>
      </c>
      <c r="G104" s="881">
        <f>+E104-F104</f>
        <v>0</v>
      </c>
      <c r="H104" s="882" t="s">
        <v>503</v>
      </c>
    </row>
    <row r="105" spans="1:8">
      <c r="A105" s="877">
        <v>1860</v>
      </c>
      <c r="B105" s="858" t="str">
        <f>INDEX('COPY ELECTRONIC TB HERE'!$B$2:$B$449,MATCH('Linked TB'!A105,'COPY ELECTRONIC TB HERE'!$A$2:$A$449,0))</f>
        <v xml:space="preserve">     ACC DEPR-STRUCT&amp;IMPRV GEN</v>
      </c>
      <c r="C105" s="878">
        <f>+E105</f>
        <v>-13180.15</v>
      </c>
      <c r="D105" s="879"/>
      <c r="E105" s="881">
        <f>INDEX('COPY ELECTRONIC TB HERE'!$D$2:$D$449,MATCH('Linked TB'!A105,'COPY ELECTRONIC TB HERE'!$A$2:$A$449,0))</f>
        <v>-13180.15</v>
      </c>
      <c r="F105" s="888">
        <f>+IF(UPPER(H105)="ACTUAL",C105,INDEX(ALLOCATION_TABLE,MATCH(UPPER(H105),INDEX(ALLOCATION_TABLE,0,1),0),5)*E105)</f>
        <v>-13180.15</v>
      </c>
      <c r="G105" s="881">
        <f>+E105-F105</f>
        <v>0</v>
      </c>
      <c r="H105" s="882" t="s">
        <v>503</v>
      </c>
    </row>
    <row r="106" spans="1:8">
      <c r="A106" s="877">
        <v>1875</v>
      </c>
      <c r="B106" s="858" t="str">
        <f>INDEX('COPY ELECTRONIC TB HERE'!$B$2:$B$449,MATCH('Linked TB'!A106,'COPY ELECTRONIC TB HERE'!$A$2:$A$449,0))</f>
        <v xml:space="preserve">     ACC DEPR-WELLS &amp; SPRINGS</v>
      </c>
      <c r="C106" s="878">
        <f t="shared" si="14"/>
        <v>-89895.47</v>
      </c>
      <c r="D106" s="879">
        <v>0</v>
      </c>
      <c r="E106" s="881">
        <f>INDEX('COPY ELECTRONIC TB HERE'!$D$2:$D$449,MATCH('Linked TB'!A106,'COPY ELECTRONIC TB HERE'!$A$2:$A$449,0))</f>
        <v>-89895.47</v>
      </c>
      <c r="F106" s="888">
        <f t="shared" si="15"/>
        <v>-89895.47</v>
      </c>
      <c r="G106" s="881">
        <f t="shared" si="16"/>
        <v>0</v>
      </c>
      <c r="H106" s="882" t="s">
        <v>503</v>
      </c>
    </row>
    <row r="107" spans="1:8">
      <c r="A107" s="877">
        <v>1885</v>
      </c>
      <c r="B107" s="858" t="str">
        <f>INDEX('COPY ELECTRONIC TB HERE'!$B$2:$B$449,MATCH('Linked TB'!A107,'COPY ELECTRONIC TB HERE'!$A$2:$A$449,0))</f>
        <v xml:space="preserve">     ACC DEPR-SUPPLY MAINS</v>
      </c>
      <c r="C107" s="878">
        <f t="shared" si="14"/>
        <v>-546.64</v>
      </c>
      <c r="D107" s="879">
        <v>0</v>
      </c>
      <c r="E107" s="881">
        <f>INDEX('COPY ELECTRONIC TB HERE'!$D$2:$D$449,MATCH('Linked TB'!A107,'COPY ELECTRONIC TB HERE'!$A$2:$A$449,0))</f>
        <v>-546.64</v>
      </c>
      <c r="F107" s="888">
        <f t="shared" si="15"/>
        <v>-546.64</v>
      </c>
      <c r="G107" s="881">
        <f t="shared" si="16"/>
        <v>0</v>
      </c>
      <c r="H107" s="882" t="s">
        <v>503</v>
      </c>
    </row>
    <row r="108" spans="1:8">
      <c r="A108" s="877">
        <v>1895</v>
      </c>
      <c r="B108" s="858" t="str">
        <f>INDEX('COPY ELECTRONIC TB HERE'!$B$2:$B$449,MATCH('Linked TB'!A108,'COPY ELECTRONIC TB HERE'!$A$2:$A$449,0))</f>
        <v xml:space="preserve">     ACC DEPR-ELECT PUMP EQUIP</v>
      </c>
      <c r="C108" s="878">
        <f t="shared" si="14"/>
        <v>-182</v>
      </c>
      <c r="D108" s="879">
        <v>0</v>
      </c>
      <c r="E108" s="881">
        <f>INDEX('COPY ELECTRONIC TB HERE'!$D$2:$D$449,MATCH('Linked TB'!A108,'COPY ELECTRONIC TB HERE'!$A$2:$A$449,0))</f>
        <v>-182</v>
      </c>
      <c r="F108" s="888">
        <f t="shared" si="15"/>
        <v>-182</v>
      </c>
      <c r="G108" s="881">
        <f t="shared" si="16"/>
        <v>0</v>
      </c>
      <c r="H108" s="882" t="s">
        <v>503</v>
      </c>
    </row>
    <row r="109" spans="1:8">
      <c r="A109" s="877">
        <v>1900</v>
      </c>
      <c r="B109" s="858" t="str">
        <f>INDEX('COPY ELECTRONIC TB HERE'!$B$2:$B$449,MATCH('Linked TB'!A109,'COPY ELECTRONIC TB HERE'!$A$2:$A$449,0))</f>
        <v xml:space="preserve">     ACC DEPR-ELECT PUMP EQUIP</v>
      </c>
      <c r="C109" s="878">
        <f t="shared" si="14"/>
        <v>-109802.84</v>
      </c>
      <c r="D109" s="879">
        <v>0</v>
      </c>
      <c r="E109" s="881">
        <f>INDEX('COPY ELECTRONIC TB HERE'!$D$2:$D$449,MATCH('Linked TB'!A109,'COPY ELECTRONIC TB HERE'!$A$2:$A$449,0))</f>
        <v>-109802.84</v>
      </c>
      <c r="F109" s="888">
        <f t="shared" si="15"/>
        <v>-109802.84</v>
      </c>
      <c r="G109" s="881">
        <f t="shared" si="16"/>
        <v>0</v>
      </c>
      <c r="H109" s="882" t="s">
        <v>503</v>
      </c>
    </row>
    <row r="110" spans="1:8">
      <c r="A110" s="877">
        <v>1905</v>
      </c>
      <c r="B110" s="858" t="str">
        <f>INDEX('COPY ELECTRONIC TB HERE'!$B$2:$B$449,MATCH('Linked TB'!A110,'COPY ELECTRONIC TB HERE'!$A$2:$A$449,0))</f>
        <v xml:space="preserve">     ACC DEPR-ELECT PUMP EQUIP</v>
      </c>
      <c r="C110" s="878">
        <f t="shared" si="14"/>
        <v>140.58000000000001</v>
      </c>
      <c r="D110" s="879"/>
      <c r="E110" s="881">
        <f>INDEX('COPY ELECTRONIC TB HERE'!$D$2:$D$449,MATCH('Linked TB'!A110,'COPY ELECTRONIC TB HERE'!$A$2:$A$449,0))</f>
        <v>140.58000000000001</v>
      </c>
      <c r="F110" s="888">
        <f>+IF(UPPER(H110)="ACTUAL",C110,INDEX(ALLOCATION_TABLE,MATCH(UPPER(H110),INDEX(ALLOCATION_TABLE,0,1),0),5)*E110)</f>
        <v>140.58000000000001</v>
      </c>
      <c r="G110" s="881">
        <f t="shared" si="16"/>
        <v>0</v>
      </c>
      <c r="H110" s="882" t="s">
        <v>503</v>
      </c>
    </row>
    <row r="111" spans="1:8">
      <c r="A111" s="877">
        <v>1910</v>
      </c>
      <c r="B111" s="858" t="str">
        <f>INDEX('COPY ELECTRONIC TB HERE'!$B$2:$B$449,MATCH('Linked TB'!A111,'COPY ELECTRONIC TB HERE'!$A$2:$A$449,0))</f>
        <v xml:space="preserve">     ACC DEPR-WATER TREATMENT</v>
      </c>
      <c r="C111" s="878">
        <f t="shared" si="14"/>
        <v>-220145.62</v>
      </c>
      <c r="D111" s="879">
        <v>0</v>
      </c>
      <c r="E111" s="881">
        <f>INDEX('COPY ELECTRONIC TB HERE'!$D$2:$D$449,MATCH('Linked TB'!A111,'COPY ELECTRONIC TB HERE'!$A$2:$A$449,0))</f>
        <v>-220145.62</v>
      </c>
      <c r="F111" s="888">
        <f t="shared" si="15"/>
        <v>-220145.62</v>
      </c>
      <c r="G111" s="881">
        <f t="shared" si="16"/>
        <v>0</v>
      </c>
      <c r="H111" s="882" t="s">
        <v>503</v>
      </c>
    </row>
    <row r="112" spans="1:8">
      <c r="A112" s="877">
        <v>1915</v>
      </c>
      <c r="B112" s="858" t="str">
        <f>INDEX('COPY ELECTRONIC TB HERE'!$B$2:$B$449,MATCH('Linked TB'!A112,'COPY ELECTRONIC TB HERE'!$A$2:$A$449,0))</f>
        <v xml:space="preserve">     ACC DEPR-DIST RESV &amp; STAN</v>
      </c>
      <c r="C112" s="878">
        <f t="shared" si="14"/>
        <v>-252417.26</v>
      </c>
      <c r="D112" s="879">
        <v>0</v>
      </c>
      <c r="E112" s="881">
        <f>INDEX('COPY ELECTRONIC TB HERE'!$D$2:$D$449,MATCH('Linked TB'!A112,'COPY ELECTRONIC TB HERE'!$A$2:$A$449,0))</f>
        <v>-252417.26</v>
      </c>
      <c r="F112" s="888">
        <f t="shared" si="15"/>
        <v>-252417.26</v>
      </c>
      <c r="G112" s="881">
        <f t="shared" si="16"/>
        <v>0</v>
      </c>
      <c r="H112" s="882" t="s">
        <v>503</v>
      </c>
    </row>
    <row r="113" spans="1:8">
      <c r="A113" s="877">
        <v>1920</v>
      </c>
      <c r="B113" s="858" t="str">
        <f>INDEX('COPY ELECTRONIC TB HERE'!$B$2:$B$449,MATCH('Linked TB'!A113,'COPY ELECTRONIC TB HERE'!$A$2:$A$449,0))</f>
        <v xml:space="preserve">     ACC DEPR-TRANS &amp; DISTR MA</v>
      </c>
      <c r="C113" s="878">
        <f t="shared" si="14"/>
        <v>-1446044.13</v>
      </c>
      <c r="D113" s="879">
        <v>0</v>
      </c>
      <c r="E113" s="881">
        <f>INDEX('COPY ELECTRONIC TB HERE'!$D$2:$D$449,MATCH('Linked TB'!A113,'COPY ELECTRONIC TB HERE'!$A$2:$A$449,0))</f>
        <v>-1446044.13</v>
      </c>
      <c r="F113" s="888">
        <f t="shared" si="15"/>
        <v>-1446044.13</v>
      </c>
      <c r="G113" s="881">
        <f t="shared" si="16"/>
        <v>0</v>
      </c>
      <c r="H113" s="882" t="s">
        <v>503</v>
      </c>
    </row>
    <row r="114" spans="1:8">
      <c r="A114" s="877">
        <v>1925</v>
      </c>
      <c r="B114" s="858" t="str">
        <f>INDEX('COPY ELECTRONIC TB HERE'!$B$2:$B$449,MATCH('Linked TB'!A114,'COPY ELECTRONIC TB HERE'!$A$2:$A$449,0))</f>
        <v xml:space="preserve">     ACC DEPR-SERVICE LINES</v>
      </c>
      <c r="C114" s="878">
        <f t="shared" si="14"/>
        <v>-597585.35</v>
      </c>
      <c r="D114" s="879">
        <v>0</v>
      </c>
      <c r="E114" s="881">
        <f>INDEX('COPY ELECTRONIC TB HERE'!$D$2:$D$449,MATCH('Linked TB'!A114,'COPY ELECTRONIC TB HERE'!$A$2:$A$449,0))</f>
        <v>-597585.35</v>
      </c>
      <c r="F114" s="888">
        <f t="shared" si="15"/>
        <v>-597585.35</v>
      </c>
      <c r="G114" s="881">
        <f t="shared" si="16"/>
        <v>0</v>
      </c>
      <c r="H114" s="882" t="s">
        <v>503</v>
      </c>
    </row>
    <row r="115" spans="1:8">
      <c r="A115" s="877">
        <v>1930</v>
      </c>
      <c r="B115" s="858" t="str">
        <f>INDEX('COPY ELECTRONIC TB HERE'!$B$2:$B$449,MATCH('Linked TB'!A115,'COPY ELECTRONIC TB HERE'!$A$2:$A$449,0))</f>
        <v xml:space="preserve">     ACC DEPR-METERS</v>
      </c>
      <c r="C115" s="878">
        <f t="shared" si="14"/>
        <v>-449512.03</v>
      </c>
      <c r="D115" s="879">
        <v>0</v>
      </c>
      <c r="E115" s="881">
        <f>INDEX('COPY ELECTRONIC TB HERE'!$D$2:$D$449,MATCH('Linked TB'!A115,'COPY ELECTRONIC TB HERE'!$A$2:$A$449,0))</f>
        <v>-449512.03</v>
      </c>
      <c r="F115" s="888">
        <f t="shared" si="15"/>
        <v>-449512.03</v>
      </c>
      <c r="G115" s="881">
        <f t="shared" si="16"/>
        <v>0</v>
      </c>
      <c r="H115" s="882" t="s">
        <v>503</v>
      </c>
    </row>
    <row r="116" spans="1:8">
      <c r="A116" s="877">
        <v>1935</v>
      </c>
      <c r="B116" s="858" t="str">
        <f>INDEX('COPY ELECTRONIC TB HERE'!$B$2:$B$449,MATCH('Linked TB'!A116,'COPY ELECTRONIC TB HERE'!$A$2:$A$449,0))</f>
        <v xml:space="preserve">     ACC DEPR-METER INSTALLS</v>
      </c>
      <c r="C116" s="878">
        <f t="shared" si="14"/>
        <v>-187289.75</v>
      </c>
      <c r="D116" s="879">
        <v>0</v>
      </c>
      <c r="E116" s="881">
        <f>INDEX('COPY ELECTRONIC TB HERE'!$D$2:$D$449,MATCH('Linked TB'!A116,'COPY ELECTRONIC TB HERE'!$A$2:$A$449,0))</f>
        <v>-187289.75</v>
      </c>
      <c r="F116" s="888">
        <f t="shared" si="15"/>
        <v>-187289.75</v>
      </c>
      <c r="G116" s="881">
        <f t="shared" si="16"/>
        <v>0</v>
      </c>
      <c r="H116" s="882" t="s">
        <v>503</v>
      </c>
    </row>
    <row r="117" spans="1:8">
      <c r="A117" s="877">
        <v>1940</v>
      </c>
      <c r="B117" s="858" t="str">
        <f>INDEX('COPY ELECTRONIC TB HERE'!$B$2:$B$449,MATCH('Linked TB'!A117,'COPY ELECTRONIC TB HERE'!$A$2:$A$449,0))</f>
        <v xml:space="preserve">     ACC DEPR-HYDRANTS</v>
      </c>
      <c r="C117" s="878">
        <f t="shared" si="14"/>
        <v>-64175.43</v>
      </c>
      <c r="D117" s="879">
        <v>0</v>
      </c>
      <c r="E117" s="881">
        <f>INDEX('COPY ELECTRONIC TB HERE'!$D$2:$D$449,MATCH('Linked TB'!A117,'COPY ELECTRONIC TB HERE'!$A$2:$A$449,0))</f>
        <v>-64175.43</v>
      </c>
      <c r="F117" s="888">
        <f t="shared" si="15"/>
        <v>-64175.43</v>
      </c>
      <c r="G117" s="881">
        <f t="shared" si="16"/>
        <v>0</v>
      </c>
      <c r="H117" s="882" t="s">
        <v>503</v>
      </c>
    </row>
    <row r="118" spans="1:8">
      <c r="A118" s="877">
        <v>1945</v>
      </c>
      <c r="B118" s="858" t="str">
        <f>INDEX('COPY ELECTRONIC TB HERE'!$B$2:$B$449,MATCH('Linked TB'!A118,'COPY ELECTRONIC TB HERE'!$A$2:$A$449,0))</f>
        <v xml:space="preserve">     ACC DEPR-BACKFLOW PREVENT</v>
      </c>
      <c r="C118" s="878">
        <f t="shared" si="14"/>
        <v>0</v>
      </c>
      <c r="D118" s="879">
        <v>0</v>
      </c>
      <c r="E118" s="881">
        <f>INDEX('COPY ELECTRONIC TB HERE'!$D$2:$D$449,MATCH('Linked TB'!A118,'COPY ELECTRONIC TB HERE'!$A$2:$A$449,0))</f>
        <v>0</v>
      </c>
      <c r="F118" s="888">
        <f t="shared" si="15"/>
        <v>0</v>
      </c>
      <c r="G118" s="881">
        <f t="shared" si="16"/>
        <v>0</v>
      </c>
      <c r="H118" s="882" t="s">
        <v>503</v>
      </c>
    </row>
    <row r="119" spans="1:8">
      <c r="A119" s="877">
        <v>1965</v>
      </c>
      <c r="B119" s="858" t="str">
        <f>INDEX('COPY ELECTRONIC TB HERE'!$B$2:$B$449,MATCH('Linked TB'!A119,'COPY ELECTRONIC TB HERE'!$A$2:$A$449,0))</f>
        <v xml:space="preserve">     ACC DEPR-OTH PLANT&amp;MISC T</v>
      </c>
      <c r="C119" s="878">
        <f t="shared" si="14"/>
        <v>0</v>
      </c>
      <c r="D119" s="879">
        <v>0</v>
      </c>
      <c r="E119" s="881">
        <f>INDEX('COPY ELECTRONIC TB HERE'!$D$2:$D$449,MATCH('Linked TB'!A119,'COPY ELECTRONIC TB HERE'!$A$2:$A$449,0))</f>
        <v>0</v>
      </c>
      <c r="F119" s="888">
        <f t="shared" si="15"/>
        <v>0</v>
      </c>
      <c r="G119" s="881">
        <f t="shared" si="16"/>
        <v>0</v>
      </c>
      <c r="H119" s="882" t="s">
        <v>503</v>
      </c>
    </row>
    <row r="120" spans="1:8">
      <c r="A120" s="877">
        <v>1970</v>
      </c>
      <c r="B120" s="858" t="str">
        <f>INDEX('COPY ELECTRONIC TB HERE'!$B$2:$B$449,MATCH('Linked TB'!A120,'COPY ELECTRONIC TB HERE'!$A$2:$A$449,0))</f>
        <v xml:space="preserve">     ACC DEPR-OFFICE STRUCTURE</v>
      </c>
      <c r="C120" s="878">
        <f t="shared" si="14"/>
        <v>-57488.38</v>
      </c>
      <c r="D120" s="879"/>
      <c r="E120" s="881">
        <f>INDEX('COPY ELECTRONIC TB HERE'!$D$2:$D$449,MATCH('Linked TB'!A120,'COPY ELECTRONIC TB HERE'!$A$2:$A$449,0))</f>
        <v>-57488.38</v>
      </c>
      <c r="F120" s="888">
        <f>+IF(UPPER(H120)="ACTUAL",C120,INDEX(ALLOCATION_TABLE,MATCH(UPPER(H120),INDEX(ALLOCATION_TABLE,0,1),0),5)*E120)</f>
        <v>-57488.38</v>
      </c>
      <c r="G120" s="881">
        <f t="shared" si="16"/>
        <v>0</v>
      </c>
      <c r="H120" s="882" t="s">
        <v>503</v>
      </c>
    </row>
    <row r="121" spans="1:8">
      <c r="A121" s="877">
        <v>1975</v>
      </c>
      <c r="B121" s="858" t="str">
        <f>INDEX('COPY ELECTRONIC TB HERE'!$B$2:$B$449,MATCH('Linked TB'!A121,'COPY ELECTRONIC TB HERE'!$A$2:$A$449,0))</f>
        <v xml:space="preserve">     ACC DEPR-OFFICE FURN/EQPT</v>
      </c>
      <c r="C121" s="878">
        <f t="shared" si="14"/>
        <v>-87678.25</v>
      </c>
      <c r="D121" s="879">
        <v>0</v>
      </c>
      <c r="E121" s="881">
        <f>INDEX('COPY ELECTRONIC TB HERE'!$D$2:$D$449,MATCH('Linked TB'!A121,'COPY ELECTRONIC TB HERE'!$A$2:$A$449,0))</f>
        <v>-87678.25</v>
      </c>
      <c r="F121" s="888">
        <f t="shared" si="15"/>
        <v>-87678.25</v>
      </c>
      <c r="G121" s="881">
        <f t="shared" si="16"/>
        <v>0</v>
      </c>
      <c r="H121" s="882" t="s">
        <v>503</v>
      </c>
    </row>
    <row r="122" spans="1:8">
      <c r="A122" s="877">
        <v>1985</v>
      </c>
      <c r="B122" s="858" t="str">
        <f>INDEX('COPY ELECTRONIC TB HERE'!$B$2:$B$449,MATCH('Linked TB'!A122,'COPY ELECTRONIC TB HERE'!$A$2:$A$449,0))</f>
        <v xml:space="preserve">     ACC DEPR-TOOL SHOP &amp; MISC</v>
      </c>
      <c r="C122" s="878">
        <f t="shared" si="14"/>
        <v>-127396.51</v>
      </c>
      <c r="D122" s="879">
        <v>0</v>
      </c>
      <c r="E122" s="881">
        <f>INDEX('COPY ELECTRONIC TB HERE'!$D$2:$D$449,MATCH('Linked TB'!A122,'COPY ELECTRONIC TB HERE'!$A$2:$A$449,0))</f>
        <v>-127396.51</v>
      </c>
      <c r="F122" s="888">
        <f t="shared" si="15"/>
        <v>-127396.51</v>
      </c>
      <c r="G122" s="881">
        <f t="shared" si="16"/>
        <v>0</v>
      </c>
      <c r="H122" s="882" t="s">
        <v>503</v>
      </c>
    </row>
    <row r="123" spans="1:8">
      <c r="A123" s="877">
        <v>1990</v>
      </c>
      <c r="B123" s="858" t="str">
        <f>INDEX('COPY ELECTRONIC TB HERE'!$B$2:$B$449,MATCH('Linked TB'!A123,'COPY ELECTRONIC TB HERE'!$A$2:$A$449,0))</f>
        <v xml:space="preserve">     ACC DEPR-LABORATORY EQUIP</v>
      </c>
      <c r="C123" s="878">
        <f t="shared" si="14"/>
        <v>-27136.57</v>
      </c>
      <c r="D123" s="879">
        <v>0</v>
      </c>
      <c r="E123" s="881">
        <f>INDEX('COPY ELECTRONIC TB HERE'!$D$2:$D$449,MATCH('Linked TB'!A123,'COPY ELECTRONIC TB HERE'!$A$2:$A$449,0))</f>
        <v>-27136.57</v>
      </c>
      <c r="F123" s="888">
        <f t="shared" si="15"/>
        <v>-27136.57</v>
      </c>
      <c r="G123" s="881">
        <f t="shared" si="16"/>
        <v>0</v>
      </c>
      <c r="H123" s="882" t="s">
        <v>503</v>
      </c>
    </row>
    <row r="124" spans="1:8">
      <c r="A124" s="877">
        <v>1995</v>
      </c>
      <c r="B124" s="858" t="str">
        <f>INDEX('COPY ELECTRONIC TB HERE'!$B$2:$B$449,MATCH('Linked TB'!A124,'COPY ELECTRONIC TB HERE'!$A$2:$A$449,0))</f>
        <v xml:space="preserve">     ACC DEPR-POWER OPERATED EQUIP</v>
      </c>
      <c r="C124" s="878">
        <f t="shared" ref="C124" si="17">+E124</f>
        <v>-214.2</v>
      </c>
      <c r="D124" s="879">
        <v>0</v>
      </c>
      <c r="E124" s="881">
        <f>INDEX('COPY ELECTRONIC TB HERE'!$D$2:$D$449,MATCH('Linked TB'!A124,'COPY ELECTRONIC TB HERE'!$A$2:$A$449,0))</f>
        <v>-214.2</v>
      </c>
      <c r="F124" s="888">
        <f t="shared" ref="F124" si="18">+IF(UPPER(H124)="ACTUAL",C124,INDEX(ALLOCATION_TABLE,MATCH(UPPER(H124),INDEX(ALLOCATION_TABLE,0,1),0),5)*E124)</f>
        <v>-214.2</v>
      </c>
      <c r="G124" s="881">
        <f t="shared" ref="G124" si="19">+E124-F124</f>
        <v>0</v>
      </c>
      <c r="H124" s="882" t="s">
        <v>503</v>
      </c>
    </row>
    <row r="125" spans="1:8">
      <c r="A125" s="877">
        <v>2000</v>
      </c>
      <c r="B125" s="858" t="str">
        <f>INDEX('COPY ELECTRONIC TB HERE'!$B$2:$B$449,MATCH('Linked TB'!A125,'COPY ELECTRONIC TB HERE'!$A$2:$A$449,0))</f>
        <v xml:space="preserve">     ACC DEPR-COMMUNICATION EQ</v>
      </c>
      <c r="C125" s="878">
        <f t="shared" si="14"/>
        <v>-41344.78</v>
      </c>
      <c r="D125" s="879">
        <v>0</v>
      </c>
      <c r="E125" s="881">
        <f>INDEX('COPY ELECTRONIC TB HERE'!$D$2:$D$449,MATCH('Linked TB'!A125,'COPY ELECTRONIC TB HERE'!$A$2:$A$449,0))</f>
        <v>-41344.78</v>
      </c>
      <c r="F125" s="888">
        <f t="shared" si="15"/>
        <v>-41344.78</v>
      </c>
      <c r="G125" s="881">
        <f t="shared" si="16"/>
        <v>0</v>
      </c>
      <c r="H125" s="882" t="s">
        <v>503</v>
      </c>
    </row>
    <row r="126" spans="1:8">
      <c r="A126" s="877">
        <v>2005</v>
      </c>
      <c r="B126" s="858" t="str">
        <f>INDEX('COPY ELECTRONIC TB HERE'!$B$2:$B$449,MATCH('Linked TB'!A126,'COPY ELECTRONIC TB HERE'!$A$2:$A$449,0))</f>
        <v xml:space="preserve">     ACC DEPR-MISC EQUIPMENT</v>
      </c>
      <c r="C126" s="878">
        <f t="shared" si="14"/>
        <v>0</v>
      </c>
      <c r="D126" s="879">
        <v>0</v>
      </c>
      <c r="E126" s="881">
        <f>INDEX('COPY ELECTRONIC TB HERE'!$D$2:$D$449,MATCH('Linked TB'!A126,'COPY ELECTRONIC TB HERE'!$A$2:$A$449,0))</f>
        <v>0</v>
      </c>
      <c r="F126" s="888">
        <f t="shared" si="15"/>
        <v>0</v>
      </c>
      <c r="G126" s="881">
        <f t="shared" si="16"/>
        <v>0</v>
      </c>
      <c r="H126" s="882" t="s">
        <v>503</v>
      </c>
    </row>
    <row r="127" spans="1:8">
      <c r="A127" s="877">
        <v>2010</v>
      </c>
      <c r="B127" s="858" t="str">
        <f>INDEX('COPY ELECTRONIC TB HERE'!$B$2:$B$449,MATCH('Linked TB'!A127,'COPY ELECTRONIC TB HERE'!$A$2:$A$449,0))</f>
        <v xml:space="preserve">     ACC DEPR-OTHER TANG PLT W</v>
      </c>
      <c r="C127" s="878">
        <f t="shared" si="14"/>
        <v>-11893.6</v>
      </c>
      <c r="D127" s="879">
        <v>0</v>
      </c>
      <c r="E127" s="881">
        <f>INDEX('COPY ELECTRONIC TB HERE'!$D$2:$D$449,MATCH('Linked TB'!A127,'COPY ELECTRONIC TB HERE'!$A$2:$A$449,0))</f>
        <v>-11893.6</v>
      </c>
      <c r="F127" s="888">
        <f t="shared" si="15"/>
        <v>-11893.6</v>
      </c>
      <c r="G127" s="881">
        <f t="shared" si="16"/>
        <v>0</v>
      </c>
      <c r="H127" s="882" t="s">
        <v>503</v>
      </c>
    </row>
    <row r="128" spans="1:8">
      <c r="A128" s="877">
        <v>2030</v>
      </c>
      <c r="B128" s="858" t="str">
        <f>INDEX('COPY ELECTRONIC TB HERE'!$B$2:$B$449,MATCH('Linked TB'!A128,'COPY ELECTRONIC TB HERE'!$A$2:$A$449,0))</f>
        <v xml:space="preserve">     ACC DEPR-ORGANIZATION</v>
      </c>
      <c r="C128" s="878">
        <v>0</v>
      </c>
      <c r="D128" s="879">
        <f>+E128</f>
        <v>0</v>
      </c>
      <c r="E128" s="881">
        <f>INDEX('COPY ELECTRONIC TB HERE'!$D$2:$D$449,MATCH('Linked TB'!A128,'COPY ELECTRONIC TB HERE'!$A$2:$A$449,0))</f>
        <v>0</v>
      </c>
      <c r="F128" s="888">
        <f>+IF(UPPER(H128)="ACTUAL",C128,INDEX(ALLOCATION_TABLE,MATCH(UPPER(H128),INDEX(ALLOCATION_TABLE,0,1),0),5)*E128)</f>
        <v>0</v>
      </c>
      <c r="G128" s="881">
        <f>+E128-F128</f>
        <v>0</v>
      </c>
      <c r="H128" s="882" t="s">
        <v>503</v>
      </c>
    </row>
    <row r="129" spans="1:8">
      <c r="A129" s="877">
        <v>2040</v>
      </c>
      <c r="B129" s="858" t="str">
        <f>INDEX('COPY ELECTRONIC TB HERE'!$B$2:$B$449,MATCH('Linked TB'!A129,'COPY ELECTRONIC TB HERE'!$A$2:$A$449,0))</f>
        <v xml:space="preserve">     ACC DEPR FRANCHISES INTAN</v>
      </c>
      <c r="C129" s="878">
        <v>0</v>
      </c>
      <c r="D129" s="879">
        <f t="shared" ref="D129:D156" si="20">+E129</f>
        <v>0</v>
      </c>
      <c r="E129" s="881">
        <f>INDEX('COPY ELECTRONIC TB HERE'!$D$2:$D$449,MATCH('Linked TB'!A129,'COPY ELECTRONIC TB HERE'!$A$2:$A$449,0))</f>
        <v>0</v>
      </c>
      <c r="F129" s="888">
        <f t="shared" ref="F129:F157" si="21">+IF(UPPER(H129)="ACTUAL",C129,INDEX(ALLOCATION_TABLE,MATCH(UPPER(H129),INDEX(ALLOCATION_TABLE,0,1),0),5)*E129)</f>
        <v>0</v>
      </c>
      <c r="G129" s="881">
        <f t="shared" ref="G129:G159" si="22">+E129-F129</f>
        <v>0</v>
      </c>
      <c r="H129" s="882" t="s">
        <v>503</v>
      </c>
    </row>
    <row r="130" spans="1:8">
      <c r="A130" s="877">
        <v>2050</v>
      </c>
      <c r="B130" s="858" t="str">
        <f>INDEX('COPY ELECTRONIC TB HERE'!$B$2:$B$449,MATCH('Linked TB'!A130,'COPY ELECTRONIC TB HERE'!$A$2:$A$449,0))</f>
        <v xml:space="preserve">     ACC DEPR-STRUCT/IMPRV COL</v>
      </c>
      <c r="C130" s="878">
        <v>0</v>
      </c>
      <c r="D130" s="879">
        <f t="shared" si="20"/>
        <v>0</v>
      </c>
      <c r="E130" s="881">
        <f>INDEX('COPY ELECTRONIC TB HERE'!$D$2:$D$449,MATCH('Linked TB'!A130,'COPY ELECTRONIC TB HERE'!$A$2:$A$449,0))</f>
        <v>0</v>
      </c>
      <c r="F130" s="888">
        <f t="shared" si="21"/>
        <v>0</v>
      </c>
      <c r="G130" s="881">
        <f t="shared" si="22"/>
        <v>0</v>
      </c>
      <c r="H130" s="882" t="s">
        <v>503</v>
      </c>
    </row>
    <row r="131" spans="1:8">
      <c r="A131" s="877">
        <v>2055</v>
      </c>
      <c r="B131" s="858" t="str">
        <f>INDEX('COPY ELECTRONIC TB HERE'!$B$2:$B$449,MATCH('Linked TB'!A131,'COPY ELECTRONIC TB HERE'!$A$2:$A$449,0))</f>
        <v xml:space="preserve">     ACC DEPR-STRUCT/IMPRV PUM</v>
      </c>
      <c r="C131" s="878">
        <v>0</v>
      </c>
      <c r="D131" s="879">
        <f t="shared" si="20"/>
        <v>0</v>
      </c>
      <c r="E131" s="881">
        <f>INDEX('COPY ELECTRONIC TB HERE'!$D$2:$D$449,MATCH('Linked TB'!A131,'COPY ELECTRONIC TB HERE'!$A$2:$A$449,0))</f>
        <v>0</v>
      </c>
      <c r="F131" s="888">
        <f t="shared" si="21"/>
        <v>0</v>
      </c>
      <c r="G131" s="881">
        <f t="shared" si="22"/>
        <v>0</v>
      </c>
      <c r="H131" s="882" t="s">
        <v>503</v>
      </c>
    </row>
    <row r="132" spans="1:8">
      <c r="A132" s="877">
        <v>2065</v>
      </c>
      <c r="B132" s="858" t="str">
        <f>INDEX('COPY ELECTRONIC TB HERE'!$B$2:$B$449,MATCH('Linked TB'!A132,'COPY ELECTRONIC TB HERE'!$A$2:$A$449,0))</f>
        <v xml:space="preserve">     ACC DEPR-STRUCT/IMPRV RCL</v>
      </c>
      <c r="C132" s="878">
        <v>0</v>
      </c>
      <c r="D132" s="879">
        <f t="shared" si="20"/>
        <v>0</v>
      </c>
      <c r="E132" s="881">
        <f>INDEX('COPY ELECTRONIC TB HERE'!$D$2:$D$449,MATCH('Linked TB'!A132,'COPY ELECTRONIC TB HERE'!$A$2:$A$449,0))</f>
        <v>0</v>
      </c>
      <c r="F132" s="888">
        <f t="shared" si="21"/>
        <v>0</v>
      </c>
      <c r="G132" s="881">
        <f t="shared" si="22"/>
        <v>0</v>
      </c>
      <c r="H132" s="882" t="s">
        <v>503</v>
      </c>
    </row>
    <row r="133" spans="1:8">
      <c r="A133" s="877">
        <v>2075</v>
      </c>
      <c r="B133" s="858" t="str">
        <f>INDEX('COPY ELECTRONIC TB HERE'!$B$2:$B$449,MATCH('Linked TB'!A133,'COPY ELECTRONIC TB HERE'!$A$2:$A$449,0))</f>
        <v xml:space="preserve">     ACC DEPR-STRUCT/IMPRV GEN</v>
      </c>
      <c r="C133" s="878">
        <v>0</v>
      </c>
      <c r="D133" s="879">
        <f t="shared" si="20"/>
        <v>-2.86</v>
      </c>
      <c r="E133" s="881">
        <f>INDEX('COPY ELECTRONIC TB HERE'!$D$2:$D$449,MATCH('Linked TB'!A133,'COPY ELECTRONIC TB HERE'!$A$2:$A$449,0))</f>
        <v>-2.86</v>
      </c>
      <c r="F133" s="888">
        <f t="shared" si="21"/>
        <v>0</v>
      </c>
      <c r="G133" s="881">
        <f t="shared" si="22"/>
        <v>-2.86</v>
      </c>
      <c r="H133" s="882" t="s">
        <v>503</v>
      </c>
    </row>
    <row r="134" spans="1:8">
      <c r="A134" s="877">
        <v>2090</v>
      </c>
      <c r="B134" s="858" t="str">
        <f>INDEX('COPY ELECTRONIC TB HERE'!$B$2:$B$449,MATCH('Linked TB'!A134,'COPY ELECTRONIC TB HERE'!$A$2:$A$449,0))</f>
        <v xml:space="preserve">     ACC DEPR-PWR GEN EQP TRT</v>
      </c>
      <c r="C134" s="878">
        <v>0</v>
      </c>
      <c r="D134" s="879">
        <f t="shared" si="20"/>
        <v>0</v>
      </c>
      <c r="E134" s="881">
        <f>INDEX('COPY ELECTRONIC TB HERE'!$D$2:$D$449,MATCH('Linked TB'!A134,'COPY ELECTRONIC TB HERE'!$A$2:$A$449,0))</f>
        <v>0</v>
      </c>
      <c r="F134" s="888">
        <f t="shared" si="21"/>
        <v>0</v>
      </c>
      <c r="G134" s="881">
        <f t="shared" si="22"/>
        <v>0</v>
      </c>
      <c r="H134" s="882" t="s">
        <v>503</v>
      </c>
    </row>
    <row r="135" spans="1:8">
      <c r="A135" s="877">
        <v>2105</v>
      </c>
      <c r="B135" s="858" t="str">
        <f>INDEX('COPY ELECTRONIC TB HERE'!$B$2:$B$449,MATCH('Linked TB'!A135,'COPY ELECTRONIC TB HERE'!$A$2:$A$449,0))</f>
        <v xml:space="preserve">     ACC DEPR-SEWER FORCE MAIN</v>
      </c>
      <c r="C135" s="878">
        <v>0</v>
      </c>
      <c r="D135" s="879">
        <f t="shared" si="20"/>
        <v>-29.6</v>
      </c>
      <c r="E135" s="881">
        <f>INDEX('COPY ELECTRONIC TB HERE'!$D$2:$D$449,MATCH('Linked TB'!A135,'COPY ELECTRONIC TB HERE'!$A$2:$A$449,0))</f>
        <v>-29.6</v>
      </c>
      <c r="F135" s="888">
        <f t="shared" si="21"/>
        <v>0</v>
      </c>
      <c r="G135" s="881">
        <f t="shared" si="22"/>
        <v>-29.6</v>
      </c>
      <c r="H135" s="882" t="s">
        <v>503</v>
      </c>
    </row>
    <row r="136" spans="1:8">
      <c r="A136" s="877">
        <v>2110</v>
      </c>
      <c r="B136" s="858" t="str">
        <f>INDEX('COPY ELECTRONIC TB HERE'!$B$2:$B$449,MATCH('Linked TB'!A136,'COPY ELECTRONIC TB HERE'!$A$2:$A$449,0))</f>
        <v xml:space="preserve">     ACC DEPR-SEWER GRVTY MAIN</v>
      </c>
      <c r="C136" s="878">
        <v>0</v>
      </c>
      <c r="D136" s="879">
        <f t="shared" si="20"/>
        <v>-95.92</v>
      </c>
      <c r="E136" s="881">
        <f>INDEX('COPY ELECTRONIC TB HERE'!$D$2:$D$449,MATCH('Linked TB'!A136,'COPY ELECTRONIC TB HERE'!$A$2:$A$449,0))</f>
        <v>-95.92</v>
      </c>
      <c r="F136" s="888">
        <f t="shared" si="21"/>
        <v>0</v>
      </c>
      <c r="G136" s="881">
        <f t="shared" si="22"/>
        <v>-95.92</v>
      </c>
      <c r="H136" s="882" t="s">
        <v>503</v>
      </c>
    </row>
    <row r="137" spans="1:8">
      <c r="A137" s="877">
        <v>2120</v>
      </c>
      <c r="B137" s="858" t="str">
        <f>INDEX('COPY ELECTRONIC TB HERE'!$B$2:$B$449,MATCH('Linked TB'!A137,'COPY ELECTRONIC TB HERE'!$A$2:$A$449,0))</f>
        <v xml:space="preserve">     ACC DEPR-SERVICES TO CUST</v>
      </c>
      <c r="C137" s="878">
        <v>0</v>
      </c>
      <c r="D137" s="879">
        <f t="shared" si="20"/>
        <v>-6</v>
      </c>
      <c r="E137" s="881">
        <f>INDEX('COPY ELECTRONIC TB HERE'!$D$2:$D$449,MATCH('Linked TB'!A137,'COPY ELECTRONIC TB HERE'!$A$2:$A$449,0))</f>
        <v>-6</v>
      </c>
      <c r="F137" s="888">
        <f t="shared" si="21"/>
        <v>0</v>
      </c>
      <c r="G137" s="881">
        <f t="shared" si="22"/>
        <v>-6</v>
      </c>
      <c r="H137" s="882" t="s">
        <v>503</v>
      </c>
    </row>
    <row r="138" spans="1:8">
      <c r="A138" s="877">
        <v>2125</v>
      </c>
      <c r="B138" s="858" t="str">
        <f>INDEX('COPY ELECTRONIC TB HERE'!$B$2:$B$449,MATCH('Linked TB'!A138,'COPY ELECTRONIC TB HERE'!$A$2:$A$449,0))</f>
        <v xml:space="preserve">     ACC DEPR-FLOW MEASURE DEV</v>
      </c>
      <c r="C138" s="878">
        <v>0</v>
      </c>
      <c r="D138" s="879">
        <f t="shared" si="20"/>
        <v>-46.63</v>
      </c>
      <c r="E138" s="881">
        <f>INDEX('COPY ELECTRONIC TB HERE'!$D$2:$D$449,MATCH('Linked TB'!A138,'COPY ELECTRONIC TB HERE'!$A$2:$A$449,0))</f>
        <v>-46.63</v>
      </c>
      <c r="F138" s="888">
        <f t="shared" si="21"/>
        <v>0</v>
      </c>
      <c r="G138" s="881">
        <f t="shared" si="22"/>
        <v>-46.63</v>
      </c>
      <c r="H138" s="882" t="s">
        <v>503</v>
      </c>
    </row>
    <row r="139" spans="1:8">
      <c r="A139" s="877">
        <v>2130</v>
      </c>
      <c r="B139" s="858" t="str">
        <f>INDEX('COPY ELECTRONIC TB HERE'!$B$2:$B$449,MATCH('Linked TB'!A139,'COPY ELECTRONIC TB HERE'!$A$2:$A$449,0))</f>
        <v xml:space="preserve">     ACC DEPR-FLOW MEASURE INS</v>
      </c>
      <c r="C139" s="878">
        <v>0</v>
      </c>
      <c r="D139" s="879">
        <f t="shared" si="20"/>
        <v>0</v>
      </c>
      <c r="E139" s="881">
        <f>INDEX('COPY ELECTRONIC TB HERE'!$D$2:$D$449,MATCH('Linked TB'!A139,'COPY ELECTRONIC TB HERE'!$A$2:$A$449,0))</f>
        <v>0</v>
      </c>
      <c r="F139" s="888">
        <f t="shared" si="21"/>
        <v>0</v>
      </c>
      <c r="G139" s="881">
        <f t="shared" si="22"/>
        <v>0</v>
      </c>
      <c r="H139" s="882" t="s">
        <v>503</v>
      </c>
    </row>
    <row r="140" spans="1:8">
      <c r="A140" s="877">
        <v>2140</v>
      </c>
      <c r="B140" s="858" t="str">
        <f>INDEX('COPY ELECTRONIC TB HERE'!$B$2:$B$449,MATCH('Linked TB'!A140,'COPY ELECTRONIC TB HERE'!$A$2:$A$449,0))</f>
        <v xml:space="preserve">     ACC DEPR-PUMP EQP PUMP PL</v>
      </c>
      <c r="C140" s="878">
        <v>0</v>
      </c>
      <c r="D140" s="879">
        <f t="shared" si="20"/>
        <v>-94.66</v>
      </c>
      <c r="E140" s="881">
        <f>INDEX('COPY ELECTRONIC TB HERE'!$D$2:$D$449,MATCH('Linked TB'!A140,'COPY ELECTRONIC TB HERE'!$A$2:$A$449,0))</f>
        <v>-94.66</v>
      </c>
      <c r="F140" s="888">
        <f t="shared" si="21"/>
        <v>0</v>
      </c>
      <c r="G140" s="881">
        <f t="shared" si="22"/>
        <v>-94.66</v>
      </c>
      <c r="H140" s="882" t="s">
        <v>503</v>
      </c>
    </row>
    <row r="141" spans="1:8">
      <c r="A141" s="877">
        <v>2145</v>
      </c>
      <c r="B141" s="858" t="str">
        <f>INDEX('COPY ELECTRONIC TB HERE'!$B$2:$B$449,MATCH('Linked TB'!A141,'COPY ELECTRONIC TB HERE'!$A$2:$A$449,0))</f>
        <v xml:space="preserve">     ACC DEPR-PUMP EQP RCLM WT</v>
      </c>
      <c r="C141" s="878">
        <v>0</v>
      </c>
      <c r="D141" s="879">
        <f t="shared" si="20"/>
        <v>0</v>
      </c>
      <c r="E141" s="881">
        <f>INDEX('COPY ELECTRONIC TB HERE'!$D$2:$D$449,MATCH('Linked TB'!A141,'COPY ELECTRONIC TB HERE'!$A$2:$A$449,0))</f>
        <v>0</v>
      </c>
      <c r="F141" s="888">
        <f t="shared" si="21"/>
        <v>0</v>
      </c>
      <c r="G141" s="881">
        <f t="shared" si="22"/>
        <v>0</v>
      </c>
      <c r="H141" s="882" t="s">
        <v>503</v>
      </c>
    </row>
    <row r="142" spans="1:8">
      <c r="A142" s="877">
        <v>2155</v>
      </c>
      <c r="B142" s="858" t="str">
        <f>INDEX('COPY ELECTRONIC TB HERE'!$B$2:$B$449,MATCH('Linked TB'!A142,'COPY ELECTRONIC TB HERE'!$A$2:$A$449,0))</f>
        <v xml:space="preserve">     ACC DEPR-TREAT/DISP EQP L</v>
      </c>
      <c r="C142" s="878"/>
      <c r="D142" s="879">
        <f t="shared" si="20"/>
        <v>-22.26</v>
      </c>
      <c r="E142" s="881">
        <f>INDEX('COPY ELECTRONIC TB HERE'!$D$2:$D$449,MATCH('Linked TB'!A142,'COPY ELECTRONIC TB HERE'!$A$2:$A$449,0))</f>
        <v>-22.26</v>
      </c>
      <c r="F142" s="888">
        <f>+IF(UPPER(H142)="ACTUAL",C142,INDEX(ALLOCATION_TABLE,MATCH(UPPER(H142),INDEX(ALLOCATION_TABLE,0,1),0),5)*E142)</f>
        <v>0</v>
      </c>
      <c r="G142" s="881">
        <f t="shared" si="22"/>
        <v>-22.26</v>
      </c>
      <c r="H142" s="882" t="s">
        <v>503</v>
      </c>
    </row>
    <row r="143" spans="1:8">
      <c r="A143" s="877">
        <v>2160</v>
      </c>
      <c r="B143" s="858" t="str">
        <f>INDEX('COPY ELECTRONIC TB HERE'!$B$2:$B$449,MATCH('Linked TB'!A143,'COPY ELECTRONIC TB HERE'!$A$2:$A$449,0))</f>
        <v xml:space="preserve">     ACC DEPR-TREAT/DISP EQP T</v>
      </c>
      <c r="C143" s="878">
        <v>0</v>
      </c>
      <c r="D143" s="879">
        <f t="shared" si="20"/>
        <v>-190.61</v>
      </c>
      <c r="E143" s="881">
        <f>INDEX('COPY ELECTRONIC TB HERE'!$D$2:$D$449,MATCH('Linked TB'!A143,'COPY ELECTRONIC TB HERE'!$A$2:$A$449,0))</f>
        <v>-190.61</v>
      </c>
      <c r="F143" s="888">
        <f t="shared" si="21"/>
        <v>0</v>
      </c>
      <c r="G143" s="881">
        <f t="shared" si="22"/>
        <v>-190.61</v>
      </c>
      <c r="H143" s="882" t="s">
        <v>503</v>
      </c>
    </row>
    <row r="144" spans="1:8">
      <c r="A144" s="877">
        <v>2170</v>
      </c>
      <c r="B144" s="858" t="str">
        <f>INDEX('COPY ELECTRONIC TB HERE'!$B$2:$B$449,MATCH('Linked TB'!A144,'COPY ELECTRONIC TB HERE'!$A$2:$A$449,0))</f>
        <v xml:space="preserve">     ACC DEPR-PLANT SEWERS TRT</v>
      </c>
      <c r="C144" s="878">
        <v>0</v>
      </c>
      <c r="D144" s="879">
        <f t="shared" si="20"/>
        <v>0</v>
      </c>
      <c r="E144" s="881">
        <f>INDEX('COPY ELECTRONIC TB HERE'!$D$2:$D$449,MATCH('Linked TB'!A144,'COPY ELECTRONIC TB HERE'!$A$2:$A$449,0))</f>
        <v>0</v>
      </c>
      <c r="F144" s="888">
        <f t="shared" si="21"/>
        <v>0</v>
      </c>
      <c r="G144" s="881">
        <f t="shared" si="22"/>
        <v>0</v>
      </c>
      <c r="H144" s="882" t="s">
        <v>503</v>
      </c>
    </row>
    <row r="145" spans="1:8">
      <c r="A145" s="877">
        <v>2180</v>
      </c>
      <c r="B145" s="858" t="str">
        <f>INDEX('COPY ELECTRONIC TB HERE'!$B$2:$B$449,MATCH('Linked TB'!A145,'COPY ELECTRONIC TB HERE'!$A$2:$A$449,0))</f>
        <v xml:space="preserve">     ACC DEPR-OUTFALL LINES</v>
      </c>
      <c r="C145" s="878">
        <v>0</v>
      </c>
      <c r="D145" s="879">
        <f t="shared" si="20"/>
        <v>0</v>
      </c>
      <c r="E145" s="881">
        <f>INDEX('COPY ELECTRONIC TB HERE'!$D$2:$D$449,MATCH('Linked TB'!A145,'COPY ELECTRONIC TB HERE'!$A$2:$A$449,0))</f>
        <v>0</v>
      </c>
      <c r="F145" s="888">
        <f t="shared" si="21"/>
        <v>0</v>
      </c>
      <c r="G145" s="881">
        <f t="shared" si="22"/>
        <v>0</v>
      </c>
      <c r="H145" s="882" t="s">
        <v>503</v>
      </c>
    </row>
    <row r="146" spans="1:8">
      <c r="A146" s="877">
        <v>2195</v>
      </c>
      <c r="B146" s="858" t="str">
        <f>INDEX('COPY ELECTRONIC TB HERE'!$B$2:$B$449,MATCH('Linked TB'!A146,'COPY ELECTRONIC TB HERE'!$A$2:$A$449,0))</f>
        <v xml:space="preserve">     ACC DEPR-OTHER PLT PUMP</v>
      </c>
      <c r="C146" s="878">
        <v>0</v>
      </c>
      <c r="D146" s="879">
        <f t="shared" si="20"/>
        <v>0</v>
      </c>
      <c r="E146" s="881">
        <f>INDEX('COPY ELECTRONIC TB HERE'!$D$2:$D$449,MATCH('Linked TB'!A146,'COPY ELECTRONIC TB HERE'!$A$2:$A$449,0))</f>
        <v>0</v>
      </c>
      <c r="F146" s="888">
        <f t="shared" si="21"/>
        <v>0</v>
      </c>
      <c r="G146" s="881">
        <f t="shared" si="22"/>
        <v>0</v>
      </c>
      <c r="H146" s="882" t="s">
        <v>503</v>
      </c>
    </row>
    <row r="147" spans="1:8">
      <c r="A147" s="877">
        <v>2225</v>
      </c>
      <c r="B147" s="858" t="str">
        <f>INDEX('COPY ELECTRONIC TB HERE'!$B$2:$B$449,MATCH('Linked TB'!A147,'COPY ELECTRONIC TB HERE'!$A$2:$A$449,0))</f>
        <v xml:space="preserve">     ACC DEPR-STORES EQUIPMENT</v>
      </c>
      <c r="C147" s="878">
        <v>0</v>
      </c>
      <c r="D147" s="879">
        <f t="shared" si="20"/>
        <v>0</v>
      </c>
      <c r="E147" s="881">
        <f>INDEX('COPY ELECTRONIC TB HERE'!$D$2:$D$449,MATCH('Linked TB'!A147,'COPY ELECTRONIC TB HERE'!$A$2:$A$449,0))</f>
        <v>0</v>
      </c>
      <c r="F147" s="888">
        <f t="shared" si="21"/>
        <v>0</v>
      </c>
      <c r="G147" s="881">
        <f t="shared" si="22"/>
        <v>0</v>
      </c>
      <c r="H147" s="882" t="s">
        <v>503</v>
      </c>
    </row>
    <row r="148" spans="1:8">
      <c r="A148" s="877">
        <v>2230</v>
      </c>
      <c r="B148" s="858" t="str">
        <f>INDEX('COPY ELECTRONIC TB HERE'!$B$2:$B$449,MATCH('Linked TB'!A148,'COPY ELECTRONIC TB HERE'!$A$2:$A$449,0))</f>
        <v xml:space="preserve">     ACC DEPR-TOOL SHOP &amp; MISC</v>
      </c>
      <c r="C148" s="878">
        <v>0</v>
      </c>
      <c r="D148" s="879">
        <f t="shared" si="20"/>
        <v>-1.26</v>
      </c>
      <c r="E148" s="881">
        <f>INDEX('COPY ELECTRONIC TB HERE'!$D$2:$D$449,MATCH('Linked TB'!A148,'COPY ELECTRONIC TB HERE'!$A$2:$A$449,0))</f>
        <v>-1.26</v>
      </c>
      <c r="F148" s="888">
        <f t="shared" si="21"/>
        <v>0</v>
      </c>
      <c r="G148" s="881">
        <f t="shared" si="22"/>
        <v>-1.26</v>
      </c>
      <c r="H148" s="882" t="s">
        <v>503</v>
      </c>
    </row>
    <row r="149" spans="1:8">
      <c r="A149" s="877">
        <v>2235</v>
      </c>
      <c r="B149" s="858" t="str">
        <f>INDEX('COPY ELECTRONIC TB HERE'!$B$2:$B$449,MATCH('Linked TB'!A149,'COPY ELECTRONIC TB HERE'!$A$2:$A$449,0))</f>
        <v xml:space="preserve">     ACC DEPR-LABORATORY EQPT</v>
      </c>
      <c r="C149" s="878">
        <v>0</v>
      </c>
      <c r="D149" s="879">
        <f t="shared" si="20"/>
        <v>-2.89</v>
      </c>
      <c r="E149" s="881">
        <f>INDEX('COPY ELECTRONIC TB HERE'!$D$2:$D$449,MATCH('Linked TB'!A149,'COPY ELECTRONIC TB HERE'!$A$2:$A$449,0))</f>
        <v>-2.89</v>
      </c>
      <c r="F149" s="888">
        <f t="shared" si="21"/>
        <v>0</v>
      </c>
      <c r="G149" s="881">
        <f t="shared" si="22"/>
        <v>-2.89</v>
      </c>
      <c r="H149" s="882" t="s">
        <v>503</v>
      </c>
    </row>
    <row r="150" spans="1:8">
      <c r="A150" s="877">
        <v>2240</v>
      </c>
      <c r="B150" s="858" t="str">
        <f>INDEX('COPY ELECTRONIC TB HERE'!$B$2:$B$449,MATCH('Linked TB'!A150,'COPY ELECTRONIC TB HERE'!$A$2:$A$449,0))</f>
        <v xml:space="preserve">     ACC DEPR-POWER OPERATED E</v>
      </c>
      <c r="C150" s="878">
        <v>0</v>
      </c>
      <c r="D150" s="879">
        <f t="shared" si="20"/>
        <v>0</v>
      </c>
      <c r="E150" s="881">
        <f>INDEX('COPY ELECTRONIC TB HERE'!$D$2:$D$449,MATCH('Linked TB'!A150,'COPY ELECTRONIC TB HERE'!$A$2:$A$449,0))</f>
        <v>0</v>
      </c>
      <c r="F150" s="888">
        <f t="shared" si="21"/>
        <v>0</v>
      </c>
      <c r="G150" s="881">
        <f t="shared" si="22"/>
        <v>0</v>
      </c>
      <c r="H150" s="882" t="s">
        <v>503</v>
      </c>
    </row>
    <row r="151" spans="1:8">
      <c r="A151" s="877">
        <v>2245</v>
      </c>
      <c r="B151" s="858" t="str">
        <f>INDEX('COPY ELECTRONIC TB HERE'!$B$2:$B$449,MATCH('Linked TB'!A151,'COPY ELECTRONIC TB HERE'!$A$2:$A$449,0))</f>
        <v xml:space="preserve">     ACC DEPR-COMMUNICATION EQ</v>
      </c>
      <c r="C151" s="878">
        <v>0</v>
      </c>
      <c r="D151" s="879">
        <f t="shared" si="20"/>
        <v>0</v>
      </c>
      <c r="E151" s="881">
        <f>INDEX('COPY ELECTRONIC TB HERE'!$D$2:$D$449,MATCH('Linked TB'!A151,'COPY ELECTRONIC TB HERE'!$A$2:$A$449,0))</f>
        <v>0</v>
      </c>
      <c r="F151" s="888">
        <f t="shared" si="21"/>
        <v>0</v>
      </c>
      <c r="G151" s="881">
        <f t="shared" si="22"/>
        <v>0</v>
      </c>
      <c r="H151" s="882" t="s">
        <v>503</v>
      </c>
    </row>
    <row r="152" spans="1:8">
      <c r="A152" s="877">
        <v>2250</v>
      </c>
      <c r="B152" s="858" t="str">
        <f>INDEX('COPY ELECTRONIC TB HERE'!$B$2:$B$449,MATCH('Linked TB'!A152,'COPY ELECTRONIC TB HERE'!$A$2:$A$449,0))</f>
        <v xml:space="preserve">     ACC DEPR-MISC EQUIP SEWER</v>
      </c>
      <c r="C152" s="878">
        <v>0</v>
      </c>
      <c r="D152" s="879">
        <f t="shared" si="20"/>
        <v>0</v>
      </c>
      <c r="E152" s="881">
        <f>INDEX('COPY ELECTRONIC TB HERE'!$D$2:$D$449,MATCH('Linked TB'!A152,'COPY ELECTRONIC TB HERE'!$A$2:$A$449,0))</f>
        <v>0</v>
      </c>
      <c r="F152" s="888">
        <f t="shared" si="21"/>
        <v>0</v>
      </c>
      <c r="G152" s="881">
        <f t="shared" si="22"/>
        <v>0</v>
      </c>
      <c r="H152" s="882" t="s">
        <v>503</v>
      </c>
    </row>
    <row r="153" spans="1:8">
      <c r="A153" s="877">
        <v>2280</v>
      </c>
      <c r="B153" s="858" t="str">
        <f>INDEX('COPY ELECTRONIC TB HERE'!$B$2:$B$449,MATCH('Linked TB'!A153,'COPY ELECTRONIC TB HERE'!$A$2:$A$449,0))</f>
        <v xml:space="preserve">     ACC DEPR-REUSE DIST RESER</v>
      </c>
      <c r="C153" s="878">
        <v>0</v>
      </c>
      <c r="D153" s="879">
        <f t="shared" si="20"/>
        <v>0</v>
      </c>
      <c r="E153" s="881">
        <f>INDEX('COPY ELECTRONIC TB HERE'!$D$2:$D$449,MATCH('Linked TB'!A153,'COPY ELECTRONIC TB HERE'!$A$2:$A$449,0))</f>
        <v>0</v>
      </c>
      <c r="F153" s="888">
        <f t="shared" si="21"/>
        <v>0</v>
      </c>
      <c r="G153" s="881">
        <f t="shared" si="22"/>
        <v>0</v>
      </c>
      <c r="H153" s="882" t="s">
        <v>503</v>
      </c>
    </row>
    <row r="154" spans="1:8">
      <c r="A154" s="877">
        <v>2285</v>
      </c>
      <c r="B154" s="858" t="str">
        <f>INDEX('COPY ELECTRONIC TB HERE'!$B$2:$B$449,MATCH('Linked TB'!A154,'COPY ELECTRONIC TB HERE'!$A$2:$A$449,0))</f>
        <v xml:space="preserve">     ACC DEPR-REUSE TRANS/DIST</v>
      </c>
      <c r="C154" s="878">
        <v>0</v>
      </c>
      <c r="D154" s="879">
        <f t="shared" si="20"/>
        <v>-7.8</v>
      </c>
      <c r="E154" s="881">
        <f>INDEX('COPY ELECTRONIC TB HERE'!$D$2:$D$449,MATCH('Linked TB'!A154,'COPY ELECTRONIC TB HERE'!$A$2:$A$449,0))</f>
        <v>-7.8</v>
      </c>
      <c r="F154" s="888">
        <f t="shared" si="21"/>
        <v>0</v>
      </c>
      <c r="G154" s="881">
        <f t="shared" si="22"/>
        <v>-7.8</v>
      </c>
      <c r="H154" s="882" t="s">
        <v>503</v>
      </c>
    </row>
    <row r="155" spans="1:8">
      <c r="A155" s="877">
        <v>2300</v>
      </c>
      <c r="B155" s="858" t="str">
        <f>INDEX('COPY ELECTRONIC TB HERE'!$B$2:$B$449,MATCH('Linked TB'!A155,'COPY ELECTRONIC TB HERE'!$A$2:$A$449,0))</f>
        <v xml:space="preserve">     ACC DEPR-TRANSPORTATION W</v>
      </c>
      <c r="C155" s="878"/>
      <c r="D155" s="879">
        <f t="shared" si="20"/>
        <v>-492673.95</v>
      </c>
      <c r="E155" s="881">
        <f>INDEX('COPY ELECTRONIC TB HERE'!$D$2:$D$449,MATCH('Linked TB'!A155,'COPY ELECTRONIC TB HERE'!$A$2:$A$449,0))</f>
        <v>-492673.95</v>
      </c>
      <c r="F155" s="888">
        <f>+IF(UPPER(H155)="ACTUAL",C155,INDEX(ALLOCATION_TABLE,MATCH(UPPER(H155),INDEX(ALLOCATION_TABLE,0,1),0),5)*E155)</f>
        <v>0</v>
      </c>
      <c r="G155" s="881">
        <f t="shared" si="22"/>
        <v>-492673.95</v>
      </c>
      <c r="H155" s="882" t="s">
        <v>503</v>
      </c>
    </row>
    <row r="156" spans="1:8">
      <c r="A156" s="877">
        <v>2320</v>
      </c>
      <c r="B156" s="858" t="str">
        <f>INDEX('COPY ELECTRONIC TB HERE'!$B$2:$B$449,MATCH('Linked TB'!A156,'COPY ELECTRONIC TB HERE'!$A$2:$A$449,0))</f>
        <v xml:space="preserve">     ACC DEPR-MAINFRAME COMP W</v>
      </c>
      <c r="C156" s="878"/>
      <c r="D156" s="879">
        <f t="shared" si="20"/>
        <v>-23778.23</v>
      </c>
      <c r="E156" s="881">
        <f>INDEX('COPY ELECTRONIC TB HERE'!$D$2:$D$449,MATCH('Linked TB'!A156,'COPY ELECTRONIC TB HERE'!$A$2:$A$449,0))</f>
        <v>-23778.23</v>
      </c>
      <c r="F156" s="888">
        <f>+IF(UPPER(H156)="ACTUAL",C156,INDEX(ALLOCATION_TABLE,MATCH(UPPER(H156),INDEX(ALLOCATION_TABLE,0,1),0),5)*E156)</f>
        <v>0</v>
      </c>
      <c r="G156" s="881">
        <f t="shared" si="22"/>
        <v>-23778.23</v>
      </c>
      <c r="H156" s="882" t="s">
        <v>503</v>
      </c>
    </row>
    <row r="157" spans="1:8">
      <c r="A157" s="877">
        <v>2325</v>
      </c>
      <c r="B157" s="858" t="str">
        <f>INDEX('COPY ELECTRONIC TB HERE'!$B$2:$B$449,MATCH('Linked TB'!A157,'COPY ELECTRONIC TB HERE'!$A$2:$A$449,0))</f>
        <v xml:space="preserve">     ACC DEPR-MINI COMP WTR</v>
      </c>
      <c r="C157" s="878">
        <f>+E157</f>
        <v>-83880.53</v>
      </c>
      <c r="D157" s="879">
        <v>0</v>
      </c>
      <c r="E157" s="881">
        <f>INDEX('COPY ELECTRONIC TB HERE'!$D$2:$D$449,MATCH('Linked TB'!A157,'COPY ELECTRONIC TB HERE'!$A$2:$A$449,0))</f>
        <v>-83880.53</v>
      </c>
      <c r="F157" s="888">
        <f t="shared" si="21"/>
        <v>-83880.53</v>
      </c>
      <c r="G157" s="881">
        <f t="shared" si="22"/>
        <v>0</v>
      </c>
      <c r="H157" s="882" t="s">
        <v>503</v>
      </c>
    </row>
    <row r="158" spans="1:8">
      <c r="A158" s="877">
        <v>2330</v>
      </c>
      <c r="B158" s="858" t="str">
        <f>INDEX('COPY ELECTRONIC TB HERE'!$B$2:$B$449,MATCH('Linked TB'!A158,'COPY ELECTRONIC TB HERE'!$A$2:$A$449,0))</f>
        <v xml:space="preserve">     COMP SYS AMORTIZATION WTR</v>
      </c>
      <c r="C158" s="878">
        <f>+E158</f>
        <v>-393536.99</v>
      </c>
      <c r="D158" s="879"/>
      <c r="E158" s="881">
        <f>INDEX('COPY ELECTRONIC TB HERE'!$D$2:$D$449,MATCH('Linked TB'!A158,'COPY ELECTRONIC TB HERE'!$A$2:$A$449,0))</f>
        <v>-393536.99</v>
      </c>
      <c r="F158" s="888">
        <f>+IF(UPPER(H158)="ACTUAL",C158,INDEX(ALLOCATION_TABLE,MATCH(UPPER(H158),INDEX(ALLOCATION_TABLE,0,1),0),5)*E158)</f>
        <v>-393536.99</v>
      </c>
      <c r="G158" s="881">
        <f t="shared" si="22"/>
        <v>0</v>
      </c>
      <c r="H158" s="882" t="s">
        <v>503</v>
      </c>
    </row>
    <row r="159" spans="1:8">
      <c r="A159" s="877">
        <v>2335</v>
      </c>
      <c r="B159" s="858" t="str">
        <f>INDEX('COPY ELECTRONIC TB HERE'!$B$2:$B$449,MATCH('Linked TB'!A159,'COPY ELECTRONIC TB HERE'!$A$2:$A$449,0))</f>
        <v xml:space="preserve">     MICRO SYS AMORTIZATION WT</v>
      </c>
      <c r="C159" s="878">
        <f>+E159</f>
        <v>-18843.97</v>
      </c>
      <c r="D159" s="879"/>
      <c r="E159" s="881">
        <f>INDEX('COPY ELECTRONIC TB HERE'!$D$2:$D$449,MATCH('Linked TB'!A159,'COPY ELECTRONIC TB HERE'!$A$2:$A$449,0))</f>
        <v>-18843.97</v>
      </c>
      <c r="F159" s="888">
        <f>+IF(UPPER(H159)="ACTUAL",C159,INDEX(ALLOCATION_TABLE,MATCH(UPPER(H159),INDEX(ALLOCATION_TABLE,0,1),0),5)*E159)</f>
        <v>-18843.97</v>
      </c>
      <c r="G159" s="881">
        <f t="shared" si="22"/>
        <v>0</v>
      </c>
      <c r="H159" s="882" t="s">
        <v>503</v>
      </c>
    </row>
    <row r="160" spans="1:8" ht="5.0999999999999996" customHeight="1">
      <c r="A160" s="877"/>
      <c r="C160" s="885">
        <v>0</v>
      </c>
      <c r="D160" s="886">
        <v>0</v>
      </c>
      <c r="E160" s="887">
        <v>0</v>
      </c>
      <c r="F160" s="893">
        <v>0</v>
      </c>
      <c r="G160" s="887">
        <v>0</v>
      </c>
      <c r="H160" s="882"/>
    </row>
    <row r="161" spans="1:8">
      <c r="A161" s="877" t="s">
        <v>1153</v>
      </c>
      <c r="B161" s="858" t="s">
        <v>1158</v>
      </c>
      <c r="C161" s="888">
        <f>SUM(C100:C160)</f>
        <v>-4493429.5099999988</v>
      </c>
      <c r="D161" s="881">
        <f>SUM(D100:D160)</f>
        <v>-516952.67</v>
      </c>
      <c r="E161" s="881">
        <f>SUM(E100:E160)</f>
        <v>-5010382.18</v>
      </c>
      <c r="F161" s="888">
        <f>SUM(F100:F160)</f>
        <v>-4493429.5099999988</v>
      </c>
      <c r="G161" s="881">
        <f>SUM(G100:G160)</f>
        <v>-516952.67</v>
      </c>
      <c r="H161" s="882"/>
    </row>
    <row r="162" spans="1:8">
      <c r="A162" s="877"/>
      <c r="C162" s="878"/>
      <c r="D162" s="879"/>
      <c r="E162" s="881"/>
      <c r="F162" s="888"/>
      <c r="G162" s="881"/>
      <c r="H162" s="882"/>
    </row>
    <row r="163" spans="1:8">
      <c r="A163" s="877">
        <v>2400</v>
      </c>
      <c r="B163" s="858" t="str">
        <f>INDEX('COPY ELECTRONIC TB HERE'!$B$2:$B$449,MATCH('Linked TB'!A163,'COPY ELECTRONIC TB HERE'!$A$2:$A$449,0))</f>
        <v xml:space="preserve">    UTILITY PAA WTR PLANT AMOR</v>
      </c>
      <c r="C163" s="878">
        <f>+E163</f>
        <v>-183024.56</v>
      </c>
      <c r="D163" s="879"/>
      <c r="E163" s="881">
        <f>INDEX('COPY ELECTRONIC TB HERE'!$D$2:$D$449,MATCH('Linked TB'!A163,'COPY ELECTRONIC TB HERE'!$A$2:$A$449,0))</f>
        <v>-183024.56</v>
      </c>
      <c r="F163" s="888">
        <f>+IF(UPPER(H163)="ACTUAL",C163,INDEX(ALLOCATION_TABLE,MATCH(UPPER(H163),INDEX(ALLOCATION_TABLE,0,1),0),5)*E163)</f>
        <v>-183024.56</v>
      </c>
      <c r="G163" s="881">
        <f>+E163-F163</f>
        <v>0</v>
      </c>
      <c r="H163" s="882" t="s">
        <v>503</v>
      </c>
    </row>
    <row r="164" spans="1:8">
      <c r="A164" s="877">
        <v>2420</v>
      </c>
      <c r="B164" s="858" t="str">
        <f>INDEX('COPY ELECTRONIC TB HERE'!$B$2:$B$449,MATCH('Linked TB'!A164,'COPY ELECTRONIC TB HERE'!$A$2:$A$449,0))</f>
        <v xml:space="preserve">    ACC AMORT UTIL PAA-WATER</v>
      </c>
      <c r="C164" s="878">
        <f>+E164</f>
        <v>36604.82</v>
      </c>
      <c r="D164" s="879"/>
      <c r="E164" s="881">
        <f>INDEX('COPY ELECTRONIC TB HERE'!$D$2:$D$449,MATCH('Linked TB'!A164,'COPY ELECTRONIC TB HERE'!$A$2:$A$449,0))</f>
        <v>36604.82</v>
      </c>
      <c r="F164" s="888">
        <f>+IF(UPPER(H164)="ACTUAL",C164,INDEX(ALLOCATION_TABLE,MATCH(UPPER(H164),INDEX(ALLOCATION_TABLE,0,1),0),5)*E164)</f>
        <v>36604.82</v>
      </c>
      <c r="G164" s="881">
        <f>+E164-F164</f>
        <v>0</v>
      </c>
      <c r="H164" s="882" t="s">
        <v>503</v>
      </c>
    </row>
    <row r="165" spans="1:8" ht="4.5" customHeight="1">
      <c r="A165" s="877"/>
      <c r="C165" s="885">
        <v>0</v>
      </c>
      <c r="D165" s="886">
        <v>0</v>
      </c>
      <c r="E165" s="887">
        <v>0</v>
      </c>
      <c r="F165" s="893">
        <v>0</v>
      </c>
      <c r="G165" s="887">
        <v>0</v>
      </c>
      <c r="H165" s="882"/>
    </row>
    <row r="166" spans="1:8">
      <c r="A166" s="877" t="s">
        <v>1153</v>
      </c>
      <c r="B166" s="858" t="s">
        <v>1159</v>
      </c>
      <c r="C166" s="878">
        <f>SUM(C163:C165)</f>
        <v>-146419.74</v>
      </c>
      <c r="D166" s="879">
        <f>SUM(D163:D165)</f>
        <v>0</v>
      </c>
      <c r="E166" s="879">
        <f>SUM(E163:E165)</f>
        <v>-146419.74</v>
      </c>
      <c r="F166" s="878">
        <f>SUM(F163:F165)</f>
        <v>-146419.74</v>
      </c>
      <c r="G166" s="879">
        <f>SUM(G163:G165)</f>
        <v>0</v>
      </c>
      <c r="H166" s="882"/>
    </row>
    <row r="167" spans="1:8">
      <c r="A167" s="877"/>
      <c r="C167" s="878"/>
      <c r="D167" s="879"/>
      <c r="E167" s="881"/>
      <c r="F167" s="888"/>
      <c r="G167" s="881"/>
      <c r="H167" s="882"/>
    </row>
    <row r="168" spans="1:8">
      <c r="A168" s="877">
        <v>2640</v>
      </c>
      <c r="B168" s="858" t="str">
        <f>INDEX('COPY ELECTRONIC TB HERE'!$B$2:$B$449,MATCH('Linked TB'!A168,'COPY ELECTRONIC TB HERE'!$A$2:$A$449,0))</f>
        <v xml:space="preserve">     CASH-CHASE-WSC DISBURSEME</v>
      </c>
      <c r="C168" s="878">
        <v>0</v>
      </c>
      <c r="D168" s="879">
        <v>0</v>
      </c>
      <c r="E168" s="881">
        <f>INDEX('COPY ELECTRONIC TB HERE'!$D$2:$D$449,MATCH('Linked TB'!A168,'COPY ELECTRONIC TB HERE'!$A$2:$A$449,0))</f>
        <v>23077.73</v>
      </c>
      <c r="F168" s="888">
        <f>+IF(UPPER(H168)="ACTUAL",C168,INDEX(ALLOCATION_TABLE,MATCH(UPPER(H168),INDEX(ALLOCATION_TABLE,0,1),0),5)*E168)</f>
        <v>23077.73</v>
      </c>
      <c r="G168" s="881">
        <f>+E168-F168</f>
        <v>0</v>
      </c>
      <c r="H168" s="882" t="s">
        <v>504</v>
      </c>
    </row>
    <row r="169" spans="1:8">
      <c r="A169" s="877">
        <v>2665</v>
      </c>
      <c r="B169" s="858" t="str">
        <f>INDEX('COPY ELECTRONIC TB HERE'!$B$2:$B$449,MATCH('Linked TB'!A169,'COPY ELECTRONIC TB HERE'!$A$2:$A$449,0))</f>
        <v xml:space="preserve">     CASH UNAPPLIED</v>
      </c>
      <c r="C169" s="878">
        <v>0</v>
      </c>
      <c r="D169" s="879">
        <v>0</v>
      </c>
      <c r="E169" s="881">
        <f>INDEX('COPY ELECTRONIC TB HERE'!$D$2:$D$449,MATCH('Linked TB'!A169,'COPY ELECTRONIC TB HERE'!$A$2:$A$449,0))</f>
        <v>0</v>
      </c>
      <c r="F169" s="888">
        <f>+IF(UPPER(H169)="ACTUAL",C169,INDEX(ALLOCATION_TABLE,MATCH(UPPER(H169),INDEX(ALLOCATION_TABLE,0,1),0),5)*E169)</f>
        <v>0</v>
      </c>
      <c r="G169" s="881">
        <f>+E169-F169</f>
        <v>0</v>
      </c>
      <c r="H169" s="882" t="s">
        <v>504</v>
      </c>
    </row>
    <row r="170" spans="1:8" ht="5.0999999999999996" customHeight="1">
      <c r="A170" s="877"/>
      <c r="C170" s="885">
        <v>0</v>
      </c>
      <c r="D170" s="886">
        <v>0</v>
      </c>
      <c r="E170" s="887">
        <v>0</v>
      </c>
      <c r="F170" s="893">
        <v>0</v>
      </c>
      <c r="G170" s="887">
        <v>0</v>
      </c>
      <c r="H170" s="882"/>
    </row>
    <row r="171" spans="1:8">
      <c r="A171" s="877" t="s">
        <v>1153</v>
      </c>
      <c r="B171" s="858" t="s">
        <v>1160</v>
      </c>
      <c r="C171" s="888">
        <f>SUM(C168:C170)</f>
        <v>0</v>
      </c>
      <c r="D171" s="881">
        <f>SUM(D169:D170)</f>
        <v>0</v>
      </c>
      <c r="E171" s="881">
        <f>SUM(E168:E170)</f>
        <v>23077.73</v>
      </c>
      <c r="F171" s="888">
        <f>SUM(F168:F170)</f>
        <v>23077.73</v>
      </c>
      <c r="G171" s="881">
        <f>SUM(G168:G170)</f>
        <v>0</v>
      </c>
      <c r="H171" s="882"/>
    </row>
    <row r="172" spans="1:8">
      <c r="A172" s="877"/>
      <c r="C172" s="878"/>
      <c r="D172" s="879"/>
      <c r="E172" s="881"/>
      <c r="F172" s="888"/>
      <c r="G172" s="881"/>
      <c r="H172" s="882"/>
    </row>
    <row r="173" spans="1:8">
      <c r="A173" s="877">
        <v>2675</v>
      </c>
      <c r="B173" s="858" t="str">
        <f>INDEX('COPY ELECTRONIC TB HERE'!$B$2:$B$449,MATCH('Linked TB'!A173,'COPY ELECTRONIC TB HERE'!$A$2:$A$449,0))</f>
        <v xml:space="preserve">     A/R-CUSTOMER TRADE CC&amp;B</v>
      </c>
      <c r="C173" s="878">
        <v>0</v>
      </c>
      <c r="D173" s="879">
        <v>0</v>
      </c>
      <c r="E173" s="881">
        <f>INDEX('COPY ELECTRONIC TB HERE'!$D$2:$D$449,MATCH('Linked TB'!A173,'COPY ELECTRONIC TB HERE'!$A$2:$A$449,0))</f>
        <v>346681.84</v>
      </c>
      <c r="F173" s="888">
        <f t="shared" ref="F173:F178" si="23">+IF(UPPER(H173)="ACTUAL",C173,INDEX(ALLOCATION_TABLE,MATCH(UPPER(H173),INDEX(ALLOCATION_TABLE,0,1),0),5)*E173)</f>
        <v>346681.84</v>
      </c>
      <c r="G173" s="881">
        <f t="shared" ref="G173:G178" si="24">+E173-F173</f>
        <v>0</v>
      </c>
      <c r="H173" s="882" t="s">
        <v>504</v>
      </c>
    </row>
    <row r="174" spans="1:8">
      <c r="A174" s="877">
        <v>2680</v>
      </c>
      <c r="B174" s="858" t="str">
        <f>INDEX('COPY ELECTRONIC TB HERE'!$B$2:$B$449,MATCH('Linked TB'!A174,'COPY ELECTRONIC TB HERE'!$A$2:$A$449,0))</f>
        <v xml:space="preserve">     A/R-CUSTOMER ACCRUAL</v>
      </c>
      <c r="C174" s="878">
        <v>0</v>
      </c>
      <c r="D174" s="879">
        <v>0</v>
      </c>
      <c r="E174" s="881">
        <f>INDEX('COPY ELECTRONIC TB HERE'!$D$2:$D$449,MATCH('Linked TB'!A174,'COPY ELECTRONIC TB HERE'!$A$2:$A$449,0))</f>
        <v>120296.24</v>
      </c>
      <c r="F174" s="888">
        <f t="shared" si="23"/>
        <v>120296.24</v>
      </c>
      <c r="G174" s="881">
        <f t="shared" si="24"/>
        <v>0</v>
      </c>
      <c r="H174" s="882" t="s">
        <v>504</v>
      </c>
    </row>
    <row r="175" spans="1:8">
      <c r="A175" s="877">
        <v>2685</v>
      </c>
      <c r="B175" s="858" t="str">
        <f>INDEX('COPY ELECTRONIC TB HERE'!$B$2:$B$449,MATCH('Linked TB'!A175,'COPY ELECTRONIC TB HERE'!$A$2:$A$449,0))</f>
        <v xml:space="preserve">     A/R-CUSTOMER REFUNDS</v>
      </c>
      <c r="C175" s="878">
        <v>0</v>
      </c>
      <c r="D175" s="879">
        <v>0</v>
      </c>
      <c r="E175" s="881">
        <f>INDEX('COPY ELECTRONIC TB HERE'!$D$2:$D$449,MATCH('Linked TB'!A175,'COPY ELECTRONIC TB HERE'!$A$2:$A$449,0))</f>
        <v>0</v>
      </c>
      <c r="F175" s="888">
        <f t="shared" si="23"/>
        <v>0</v>
      </c>
      <c r="G175" s="881">
        <f t="shared" si="24"/>
        <v>0</v>
      </c>
      <c r="H175" s="882" t="s">
        <v>504</v>
      </c>
    </row>
    <row r="176" spans="1:8">
      <c r="A176" s="877">
        <v>2690</v>
      </c>
      <c r="B176" s="858" t="str">
        <f>INDEX('COPY ELECTRONIC TB HERE'!$B$2:$B$449,MATCH('Linked TB'!A176,'COPY ELECTRONIC TB HERE'!$A$2:$A$449,0))</f>
        <v xml:space="preserve">    ACCUM PROV UNCOLLECT ACCTS</v>
      </c>
      <c r="C176" s="878">
        <v>0</v>
      </c>
      <c r="D176" s="879">
        <v>0</v>
      </c>
      <c r="E176" s="881">
        <f>INDEX('COPY ELECTRONIC TB HERE'!$D$2:$D$449,MATCH('Linked TB'!A176,'COPY ELECTRONIC TB HERE'!$A$2:$A$449,0))</f>
        <v>-30044.880000000001</v>
      </c>
      <c r="F176" s="888">
        <f t="shared" si="23"/>
        <v>-30044.880000000001</v>
      </c>
      <c r="G176" s="881">
        <f t="shared" si="24"/>
        <v>0</v>
      </c>
      <c r="H176" s="882" t="s">
        <v>504</v>
      </c>
    </row>
    <row r="177" spans="1:8">
      <c r="A177" s="877">
        <v>2700</v>
      </c>
      <c r="B177" s="858" t="str">
        <f>INDEX('COPY ELECTRONIC TB HERE'!$B$2:$B$449,MATCH('Linked TB'!A177,'COPY ELECTRONIC TB HERE'!$A$2:$A$449,0))</f>
        <v xml:space="preserve">     A/R-OTHER</v>
      </c>
      <c r="C177" s="878">
        <v>0</v>
      </c>
      <c r="D177" s="879">
        <v>0</v>
      </c>
      <c r="E177" s="881">
        <f>INDEX('COPY ELECTRONIC TB HERE'!$D$2:$D$449,MATCH('Linked TB'!A177,'COPY ELECTRONIC TB HERE'!$A$2:$A$449,0))</f>
        <v>10500</v>
      </c>
      <c r="F177" s="888">
        <f t="shared" si="23"/>
        <v>10500</v>
      </c>
      <c r="G177" s="881">
        <f t="shared" si="24"/>
        <v>0</v>
      </c>
      <c r="H177" s="882" t="s">
        <v>504</v>
      </c>
    </row>
    <row r="178" spans="1:8">
      <c r="A178" s="877">
        <v>2710</v>
      </c>
      <c r="B178" s="858" t="str">
        <f>INDEX('COPY ELECTRONIC TB HERE'!$B$2:$B$449,MATCH('Linked TB'!A178,'COPY ELECTRONIC TB HERE'!$A$2:$A$449,0))</f>
        <v xml:space="preserve">    A/R ASSOC COS</v>
      </c>
      <c r="C178" s="878">
        <v>0</v>
      </c>
      <c r="D178" s="879">
        <v>0</v>
      </c>
      <c r="E178" s="881">
        <f>INDEX('COPY ELECTRONIC TB HERE'!$D$2:$D$449,MATCH('Linked TB'!A178,'COPY ELECTRONIC TB HERE'!$A$2:$A$449,0))</f>
        <v>617693.28</v>
      </c>
      <c r="F178" s="888">
        <f t="shared" si="23"/>
        <v>617693.28</v>
      </c>
      <c r="G178" s="881">
        <f t="shared" si="24"/>
        <v>0</v>
      </c>
      <c r="H178" s="882" t="s">
        <v>504</v>
      </c>
    </row>
    <row r="179" spans="1:8" ht="5.0999999999999996" customHeight="1">
      <c r="A179" s="877"/>
      <c r="C179" s="885">
        <v>0</v>
      </c>
      <c r="D179" s="886">
        <v>0</v>
      </c>
      <c r="E179" s="887">
        <v>0</v>
      </c>
      <c r="F179" s="893">
        <v>0</v>
      </c>
      <c r="G179" s="887">
        <v>0</v>
      </c>
      <c r="H179" s="882"/>
    </row>
    <row r="180" spans="1:8">
      <c r="A180" s="877" t="s">
        <v>1153</v>
      </c>
      <c r="B180" s="858" t="s">
        <v>1161</v>
      </c>
      <c r="C180" s="888">
        <f>SUM(C173:C179)</f>
        <v>0</v>
      </c>
      <c r="D180" s="881">
        <f>SUM(D173:D179)</f>
        <v>0</v>
      </c>
      <c r="E180" s="881">
        <f>SUM(E173:E179)</f>
        <v>1065126.48</v>
      </c>
      <c r="F180" s="888">
        <f>SUM(F173:F179)</f>
        <v>1065126.48</v>
      </c>
      <c r="G180" s="881">
        <f>SUM(G173:G179)</f>
        <v>0</v>
      </c>
      <c r="H180" s="882"/>
    </row>
    <row r="181" spans="1:8">
      <c r="A181" s="877"/>
      <c r="C181" s="878"/>
      <c r="D181" s="879"/>
      <c r="E181" s="881"/>
      <c r="F181" s="888"/>
      <c r="G181" s="881"/>
      <c r="H181" s="882"/>
    </row>
    <row r="182" spans="1:8">
      <c r="A182" s="877"/>
      <c r="C182" s="878"/>
      <c r="D182" s="879"/>
      <c r="E182" s="881"/>
      <c r="F182" s="888"/>
      <c r="G182" s="881"/>
      <c r="H182" s="882"/>
    </row>
    <row r="183" spans="1:8">
      <c r="A183" s="877">
        <v>2755</v>
      </c>
      <c r="B183" s="858" t="str">
        <f>INDEX('COPY ELECTRONIC TB HERE'!$B$2:$B$449,MATCH('Linked TB'!A183,'COPY ELECTRONIC TB HERE'!$A$2:$A$449,0))</f>
        <v xml:space="preserve">    INVENTORY</v>
      </c>
      <c r="C183" s="878">
        <v>0</v>
      </c>
      <c r="D183" s="879">
        <v>0</v>
      </c>
      <c r="E183" s="881">
        <f>INDEX('COPY ELECTRONIC TB HERE'!$D$2:$D$449,MATCH('Linked TB'!A183,'COPY ELECTRONIC TB HERE'!$A$2:$A$449,0))</f>
        <v>7919</v>
      </c>
      <c r="F183" s="888">
        <f>+IF(UPPER(H183)="ACTUAL",C183,INDEX(ALLOCATION_TABLE,MATCH(UPPER(H183),INDEX(ALLOCATION_TABLE,0,1),0),5)*E183)</f>
        <v>7919</v>
      </c>
      <c r="G183" s="881">
        <f>+E183-F183</f>
        <v>0</v>
      </c>
      <c r="H183" s="882" t="s">
        <v>504</v>
      </c>
    </row>
    <row r="184" spans="1:8" ht="4.5" customHeight="1">
      <c r="A184" s="877"/>
      <c r="C184" s="885">
        <v>0</v>
      </c>
      <c r="D184" s="886">
        <v>0</v>
      </c>
      <c r="E184" s="887">
        <v>0</v>
      </c>
      <c r="F184" s="893">
        <v>0</v>
      </c>
      <c r="G184" s="887">
        <v>0</v>
      </c>
      <c r="H184" s="882"/>
    </row>
    <row r="185" spans="1:8">
      <c r="A185" s="877" t="s">
        <v>1153</v>
      </c>
      <c r="C185" s="878">
        <f>SUM(C183:C184)</f>
        <v>0</v>
      </c>
      <c r="D185" s="879">
        <f>SUM(D183:D184)</f>
        <v>0</v>
      </c>
      <c r="E185" s="879">
        <f>SUM(E183:E184)</f>
        <v>7919</v>
      </c>
      <c r="F185" s="878">
        <f>SUM(F183:F184)</f>
        <v>7919</v>
      </c>
      <c r="G185" s="879">
        <f>SUM(G183:G184)</f>
        <v>0</v>
      </c>
      <c r="H185" s="882"/>
    </row>
    <row r="186" spans="1:8">
      <c r="A186" s="877"/>
      <c r="C186" s="878"/>
      <c r="D186" s="879"/>
      <c r="E186" s="881"/>
      <c r="F186" s="888"/>
      <c r="G186" s="881"/>
      <c r="H186" s="882"/>
    </row>
    <row r="187" spans="1:8">
      <c r="A187" s="877">
        <v>2775</v>
      </c>
      <c r="B187" s="858" t="str">
        <f>INDEX('COPY ELECTRONIC TB HERE'!$B$2:$B$449,MATCH('Linked TB'!A187,'COPY ELECTRONIC TB HERE'!$A$2:$A$449,0))</f>
        <v xml:space="preserve">    SPECIAL DEPOSITS</v>
      </c>
      <c r="C187" s="878">
        <v>0</v>
      </c>
      <c r="D187" s="879">
        <v>0</v>
      </c>
      <c r="E187" s="881">
        <f>INDEX('COPY ELECTRONIC TB HERE'!$D$2:$D$449,MATCH('Linked TB'!A187,'COPY ELECTRONIC TB HERE'!$A$2:$A$449,0))</f>
        <v>6100</v>
      </c>
      <c r="F187" s="888">
        <f>+IF(UPPER(H187)="ACTUAL",C187,INDEX(ALLOCATION_TABLE,MATCH(UPPER(H187),INDEX(ALLOCATION_TABLE,0,1),0),5)*E187)</f>
        <v>6100</v>
      </c>
      <c r="G187" s="881">
        <f>+E187-F187</f>
        <v>0</v>
      </c>
      <c r="H187" s="882" t="s">
        <v>504</v>
      </c>
    </row>
    <row r="188" spans="1:8" ht="4.5" customHeight="1">
      <c r="A188" s="877"/>
      <c r="C188" s="885">
        <v>0</v>
      </c>
      <c r="D188" s="886">
        <v>0</v>
      </c>
      <c r="E188" s="887">
        <v>0</v>
      </c>
      <c r="F188" s="893">
        <v>0</v>
      </c>
      <c r="G188" s="887">
        <v>0</v>
      </c>
      <c r="H188" s="882"/>
    </row>
    <row r="189" spans="1:8">
      <c r="A189" s="877" t="s">
        <v>1153</v>
      </c>
      <c r="C189" s="878">
        <f>SUM(C187:C188)</f>
        <v>0</v>
      </c>
      <c r="D189" s="879">
        <f>SUM(D187:D188)</f>
        <v>0</v>
      </c>
      <c r="E189" s="879">
        <f>SUM(E187:E188)</f>
        <v>6100</v>
      </c>
      <c r="F189" s="878">
        <f>SUM(F187:F188)</f>
        <v>6100</v>
      </c>
      <c r="G189" s="879">
        <f>SUM(G187:G188)</f>
        <v>0</v>
      </c>
      <c r="H189" s="882"/>
    </row>
    <row r="190" spans="1:8">
      <c r="A190" s="877"/>
      <c r="C190" s="878"/>
      <c r="D190" s="879"/>
      <c r="E190" s="881"/>
      <c r="F190" s="888"/>
      <c r="G190" s="881"/>
      <c r="H190" s="882"/>
    </row>
    <row r="191" spans="1:8">
      <c r="A191" s="877">
        <v>2795</v>
      </c>
      <c r="B191" s="858" t="str">
        <f>INDEX('COPY ELECTRONIC TB HERE'!$B$2:$B$449,MATCH('Linked TB'!A191,'COPY ELECTRONIC TB HERE'!$A$2:$A$449,0))</f>
        <v xml:space="preserve">    PREPAID REIMBURSEMENTS</v>
      </c>
      <c r="C191" s="878">
        <v>0</v>
      </c>
      <c r="D191" s="879">
        <v>0</v>
      </c>
      <c r="E191" s="881">
        <f>INDEX('COPY ELECTRONIC TB HERE'!$D$2:$D$449,MATCH('Linked TB'!A191,'COPY ELECTRONIC TB HERE'!$A$2:$A$449,0))</f>
        <v>0</v>
      </c>
      <c r="F191" s="888">
        <f>+IF(UPPER(H191)="ACTUAL",C191,INDEX(ALLOCATION_TABLE,MATCH(UPPER(H191),INDEX(ALLOCATION_TABLE,0,1),0),5)*E191)</f>
        <v>0</v>
      </c>
      <c r="G191" s="881">
        <f>+E191-F191</f>
        <v>0</v>
      </c>
      <c r="H191" s="882" t="s">
        <v>504</v>
      </c>
    </row>
    <row r="192" spans="1:8" ht="5.25" customHeight="1">
      <c r="A192" s="877"/>
      <c r="B192" s="890"/>
      <c r="C192" s="885">
        <v>0</v>
      </c>
      <c r="D192" s="886">
        <v>0</v>
      </c>
      <c r="E192" s="887">
        <v>0</v>
      </c>
      <c r="F192" s="893">
        <v>0</v>
      </c>
      <c r="G192" s="887">
        <v>0</v>
      </c>
      <c r="H192" s="882"/>
    </row>
    <row r="193" spans="1:8">
      <c r="A193" s="877" t="s">
        <v>1153</v>
      </c>
      <c r="B193" s="890" t="s">
        <v>1162</v>
      </c>
      <c r="C193" s="878">
        <f>SUM(C191:C192)</f>
        <v>0</v>
      </c>
      <c r="D193" s="879">
        <f>SUM(D191:D192)</f>
        <v>0</v>
      </c>
      <c r="E193" s="881">
        <f>SUM(E191:E192)</f>
        <v>0</v>
      </c>
      <c r="F193" s="888">
        <f>SUM(F191:F192)</f>
        <v>0</v>
      </c>
      <c r="G193" s="881">
        <f>SUM(G191:G192)</f>
        <v>0</v>
      </c>
      <c r="H193" s="882"/>
    </row>
    <row r="194" spans="1:8">
      <c r="A194" s="877"/>
      <c r="B194" s="890"/>
      <c r="C194" s="878"/>
      <c r="D194" s="879"/>
      <c r="E194" s="881"/>
      <c r="F194" s="888"/>
      <c r="G194" s="881"/>
      <c r="H194" s="882"/>
    </row>
    <row r="195" spans="1:8">
      <c r="A195" s="891">
        <v>2856</v>
      </c>
      <c r="B195" s="858" t="str">
        <f>INDEX('COPY ELECTRONIC TB HERE'!$B$2:$B$449,MATCH('Linked TB'!A195,'COPY ELECTRONIC TB HERE'!$A$2:$A$449,0))</f>
        <v xml:space="preserve">    PRELIMINARY SURVEY</v>
      </c>
      <c r="C195" s="878">
        <v>0</v>
      </c>
      <c r="D195" s="879">
        <v>0</v>
      </c>
      <c r="E195" s="881">
        <f>INDEX('COPY ELECTRONIC TB HERE'!$D$2:$D$449,MATCH('Linked TB'!A195,'COPY ELECTRONIC TB HERE'!$A$2:$A$449,0))</f>
        <v>0</v>
      </c>
      <c r="F195" s="888">
        <f>+IF(UPPER(H195)="ACTUAL",C195,INDEX(ALLOCATION_TABLE,MATCH(UPPER(H195),INDEX(ALLOCATION_TABLE,0,1),0),5)*E195)</f>
        <v>0</v>
      </c>
      <c r="G195" s="881">
        <f>+E195-F195</f>
        <v>0</v>
      </c>
      <c r="H195" s="882" t="s">
        <v>504</v>
      </c>
    </row>
    <row r="196" spans="1:8" ht="4.5" customHeight="1">
      <c r="A196" s="891"/>
      <c r="B196" s="890"/>
      <c r="C196" s="885">
        <v>0</v>
      </c>
      <c r="D196" s="886">
        <v>0</v>
      </c>
      <c r="E196" s="887">
        <v>0</v>
      </c>
      <c r="F196" s="893">
        <v>0</v>
      </c>
      <c r="G196" s="887">
        <v>0</v>
      </c>
      <c r="H196" s="882"/>
    </row>
    <row r="197" spans="1:8">
      <c r="A197" s="891" t="s">
        <v>1153</v>
      </c>
      <c r="B197" s="890" t="s">
        <v>1163</v>
      </c>
      <c r="C197" s="878">
        <f>SUM(C195:C196)</f>
        <v>0</v>
      </c>
      <c r="D197" s="879">
        <f>SUM(D195:D196)</f>
        <v>0</v>
      </c>
      <c r="E197" s="881">
        <f>SUM(E195:E196)</f>
        <v>0</v>
      </c>
      <c r="F197" s="888">
        <f>SUM(F195:F196)</f>
        <v>0</v>
      </c>
      <c r="G197" s="881">
        <f>SUM(G195:G196)</f>
        <v>0</v>
      </c>
      <c r="H197" s="882"/>
    </row>
    <row r="198" spans="1:8">
      <c r="A198" s="877"/>
      <c r="C198" s="878"/>
      <c r="D198" s="879"/>
      <c r="E198" s="881"/>
      <c r="F198" s="888"/>
      <c r="G198" s="881"/>
      <c r="H198" s="882"/>
    </row>
    <row r="199" spans="1:8">
      <c r="A199" s="877">
        <v>2906</v>
      </c>
      <c r="B199" s="858" t="str">
        <f>INDEX('COPY ELECTRONIC TB HERE'!$B$2:$B$449,MATCH('Linked TB'!A199,'COPY ELECTRONIC TB HERE'!$A$2:$A$449,0))</f>
        <v xml:space="preserve">    RCIP - ATTORNEY FEES</v>
      </c>
      <c r="C199" s="878">
        <v>0</v>
      </c>
      <c r="D199" s="879">
        <v>0</v>
      </c>
      <c r="E199" s="881">
        <f>INDEX('COPY ELECTRONIC TB HERE'!$D$2:$D$449,MATCH('Linked TB'!A199,'COPY ELECTRONIC TB HERE'!$A$2:$A$449,0))</f>
        <v>127646.23999999999</v>
      </c>
      <c r="F199" s="888">
        <f t="shared" ref="F199:F206" si="25">+IF(UPPER(H199)="ACTUAL",C199,INDEX(ALLOCATION_TABLE,MATCH(UPPER(H199),INDEX(ALLOCATION_TABLE,0,1),0),5)*E199)</f>
        <v>127646.23999999999</v>
      </c>
      <c r="G199" s="881">
        <f t="shared" ref="G199:G203" si="26">+E199-F199</f>
        <v>0</v>
      </c>
      <c r="H199" s="882" t="s">
        <v>504</v>
      </c>
    </row>
    <row r="200" spans="1:8">
      <c r="A200" s="877">
        <v>2907</v>
      </c>
      <c r="B200" s="858" t="str">
        <f>INDEX('COPY ELECTRONIC TB HERE'!$B$2:$B$449,MATCH('Linked TB'!A200,'COPY ELECTRONIC TB HERE'!$A$2:$A$449,0))</f>
        <v xml:space="preserve">    RCIP - CAPITALIZED TIME</v>
      </c>
      <c r="C200" s="878">
        <v>0</v>
      </c>
      <c r="D200" s="879">
        <v>0</v>
      </c>
      <c r="E200" s="881">
        <f>INDEX('COPY ELECTRONIC TB HERE'!$D$2:$D$449,MATCH('Linked TB'!A200,'COPY ELECTRONIC TB HERE'!$A$2:$A$449,0))</f>
        <v>133255.18000000002</v>
      </c>
      <c r="F200" s="888">
        <f t="shared" si="25"/>
        <v>133255.18000000002</v>
      </c>
      <c r="G200" s="881">
        <f t="shared" si="26"/>
        <v>0</v>
      </c>
      <c r="H200" s="882" t="s">
        <v>504</v>
      </c>
    </row>
    <row r="201" spans="1:8">
      <c r="A201" s="877">
        <v>2908</v>
      </c>
      <c r="B201" s="858" t="str">
        <f>INDEX('COPY ELECTRONIC TB HERE'!$B$2:$B$449,MATCH('Linked TB'!A201,'COPY ELECTRONIC TB HERE'!$A$2:$A$449,0))</f>
        <v xml:space="preserve">    RCIP - ADMINISTRATIVE EXPENSES</v>
      </c>
      <c r="C201" s="878">
        <v>0</v>
      </c>
      <c r="D201" s="879">
        <v>0</v>
      </c>
      <c r="E201" s="881">
        <f>INDEX('COPY ELECTRONIC TB HERE'!$D$2:$D$449,MATCH('Linked TB'!A201,'COPY ELECTRONIC TB HERE'!$A$2:$A$449,0))</f>
        <v>1345.98</v>
      </c>
      <c r="F201" s="888">
        <f t="shared" si="25"/>
        <v>1345.98</v>
      </c>
      <c r="G201" s="881">
        <f t="shared" si="26"/>
        <v>0</v>
      </c>
      <c r="H201" s="882" t="s">
        <v>504</v>
      </c>
    </row>
    <row r="202" spans="1:8">
      <c r="A202" s="877">
        <v>2909</v>
      </c>
      <c r="B202" s="858" t="str">
        <f>INDEX('COPY ELECTRONIC TB HERE'!$B$2:$B$449,MATCH('Linked TB'!A202,'COPY ELECTRONIC TB HERE'!$A$2:$A$449,0))</f>
        <v xml:space="preserve">    RCIP - TRAVEL</v>
      </c>
      <c r="C202" s="878">
        <v>0</v>
      </c>
      <c r="D202" s="879">
        <v>0</v>
      </c>
      <c r="E202" s="881">
        <f>INDEX('COPY ELECTRONIC TB HERE'!$D$2:$D$449,MATCH('Linked TB'!A202,'COPY ELECTRONIC TB HERE'!$A$2:$A$449,0))</f>
        <v>7467.48</v>
      </c>
      <c r="F202" s="888">
        <f t="shared" si="25"/>
        <v>7467.48</v>
      </c>
      <c r="G202" s="881">
        <f t="shared" si="26"/>
        <v>0</v>
      </c>
      <c r="H202" s="882" t="s">
        <v>504</v>
      </c>
    </row>
    <row r="203" spans="1:8">
      <c r="A203" s="877">
        <v>2910</v>
      </c>
      <c r="B203" s="858" t="str">
        <f>INDEX('COPY ELECTRONIC TB HERE'!$B$2:$B$449,MATCH('Linked TB'!A203,'COPY ELECTRONIC TB HERE'!$A$2:$A$449,0))</f>
        <v xml:space="preserve">    RCIP - CONSULTING FEES</v>
      </c>
      <c r="C203" s="878">
        <v>0</v>
      </c>
      <c r="D203" s="879">
        <v>0</v>
      </c>
      <c r="E203" s="881">
        <f>INDEX('COPY ELECTRONIC TB HERE'!$D$2:$D$449,MATCH('Linked TB'!A203,'COPY ELECTRONIC TB HERE'!$A$2:$A$449,0))</f>
        <v>31858.75</v>
      </c>
      <c r="F203" s="888">
        <f t="shared" si="25"/>
        <v>31858.75</v>
      </c>
      <c r="G203" s="881">
        <f t="shared" si="26"/>
        <v>0</v>
      </c>
      <c r="H203" s="882" t="s">
        <v>504</v>
      </c>
    </row>
    <row r="204" spans="1:8">
      <c r="A204" s="877">
        <v>2914</v>
      </c>
      <c r="B204" s="858" t="str">
        <f>INDEX('COPY ELECTRONIC TB HERE'!$B$2:$B$449,MATCH('Linked TB'!A204,'COPY ELECTRONIC TB HERE'!$A$2:$A$449,0))</f>
        <v xml:space="preserve">     Rate Case In Progress</v>
      </c>
      <c r="C204" s="878">
        <v>0</v>
      </c>
      <c r="D204" s="879">
        <v>0</v>
      </c>
      <c r="E204" s="881">
        <f>INDEX('COPY ELECTRONIC TB HERE'!$D$2:$D$449,MATCH('Linked TB'!A204,'COPY ELECTRONIC TB HERE'!$A$2:$A$449,0))</f>
        <v>-301573.63</v>
      </c>
      <c r="F204" s="888">
        <f t="shared" si="25"/>
        <v>-301573.63</v>
      </c>
      <c r="G204" s="881">
        <f>+E204-F204</f>
        <v>0</v>
      </c>
      <c r="H204" s="882" t="s">
        <v>504</v>
      </c>
    </row>
    <row r="205" spans="1:8">
      <c r="A205" s="877">
        <v>2920</v>
      </c>
      <c r="B205" s="858" t="str">
        <f>INDEX('COPY ELECTRONIC TB HERE'!$B$2:$B$449,MATCH('Linked TB'!A205,'COPY ELECTRONIC TB HERE'!$A$2:$A$449,0))</f>
        <v xml:space="preserve">     RATE CASE BEING AMORT</v>
      </c>
      <c r="C205" s="878">
        <v>0</v>
      </c>
      <c r="D205" s="879">
        <v>0</v>
      </c>
      <c r="E205" s="881">
        <f>INDEX('COPY ELECTRONIC TB HERE'!$D$2:$D$449,MATCH('Linked TB'!A205,'COPY ELECTRONIC TB HERE'!$A$2:$A$449,0))</f>
        <v>301988.84999999998</v>
      </c>
      <c r="F205" s="888">
        <f t="shared" si="25"/>
        <v>301988.84999999998</v>
      </c>
      <c r="G205" s="881">
        <f>+E205-F205</f>
        <v>0</v>
      </c>
      <c r="H205" s="882" t="s">
        <v>504</v>
      </c>
    </row>
    <row r="206" spans="1:8">
      <c r="A206" s="889">
        <v>2930</v>
      </c>
      <c r="B206" s="858" t="str">
        <f>INDEX('COPY ELECTRONIC TB HERE'!$B$2:$B$449,MATCH('Linked TB'!A206,'COPY ELECTRONIC TB HERE'!$A$2:$A$449,0))</f>
        <v xml:space="preserve">     RATE CASE ACCUM AMORT</v>
      </c>
      <c r="C206" s="878">
        <v>0</v>
      </c>
      <c r="D206" s="879">
        <v>0</v>
      </c>
      <c r="E206" s="881">
        <f>INDEX('COPY ELECTRONIC TB HERE'!$D$2:$D$449,MATCH('Linked TB'!A206,'COPY ELECTRONIC TB HERE'!$A$2:$A$449,0))</f>
        <v>-215594.37</v>
      </c>
      <c r="F206" s="888">
        <f t="shared" si="25"/>
        <v>-215594.37</v>
      </c>
      <c r="G206" s="881">
        <f>+E206-F206</f>
        <v>0</v>
      </c>
      <c r="H206" s="882" t="s">
        <v>504</v>
      </c>
    </row>
    <row r="207" spans="1:8" ht="5.0999999999999996" customHeight="1">
      <c r="A207" s="877"/>
      <c r="C207" s="885">
        <v>0</v>
      </c>
      <c r="D207" s="886">
        <v>0</v>
      </c>
      <c r="E207" s="887">
        <v>0</v>
      </c>
      <c r="F207" s="893">
        <v>0</v>
      </c>
      <c r="G207" s="887">
        <v>0</v>
      </c>
      <c r="H207" s="882"/>
    </row>
    <row r="208" spans="1:8">
      <c r="A208" s="877" t="s">
        <v>1153</v>
      </c>
      <c r="B208" s="858" t="s">
        <v>1164</v>
      </c>
      <c r="C208" s="888">
        <f>SUM(C199:C207)</f>
        <v>0</v>
      </c>
      <c r="D208" s="881">
        <f>SUM(D199:D207)</f>
        <v>0</v>
      </c>
      <c r="E208" s="881">
        <f>SUM(E199:E207)</f>
        <v>86394.479999999981</v>
      </c>
      <c r="F208" s="888">
        <f>SUM(F199:F207)</f>
        <v>86394.479999999981</v>
      </c>
      <c r="G208" s="881">
        <f>SUM(G199:G207)</f>
        <v>0</v>
      </c>
      <c r="H208" s="882"/>
    </row>
    <row r="209" spans="1:8">
      <c r="A209" s="877"/>
      <c r="C209" s="888"/>
      <c r="D209" s="881"/>
      <c r="E209" s="881"/>
      <c r="F209" s="888"/>
      <c r="G209" s="881"/>
      <c r="H209" s="882"/>
    </row>
    <row r="210" spans="1:8">
      <c r="A210" s="877">
        <v>2960</v>
      </c>
      <c r="B210" s="858" t="str">
        <f>INDEX('COPY ELECTRONIC TB HERE'!$B$2:$B$449,MATCH('Linked TB'!A210,'COPY ELECTRONIC TB HERE'!$A$2:$A$449,0))</f>
        <v xml:space="preserve">     DEF CHGS-TANK MAINT&amp;REP W</v>
      </c>
      <c r="C210" s="878">
        <v>0</v>
      </c>
      <c r="D210" s="879">
        <v>0</v>
      </c>
      <c r="E210" s="881">
        <f>INDEX('COPY ELECTRONIC TB HERE'!$D$2:$D$449,MATCH('Linked TB'!A210,'COPY ELECTRONIC TB HERE'!$A$2:$A$449,0))</f>
        <v>130113.47</v>
      </c>
      <c r="F210" s="888">
        <f>+IF(UPPER(H210)="ACTUAL",C210,INDEX(ALLOCATION_TABLE,MATCH(UPPER(H210),INDEX(ALLOCATION_TABLE,0,1),0),5)*E210)</f>
        <v>130113.47</v>
      </c>
      <c r="G210" s="881">
        <f>+E210-F210</f>
        <v>0</v>
      </c>
      <c r="H210" s="882" t="s">
        <v>504</v>
      </c>
    </row>
    <row r="211" spans="1:8">
      <c r="A211" s="877">
        <v>2965</v>
      </c>
      <c r="B211" s="858" t="str">
        <f>INDEX('COPY ELECTRONIC TB HERE'!$B$2:$B$449,MATCH('Linked TB'!A211,'COPY ELECTRONIC TB HERE'!$A$2:$A$449,0))</f>
        <v xml:space="preserve">     DEF CHGS-RELOCATION EXPEN</v>
      </c>
      <c r="C211" s="878">
        <v>0</v>
      </c>
      <c r="D211" s="879">
        <v>0</v>
      </c>
      <c r="E211" s="881">
        <f>INDEX('COPY ELECTRONIC TB HERE'!$D$2:$D$449,MATCH('Linked TB'!A211,'COPY ELECTRONIC TB HERE'!$A$2:$A$449,0))</f>
        <v>0</v>
      </c>
      <c r="F211" s="888">
        <f>+IF(UPPER(H211)="ACTUAL",C211,INDEX(ALLOCATION_TABLE,MATCH(UPPER(H211),INDEX(ALLOCATION_TABLE,0,1),0),5)*E211)</f>
        <v>0</v>
      </c>
      <c r="G211" s="881">
        <f>+E211-F211</f>
        <v>0</v>
      </c>
      <c r="H211" s="882" t="s">
        <v>504</v>
      </c>
    </row>
    <row r="212" spans="1:8">
      <c r="A212" s="877">
        <v>2980</v>
      </c>
      <c r="B212" s="858" t="str">
        <f>INDEX('COPY ELECTRONIC TB HERE'!$B$2:$B$449,MATCH('Linked TB'!A212,'COPY ELECTRONIC TB HERE'!$A$2:$A$449,0))</f>
        <v xml:space="preserve">     DEF CHGS-EMP FEES</v>
      </c>
      <c r="C212" s="878">
        <v>0</v>
      </c>
      <c r="D212" s="879">
        <v>0</v>
      </c>
      <c r="E212" s="881">
        <f>INDEX('COPY ELECTRONIC TB HERE'!$D$2:$D$449,MATCH('Linked TB'!A212,'COPY ELECTRONIC TB HERE'!$A$2:$A$449,0))</f>
        <v>0</v>
      </c>
      <c r="F212" s="888">
        <f>+IF(UPPER(H212)="ACTUAL",C212,INDEX(ALLOCATION_TABLE,MATCH(UPPER(H212),INDEX(ALLOCATION_TABLE,0,1),0),5)*E212)</f>
        <v>0</v>
      </c>
      <c r="G212" s="881">
        <f>+E212-F212</f>
        <v>0</v>
      </c>
      <c r="H212" s="882" t="s">
        <v>504</v>
      </c>
    </row>
    <row r="213" spans="1:8">
      <c r="A213" s="877">
        <v>3005</v>
      </c>
      <c r="B213" s="858" t="str">
        <f>INDEX('COPY ELECTRONIC TB HERE'!$B$2:$B$449,MATCH('Linked TB'!A213,'COPY ELECTRONIC TB HERE'!$A$2:$A$449,0))</f>
        <v xml:space="preserve">     DEF CHGS-VOC TESTING</v>
      </c>
      <c r="C213" s="878">
        <v>0</v>
      </c>
      <c r="D213" s="879">
        <v>0</v>
      </c>
      <c r="E213" s="881">
        <f>INDEX('COPY ELECTRONIC TB HERE'!$D$2:$D$449,MATCH('Linked TB'!A213,'COPY ELECTRONIC TB HERE'!$A$2:$A$449,0))</f>
        <v>0</v>
      </c>
      <c r="F213" s="888">
        <f t="shared" ref="F213:F221" si="27">+IF(UPPER(H213)="ACTUAL",C213,INDEX(ALLOCATION_TABLE,MATCH(UPPER(H213),INDEX(ALLOCATION_TABLE,0,1),0),5)*E213)</f>
        <v>0</v>
      </c>
      <c r="G213" s="881">
        <f t="shared" ref="G213:G221" si="28">+E213-F213</f>
        <v>0</v>
      </c>
      <c r="H213" s="882" t="s">
        <v>504</v>
      </c>
    </row>
    <row r="214" spans="1:8">
      <c r="A214" s="877">
        <v>3025</v>
      </c>
      <c r="B214" s="858" t="str">
        <f>INDEX('COPY ELECTRONIC TB HERE'!$B$2:$B$449,MATCH('Linked TB'!A214,'COPY ELECTRONIC TB HERE'!$A$2:$A$449,0))</f>
        <v xml:space="preserve">     DEF CHGS-PR WASH/JET SWR</v>
      </c>
      <c r="C214" s="878">
        <v>0</v>
      </c>
      <c r="D214" s="879">
        <v>0</v>
      </c>
      <c r="E214" s="881">
        <f>INDEX('COPY ELECTRONIC TB HERE'!$D$2:$D$449,MATCH('Linked TB'!A214,'COPY ELECTRONIC TB HERE'!$A$2:$A$449,0))</f>
        <v>350</v>
      </c>
      <c r="F214" s="888">
        <f>+IF(UPPER(H214)="ACTUAL",C214,INDEX(ALLOCATION_TABLE,MATCH(UPPER(H214),INDEX(ALLOCATION_TABLE,0,1),0),5)*E214)</f>
        <v>350</v>
      </c>
      <c r="G214" s="881">
        <f t="shared" si="28"/>
        <v>0</v>
      </c>
      <c r="H214" s="882" t="s">
        <v>504</v>
      </c>
    </row>
    <row r="215" spans="1:8">
      <c r="A215" s="877">
        <v>3040</v>
      </c>
      <c r="B215" s="858" t="str">
        <f>INDEX('COPY ELECTRONIC TB HERE'!$B$2:$B$449,MATCH('Linked TB'!A215,'COPY ELECTRONIC TB HERE'!$A$2:$A$449,0))</f>
        <v xml:space="preserve">     DEF CHGS-TANK MAINT&amp;REP S</v>
      </c>
      <c r="C215" s="878">
        <v>0</v>
      </c>
      <c r="D215" s="879">
        <v>0</v>
      </c>
      <c r="E215" s="881">
        <f>INDEX('COPY ELECTRONIC TB HERE'!$D$2:$D$449,MATCH('Linked TB'!A215,'COPY ELECTRONIC TB HERE'!$A$2:$A$449,0))</f>
        <v>0</v>
      </c>
      <c r="F215" s="888">
        <f t="shared" si="27"/>
        <v>0</v>
      </c>
      <c r="G215" s="881">
        <f t="shared" si="28"/>
        <v>0</v>
      </c>
      <c r="H215" s="882" t="s">
        <v>504</v>
      </c>
    </row>
    <row r="216" spans="1:8">
      <c r="A216" s="877">
        <v>3110</v>
      </c>
      <c r="B216" s="858" t="str">
        <f>INDEX('COPY ELECTRONIC TB HERE'!$B$2:$B$449,MATCH('Linked TB'!A216,'COPY ELECTRONIC TB HERE'!$A$2:$A$449,0))</f>
        <v xml:space="preserve">     AMORT - TANK MAINT&amp;REP WT</v>
      </c>
      <c r="C216" s="878">
        <v>0</v>
      </c>
      <c r="D216" s="879">
        <v>0</v>
      </c>
      <c r="E216" s="881">
        <f>INDEX('COPY ELECTRONIC TB HERE'!$D$2:$D$449,MATCH('Linked TB'!A216,'COPY ELECTRONIC TB HERE'!$A$2:$A$449,0))</f>
        <v>-36453.379999999997</v>
      </c>
      <c r="F216" s="888">
        <f t="shared" si="27"/>
        <v>-36453.379999999997</v>
      </c>
      <c r="G216" s="881">
        <f t="shared" si="28"/>
        <v>0</v>
      </c>
      <c r="H216" s="882" t="s">
        <v>504</v>
      </c>
    </row>
    <row r="217" spans="1:8">
      <c r="A217" s="877">
        <v>3120</v>
      </c>
      <c r="B217" s="858" t="str">
        <f>INDEX('COPY ELECTRONIC TB HERE'!$B$2:$B$449,MATCH('Linked TB'!A217,'COPY ELECTRONIC TB HERE'!$A$2:$A$449,0))</f>
        <v xml:space="preserve">     AMORT - RELOCATION EXP</v>
      </c>
      <c r="C217" s="878">
        <v>0</v>
      </c>
      <c r="D217" s="879">
        <v>0</v>
      </c>
      <c r="E217" s="881">
        <f>INDEX('COPY ELECTRONIC TB HERE'!$D$2:$D$449,MATCH('Linked TB'!A217,'COPY ELECTRONIC TB HERE'!$A$2:$A$449,0))</f>
        <v>0</v>
      </c>
      <c r="F217" s="888">
        <f>+IF(UPPER(H217)="ACTUAL",C217,INDEX(ALLOCATION_TABLE,MATCH(UPPER(H217),INDEX(ALLOCATION_TABLE,0,1),0),5)*E217)</f>
        <v>0</v>
      </c>
      <c r="G217" s="881">
        <f t="shared" si="28"/>
        <v>0</v>
      </c>
      <c r="H217" s="882" t="s">
        <v>504</v>
      </c>
    </row>
    <row r="218" spans="1:8">
      <c r="A218" s="877">
        <v>3135</v>
      </c>
      <c r="B218" s="858" t="str">
        <f>INDEX('COPY ELECTRONIC TB HERE'!$B$2:$B$449,MATCH('Linked TB'!A218,'COPY ELECTRONIC TB HERE'!$A$2:$A$449,0))</f>
        <v xml:space="preserve">     AMORT - EMPLOYEE FEES</v>
      </c>
      <c r="C218" s="878">
        <v>0</v>
      </c>
      <c r="D218" s="879">
        <v>0</v>
      </c>
      <c r="E218" s="881">
        <f>INDEX('COPY ELECTRONIC TB HERE'!$D$2:$D$449,MATCH('Linked TB'!A218,'COPY ELECTRONIC TB HERE'!$A$2:$A$449,0))</f>
        <v>0</v>
      </c>
      <c r="F218" s="888">
        <f>+IF(UPPER(H218)="ACTUAL",C218,INDEX(ALLOCATION_TABLE,MATCH(UPPER(H218),INDEX(ALLOCATION_TABLE,0,1),0),5)*E218)</f>
        <v>0</v>
      </c>
      <c r="G218" s="881">
        <f t="shared" si="28"/>
        <v>0</v>
      </c>
      <c r="H218" s="882" t="s">
        <v>504</v>
      </c>
    </row>
    <row r="219" spans="1:8">
      <c r="A219" s="877">
        <v>3160</v>
      </c>
      <c r="B219" s="858" t="str">
        <f>INDEX('COPY ELECTRONIC TB HERE'!$B$2:$B$449,MATCH('Linked TB'!A219,'COPY ELECTRONIC TB HERE'!$A$2:$A$449,0))</f>
        <v xml:space="preserve">     AMORT - VOC TESTING</v>
      </c>
      <c r="C219" s="878">
        <v>0</v>
      </c>
      <c r="D219" s="879">
        <v>0</v>
      </c>
      <c r="E219" s="881">
        <f>INDEX('COPY ELECTRONIC TB HERE'!$D$2:$D$449,MATCH('Linked TB'!A219,'COPY ELECTRONIC TB HERE'!$A$2:$A$449,0))</f>
        <v>0</v>
      </c>
      <c r="F219" s="888">
        <f t="shared" si="27"/>
        <v>0</v>
      </c>
      <c r="G219" s="881">
        <f t="shared" si="28"/>
        <v>0</v>
      </c>
      <c r="H219" s="882" t="s">
        <v>504</v>
      </c>
    </row>
    <row r="220" spans="1:8">
      <c r="A220" s="877">
        <v>3180</v>
      </c>
      <c r="B220" s="858" t="str">
        <f>INDEX('COPY ELECTRONIC TB HERE'!$B$2:$B$449,MATCH('Linked TB'!A220,'COPY ELECTRONIC TB HERE'!$A$2:$A$449,0))</f>
        <v xml:space="preserve">     AMORT - PR WASH/JET SWR M</v>
      </c>
      <c r="C220" s="878">
        <v>0</v>
      </c>
      <c r="D220" s="879">
        <v>0</v>
      </c>
      <c r="E220" s="881">
        <f>INDEX('COPY ELECTRONIC TB HERE'!$D$2:$D$449,MATCH('Linked TB'!A220,'COPY ELECTRONIC TB HERE'!$A$2:$A$449,0))</f>
        <v>-338.64</v>
      </c>
      <c r="F220" s="888">
        <f>+IF(UPPER(H220)="ACTUAL",C220,INDEX(ALLOCATION_TABLE,MATCH(UPPER(H220),INDEX(ALLOCATION_TABLE,0,1),0),5)*E220)</f>
        <v>-338.64</v>
      </c>
      <c r="G220" s="881">
        <f t="shared" si="28"/>
        <v>0</v>
      </c>
      <c r="H220" s="882" t="s">
        <v>504</v>
      </c>
    </row>
    <row r="221" spans="1:8">
      <c r="A221" s="877">
        <v>3195</v>
      </c>
      <c r="B221" s="858" t="str">
        <f>INDEX('COPY ELECTRONIC TB HERE'!$B$2:$B$449,MATCH('Linked TB'!A221,'COPY ELECTRONIC TB HERE'!$A$2:$A$449,0))</f>
        <v xml:space="preserve">     AMORT - TANK MAINT&amp;REP SW</v>
      </c>
      <c r="C221" s="878">
        <f t="shared" ref="C221" si="29">E221</f>
        <v>0</v>
      </c>
      <c r="D221" s="879">
        <v>0</v>
      </c>
      <c r="E221" s="881">
        <f>INDEX('COPY ELECTRONIC TB HERE'!$D$2:$D$449,MATCH('Linked TB'!A221,'COPY ELECTRONIC TB HERE'!$A$2:$A$449,0))</f>
        <v>0</v>
      </c>
      <c r="F221" s="888">
        <f t="shared" si="27"/>
        <v>0</v>
      </c>
      <c r="G221" s="881">
        <f t="shared" si="28"/>
        <v>0</v>
      </c>
      <c r="H221" s="882" t="s">
        <v>504</v>
      </c>
    </row>
    <row r="222" spans="1:8" ht="5.0999999999999996" customHeight="1">
      <c r="A222" s="877"/>
      <c r="C222" s="885">
        <v>0</v>
      </c>
      <c r="D222" s="886">
        <v>0</v>
      </c>
      <c r="E222" s="887">
        <v>0</v>
      </c>
      <c r="F222" s="893">
        <v>0</v>
      </c>
      <c r="G222" s="887">
        <v>0</v>
      </c>
      <c r="H222" s="882"/>
    </row>
    <row r="223" spans="1:8">
      <c r="A223" s="877" t="s">
        <v>1153</v>
      </c>
      <c r="B223" s="858" t="s">
        <v>1165</v>
      </c>
      <c r="C223" s="888">
        <f>SUM(C210:C222)</f>
        <v>0</v>
      </c>
      <c r="D223" s="881">
        <f>SUM(D210:D222)</f>
        <v>0</v>
      </c>
      <c r="E223" s="881">
        <f>SUM(E210:E222)</f>
        <v>93671.45</v>
      </c>
      <c r="F223" s="888">
        <f>SUM(F210:F222)</f>
        <v>93671.45</v>
      </c>
      <c r="G223" s="881">
        <f>SUM(G210:G222)</f>
        <v>0</v>
      </c>
      <c r="H223" s="882"/>
    </row>
    <row r="224" spans="1:8">
      <c r="A224" s="877"/>
      <c r="B224" s="892"/>
      <c r="C224" s="888"/>
      <c r="D224" s="881"/>
      <c r="E224" s="881"/>
      <c r="F224" s="888"/>
      <c r="G224" s="881"/>
      <c r="H224" s="882"/>
    </row>
    <row r="225" spans="1:10" ht="5.0999999999999996" customHeight="1">
      <c r="A225" s="877"/>
      <c r="B225" s="892"/>
      <c r="C225" s="888"/>
      <c r="D225" s="887"/>
      <c r="E225" s="887"/>
      <c r="F225" s="893"/>
      <c r="G225" s="887"/>
      <c r="H225" s="882"/>
    </row>
    <row r="226" spans="1:10" ht="15">
      <c r="A226" s="877" t="s">
        <v>1153</v>
      </c>
      <c r="B226" s="892" t="s">
        <v>1166</v>
      </c>
      <c r="C226" s="893">
        <f>+SUMIF($A$5:$A$225,$A226,C$5:C$225)</f>
        <v>5989811.6200000001</v>
      </c>
      <c r="D226" s="887">
        <f>+SUMIF($A$5:$A$225,$A226,D$5:D$225)</f>
        <v>-488823.38999999996</v>
      </c>
      <c r="E226" s="887">
        <f>+SUMIF($A$5:$A$225,$A226,E$5:E$225)</f>
        <v>6783277.3700000001</v>
      </c>
      <c r="F226" s="893">
        <f>+SUMIF($A$5:$A$225,$A226,F$5:F$225)</f>
        <v>7272100.7600000007</v>
      </c>
      <c r="G226" s="887">
        <f>+SUMIF($A$5:$A$225,$A226,G$5:G$225)</f>
        <v>-488823.38999999996</v>
      </c>
      <c r="H226" s="882"/>
    </row>
    <row r="227" spans="1:10">
      <c r="A227" s="877"/>
      <c r="C227" s="888"/>
      <c r="D227" s="881"/>
      <c r="E227" s="881"/>
      <c r="F227" s="888"/>
      <c r="G227" s="881"/>
      <c r="H227" s="882"/>
    </row>
    <row r="228" spans="1:10">
      <c r="A228" s="877"/>
      <c r="C228" s="888"/>
      <c r="D228" s="881"/>
      <c r="E228" s="881"/>
      <c r="F228" s="888"/>
      <c r="G228" s="881"/>
      <c r="H228" s="882"/>
    </row>
    <row r="229" spans="1:10">
      <c r="A229" s="877">
        <v>3225</v>
      </c>
      <c r="B229" s="858" t="str">
        <f>INDEX('COPY ELECTRONIC TB HERE'!$B$2:$B$449,MATCH('Linked TB'!A229,'COPY ELECTRONIC TB HERE'!$A$2:$A$449,0))</f>
        <v xml:space="preserve">    ADV-IN-AID OF CONST-WATER</v>
      </c>
      <c r="C229" s="878">
        <f>+E229</f>
        <v>-113080.53</v>
      </c>
      <c r="D229" s="879">
        <v>0</v>
      </c>
      <c r="E229" s="881">
        <f>INDEX('COPY ELECTRONIC TB HERE'!$D$2:$D$449,MATCH('Linked TB'!A229,'COPY ELECTRONIC TB HERE'!$A$2:$A$449,0))</f>
        <v>-113080.53</v>
      </c>
      <c r="F229" s="888">
        <f>+IF(UPPER(H229)="ACTUAL",C229,INDEX(ALLOCATION_TABLE,MATCH(UPPER(H229),INDEX(ALLOCATION_TABLE,0,1),0),5)*E229)</f>
        <v>-113080.53</v>
      </c>
      <c r="G229" s="881">
        <f>+E229-F229</f>
        <v>0</v>
      </c>
      <c r="H229" s="882" t="s">
        <v>503</v>
      </c>
    </row>
    <row r="230" spans="1:10" ht="4.5" customHeight="1">
      <c r="A230" s="877"/>
      <c r="C230" s="885">
        <v>0</v>
      </c>
      <c r="D230" s="886">
        <v>0</v>
      </c>
      <c r="E230" s="887">
        <v>0</v>
      </c>
      <c r="F230" s="893">
        <v>0</v>
      </c>
      <c r="G230" s="887">
        <v>0</v>
      </c>
      <c r="H230" s="882"/>
    </row>
    <row r="231" spans="1:10">
      <c r="A231" s="877" t="s">
        <v>1153</v>
      </c>
      <c r="C231" s="888">
        <f>SUM(C229:C230)</f>
        <v>-113080.53</v>
      </c>
      <c r="D231" s="881">
        <f>SUM(D229:D230)</f>
        <v>0</v>
      </c>
      <c r="E231" s="881">
        <f>SUM(E229:E230)</f>
        <v>-113080.53</v>
      </c>
      <c r="F231" s="888">
        <f>SUM(F229:F230)</f>
        <v>-113080.53</v>
      </c>
      <c r="G231" s="881">
        <f>SUM(G229:G230)</f>
        <v>0</v>
      </c>
      <c r="H231" s="882"/>
    </row>
    <row r="232" spans="1:10">
      <c r="A232" s="877"/>
      <c r="C232" s="888"/>
      <c r="D232" s="881"/>
      <c r="E232" s="881"/>
      <c r="F232" s="888"/>
      <c r="G232" s="881"/>
      <c r="H232" s="882"/>
    </row>
    <row r="233" spans="1:10">
      <c r="A233" s="877">
        <v>3350</v>
      </c>
      <c r="B233" s="858" t="str">
        <f>INDEX('COPY ELECTRONIC TB HERE'!$B$2:$B$449,MATCH('Linked TB'!A233,'COPY ELECTRONIC TB HERE'!$A$2:$A$449,0))</f>
        <v xml:space="preserve">     CIAC-METERS</v>
      </c>
      <c r="C233" s="878">
        <f>+E233</f>
        <v>-83141</v>
      </c>
      <c r="D233" s="879">
        <v>0</v>
      </c>
      <c r="E233" s="881">
        <f>INDEX('COPY ELECTRONIC TB HERE'!$D$2:$D$449,MATCH('Linked TB'!A233,'COPY ELECTRONIC TB HERE'!$A$2:$A$449,0))</f>
        <v>-83141</v>
      </c>
      <c r="F233" s="888">
        <f>+IF(UPPER(H233)="ACTUAL",C233,INDEX(ALLOCATION_TABLE,MATCH(UPPER(H233),INDEX(ALLOCATION_TABLE,0,1),0),5)*E233)</f>
        <v>-83141</v>
      </c>
      <c r="G233" s="881">
        <f>+E233-F233</f>
        <v>0</v>
      </c>
      <c r="H233" s="882" t="s">
        <v>503</v>
      </c>
    </row>
    <row r="234" spans="1:10">
      <c r="A234" s="877">
        <v>3430</v>
      </c>
      <c r="B234" s="858" t="str">
        <f>INDEX('COPY ELECTRONIC TB HERE'!$B$2:$B$449,MATCH('Linked TB'!A234,'COPY ELECTRONIC TB HERE'!$A$2:$A$449,0))</f>
        <v xml:space="preserve">     CIAC-OTHER TANGIBLE PLT W</v>
      </c>
      <c r="C234" s="878">
        <f>+E234</f>
        <v>-74377.97</v>
      </c>
      <c r="D234" s="879">
        <v>0</v>
      </c>
      <c r="E234" s="881">
        <f>INDEX('COPY ELECTRONIC TB HERE'!$D$2:$D$449,MATCH('Linked TB'!A234,'COPY ELECTRONIC TB HERE'!$A$2:$A$449,0))</f>
        <v>-74377.97</v>
      </c>
      <c r="F234" s="888">
        <f>+IF(UPPER(H234)="ACTUAL",C234,INDEX(ALLOCATION_TABLE,MATCH(UPPER(H234),INDEX(ALLOCATION_TABLE,0,1),0),5)*E234)</f>
        <v>-74377.97</v>
      </c>
      <c r="G234" s="881">
        <f>+E234-F234</f>
        <v>0</v>
      </c>
      <c r="H234" s="882" t="s">
        <v>503</v>
      </c>
    </row>
    <row r="235" spans="1:10">
      <c r="A235" s="877">
        <v>3435</v>
      </c>
      <c r="B235" s="858" t="str">
        <f>INDEX('COPY ELECTRONIC TB HERE'!$B$2:$B$449,MATCH('Linked TB'!A235,'COPY ELECTRONIC TB HERE'!$A$2:$A$449,0))</f>
        <v xml:space="preserve">     CIAC-WATER-TAP</v>
      </c>
      <c r="C235" s="878">
        <f t="shared" ref="C235:C243" si="30">+E235</f>
        <v>-24160.5</v>
      </c>
      <c r="D235" s="879">
        <v>0</v>
      </c>
      <c r="E235" s="881">
        <f>INDEX('COPY ELECTRONIC TB HERE'!$D$2:$D$449,MATCH('Linked TB'!A235,'COPY ELECTRONIC TB HERE'!$A$2:$A$449,0))</f>
        <v>-24160.5</v>
      </c>
      <c r="F235" s="888">
        <f t="shared" ref="F235:F248" si="31">+IF(UPPER(H235)="ACTUAL",C235,INDEX(ALLOCATION_TABLE,MATCH(UPPER(H235),INDEX(ALLOCATION_TABLE,0,1),0),5)*E235)</f>
        <v>-24160.5</v>
      </c>
      <c r="G235" s="881">
        <f t="shared" ref="G235:G248" si="32">+E235-F235</f>
        <v>0</v>
      </c>
      <c r="H235" s="882" t="s">
        <v>503</v>
      </c>
    </row>
    <row r="236" spans="1:10">
      <c r="A236" s="877">
        <v>3455</v>
      </c>
      <c r="B236" s="858" t="str">
        <f>INDEX('COPY ELECTRONIC TB HERE'!$B$2:$B$449,MATCH('Linked TB'!A236,'COPY ELECTRONIC TB HERE'!$A$2:$A$449,0))</f>
        <v xml:space="preserve">     CIAC-WTR PLT MTR FEE</v>
      </c>
      <c r="C236" s="878">
        <f t="shared" si="30"/>
        <v>0</v>
      </c>
      <c r="D236" s="879">
        <v>0</v>
      </c>
      <c r="E236" s="881">
        <f>INDEX('COPY ELECTRONIC TB HERE'!$D$2:$D$449,MATCH('Linked TB'!A236,'COPY ELECTRONIC TB HERE'!$A$2:$A$449,0))</f>
        <v>0</v>
      </c>
      <c r="F236" s="888">
        <f t="shared" si="31"/>
        <v>0</v>
      </c>
      <c r="G236" s="881">
        <f t="shared" si="32"/>
        <v>0</v>
      </c>
      <c r="H236" s="882" t="s">
        <v>503</v>
      </c>
      <c r="J236" s="883">
        <v>181189.87</v>
      </c>
    </row>
    <row r="237" spans="1:10">
      <c r="A237" s="877">
        <v>3500</v>
      </c>
      <c r="B237" s="858" t="str">
        <f>INDEX('COPY ELECTRONIC TB HERE'!$B$2:$B$449,MATCH('Linked TB'!A237,'COPY ELECTRONIC TB HERE'!$A$2:$A$449,0))</f>
        <v xml:space="preserve">     CIAC-STRUCT/IMPRV PUMP PL</v>
      </c>
      <c r="C237" s="878">
        <v>0</v>
      </c>
      <c r="D237" s="879">
        <f>+E237</f>
        <v>0</v>
      </c>
      <c r="E237" s="881">
        <f>INDEX('COPY ELECTRONIC TB HERE'!$D$2:$D$449,MATCH('Linked TB'!A237,'COPY ELECTRONIC TB HERE'!$A$2:$A$449,0))</f>
        <v>0</v>
      </c>
      <c r="F237" s="888">
        <f t="shared" si="31"/>
        <v>0</v>
      </c>
      <c r="G237" s="881">
        <f t="shared" si="32"/>
        <v>0</v>
      </c>
      <c r="H237" s="882" t="s">
        <v>503</v>
      </c>
    </row>
    <row r="238" spans="1:10">
      <c r="A238" s="877">
        <v>3520</v>
      </c>
      <c r="B238" s="858" t="str">
        <f>INDEX('COPY ELECTRONIC TB HERE'!$B$2:$B$449,MATCH('Linked TB'!A238,'COPY ELECTRONIC TB HERE'!$A$2:$A$449,0))</f>
        <v xml:space="preserve">     CIAC-STRUCT/IMPRV GEN PLT</v>
      </c>
      <c r="C238" s="878">
        <v>0</v>
      </c>
      <c r="D238" s="879">
        <f>+E238</f>
        <v>0</v>
      </c>
      <c r="E238" s="881">
        <f>INDEX('COPY ELECTRONIC TB HERE'!$D$2:$D$449,MATCH('Linked TB'!A238,'COPY ELECTRONIC TB HERE'!$A$2:$A$449,0))</f>
        <v>0</v>
      </c>
      <c r="F238" s="888">
        <f t="shared" si="31"/>
        <v>0</v>
      </c>
      <c r="G238" s="881">
        <f t="shared" si="32"/>
        <v>0</v>
      </c>
      <c r="H238" s="882" t="s">
        <v>503</v>
      </c>
    </row>
    <row r="239" spans="1:10">
      <c r="A239" s="877">
        <v>3550</v>
      </c>
      <c r="B239" s="858" t="str">
        <f>INDEX('COPY ELECTRONIC TB HERE'!$B$2:$B$449,MATCH('Linked TB'!A239,'COPY ELECTRONIC TB HERE'!$A$2:$A$449,0))</f>
        <v xml:space="preserve">     CIAC-SEWER FORCE MAIN</v>
      </c>
      <c r="C239" s="878">
        <v>0</v>
      </c>
      <c r="D239" s="879">
        <f>+E239</f>
        <v>0</v>
      </c>
      <c r="E239" s="881">
        <f>INDEX('COPY ELECTRONIC TB HERE'!$D$2:$D$449,MATCH('Linked TB'!A239,'COPY ELECTRONIC TB HERE'!$A$2:$A$449,0))</f>
        <v>0</v>
      </c>
      <c r="F239" s="888">
        <f t="shared" si="31"/>
        <v>0</v>
      </c>
      <c r="G239" s="881">
        <f t="shared" si="32"/>
        <v>0</v>
      </c>
      <c r="H239" s="882" t="s">
        <v>503</v>
      </c>
    </row>
    <row r="240" spans="1:10">
      <c r="A240" s="877">
        <v>3555</v>
      </c>
      <c r="B240" s="858" t="str">
        <f>INDEX('COPY ELECTRONIC TB HERE'!$B$2:$B$449,MATCH('Linked TB'!A240,'COPY ELECTRONIC TB HERE'!$A$2:$A$449,0))</f>
        <v xml:space="preserve">     CIAC-SEWER GRAVITY MAIN</v>
      </c>
      <c r="C240" s="878">
        <v>0</v>
      </c>
      <c r="D240" s="879">
        <f>+E240</f>
        <v>0</v>
      </c>
      <c r="E240" s="881">
        <f>INDEX('COPY ELECTRONIC TB HERE'!$D$2:$D$449,MATCH('Linked TB'!A240,'COPY ELECTRONIC TB HERE'!$A$2:$A$449,0))</f>
        <v>0</v>
      </c>
      <c r="F240" s="888">
        <f t="shared" si="31"/>
        <v>0</v>
      </c>
      <c r="G240" s="881">
        <f t="shared" si="32"/>
        <v>0</v>
      </c>
      <c r="H240" s="882" t="s">
        <v>503</v>
      </c>
    </row>
    <row r="241" spans="1:8">
      <c r="A241" s="877">
        <v>3975</v>
      </c>
      <c r="B241" s="858" t="str">
        <f>INDEX('COPY ELECTRONIC TB HERE'!$B$2:$B$449,MATCH('Linked TB'!A241,'COPY ELECTRONIC TB HERE'!$A$2:$A$449,0))</f>
        <v xml:space="preserve">     ACC AMORT OTHER TANG PLT</v>
      </c>
      <c r="C241" s="878">
        <f t="shared" si="30"/>
        <v>15633.26</v>
      </c>
      <c r="D241" s="879">
        <v>0</v>
      </c>
      <c r="E241" s="881">
        <f>INDEX('COPY ELECTRONIC TB HERE'!$D$2:$D$449,MATCH('Linked TB'!A241,'COPY ELECTRONIC TB HERE'!$A$2:$A$449,0))</f>
        <v>15633.26</v>
      </c>
      <c r="F241" s="888">
        <f t="shared" si="31"/>
        <v>15633.26</v>
      </c>
      <c r="G241" s="881">
        <f t="shared" si="32"/>
        <v>0</v>
      </c>
      <c r="H241" s="882" t="s">
        <v>503</v>
      </c>
    </row>
    <row r="242" spans="1:8">
      <c r="A242" s="877">
        <v>3980</v>
      </c>
      <c r="B242" s="858" t="str">
        <f>INDEX('COPY ELECTRONIC TB HERE'!$B$2:$B$449,MATCH('Linked TB'!A242,'COPY ELECTRONIC TB HERE'!$A$2:$A$449,0))</f>
        <v xml:space="preserve">     ACC AMORT WATER-CIAC TAP</v>
      </c>
      <c r="C242" s="878">
        <f t="shared" si="30"/>
        <v>830.4</v>
      </c>
      <c r="D242" s="879">
        <v>0</v>
      </c>
      <c r="E242" s="881">
        <f>INDEX('COPY ELECTRONIC TB HERE'!$D$2:$D$449,MATCH('Linked TB'!A242,'COPY ELECTRONIC TB HERE'!$A$2:$A$449,0))</f>
        <v>830.4</v>
      </c>
      <c r="F242" s="888">
        <f t="shared" si="31"/>
        <v>830.4</v>
      </c>
      <c r="G242" s="881">
        <f t="shared" si="32"/>
        <v>0</v>
      </c>
      <c r="H242" s="882" t="s">
        <v>503</v>
      </c>
    </row>
    <row r="243" spans="1:8">
      <c r="A243" s="877">
        <v>4005</v>
      </c>
      <c r="B243" s="858" t="str">
        <f>INDEX('COPY ELECTRONIC TB HERE'!$B$2:$B$449,MATCH('Linked TB'!A243,'COPY ELECTRONIC TB HERE'!$A$2:$A$449,0))</f>
        <v xml:space="preserve">     ACC AMORT WTR PLT MTR FEE</v>
      </c>
      <c r="C243" s="878">
        <f t="shared" si="30"/>
        <v>0</v>
      </c>
      <c r="D243" s="879">
        <v>0</v>
      </c>
      <c r="E243" s="881">
        <f>INDEX('COPY ELECTRONIC TB HERE'!$D$2:$D$449,MATCH('Linked TB'!A243,'COPY ELECTRONIC TB HERE'!$A$2:$A$449,0))</f>
        <v>0</v>
      </c>
      <c r="F243" s="888">
        <f t="shared" si="31"/>
        <v>0</v>
      </c>
      <c r="G243" s="881">
        <f t="shared" si="32"/>
        <v>0</v>
      </c>
      <c r="H243" s="882" t="s">
        <v>503</v>
      </c>
    </row>
    <row r="244" spans="1:8">
      <c r="A244" s="877">
        <v>4050</v>
      </c>
      <c r="B244" s="858" t="str">
        <f>INDEX('COPY ELECTRONIC TB HERE'!$B$2:$B$449,MATCH('Linked TB'!A244,'COPY ELECTRONIC TB HERE'!$A$2:$A$449,0))</f>
        <v xml:space="preserve">     ACC AMORTSTRUCT/IMPRV PUM</v>
      </c>
      <c r="C244" s="878">
        <v>0</v>
      </c>
      <c r="D244" s="879">
        <f>+E244</f>
        <v>0</v>
      </c>
      <c r="E244" s="881">
        <f>INDEX('COPY ELECTRONIC TB HERE'!$D$2:$D$449,MATCH('Linked TB'!A244,'COPY ELECTRONIC TB HERE'!$A$2:$A$449,0))</f>
        <v>0</v>
      </c>
      <c r="F244" s="888">
        <f t="shared" si="31"/>
        <v>0</v>
      </c>
      <c r="G244" s="881">
        <f t="shared" si="32"/>
        <v>0</v>
      </c>
      <c r="H244" s="882" t="s">
        <v>503</v>
      </c>
    </row>
    <row r="245" spans="1:8">
      <c r="A245" s="877">
        <v>4070</v>
      </c>
      <c r="B245" s="858" t="str">
        <f>INDEX('COPY ELECTRONIC TB HERE'!$B$2:$B$449,MATCH('Linked TB'!A245,'COPY ELECTRONIC TB HERE'!$A$2:$A$449,0))</f>
        <v xml:space="preserve">     ACC AMORTSTRUCT/IMPRV GEN</v>
      </c>
      <c r="C245" s="878">
        <v>0</v>
      </c>
      <c r="D245" s="879">
        <f>+E245</f>
        <v>0</v>
      </c>
      <c r="E245" s="881">
        <f>INDEX('COPY ELECTRONIC TB HERE'!$D$2:$D$449,MATCH('Linked TB'!A245,'COPY ELECTRONIC TB HERE'!$A$2:$A$449,0))</f>
        <v>0</v>
      </c>
      <c r="F245" s="888">
        <f t="shared" si="31"/>
        <v>0</v>
      </c>
      <c r="G245" s="881">
        <f t="shared" si="32"/>
        <v>0</v>
      </c>
      <c r="H245" s="882" t="s">
        <v>503</v>
      </c>
    </row>
    <row r="246" spans="1:8">
      <c r="A246" s="877">
        <v>4100</v>
      </c>
      <c r="B246" s="858" t="str">
        <f>INDEX('COPY ELECTRONIC TB HERE'!$B$2:$B$449,MATCH('Linked TB'!A246,'COPY ELECTRONIC TB HERE'!$A$2:$A$449,0))</f>
        <v xml:space="preserve">     ACC AMORT SWR FORCE MAIN/</v>
      </c>
      <c r="C246" s="878">
        <v>0</v>
      </c>
      <c r="D246" s="879">
        <f>+E246</f>
        <v>0</v>
      </c>
      <c r="E246" s="881">
        <f>INDEX('COPY ELECTRONIC TB HERE'!$D$2:$D$449,MATCH('Linked TB'!A246,'COPY ELECTRONIC TB HERE'!$A$2:$A$449,0))</f>
        <v>0</v>
      </c>
      <c r="F246" s="888">
        <f t="shared" si="31"/>
        <v>0</v>
      </c>
      <c r="G246" s="881">
        <f t="shared" si="32"/>
        <v>0</v>
      </c>
      <c r="H246" s="882" t="s">
        <v>503</v>
      </c>
    </row>
    <row r="247" spans="1:8">
      <c r="A247" s="877">
        <v>4105</v>
      </c>
      <c r="B247" s="858" t="str">
        <f>INDEX('COPY ELECTRONIC TB HERE'!$B$2:$B$449,MATCH('Linked TB'!A247,'COPY ELECTRONIC TB HERE'!$A$2:$A$449,0))</f>
        <v xml:space="preserve">     ACC AMORT SEWER GRAVITY M</v>
      </c>
      <c r="C247" s="878">
        <v>0</v>
      </c>
      <c r="D247" s="879">
        <f>+E247</f>
        <v>0</v>
      </c>
      <c r="E247" s="881">
        <f>INDEX('COPY ELECTRONIC TB HERE'!$D$2:$D$449,MATCH('Linked TB'!A247,'COPY ELECTRONIC TB HERE'!$A$2:$A$449,0))</f>
        <v>0</v>
      </c>
      <c r="F247" s="888">
        <f t="shared" si="31"/>
        <v>0</v>
      </c>
      <c r="G247" s="881">
        <f t="shared" si="32"/>
        <v>0</v>
      </c>
      <c r="H247" s="882" t="s">
        <v>503</v>
      </c>
    </row>
    <row r="248" spans="1:8">
      <c r="A248" s="877">
        <v>4265</v>
      </c>
      <c r="B248" s="858" t="str">
        <f>INDEX('COPY ELECTRONIC TB HERE'!$B$2:$B$449,MATCH('Linked TB'!A248,'COPY ELECTRONIC TB HERE'!$A$2:$A$449,0))</f>
        <v xml:space="preserve">     ACC AMORT SEWER-TAP</v>
      </c>
      <c r="C248" s="878">
        <v>0</v>
      </c>
      <c r="D248" s="879">
        <f>+E248</f>
        <v>0</v>
      </c>
      <c r="E248" s="881">
        <f>INDEX('COPY ELECTRONIC TB HERE'!$D$2:$D$449,MATCH('Linked TB'!A248,'COPY ELECTRONIC TB HERE'!$A$2:$A$449,0))</f>
        <v>0</v>
      </c>
      <c r="F248" s="888">
        <f t="shared" si="31"/>
        <v>0</v>
      </c>
      <c r="G248" s="881">
        <f t="shared" si="32"/>
        <v>0</v>
      </c>
      <c r="H248" s="882" t="s">
        <v>503</v>
      </c>
    </row>
    <row r="249" spans="1:8" ht="3.75" customHeight="1">
      <c r="A249" s="877"/>
      <c r="C249" s="885">
        <v>0</v>
      </c>
      <c r="D249" s="886">
        <v>0</v>
      </c>
      <c r="E249" s="887">
        <v>0</v>
      </c>
      <c r="F249" s="893">
        <v>0</v>
      </c>
      <c r="G249" s="887">
        <v>0</v>
      </c>
      <c r="H249" s="882"/>
    </row>
    <row r="250" spans="1:8">
      <c r="A250" s="877" t="s">
        <v>1153</v>
      </c>
      <c r="B250" s="858" t="s">
        <v>1167</v>
      </c>
      <c r="C250" s="888">
        <f>SUM(C233:C249)</f>
        <v>-165215.81</v>
      </c>
      <c r="D250" s="881">
        <f>SUM(D233:D249)</f>
        <v>0</v>
      </c>
      <c r="E250" s="881">
        <f>SUM(E233:E249)</f>
        <v>-165215.81</v>
      </c>
      <c r="F250" s="888">
        <f>SUM(F233:F249)</f>
        <v>-165215.81</v>
      </c>
      <c r="G250" s="881">
        <f>SUM(G233:G249)</f>
        <v>0</v>
      </c>
      <c r="H250" s="882"/>
    </row>
    <row r="251" spans="1:8">
      <c r="A251" s="877"/>
      <c r="C251" s="888"/>
      <c r="D251" s="881"/>
      <c r="E251" s="881"/>
      <c r="F251" s="888"/>
      <c r="G251" s="881"/>
      <c r="H251" s="882"/>
    </row>
    <row r="252" spans="1:8">
      <c r="A252" s="877">
        <v>4371</v>
      </c>
      <c r="B252" s="858" t="str">
        <f>INDEX('COPY ELECTRONIC TB HERE'!$B$2:$B$449,MATCH('Linked TB'!A252,'COPY ELECTRONIC TB HERE'!$A$2:$A$449,0))</f>
        <v xml:space="preserve">     DEF FED TAX - TAP FEE POS</v>
      </c>
      <c r="C252" s="878">
        <v>0</v>
      </c>
      <c r="D252" s="879">
        <v>0</v>
      </c>
      <c r="E252" s="881">
        <f>INDEX('COPY ELECTRONIC TB HERE'!$D$2:$D$449,MATCH('Linked TB'!A252,'COPY ELECTRONIC TB HERE'!$A$2:$A$449,0))</f>
        <v>66.400000000000006</v>
      </c>
      <c r="F252" s="888">
        <f t="shared" ref="F252:F257" si="33">+IF(UPPER(H252)="ACTUAL",C252,INDEX(ALLOCATION_TABLE,MATCH(UPPER(H252),INDEX(ALLOCATION_TABLE,0,1),0),5)*E252)</f>
        <v>66.400000000000006</v>
      </c>
      <c r="G252" s="881">
        <f t="shared" ref="G252:G257" si="34">+E252-F252</f>
        <v>0</v>
      </c>
      <c r="H252" s="882" t="s">
        <v>891</v>
      </c>
    </row>
    <row r="253" spans="1:8">
      <c r="A253" s="877">
        <v>4375</v>
      </c>
      <c r="B253" s="858" t="str">
        <f>INDEX('COPY ELECTRONIC TB HERE'!$B$2:$B$449,MATCH('Linked TB'!A253,'COPY ELECTRONIC TB HERE'!$A$2:$A$449,0))</f>
        <v xml:space="preserve">     DEF FED TAX - RATE CASE</v>
      </c>
      <c r="C253" s="878">
        <v>0</v>
      </c>
      <c r="D253" s="879">
        <v>0</v>
      </c>
      <c r="E253" s="881">
        <f>INDEX('COPY ELECTRONIC TB HERE'!$D$2:$D$449,MATCH('Linked TB'!A253,'COPY ELECTRONIC TB HERE'!$A$2:$A$449,0))</f>
        <v>-27013.29</v>
      </c>
      <c r="F253" s="888">
        <f t="shared" si="33"/>
        <v>-27013.29</v>
      </c>
      <c r="G253" s="881">
        <f t="shared" si="34"/>
        <v>0</v>
      </c>
      <c r="H253" s="882" t="s">
        <v>504</v>
      </c>
    </row>
    <row r="254" spans="1:8">
      <c r="A254" s="877">
        <v>4377</v>
      </c>
      <c r="B254" s="858" t="str">
        <f>INDEX('COPY ELECTRONIC TB HERE'!$B$2:$B$449,MATCH('Linked TB'!A254,'COPY ELECTRONIC TB HERE'!$A$2:$A$449,0))</f>
        <v xml:space="preserve">     DEF FED TAX - DEF MAINT</v>
      </c>
      <c r="C254" s="878">
        <v>0</v>
      </c>
      <c r="D254" s="879">
        <v>0</v>
      </c>
      <c r="E254" s="881">
        <f>INDEX('COPY ELECTRONIC TB HERE'!$D$2:$D$449,MATCH('Linked TB'!A254,'COPY ELECTRONIC TB HERE'!$A$2:$A$449,0))</f>
        <v>-29909.05</v>
      </c>
      <c r="F254" s="888">
        <f t="shared" si="33"/>
        <v>-29909.05</v>
      </c>
      <c r="G254" s="881">
        <f t="shared" si="34"/>
        <v>0</v>
      </c>
      <c r="H254" s="882" t="s">
        <v>504</v>
      </c>
    </row>
    <row r="255" spans="1:8">
      <c r="A255" s="877">
        <v>4383</v>
      </c>
      <c r="B255" s="858" t="str">
        <f>INDEX('COPY ELECTRONIC TB HERE'!$B$2:$B$449,MATCH('Linked TB'!A255,'COPY ELECTRONIC TB HERE'!$A$2:$A$449,0))</f>
        <v xml:space="preserve">     DEF FED TAX - ORGN EXP</v>
      </c>
      <c r="C255" s="878">
        <v>0</v>
      </c>
      <c r="D255" s="879">
        <v>0</v>
      </c>
      <c r="E255" s="881">
        <f>INDEX('COPY ELECTRONIC TB HERE'!$D$2:$D$449,MATCH('Linked TB'!A255,'COPY ELECTRONIC TB HERE'!$A$2:$A$449,0))</f>
        <v>-46677</v>
      </c>
      <c r="F255" s="888">
        <f t="shared" si="33"/>
        <v>-46677</v>
      </c>
      <c r="G255" s="881">
        <f t="shared" si="34"/>
        <v>0</v>
      </c>
      <c r="H255" s="882" t="s">
        <v>504</v>
      </c>
    </row>
    <row r="256" spans="1:8">
      <c r="A256" s="877">
        <v>4385</v>
      </c>
      <c r="B256" s="858" t="str">
        <f>INDEX('COPY ELECTRONIC TB HERE'!$B$2:$B$449,MATCH('Linked TB'!A256,'COPY ELECTRONIC TB HERE'!$A$2:$A$449,0))</f>
        <v xml:space="preserve">     DEF FED TAX - BAD DEBT</v>
      </c>
      <c r="C256" s="878">
        <v>0</v>
      </c>
      <c r="D256" s="879">
        <v>0</v>
      </c>
      <c r="E256" s="881">
        <f>INDEX('COPY ELECTRONIC TB HERE'!$D$2:$D$449,MATCH('Linked TB'!A256,'COPY ELECTRONIC TB HERE'!$A$2:$A$449,0))</f>
        <v>9480</v>
      </c>
      <c r="F256" s="888">
        <f t="shared" si="33"/>
        <v>9480</v>
      </c>
      <c r="G256" s="881">
        <f t="shared" si="34"/>
        <v>0</v>
      </c>
      <c r="H256" s="882" t="s">
        <v>504</v>
      </c>
    </row>
    <row r="257" spans="1:8">
      <c r="A257" s="877">
        <v>4387</v>
      </c>
      <c r="B257" s="858" t="str">
        <f>INDEX('COPY ELECTRONIC TB HERE'!$B$2:$B$449,MATCH('Linked TB'!A257,'COPY ELECTRONIC TB HERE'!$A$2:$A$449,0))</f>
        <v xml:space="preserve">     DEF FED TAX - DEPRECIATIO</v>
      </c>
      <c r="C257" s="878">
        <v>0</v>
      </c>
      <c r="D257" s="879">
        <v>0</v>
      </c>
      <c r="E257" s="881">
        <f>INDEX('COPY ELECTRONIC TB HERE'!$D$2:$D$449,MATCH('Linked TB'!A257,'COPY ELECTRONIC TB HERE'!$A$2:$A$449,0))</f>
        <v>-504190.86</v>
      </c>
      <c r="F257" s="888">
        <f t="shared" si="33"/>
        <v>-504190.86</v>
      </c>
      <c r="G257" s="881">
        <f t="shared" si="34"/>
        <v>0</v>
      </c>
      <c r="H257" s="882" t="s">
        <v>504</v>
      </c>
    </row>
    <row r="258" spans="1:8" ht="5.0999999999999996" customHeight="1">
      <c r="A258" s="877"/>
      <c r="C258" s="885">
        <v>0</v>
      </c>
      <c r="D258" s="886">
        <v>0</v>
      </c>
      <c r="E258" s="887">
        <v>0</v>
      </c>
      <c r="F258" s="893">
        <v>0</v>
      </c>
      <c r="G258" s="887">
        <v>0</v>
      </c>
      <c r="H258" s="882"/>
    </row>
    <row r="259" spans="1:8">
      <c r="A259" s="877" t="s">
        <v>1153</v>
      </c>
      <c r="B259" s="858" t="s">
        <v>1168</v>
      </c>
      <c r="C259" s="888">
        <f>SUM(C252:C258)</f>
        <v>0</v>
      </c>
      <c r="D259" s="881">
        <f>SUM(D252:D258)</f>
        <v>0</v>
      </c>
      <c r="E259" s="881">
        <f>SUM(E252:E258)</f>
        <v>-598243.80000000005</v>
      </c>
      <c r="F259" s="888">
        <f>SUM(F252:F258)</f>
        <v>-598243.80000000005</v>
      </c>
      <c r="G259" s="881">
        <f>SUM(G252:G258)</f>
        <v>0</v>
      </c>
      <c r="H259" s="882"/>
    </row>
    <row r="260" spans="1:8">
      <c r="A260" s="877"/>
      <c r="C260" s="888"/>
      <c r="D260" s="881"/>
      <c r="E260" s="881"/>
      <c r="F260" s="888"/>
      <c r="G260" s="881"/>
      <c r="H260" s="882"/>
    </row>
    <row r="261" spans="1:8">
      <c r="A261" s="877">
        <v>4421</v>
      </c>
      <c r="B261" s="858" t="str">
        <f>INDEX('COPY ELECTRONIC TB HERE'!$B$2:$B$449,MATCH('Linked TB'!A261,'COPY ELECTRONIC TB HERE'!$A$2:$A$449,0))</f>
        <v xml:space="preserve">     DEF ST TAX - TAP FEE POST</v>
      </c>
      <c r="C261" s="888">
        <v>0</v>
      </c>
      <c r="D261" s="881">
        <v>0</v>
      </c>
      <c r="E261" s="881">
        <f>INDEX('COPY ELECTRONIC TB HERE'!$D$2:$D$449,MATCH('Linked TB'!A261,'COPY ELECTRONIC TB HERE'!$A$2:$A$449,0))</f>
        <v>13.6</v>
      </c>
      <c r="F261" s="888">
        <f t="shared" ref="F261:F266" si="35">+IF(UPPER(H261)="ACTUAL",C261,INDEX(ALLOCATION_TABLE,MATCH(UPPER(H261),INDEX(ALLOCATION_TABLE,0,1),0),5)*E261)</f>
        <v>13.6</v>
      </c>
      <c r="G261" s="881">
        <f t="shared" ref="G261:G266" si="36">+E261-F261</f>
        <v>0</v>
      </c>
      <c r="H261" s="882" t="s">
        <v>891</v>
      </c>
    </row>
    <row r="262" spans="1:8">
      <c r="A262" s="877">
        <v>4425</v>
      </c>
      <c r="B262" s="858" t="str">
        <f>INDEX('COPY ELECTRONIC TB HERE'!$B$2:$B$449,MATCH('Linked TB'!A262,'COPY ELECTRONIC TB HERE'!$A$2:$A$449,0))</f>
        <v xml:space="preserve">     DEF ST TAX - RATE CASE</v>
      </c>
      <c r="C262" s="888">
        <v>0</v>
      </c>
      <c r="D262" s="881">
        <v>0</v>
      </c>
      <c r="E262" s="881">
        <f>INDEX('COPY ELECTRONIC TB HERE'!$D$2:$D$449,MATCH('Linked TB'!A262,'COPY ELECTRONIC TB HERE'!$A$2:$A$449,0))</f>
        <v>-7005.27</v>
      </c>
      <c r="F262" s="888">
        <f t="shared" si="35"/>
        <v>-7005.27</v>
      </c>
      <c r="G262" s="881">
        <f t="shared" si="36"/>
        <v>0</v>
      </c>
      <c r="H262" s="882" t="s">
        <v>891</v>
      </c>
    </row>
    <row r="263" spans="1:8">
      <c r="A263" s="877">
        <v>4427</v>
      </c>
      <c r="B263" s="858" t="str">
        <f>INDEX('COPY ELECTRONIC TB HERE'!$B$2:$B$449,MATCH('Linked TB'!A263,'COPY ELECTRONIC TB HERE'!$A$2:$A$449,0))</f>
        <v xml:space="preserve">     DEF ST TAX - DEF MAINT</v>
      </c>
      <c r="C263" s="888">
        <v>0</v>
      </c>
      <c r="D263" s="881">
        <v>0</v>
      </c>
      <c r="E263" s="881">
        <f>INDEX('COPY ELECTRONIC TB HERE'!$D$2:$D$449,MATCH('Linked TB'!A263,'COPY ELECTRONIC TB HERE'!$A$2:$A$449,0))</f>
        <v>-5666.38</v>
      </c>
      <c r="F263" s="888">
        <f t="shared" si="35"/>
        <v>-5666.38</v>
      </c>
      <c r="G263" s="881">
        <f t="shared" si="36"/>
        <v>0</v>
      </c>
      <c r="H263" s="882" t="s">
        <v>504</v>
      </c>
    </row>
    <row r="264" spans="1:8">
      <c r="A264" s="877">
        <v>4433</v>
      </c>
      <c r="B264" s="858" t="str">
        <f>INDEX('COPY ELECTRONIC TB HERE'!$B$2:$B$449,MATCH('Linked TB'!A264,'COPY ELECTRONIC TB HERE'!$A$2:$A$449,0))</f>
        <v xml:space="preserve">     DEF ST TAX - ORGN EXP</v>
      </c>
      <c r="C264" s="888">
        <v>0</v>
      </c>
      <c r="D264" s="879">
        <v>0</v>
      </c>
      <c r="E264" s="881">
        <f>INDEX('COPY ELECTRONIC TB HERE'!$D$2:$D$449,MATCH('Linked TB'!A264,'COPY ELECTRONIC TB HERE'!$A$2:$A$449,0))</f>
        <v>-5114</v>
      </c>
      <c r="F264" s="888">
        <f t="shared" si="35"/>
        <v>-5114</v>
      </c>
      <c r="G264" s="881">
        <f t="shared" si="36"/>
        <v>0</v>
      </c>
      <c r="H264" s="882" t="s">
        <v>504</v>
      </c>
    </row>
    <row r="265" spans="1:8">
      <c r="A265" s="877">
        <v>4435</v>
      </c>
      <c r="B265" s="858" t="str">
        <f>INDEX('COPY ELECTRONIC TB HERE'!$B$2:$B$449,MATCH('Linked TB'!A265,'COPY ELECTRONIC TB HERE'!$A$2:$A$449,0))</f>
        <v xml:space="preserve">     DEF ST TAX - BAD DEBT</v>
      </c>
      <c r="C265" s="888">
        <v>0</v>
      </c>
      <c r="D265" s="879">
        <v>0</v>
      </c>
      <c r="E265" s="881">
        <f>INDEX('COPY ELECTRONIC TB HERE'!$D$2:$D$449,MATCH('Linked TB'!A265,'COPY ELECTRONIC TB HERE'!$A$2:$A$449,0))</f>
        <v>2163</v>
      </c>
      <c r="F265" s="888">
        <f t="shared" si="35"/>
        <v>2163</v>
      </c>
      <c r="G265" s="881">
        <f t="shared" si="36"/>
        <v>0</v>
      </c>
      <c r="H265" s="882" t="s">
        <v>504</v>
      </c>
    </row>
    <row r="266" spans="1:8">
      <c r="A266" s="877">
        <v>4437</v>
      </c>
      <c r="B266" s="858" t="str">
        <f>INDEX('COPY ELECTRONIC TB HERE'!$B$2:$B$449,MATCH('Linked TB'!A266,'COPY ELECTRONIC TB HERE'!$A$2:$A$449,0))</f>
        <v xml:space="preserve">     DEF ST TAX - DEPRECIATION</v>
      </c>
      <c r="C266" s="888">
        <v>0</v>
      </c>
      <c r="D266" s="879">
        <v>0</v>
      </c>
      <c r="E266" s="881">
        <f>INDEX('COPY ELECTRONIC TB HERE'!$D$2:$D$449,MATCH('Linked TB'!A266,'COPY ELECTRONIC TB HERE'!$A$2:$A$449,0))</f>
        <v>-51729.07</v>
      </c>
      <c r="F266" s="888">
        <f t="shared" si="35"/>
        <v>-51729.07</v>
      </c>
      <c r="G266" s="881">
        <f t="shared" si="36"/>
        <v>0</v>
      </c>
      <c r="H266" s="882" t="s">
        <v>504</v>
      </c>
    </row>
    <row r="267" spans="1:8" ht="5.0999999999999996" customHeight="1">
      <c r="A267" s="877"/>
      <c r="C267" s="885">
        <v>0</v>
      </c>
      <c r="D267" s="886">
        <v>0</v>
      </c>
      <c r="E267" s="887">
        <v>0</v>
      </c>
      <c r="F267" s="893">
        <v>0</v>
      </c>
      <c r="G267" s="887">
        <v>0</v>
      </c>
      <c r="H267" s="882"/>
    </row>
    <row r="268" spans="1:8">
      <c r="A268" s="877" t="s">
        <v>1153</v>
      </c>
      <c r="B268" s="858" t="s">
        <v>1169</v>
      </c>
      <c r="C268" s="888">
        <f>SUM(C261:C267)</f>
        <v>0</v>
      </c>
      <c r="D268" s="881">
        <f>SUM(D261:D267)</f>
        <v>0</v>
      </c>
      <c r="E268" s="881">
        <f>SUM(E261:E267)</f>
        <v>-67338.12</v>
      </c>
      <c r="F268" s="888">
        <f>SUM(F261:F267)</f>
        <v>-67338.12</v>
      </c>
      <c r="G268" s="881">
        <f>SUM(G261:G267)</f>
        <v>0</v>
      </c>
      <c r="H268" s="882"/>
    </row>
    <row r="269" spans="1:8">
      <c r="A269" s="877"/>
      <c r="C269" s="888"/>
      <c r="D269" s="881"/>
      <c r="E269" s="881"/>
      <c r="F269" s="888"/>
      <c r="G269" s="881"/>
      <c r="H269" s="882"/>
    </row>
    <row r="270" spans="1:8">
      <c r="A270" s="877">
        <v>4515</v>
      </c>
      <c r="B270" s="858" t="str">
        <f>INDEX('COPY ELECTRONIC TB HERE'!$B$2:$B$449,MATCH('Linked TB'!A270,'COPY ELECTRONIC TB HERE'!$A$2:$A$449,0))</f>
        <v xml:space="preserve">     A/P TRADE</v>
      </c>
      <c r="C270" s="878">
        <v>0</v>
      </c>
      <c r="D270" s="879">
        <v>0</v>
      </c>
      <c r="E270" s="881">
        <f>INDEX('COPY ELECTRONIC TB HERE'!$D$2:$D$449,MATCH('Linked TB'!A270,'COPY ELECTRONIC TB HERE'!$A$2:$A$449,0))</f>
        <v>-56198.84</v>
      </c>
      <c r="F270" s="888">
        <f t="shared" ref="F270:F275" si="37">+IF(UPPER(H270)="ACTUAL",C270,INDEX(ALLOCATION_TABLE,MATCH(UPPER(H270),INDEX(ALLOCATION_TABLE,0,1),0),5)*E270)</f>
        <v>-56198.84</v>
      </c>
      <c r="G270" s="881">
        <f t="shared" ref="G270:G275" si="38">+E270-F270</f>
        <v>0</v>
      </c>
      <c r="H270" s="882" t="s">
        <v>504</v>
      </c>
    </row>
    <row r="271" spans="1:8">
      <c r="A271" s="877">
        <v>4520</v>
      </c>
      <c r="B271" s="858" t="str">
        <f>INDEX('COPY ELECTRONIC TB HERE'!$B$2:$B$449,MATCH('Linked TB'!A271,'COPY ELECTRONIC TB HERE'!$A$2:$A$449,0))</f>
        <v xml:space="preserve">     A/P RETIREMENT PLANS</v>
      </c>
      <c r="C271" s="878">
        <v>0</v>
      </c>
      <c r="D271" s="879">
        <v>0</v>
      </c>
      <c r="E271" s="881">
        <f>INDEX('COPY ELECTRONIC TB HERE'!$D$2:$D$449,MATCH('Linked TB'!A271,'COPY ELECTRONIC TB HERE'!$A$2:$A$449,0))</f>
        <v>0</v>
      </c>
      <c r="F271" s="888">
        <f t="shared" si="37"/>
        <v>0</v>
      </c>
      <c r="G271" s="881">
        <f t="shared" si="38"/>
        <v>0</v>
      </c>
      <c r="H271" s="882" t="s">
        <v>504</v>
      </c>
    </row>
    <row r="272" spans="1:8">
      <c r="A272" s="877">
        <v>4525</v>
      </c>
      <c r="B272" s="858" t="str">
        <f>INDEX('COPY ELECTRONIC TB HERE'!$B$2:$B$449,MATCH('Linked TB'!A272,'COPY ELECTRONIC TB HERE'!$A$2:$A$449,0))</f>
        <v xml:space="preserve">     A/P TRADE - ACCRUAL</v>
      </c>
      <c r="C272" s="878">
        <v>0</v>
      </c>
      <c r="D272" s="879">
        <v>0</v>
      </c>
      <c r="E272" s="881">
        <f>INDEX('COPY ELECTRONIC TB HERE'!$D$2:$D$449,MATCH('Linked TB'!A272,'COPY ELECTRONIC TB HERE'!$A$2:$A$449,0))</f>
        <v>-216932.75</v>
      </c>
      <c r="F272" s="888">
        <f t="shared" si="37"/>
        <v>-216932.75</v>
      </c>
      <c r="G272" s="881">
        <f t="shared" si="38"/>
        <v>0</v>
      </c>
      <c r="H272" s="882" t="s">
        <v>504</v>
      </c>
    </row>
    <row r="273" spans="1:8">
      <c r="A273" s="877">
        <v>4527</v>
      </c>
      <c r="B273" s="858" t="str">
        <f>INDEX('COPY ELECTRONIC TB HERE'!$B$2:$B$449,MATCH('Linked TB'!A273,'COPY ELECTRONIC TB HERE'!$A$2:$A$449,0))</f>
        <v xml:space="preserve">     A/P TRADE - RECD NOT VOUC</v>
      </c>
      <c r="C273" s="878">
        <v>0</v>
      </c>
      <c r="D273" s="879">
        <v>0</v>
      </c>
      <c r="E273" s="881">
        <f>INDEX('COPY ELECTRONIC TB HERE'!$D$2:$D$449,MATCH('Linked TB'!A273,'COPY ELECTRONIC TB HERE'!$A$2:$A$449,0))</f>
        <v>-68038.14</v>
      </c>
      <c r="F273" s="888">
        <f t="shared" si="37"/>
        <v>-68038.14</v>
      </c>
      <c r="G273" s="881">
        <f t="shared" si="38"/>
        <v>0</v>
      </c>
      <c r="H273" s="882" t="s">
        <v>504</v>
      </c>
    </row>
    <row r="274" spans="1:8">
      <c r="A274" s="877">
        <v>4535</v>
      </c>
      <c r="B274" s="858" t="str">
        <f>INDEX('COPY ELECTRONIC TB HERE'!$B$2:$B$449,MATCH('Linked TB'!A274,'COPY ELECTRONIC TB HERE'!$A$2:$A$449,0))</f>
        <v xml:space="preserve">     A/P-ASSOC COMPANIES</v>
      </c>
      <c r="C274" s="878">
        <v>0</v>
      </c>
      <c r="D274" s="879">
        <v>0</v>
      </c>
      <c r="E274" s="881">
        <f>INDEX('COPY ELECTRONIC TB HERE'!$D$2:$D$449,MATCH('Linked TB'!A274,'COPY ELECTRONIC TB HERE'!$A$2:$A$449,0))</f>
        <v>-1667632.54</v>
      </c>
      <c r="F274" s="888">
        <f t="shared" si="37"/>
        <v>-1667632.54</v>
      </c>
      <c r="G274" s="881">
        <f t="shared" si="38"/>
        <v>0</v>
      </c>
      <c r="H274" s="882" t="s">
        <v>504</v>
      </c>
    </row>
    <row r="275" spans="1:8">
      <c r="A275" s="877">
        <v>4545</v>
      </c>
      <c r="B275" s="858" t="str">
        <f>INDEX('COPY ELECTRONIC TB HERE'!$B$2:$B$449,MATCH('Linked TB'!A275,'COPY ELECTRONIC TB HERE'!$A$2:$A$449,0))</f>
        <v xml:space="preserve">     A/P MISCELLANEOUS</v>
      </c>
      <c r="C275" s="878">
        <v>0</v>
      </c>
      <c r="D275" s="879">
        <v>0</v>
      </c>
      <c r="E275" s="881">
        <f>INDEX('COPY ELECTRONIC TB HERE'!$D$2:$D$449,MATCH('Linked TB'!A275,'COPY ELECTRONIC TB HERE'!$A$2:$A$449,0))</f>
        <v>-2048.94</v>
      </c>
      <c r="F275" s="888">
        <f t="shared" si="37"/>
        <v>-2048.94</v>
      </c>
      <c r="G275" s="881">
        <f t="shared" si="38"/>
        <v>0</v>
      </c>
      <c r="H275" s="882" t="s">
        <v>504</v>
      </c>
    </row>
    <row r="276" spans="1:8" ht="5.0999999999999996" customHeight="1">
      <c r="A276" s="877"/>
      <c r="C276" s="885">
        <v>0</v>
      </c>
      <c r="D276" s="886">
        <v>0</v>
      </c>
      <c r="E276" s="887">
        <v>0</v>
      </c>
      <c r="F276" s="893">
        <v>0</v>
      </c>
      <c r="G276" s="887">
        <v>0</v>
      </c>
      <c r="H276" s="882"/>
    </row>
    <row r="277" spans="1:8">
      <c r="A277" s="877" t="s">
        <v>1153</v>
      </c>
      <c r="B277" s="858" t="s">
        <v>1170</v>
      </c>
      <c r="C277" s="888">
        <f>SUM(C270:C276)</f>
        <v>0</v>
      </c>
      <c r="D277" s="881">
        <f>SUM(D270:D276)</f>
        <v>0</v>
      </c>
      <c r="E277" s="881">
        <f>SUM(E270:E276)</f>
        <v>-2010851.21</v>
      </c>
      <c r="F277" s="888">
        <f>SUM(F270:F276)</f>
        <v>-2010851.21</v>
      </c>
      <c r="G277" s="881">
        <f>SUM(G270:G276)</f>
        <v>0</v>
      </c>
      <c r="H277" s="882"/>
    </row>
    <row r="278" spans="1:8">
      <c r="A278" s="877"/>
      <c r="C278" s="888"/>
      <c r="D278" s="881"/>
      <c r="E278" s="881"/>
      <c r="F278" s="888"/>
      <c r="G278" s="881"/>
      <c r="H278" s="882"/>
    </row>
    <row r="279" spans="1:8">
      <c r="A279" s="877">
        <v>4565</v>
      </c>
      <c r="B279" s="858" t="str">
        <f>INDEX('COPY ELECTRONIC TB HERE'!$B$2:$B$449,MATCH('Linked TB'!A279,'COPY ELECTRONIC TB HERE'!$A$2:$A$449,0))</f>
        <v xml:space="preserve">    ADVANCES FROM UTILITIES IN</v>
      </c>
      <c r="C279" s="878">
        <v>0</v>
      </c>
      <c r="D279" s="879">
        <v>0</v>
      </c>
      <c r="E279" s="881">
        <f>INDEX('COPY ELECTRONIC TB HERE'!$D$2:$D$449,MATCH('Linked TB'!A279,'COPY ELECTRONIC TB HERE'!$A$2:$A$449,0))</f>
        <v>457635.31</v>
      </c>
      <c r="F279" s="888">
        <f>+IF(UPPER(H279)="ACTUAL",C279,INDEX(ALLOCATION_TABLE,MATCH(UPPER(H279),INDEX(ALLOCATION_TABLE,0,1),0),5)*E279)</f>
        <v>457635.31</v>
      </c>
      <c r="G279" s="881">
        <f>+E279-F279</f>
        <v>0</v>
      </c>
      <c r="H279" s="882" t="s">
        <v>504</v>
      </c>
    </row>
    <row r="280" spans="1:8" ht="5.0999999999999996" customHeight="1">
      <c r="A280" s="877"/>
      <c r="C280" s="885">
        <v>0</v>
      </c>
      <c r="D280" s="886">
        <v>0</v>
      </c>
      <c r="E280" s="887">
        <v>0</v>
      </c>
      <c r="F280" s="893">
        <v>0</v>
      </c>
      <c r="G280" s="887">
        <v>0</v>
      </c>
      <c r="H280" s="882"/>
    </row>
    <row r="281" spans="1:8">
      <c r="A281" s="877" t="s">
        <v>1153</v>
      </c>
      <c r="B281" s="858" t="s">
        <v>1171</v>
      </c>
      <c r="C281" s="888">
        <f>SUM(C279:C280)</f>
        <v>0</v>
      </c>
      <c r="D281" s="881">
        <f>SUM(D279:D280)</f>
        <v>0</v>
      </c>
      <c r="E281" s="881">
        <f>SUM(E279:E280)</f>
        <v>457635.31</v>
      </c>
      <c r="F281" s="888">
        <f>SUM(F279:F280)</f>
        <v>457635.31</v>
      </c>
      <c r="G281" s="881">
        <f>SUM(G279:G280)</f>
        <v>0</v>
      </c>
      <c r="H281" s="882"/>
    </row>
    <row r="282" spans="1:8">
      <c r="A282" s="877"/>
      <c r="C282" s="888"/>
      <c r="D282" s="881"/>
      <c r="E282" s="881"/>
      <c r="F282" s="888"/>
      <c r="G282" s="881"/>
      <c r="H282" s="882"/>
    </row>
    <row r="283" spans="1:8">
      <c r="A283" s="877">
        <v>4555</v>
      </c>
      <c r="B283" s="858" t="str">
        <f>INDEX('COPY ELECTRONIC TB HERE'!$B$2:$B$449,MATCH('Linked TB'!A283,'COPY ELECTRONIC TB HERE'!$A$2:$A$449,0))</f>
        <v xml:space="preserve">     DEF CREDITS OTHER</v>
      </c>
      <c r="C283" s="878">
        <f>E283</f>
        <v>0</v>
      </c>
      <c r="D283" s="879">
        <v>0</v>
      </c>
      <c r="E283" s="881">
        <f>INDEX('COPY ELECTRONIC TB HERE'!$D$2:$D$449,MATCH('Linked TB'!A283,'COPY ELECTRONIC TB HERE'!$A$2:$A$449,0))</f>
        <v>0</v>
      </c>
      <c r="F283" s="888">
        <f>+IF(UPPER(H283)="ACTUAL",C283,INDEX(ALLOCATION_TABLE,MATCH(UPPER(H283),INDEX(ALLOCATION_TABLE,0,1),0),5)*E283)</f>
        <v>0</v>
      </c>
      <c r="G283" s="881">
        <f>+E283-F283</f>
        <v>0</v>
      </c>
      <c r="H283" s="882" t="s">
        <v>504</v>
      </c>
    </row>
    <row r="284" spans="1:8">
      <c r="A284" s="877">
        <v>4595</v>
      </c>
      <c r="B284" s="858" t="str">
        <f>INDEX('COPY ELECTRONIC TB HERE'!$B$2:$B$449,MATCH('Linked TB'!A284,'COPY ELECTRONIC TB HERE'!$A$2:$A$449,0))</f>
        <v xml:space="preserve">    CUSTOMER DEPOSITS</v>
      </c>
      <c r="C284" s="878">
        <v>0</v>
      </c>
      <c r="D284" s="879">
        <v>0</v>
      </c>
      <c r="E284" s="881">
        <f>INDEX('COPY ELECTRONIC TB HERE'!$D$2:$D$449,MATCH('Linked TB'!A284,'COPY ELECTRONIC TB HERE'!$A$2:$A$449,0))</f>
        <v>-56298.68</v>
      </c>
      <c r="F284" s="888">
        <f>+IF(UPPER(H284)="ACTUAL",C284,INDEX(ALLOCATION_TABLE,MATCH(UPPER(H284),INDEX(ALLOCATION_TABLE,0,1),0),5)*E284)</f>
        <v>-56298.68</v>
      </c>
      <c r="G284" s="881">
        <f>+E284-F284</f>
        <v>0</v>
      </c>
      <c r="H284" s="882" t="s">
        <v>504</v>
      </c>
    </row>
    <row r="285" spans="1:8" ht="5.0999999999999996" customHeight="1">
      <c r="A285" s="877"/>
      <c r="C285" s="885">
        <v>0</v>
      </c>
      <c r="D285" s="886">
        <v>0</v>
      </c>
      <c r="E285" s="887">
        <v>0</v>
      </c>
      <c r="F285" s="893">
        <v>0</v>
      </c>
      <c r="G285" s="887">
        <v>0</v>
      </c>
      <c r="H285" s="882"/>
    </row>
    <row r="286" spans="1:8">
      <c r="A286" s="877" t="s">
        <v>1153</v>
      </c>
      <c r="B286" s="858" t="s">
        <v>1172</v>
      </c>
      <c r="C286" s="888">
        <f>SUM(C283:C285)</f>
        <v>0</v>
      </c>
      <c r="D286" s="881">
        <f>SUM(D283:D285)</f>
        <v>0</v>
      </c>
      <c r="E286" s="881">
        <f>SUM(E283:E285)</f>
        <v>-56298.68</v>
      </c>
      <c r="F286" s="888">
        <f>SUM(F284:F285)</f>
        <v>-56298.68</v>
      </c>
      <c r="G286" s="881">
        <f>SUM(G284:G285)</f>
        <v>0</v>
      </c>
      <c r="H286" s="882"/>
    </row>
    <row r="287" spans="1:8">
      <c r="A287" s="877"/>
      <c r="C287" s="888"/>
      <c r="D287" s="881"/>
      <c r="E287" s="881"/>
      <c r="F287" s="888"/>
      <c r="G287" s="881"/>
      <c r="H287" s="882"/>
    </row>
    <row r="288" spans="1:8">
      <c r="A288" s="877">
        <v>4612</v>
      </c>
      <c r="B288" s="858" t="str">
        <f>INDEX('COPY ELECTRONIC TB HERE'!$B$2:$B$449,MATCH('Linked TB'!A288,'COPY ELECTRONIC TB HERE'!$A$2:$A$449,0))</f>
        <v xml:space="preserve">     ACCRUED TAXES GENERAL</v>
      </c>
      <c r="C288" s="878">
        <f>E288</f>
        <v>0</v>
      </c>
      <c r="D288" s="879">
        <v>0</v>
      </c>
      <c r="E288" s="881">
        <f>INDEX('COPY ELECTRONIC TB HERE'!$D$2:$D$449,MATCH('Linked TB'!A288,'COPY ELECTRONIC TB HERE'!$A$2:$A$449,0))</f>
        <v>0</v>
      </c>
      <c r="F288" s="888">
        <f>+IF(UPPER(H288)="ACTUAL",C288,INDEX(ALLOCATION_TABLE,MATCH(UPPER(H288),INDEX(ALLOCATION_TABLE,0,1),0),5)*E288)</f>
        <v>0</v>
      </c>
      <c r="G288" s="881">
        <f>+E288-F288</f>
        <v>0</v>
      </c>
      <c r="H288" s="882" t="s">
        <v>504</v>
      </c>
    </row>
    <row r="289" spans="1:8">
      <c r="A289" s="877">
        <v>4614</v>
      </c>
      <c r="B289" s="858" t="str">
        <f>INDEX('COPY ELECTRONIC TB HERE'!$B$2:$B$449,MATCH('Linked TB'!A289,'COPY ELECTRONIC TB HERE'!$A$2:$A$449,0))</f>
        <v xml:space="preserve">     ACCRUED GROSS RECEIPT TAX</v>
      </c>
      <c r="C289" s="878">
        <f t="shared" ref="C289" si="39">E289</f>
        <v>0</v>
      </c>
      <c r="D289" s="879">
        <v>0</v>
      </c>
      <c r="E289" s="881">
        <f>INDEX('COPY ELECTRONIC TB HERE'!$D$2:$D$449,MATCH('Linked TB'!A289,'COPY ELECTRONIC TB HERE'!$A$2:$A$449,0))</f>
        <v>0</v>
      </c>
      <c r="F289" s="888">
        <f>+IF(UPPER(H289)="ACTUAL",C289,INDEX(ALLOCATION_TABLE,MATCH(UPPER(H289),INDEX(ALLOCATION_TABLE,0,1),0),5)*E289)</f>
        <v>0</v>
      </c>
      <c r="G289" s="881">
        <f>+E289-F289</f>
        <v>0</v>
      </c>
      <c r="H289" s="882" t="s">
        <v>504</v>
      </c>
    </row>
    <row r="290" spans="1:8">
      <c r="A290" s="877">
        <v>4618</v>
      </c>
      <c r="B290" s="858" t="str">
        <f>INDEX('COPY ELECTRONIC TB HERE'!$B$2:$B$449,MATCH('Linked TB'!A290,'COPY ELECTRONIC TB HERE'!$A$2:$A$449,0))</f>
        <v xml:space="preserve">     ACCRUED UTIL OR COMM TAX</v>
      </c>
      <c r="C290" s="878">
        <v>0</v>
      </c>
      <c r="D290" s="879">
        <v>0</v>
      </c>
      <c r="E290" s="881">
        <f>INDEX('COPY ELECTRONIC TB HERE'!$D$2:$D$449,MATCH('Linked TB'!A290,'COPY ELECTRONIC TB HERE'!$A$2:$A$449,0))</f>
        <v>-843.12</v>
      </c>
      <c r="F290" s="888">
        <f>+IF(UPPER(H290)="ACTUAL",C290,INDEX(ALLOCATION_TABLE,MATCH(UPPER(H290),INDEX(ALLOCATION_TABLE,0,1),0),5)*E290)</f>
        <v>-843.12</v>
      </c>
      <c r="G290" s="881">
        <f>+E290-F290</f>
        <v>0</v>
      </c>
      <c r="H290" s="882" t="s">
        <v>504</v>
      </c>
    </row>
    <row r="291" spans="1:8" ht="5.0999999999999996" customHeight="1">
      <c r="A291" s="877"/>
      <c r="C291" s="885">
        <v>0</v>
      </c>
      <c r="D291" s="886">
        <v>0</v>
      </c>
      <c r="E291" s="887">
        <v>0</v>
      </c>
      <c r="F291" s="893">
        <v>0</v>
      </c>
      <c r="G291" s="887">
        <v>0</v>
      </c>
      <c r="H291" s="882"/>
    </row>
    <row r="292" spans="1:8">
      <c r="A292" s="877" t="s">
        <v>1153</v>
      </c>
      <c r="B292" s="858" t="s">
        <v>1173</v>
      </c>
      <c r="C292" s="888">
        <f>SUM(C288:C291)</f>
        <v>0</v>
      </c>
      <c r="D292" s="881">
        <f>SUM(D288:D291)</f>
        <v>0</v>
      </c>
      <c r="E292" s="881">
        <f>SUM(E288:E291)</f>
        <v>-843.12</v>
      </c>
      <c r="F292" s="888">
        <f>SUM(F288:F291)</f>
        <v>-843.12</v>
      </c>
      <c r="G292" s="881">
        <f>SUM(G288:G291)</f>
        <v>0</v>
      </c>
      <c r="H292" s="882"/>
    </row>
    <row r="293" spans="1:8">
      <c r="A293" s="877"/>
      <c r="C293" s="888"/>
      <c r="D293" s="881"/>
      <c r="E293" s="881"/>
      <c r="F293" s="888"/>
      <c r="G293" s="881"/>
      <c r="H293" s="882"/>
    </row>
    <row r="294" spans="1:8">
      <c r="A294" s="877">
        <v>4628</v>
      </c>
      <c r="B294" s="858" t="str">
        <f>INDEX('COPY ELECTRONIC TB HERE'!$B$2:$B$449,MATCH('Linked TB'!A294,'COPY ELECTRONIC TB HERE'!$A$2:$A$449,0))</f>
        <v xml:space="preserve">     ACCRUED REAL EST TAX</v>
      </c>
      <c r="C294" s="878">
        <v>0</v>
      </c>
      <c r="D294" s="879">
        <v>0</v>
      </c>
      <c r="E294" s="881">
        <f>INDEX('COPY ELECTRONIC TB HERE'!$D$2:$D$449,MATCH('Linked TB'!A294,'COPY ELECTRONIC TB HERE'!$A$2:$A$449,0))</f>
        <v>-1925.62</v>
      </c>
      <c r="F294" s="888">
        <f t="shared" ref="F294:F301" si="40">+IF(UPPER(H294)="ACTUAL",C294,INDEX(ALLOCATION_TABLE,MATCH(UPPER(H294),INDEX(ALLOCATION_TABLE,0,1),0),5)*E294)</f>
        <v>-1925.62</v>
      </c>
      <c r="G294" s="881">
        <f>+E294-F294</f>
        <v>0</v>
      </c>
      <c r="H294" s="882" t="s">
        <v>504</v>
      </c>
    </row>
    <row r="295" spans="1:8">
      <c r="A295" s="877">
        <v>4630</v>
      </c>
      <c r="B295" s="858" t="str">
        <f>INDEX('COPY ELECTRONIC TB HERE'!$B$2:$B$449,MATCH('Linked TB'!A295,'COPY ELECTRONIC TB HERE'!$A$2:$A$449,0))</f>
        <v xml:space="preserve">     ACCRUED PERS PROP &amp; ICT TAX</v>
      </c>
      <c r="C295" s="878">
        <v>0</v>
      </c>
      <c r="D295" s="879">
        <v>0</v>
      </c>
      <c r="E295" s="881">
        <f>INDEX('COPY ELECTRONIC TB HERE'!$D$2:$D$449,MATCH('Linked TB'!A295,'COPY ELECTRONIC TB HERE'!$A$2:$A$449,0))</f>
        <v>-21628.87</v>
      </c>
      <c r="F295" s="888">
        <f t="shared" ref="F295" si="41">+IF(UPPER(H295)="ACTUAL",C295,INDEX(ALLOCATION_TABLE,MATCH(UPPER(H295),INDEX(ALLOCATION_TABLE,0,1),0),5)*E295)</f>
        <v>-21628.87</v>
      </c>
      <c r="G295" s="881">
        <f>+E295-F295</f>
        <v>0</v>
      </c>
      <c r="H295" s="882" t="s">
        <v>504</v>
      </c>
    </row>
    <row r="296" spans="1:8">
      <c r="A296" s="877">
        <v>4634</v>
      </c>
      <c r="B296" s="858" t="str">
        <f>INDEX('COPY ELECTRONIC TB HERE'!$B$2:$B$449,MATCH('Linked TB'!A296,'COPY ELECTRONIC TB HERE'!$A$2:$A$449,0))</f>
        <v xml:space="preserve">     ACCRUED SALES TAX</v>
      </c>
      <c r="C296" s="878">
        <v>0</v>
      </c>
      <c r="D296" s="879">
        <v>0</v>
      </c>
      <c r="E296" s="881">
        <f>INDEX('COPY ELECTRONIC TB HERE'!$D$2:$D$449,MATCH('Linked TB'!A296,'COPY ELECTRONIC TB HERE'!$A$2:$A$449,0))</f>
        <v>-11515.08</v>
      </c>
      <c r="F296" s="888">
        <f t="shared" si="40"/>
        <v>-11515.08</v>
      </c>
      <c r="G296" s="881">
        <f t="shared" ref="G296:G301" si="42">+E296-F296</f>
        <v>0</v>
      </c>
      <c r="H296" s="882" t="s">
        <v>504</v>
      </c>
    </row>
    <row r="297" spans="1:8">
      <c r="A297" s="877">
        <v>4635</v>
      </c>
      <c r="B297" s="858" t="str">
        <f>INDEX('COPY ELECTRONIC TB HERE'!$B$2:$B$449,MATCH('Linked TB'!A297,'COPY ELECTRONIC TB HERE'!$A$2:$A$449,0))</f>
        <v xml:space="preserve">     ACCRUED USE TAX</v>
      </c>
      <c r="C297" s="878">
        <v>0</v>
      </c>
      <c r="D297" s="879">
        <v>0</v>
      </c>
      <c r="E297" s="881">
        <f>INDEX('COPY ELECTRONIC TB HERE'!$D$2:$D$449,MATCH('Linked TB'!A297,'COPY ELECTRONIC TB HERE'!$A$2:$A$449,0))</f>
        <v>-21.55</v>
      </c>
      <c r="F297" s="888">
        <f t="shared" si="40"/>
        <v>-21.55</v>
      </c>
      <c r="G297" s="881">
        <f t="shared" si="42"/>
        <v>0</v>
      </c>
      <c r="H297" s="882" t="s">
        <v>504</v>
      </c>
    </row>
    <row r="298" spans="1:8">
      <c r="A298" s="877">
        <v>4636</v>
      </c>
      <c r="B298" s="858" t="str">
        <f>INDEX('COPY ELECTRONIC TB HERE'!$B$2:$B$449,MATCH('Linked TB'!A298,'COPY ELECTRONIC TB HERE'!$A$2:$A$449,0))</f>
        <v xml:space="preserve">     ACCRUED COUNTY TAX A</v>
      </c>
      <c r="C298" s="878">
        <v>0</v>
      </c>
      <c r="D298" s="879">
        <v>0</v>
      </c>
      <c r="E298" s="881">
        <f>INDEX('COPY ELECTRONIC TB HERE'!$D$2:$D$449,MATCH('Linked TB'!A298,'COPY ELECTRONIC TB HERE'!$A$2:$A$449,0))</f>
        <v>-3180.15</v>
      </c>
      <c r="F298" s="888">
        <f t="shared" si="40"/>
        <v>-3180.15</v>
      </c>
      <c r="G298" s="881">
        <f t="shared" si="42"/>
        <v>0</v>
      </c>
      <c r="H298" s="882" t="s">
        <v>504</v>
      </c>
    </row>
    <row r="299" spans="1:8">
      <c r="A299" s="877">
        <v>4637</v>
      </c>
      <c r="B299" s="858" t="str">
        <f>INDEX('COPY ELECTRONIC TB HERE'!$B$2:$B$449,MATCH('Linked TB'!A299,'COPY ELECTRONIC TB HERE'!$A$2:$A$449,0))</f>
        <v xml:space="preserve">     ACCRUED COUNTY TAX B</v>
      </c>
      <c r="C299" s="878">
        <v>0</v>
      </c>
      <c r="D299" s="879">
        <v>0</v>
      </c>
      <c r="E299" s="881">
        <f>INDEX('COPY ELECTRONIC TB HERE'!$D$2:$D$449,MATCH('Linked TB'!A299,'COPY ELECTRONIC TB HERE'!$A$2:$A$449,0))</f>
        <v>-542.4</v>
      </c>
      <c r="F299" s="888">
        <f t="shared" si="40"/>
        <v>-542.4</v>
      </c>
      <c r="G299" s="881">
        <f t="shared" si="42"/>
        <v>0</v>
      </c>
      <c r="H299" s="882" t="s">
        <v>504</v>
      </c>
    </row>
    <row r="300" spans="1:8">
      <c r="A300" s="877">
        <v>4638</v>
      </c>
      <c r="B300" s="858" t="str">
        <f>INDEX('COPY ELECTRONIC TB HERE'!$B$2:$B$449,MATCH('Linked TB'!A300,'COPY ELECTRONIC TB HERE'!$A$2:$A$449,0))</f>
        <v xml:space="preserve">     ACCRUED CITY TAX</v>
      </c>
      <c r="C300" s="878">
        <v>0</v>
      </c>
      <c r="D300" s="879">
        <v>0</v>
      </c>
      <c r="E300" s="881">
        <f>INDEX('COPY ELECTRONIC TB HERE'!$D$2:$D$449,MATCH('Linked TB'!A300,'COPY ELECTRONIC TB HERE'!$A$2:$A$449,0))</f>
        <v>-16436.96</v>
      </c>
      <c r="F300" s="888">
        <f t="shared" si="40"/>
        <v>-16436.96</v>
      </c>
      <c r="G300" s="881">
        <f t="shared" si="42"/>
        <v>0</v>
      </c>
      <c r="H300" s="882" t="s">
        <v>504</v>
      </c>
    </row>
    <row r="301" spans="1:8">
      <c r="A301" s="877">
        <v>4639</v>
      </c>
      <c r="B301" s="858" t="str">
        <f>INDEX('COPY ELECTRONIC TB HERE'!$B$2:$B$449,MATCH('Linked TB'!A301,'COPY ELECTRONIC TB HERE'!$A$2:$A$449,0))</f>
        <v xml:space="preserve">     ACCRUED CITY TAX B</v>
      </c>
      <c r="C301" s="878">
        <v>0</v>
      </c>
      <c r="D301" s="879">
        <v>0</v>
      </c>
      <c r="E301" s="881">
        <f>INDEX('COPY ELECTRONIC TB HERE'!$D$2:$D$449,MATCH('Linked TB'!A301,'COPY ELECTRONIC TB HERE'!$A$2:$A$449,0))</f>
        <v>-433.96</v>
      </c>
      <c r="F301" s="888">
        <f t="shared" si="40"/>
        <v>-433.96</v>
      </c>
      <c r="G301" s="881">
        <f t="shared" si="42"/>
        <v>0</v>
      </c>
      <c r="H301" s="882" t="s">
        <v>504</v>
      </c>
    </row>
    <row r="302" spans="1:8">
      <c r="A302" s="877">
        <v>4659</v>
      </c>
      <c r="B302" s="858" t="str">
        <f>INDEX('COPY ELECTRONIC TB HERE'!$B$2:$B$449,MATCH('Linked TB'!A302,'COPY ELECTRONIC TB HERE'!$A$2:$A$449,0))</f>
        <v xml:space="preserve">     ACCRUED FED INCOME TAX</v>
      </c>
      <c r="C302" s="878">
        <v>0</v>
      </c>
      <c r="D302" s="879">
        <v>0</v>
      </c>
      <c r="E302" s="881">
        <f>INDEX('COPY ELECTRONIC TB HERE'!$D$2:$D$449,MATCH('Linked TB'!A302,'COPY ELECTRONIC TB HERE'!$A$2:$A$449,0))</f>
        <v>78303</v>
      </c>
      <c r="F302" s="888">
        <f t="shared" ref="F302" si="43">+IF(UPPER(H302)="ACTUAL",C302,INDEX(ALLOCATION_TABLE,MATCH(UPPER(H302),INDEX(ALLOCATION_TABLE,0,1),0),5)*E302)</f>
        <v>78303</v>
      </c>
      <c r="G302" s="881">
        <f t="shared" ref="G302:G303" si="44">+E302-F302</f>
        <v>0</v>
      </c>
      <c r="H302" s="882" t="s">
        <v>504</v>
      </c>
    </row>
    <row r="303" spans="1:8">
      <c r="A303" s="877">
        <v>4661</v>
      </c>
      <c r="B303" s="858" t="str">
        <f>INDEX('COPY ELECTRONIC TB HERE'!$B$2:$B$449,MATCH('Linked TB'!A303,'COPY ELECTRONIC TB HERE'!$A$2:$A$449,0))</f>
        <v xml:space="preserve">     ACCRUED ST INCOME TAX</v>
      </c>
      <c r="C303" s="878">
        <v>0</v>
      </c>
      <c r="D303" s="879">
        <v>0</v>
      </c>
      <c r="E303" s="881">
        <f>INDEX('COPY ELECTRONIC TB HERE'!$D$2:$D$449,MATCH('Linked TB'!A303,'COPY ELECTRONIC TB HERE'!$A$2:$A$449,0))</f>
        <v>177.09</v>
      </c>
      <c r="F303" s="888">
        <f>+IF(UPPER(H303)="ACTUAL",C303,INDEX(ALLOCATION_TABLE,MATCH(UPPER(H303),INDEX(ALLOCATION_TABLE,0,1),0),5)*E303)</f>
        <v>177.09</v>
      </c>
      <c r="G303" s="881">
        <f t="shared" si="44"/>
        <v>0</v>
      </c>
      <c r="H303" s="882" t="s">
        <v>504</v>
      </c>
    </row>
    <row r="304" spans="1:8" ht="5.0999999999999996" customHeight="1">
      <c r="A304" s="877"/>
      <c r="C304" s="885">
        <v>0</v>
      </c>
      <c r="D304" s="886">
        <v>0</v>
      </c>
      <c r="E304" s="887">
        <v>0</v>
      </c>
      <c r="F304" s="893">
        <v>0</v>
      </c>
      <c r="G304" s="887">
        <v>0</v>
      </c>
      <c r="H304" s="882"/>
    </row>
    <row r="305" spans="1:8">
      <c r="A305" s="877" t="s">
        <v>1153</v>
      </c>
      <c r="B305" s="858" t="s">
        <v>1174</v>
      </c>
      <c r="C305" s="888">
        <f>SUM(C294:C304)</f>
        <v>0</v>
      </c>
      <c r="D305" s="881">
        <f>SUM(D294:D304)</f>
        <v>0</v>
      </c>
      <c r="E305" s="881">
        <f>SUM(E294:E304)</f>
        <v>22795.499999999996</v>
      </c>
      <c r="F305" s="888">
        <f>SUM(F294:F304)</f>
        <v>22795.499999999996</v>
      </c>
      <c r="G305" s="881">
        <f>SUM(G294:G304)</f>
        <v>0</v>
      </c>
      <c r="H305" s="882"/>
    </row>
    <row r="306" spans="1:8">
      <c r="A306" s="877"/>
      <c r="C306" s="888"/>
      <c r="D306" s="881"/>
      <c r="E306" s="881"/>
      <c r="F306" s="888"/>
      <c r="G306" s="881"/>
      <c r="H306" s="882"/>
    </row>
    <row r="307" spans="1:8">
      <c r="A307" s="877">
        <v>4685</v>
      </c>
      <c r="B307" s="858" t="str">
        <f>INDEX('COPY ELECTRONIC TB HERE'!$B$2:$B$449,MATCH('Linked TB'!A307,'COPY ELECTRONIC TB HERE'!$A$2:$A$449,0))</f>
        <v xml:space="preserve">     ACCRUED CUST DEP INTEREST</v>
      </c>
      <c r="C307" s="878">
        <v>0</v>
      </c>
      <c r="D307" s="879">
        <v>0</v>
      </c>
      <c r="E307" s="881">
        <f>INDEX('COPY ELECTRONIC TB HERE'!$D$2:$D$449,MATCH('Linked TB'!A307,'COPY ELECTRONIC TB HERE'!$A$2:$A$449,0))</f>
        <v>-5274.48</v>
      </c>
      <c r="F307" s="888">
        <f>+IF(UPPER(H307)="ACTUAL",C307,INDEX(ALLOCATION_TABLE,MATCH(UPPER(H307),INDEX(ALLOCATION_TABLE,0,1),0),5)*E307)</f>
        <v>-5274.48</v>
      </c>
      <c r="G307" s="881">
        <f>+E307-F307</f>
        <v>0</v>
      </c>
      <c r="H307" s="882" t="s">
        <v>504</v>
      </c>
    </row>
    <row r="308" spans="1:8" ht="4.5" customHeight="1">
      <c r="A308" s="877"/>
      <c r="C308" s="885">
        <v>0</v>
      </c>
      <c r="D308" s="886">
        <v>0</v>
      </c>
      <c r="E308" s="887">
        <v>0</v>
      </c>
      <c r="F308" s="893">
        <v>0</v>
      </c>
      <c r="G308" s="887">
        <v>0</v>
      </c>
      <c r="H308" s="882"/>
    </row>
    <row r="309" spans="1:8">
      <c r="A309" s="877" t="s">
        <v>1153</v>
      </c>
      <c r="B309" s="858" t="s">
        <v>1175</v>
      </c>
      <c r="C309" s="888">
        <f>SUM(C307:C308)</f>
        <v>0</v>
      </c>
      <c r="D309" s="881">
        <f>SUM(D307:D308)</f>
        <v>0</v>
      </c>
      <c r="E309" s="881">
        <f>SUM(E307:E308)</f>
        <v>-5274.48</v>
      </c>
      <c r="F309" s="888">
        <f>SUM(F307:F308)</f>
        <v>-5274.48</v>
      </c>
      <c r="G309" s="881">
        <f>SUM(G307:G308)</f>
        <v>0</v>
      </c>
      <c r="H309" s="882"/>
    </row>
    <row r="310" spans="1:8">
      <c r="A310" s="877"/>
      <c r="C310" s="888"/>
      <c r="D310" s="881"/>
      <c r="E310" s="881"/>
      <c r="F310" s="888"/>
      <c r="G310" s="881"/>
      <c r="H310" s="882"/>
    </row>
    <row r="311" spans="1:8" hidden="1">
      <c r="A311" s="877">
        <v>4715</v>
      </c>
      <c r="C311" s="878">
        <v>0</v>
      </c>
      <c r="D311" s="879">
        <v>0</v>
      </c>
      <c r="E311" s="881">
        <v>0</v>
      </c>
      <c r="F311" s="888">
        <f>+IF(UPPER(H311)="ACTUAL",C311,INDEX(ALLOCATION_TABLE,MATCH(UPPER(H311),INDEX(ALLOCATION_TABLE,0,1),0),5)*E311)</f>
        <v>0</v>
      </c>
      <c r="G311" s="881">
        <f>+E311-F311</f>
        <v>0</v>
      </c>
      <c r="H311" s="882" t="s">
        <v>504</v>
      </c>
    </row>
    <row r="312" spans="1:8" ht="4.5" hidden="1" customHeight="1">
      <c r="A312" s="877"/>
      <c r="C312" s="885">
        <v>0</v>
      </c>
      <c r="D312" s="886">
        <v>0</v>
      </c>
      <c r="E312" s="887">
        <v>0</v>
      </c>
      <c r="F312" s="893">
        <v>0</v>
      </c>
      <c r="G312" s="887">
        <v>0</v>
      </c>
      <c r="H312" s="882"/>
    </row>
    <row r="313" spans="1:8" hidden="1">
      <c r="A313" s="877" t="s">
        <v>1153</v>
      </c>
      <c r="B313" s="858" t="s">
        <v>1176</v>
      </c>
      <c r="C313" s="888">
        <f>SUM(C311:C312)</f>
        <v>0</v>
      </c>
      <c r="D313" s="881">
        <f>SUM(D311:D312)</f>
        <v>0</v>
      </c>
      <c r="E313" s="881">
        <f>SUM(E311:E312)</f>
        <v>0</v>
      </c>
      <c r="F313" s="888">
        <f>SUM(F311:F312)</f>
        <v>0</v>
      </c>
      <c r="G313" s="881">
        <f>SUM(G311:G312)</f>
        <v>0</v>
      </c>
      <c r="H313" s="882"/>
    </row>
    <row r="314" spans="1:8" hidden="1">
      <c r="A314" s="877"/>
      <c r="C314" s="888"/>
      <c r="D314" s="881"/>
      <c r="E314" s="881"/>
      <c r="F314" s="888"/>
      <c r="G314" s="881"/>
      <c r="H314" s="882"/>
    </row>
    <row r="315" spans="1:8" ht="4.5" hidden="1" customHeight="1">
      <c r="A315" s="877"/>
      <c r="C315" s="885">
        <v>0</v>
      </c>
      <c r="D315" s="886">
        <v>0</v>
      </c>
      <c r="E315" s="887">
        <v>0</v>
      </c>
      <c r="F315" s="893">
        <v>0</v>
      </c>
      <c r="G315" s="887">
        <v>0</v>
      </c>
      <c r="H315" s="882"/>
    </row>
    <row r="316" spans="1:8" hidden="1">
      <c r="A316" s="877" t="s">
        <v>1153</v>
      </c>
      <c r="B316" s="858" t="s">
        <v>1177</v>
      </c>
      <c r="C316" s="888">
        <f>SUM(C315:C315)</f>
        <v>0</v>
      </c>
      <c r="D316" s="881">
        <f>SUM(D315:D315)</f>
        <v>0</v>
      </c>
      <c r="E316" s="881">
        <f>SUM(E315:E315)</f>
        <v>0</v>
      </c>
      <c r="F316" s="888">
        <f>SUM(F315:F315)</f>
        <v>0</v>
      </c>
      <c r="G316" s="881">
        <f>SUM(G315:G315)</f>
        <v>0</v>
      </c>
      <c r="H316" s="882"/>
    </row>
    <row r="317" spans="1:8" hidden="1">
      <c r="A317" s="877"/>
      <c r="C317" s="888"/>
      <c r="D317" s="881"/>
      <c r="E317" s="881"/>
      <c r="F317" s="888"/>
      <c r="G317" s="881"/>
      <c r="H317" s="882"/>
    </row>
    <row r="318" spans="1:8" ht="5.0999999999999996" hidden="1" customHeight="1">
      <c r="A318" s="877"/>
      <c r="C318" s="888"/>
      <c r="D318" s="881"/>
      <c r="E318" s="881"/>
      <c r="F318" s="888"/>
      <c r="G318" s="881"/>
      <c r="H318" s="882"/>
    </row>
    <row r="319" spans="1:8" ht="15">
      <c r="A319" s="877" t="s">
        <v>1153</v>
      </c>
      <c r="B319" s="858" t="s">
        <v>1178</v>
      </c>
      <c r="C319" s="893">
        <f>+SUMIF($A$227:$A$318,$A319,C$227:C$318)</f>
        <v>-278296.33999999997</v>
      </c>
      <c r="D319" s="887">
        <f>+SUMIF($A$227:$A$318,$A319,D$227:D$318)</f>
        <v>0</v>
      </c>
      <c r="E319" s="887">
        <f>+SUMIF($A$227:$A$318,$A319,E$227:E$318)</f>
        <v>-2536714.94</v>
      </c>
      <c r="F319" s="893">
        <f>+SUMIF($A$227:$A$318,$A319,F$227:F$318)</f>
        <v>-2536714.94</v>
      </c>
      <c r="G319" s="887">
        <f>+SUMIF($A$227:$A$318,$A319,G$227:G$318)</f>
        <v>0</v>
      </c>
      <c r="H319" s="882"/>
    </row>
    <row r="320" spans="1:8">
      <c r="A320" s="877"/>
      <c r="C320" s="888"/>
      <c r="D320" s="881"/>
      <c r="E320" s="881"/>
      <c r="F320" s="888"/>
      <c r="G320" s="881"/>
      <c r="H320" s="882"/>
    </row>
    <row r="321" spans="1:8">
      <c r="A321" s="877">
        <v>4760</v>
      </c>
      <c r="B321" s="858" t="str">
        <f>INDEX('COPY ELECTRONIC TB HERE'!$B$2:$B$449,MATCH('Linked TB'!A321,'COPY ELECTRONIC TB HERE'!$A$2:$A$449,0))</f>
        <v xml:space="preserve">     COMMON STOCK</v>
      </c>
      <c r="C321" s="878">
        <v>0</v>
      </c>
      <c r="D321" s="879">
        <v>0</v>
      </c>
      <c r="E321" s="881">
        <f>INDEX('COPY ELECTRONIC TB HERE'!$D$2:$D$449,MATCH('Linked TB'!A321,'COPY ELECTRONIC TB HERE'!$A$2:$A$449,0))</f>
        <v>-1000</v>
      </c>
      <c r="F321" s="888">
        <f>+IF(UPPER(H321)="ACTUAL",C321,INDEX(ALLOCATION_TABLE,MATCH(UPPER(H321),INDEX(ALLOCATION_TABLE,0,1),0),5)*E321)</f>
        <v>-1000</v>
      </c>
      <c r="G321" s="881">
        <f>+E321-F321</f>
        <v>0</v>
      </c>
      <c r="H321" s="882" t="s">
        <v>504</v>
      </c>
    </row>
    <row r="322" spans="1:8">
      <c r="A322" s="877">
        <v>4780</v>
      </c>
      <c r="B322" s="858" t="str">
        <f>INDEX('COPY ELECTRONIC TB HERE'!$B$2:$B$449,MATCH('Linked TB'!A322,'COPY ELECTRONIC TB HERE'!$A$2:$A$449,0))</f>
        <v xml:space="preserve">    PAID IN CAPITAL</v>
      </c>
      <c r="C322" s="878">
        <v>0</v>
      </c>
      <c r="D322" s="879">
        <v>0</v>
      </c>
      <c r="E322" s="881">
        <f>INDEX('COPY ELECTRONIC TB HERE'!$D$2:$D$449,MATCH('Linked TB'!A322,'COPY ELECTRONIC TB HERE'!$A$2:$A$449,0))</f>
        <v>-2834076</v>
      </c>
      <c r="F322" s="888">
        <f>+IF(UPPER(H322)="ACTUAL",C322,INDEX(ALLOCATION_TABLE,MATCH(UPPER(H322),INDEX(ALLOCATION_TABLE,0,1),0),5)*E322)</f>
        <v>-2834076</v>
      </c>
      <c r="G322" s="881">
        <f>+E322-F322</f>
        <v>0</v>
      </c>
      <c r="H322" s="882" t="s">
        <v>504</v>
      </c>
    </row>
    <row r="323" spans="1:8">
      <c r="A323" s="877">
        <v>4785</v>
      </c>
      <c r="B323" s="858" t="str">
        <f>INDEX('COPY ELECTRONIC TB HERE'!$B$2:$B$449,MATCH('Linked TB'!A323,'COPY ELECTRONIC TB HERE'!$A$2:$A$449,0))</f>
        <v xml:space="preserve">    MISC PAID IN CAPITAL</v>
      </c>
      <c r="C323" s="878">
        <v>0</v>
      </c>
      <c r="D323" s="879">
        <v>0</v>
      </c>
      <c r="E323" s="881">
        <f>INDEX('COPY ELECTRONIC TB HERE'!$D$2:$D$449,MATCH('Linked TB'!A323,'COPY ELECTRONIC TB HERE'!$A$2:$A$449,0))</f>
        <v>-2233865.41</v>
      </c>
      <c r="F323" s="888">
        <f>+IF(UPPER(H323)="ACTUAL",C323,INDEX(ALLOCATION_TABLE,MATCH(UPPER(H323),INDEX(ALLOCATION_TABLE,0,1),0),5)*E323)</f>
        <v>-2233865.41</v>
      </c>
      <c r="G323" s="881">
        <f>+E323-F323</f>
        <v>0</v>
      </c>
      <c r="H323" s="882" t="s">
        <v>504</v>
      </c>
    </row>
    <row r="324" spans="1:8">
      <c r="A324" s="877">
        <v>4998</v>
      </c>
      <c r="B324" s="858" t="str">
        <f>INDEX('COPY ELECTRONIC TB HERE'!$B$2:$B$449,MATCH('Linked TB'!A324,'COPY ELECTRONIC TB HERE'!$A$2:$A$449,0))</f>
        <v xml:space="preserve">    RETAINED EARN-PRIOR YEARS</v>
      </c>
      <c r="C324" s="878">
        <v>0</v>
      </c>
      <c r="D324" s="879">
        <v>0</v>
      </c>
      <c r="E324" s="881">
        <f>INDEX('COPY ELECTRONIC TB HERE'!$D$2:$D$449,MATCH('Linked TB'!A324,'COPY ELECTRONIC TB HERE'!$A$2:$A$449,0))</f>
        <v>872372.55</v>
      </c>
      <c r="F324" s="888">
        <f>+IF(UPPER(H324)="ACTUAL",C324,INDEX(ALLOCATION_TABLE,MATCH(UPPER(H324),INDEX(ALLOCATION_TABLE,0,1),0),5)*E324)</f>
        <v>872372.55</v>
      </c>
      <c r="G324" s="881">
        <f>+E324-F324</f>
        <v>0</v>
      </c>
      <c r="H324" s="882" t="s">
        <v>504</v>
      </c>
    </row>
    <row r="325" spans="1:8" ht="4.5" customHeight="1">
      <c r="A325" s="894"/>
      <c r="C325" s="885">
        <v>0</v>
      </c>
      <c r="D325" s="886">
        <v>0</v>
      </c>
      <c r="E325" s="887">
        <v>0</v>
      </c>
      <c r="F325" s="893">
        <v>0</v>
      </c>
      <c r="G325" s="887">
        <v>0</v>
      </c>
      <c r="H325" s="882"/>
    </row>
    <row r="326" spans="1:8">
      <c r="A326" s="894" t="s">
        <v>1153</v>
      </c>
      <c r="B326" s="858" t="s">
        <v>1179</v>
      </c>
      <c r="C326" s="888">
        <f>SUM(C321:C325)</f>
        <v>0</v>
      </c>
      <c r="D326" s="881">
        <f>SUM(D321:D325)</f>
        <v>0</v>
      </c>
      <c r="E326" s="881">
        <f>SUM(E321:E325)</f>
        <v>-4196568.8600000003</v>
      </c>
      <c r="F326" s="888">
        <f>SUM(F321:F325)</f>
        <v>-4196568.8600000003</v>
      </c>
      <c r="G326" s="881">
        <f>SUM(G321:G325)</f>
        <v>0</v>
      </c>
      <c r="H326" s="882"/>
    </row>
    <row r="327" spans="1:8">
      <c r="A327" s="894"/>
      <c r="C327" s="888"/>
      <c r="D327" s="881"/>
      <c r="E327" s="881"/>
      <c r="F327" s="888"/>
      <c r="G327" s="881"/>
      <c r="H327" s="882"/>
    </row>
    <row r="328" spans="1:8" ht="5.0999999999999996" customHeight="1">
      <c r="A328" s="894"/>
      <c r="C328" s="888"/>
      <c r="D328" s="881"/>
      <c r="E328" s="881"/>
      <c r="F328" s="888"/>
      <c r="G328" s="881"/>
      <c r="H328" s="882"/>
    </row>
    <row r="329" spans="1:8" ht="15">
      <c r="A329" s="894" t="s">
        <v>1153</v>
      </c>
      <c r="B329" s="858" t="s">
        <v>1152</v>
      </c>
      <c r="C329" s="895">
        <f>+C326+C319+C226</f>
        <v>5711515.2800000003</v>
      </c>
      <c r="D329" s="896">
        <f>+D326+D319+D226</f>
        <v>-488823.38999999996</v>
      </c>
      <c r="E329" s="896">
        <f>+E326+E319+E226</f>
        <v>49993.569999999367</v>
      </c>
      <c r="F329" s="895">
        <f>+F326+F319+F226</f>
        <v>538816.96</v>
      </c>
      <c r="G329" s="896">
        <f>+G326+G319+G226</f>
        <v>-488823.38999999996</v>
      </c>
      <c r="H329" s="882"/>
    </row>
    <row r="330" spans="1:8" ht="15">
      <c r="A330" s="894"/>
      <c r="C330" s="895"/>
      <c r="D330" s="896"/>
      <c r="E330" s="896"/>
      <c r="F330" s="895"/>
      <c r="G330" s="896"/>
      <c r="H330" s="882"/>
    </row>
    <row r="331" spans="1:8" ht="13.5" customHeight="1">
      <c r="A331" s="1777" t="s">
        <v>1180</v>
      </c>
      <c r="B331" s="1777"/>
      <c r="C331" s="874"/>
      <c r="D331" s="875"/>
      <c r="E331" s="875"/>
      <c r="F331" s="874"/>
      <c r="G331" s="875"/>
      <c r="H331" s="876"/>
    </row>
    <row r="332" spans="1:8">
      <c r="A332" s="894"/>
      <c r="C332" s="888"/>
      <c r="D332" s="881"/>
      <c r="E332" s="881"/>
      <c r="F332" s="888"/>
      <c r="G332" s="881"/>
      <c r="H332" s="882"/>
    </row>
    <row r="333" spans="1:8">
      <c r="A333" s="877">
        <v>5025</v>
      </c>
      <c r="B333" s="858" t="str">
        <f>INDEX('COPY ELECTRONIC TB HERE'!$B$2:$B$449,MATCH('Linked TB'!A333,'COPY ELECTRONIC TB HERE'!$A$2:$A$449,0))</f>
        <v xml:space="preserve">    WATER REVENUE-RESIDENTIAL</v>
      </c>
      <c r="C333" s="878">
        <f t="shared" ref="C333:C345" si="45">+E333</f>
        <v>-1374241.23</v>
      </c>
      <c r="D333" s="879">
        <v>0</v>
      </c>
      <c r="E333" s="881">
        <f>INDEX('COPY ELECTRONIC TB HERE'!$D$2:$D$449,MATCH('Linked TB'!A333,'COPY ELECTRONIC TB HERE'!$A$2:$A$449,0))</f>
        <v>-1374241.23</v>
      </c>
      <c r="F333" s="888">
        <f>+IF(UPPER(H333)="ACTUAL",C333,INDEX(ALLOCATION_TABLE,MATCH(UPPER(H333),INDEX(ALLOCATION_TABLE,0,1),0),5)*E333)</f>
        <v>-1374241.23</v>
      </c>
      <c r="G333" s="881">
        <f t="shared" ref="G333:G344" si="46">+E333-F333</f>
        <v>0</v>
      </c>
      <c r="H333" s="882" t="s">
        <v>503</v>
      </c>
    </row>
    <row r="334" spans="1:8">
      <c r="A334" s="877">
        <v>5030</v>
      </c>
      <c r="B334" s="858" t="str">
        <f>INDEX('COPY ELECTRONIC TB HERE'!$B$2:$B$449,MATCH('Linked TB'!A334,'COPY ELECTRONIC TB HERE'!$A$2:$A$449,0))</f>
        <v xml:space="preserve">    WATER REVENUE-ACCRUALS</v>
      </c>
      <c r="C334" s="878">
        <f t="shared" si="45"/>
        <v>-632.45000000000005</v>
      </c>
      <c r="D334" s="879">
        <v>0</v>
      </c>
      <c r="E334" s="881">
        <f>INDEX('COPY ELECTRONIC TB HERE'!$D$2:$D$449,MATCH('Linked TB'!A334,'COPY ELECTRONIC TB HERE'!$A$2:$A$449,0))</f>
        <v>-632.45000000000005</v>
      </c>
      <c r="F334" s="888">
        <f t="shared" ref="F334:F339" si="47">+IF(UPPER(H334)="ACTUAL",C334,INDEX(ALLOCATION_TABLE,MATCH(UPPER(H334),INDEX(ALLOCATION_TABLE,0,1),0),5)*E334)</f>
        <v>-632.45000000000005</v>
      </c>
      <c r="G334" s="881">
        <f t="shared" ref="G334:G339" si="48">+E334-F334</f>
        <v>0</v>
      </c>
      <c r="H334" s="882" t="s">
        <v>503</v>
      </c>
    </row>
    <row r="335" spans="1:8">
      <c r="A335" s="877">
        <v>5035</v>
      </c>
      <c r="B335" s="858" t="str">
        <f>INDEX('COPY ELECTRONIC TB HERE'!$B$2:$B$449,MATCH('Linked TB'!A335,'COPY ELECTRONIC TB HERE'!$A$2:$A$449,0))</f>
        <v xml:space="preserve">    WATER REVENUE-COMMERCIAL</v>
      </c>
      <c r="C335" s="878">
        <f t="shared" si="45"/>
        <v>-388865.35000000003</v>
      </c>
      <c r="D335" s="879"/>
      <c r="E335" s="881">
        <f>INDEX('COPY ELECTRONIC TB HERE'!$D$2:$D$449,MATCH('Linked TB'!A335,'COPY ELECTRONIC TB HERE'!$A$2:$A$449,0))</f>
        <v>-388865.35000000003</v>
      </c>
      <c r="F335" s="888">
        <f t="shared" si="47"/>
        <v>-388865.35000000003</v>
      </c>
      <c r="G335" s="881">
        <f t="shared" si="48"/>
        <v>0</v>
      </c>
      <c r="H335" s="882" t="s">
        <v>503</v>
      </c>
    </row>
    <row r="336" spans="1:8">
      <c r="A336" s="877">
        <v>5040</v>
      </c>
      <c r="B336" s="858" t="str">
        <f>INDEX('COPY ELECTRONIC TB HERE'!$B$2:$B$449,MATCH('Linked TB'!A336,'COPY ELECTRONIC TB HERE'!$A$2:$A$449,0))</f>
        <v xml:space="preserve">    WATER REVENUE-INDUSTRIAL</v>
      </c>
      <c r="C336" s="878">
        <f t="shared" si="45"/>
        <v>-145279.12</v>
      </c>
      <c r="D336" s="879"/>
      <c r="E336" s="881">
        <f>INDEX('COPY ELECTRONIC TB HERE'!$D$2:$D$449,MATCH('Linked TB'!A336,'COPY ELECTRONIC TB HERE'!$A$2:$A$449,0))</f>
        <v>-145279.12</v>
      </c>
      <c r="F336" s="888">
        <f t="shared" si="47"/>
        <v>-145279.12</v>
      </c>
      <c r="G336" s="881">
        <f t="shared" si="48"/>
        <v>0</v>
      </c>
      <c r="H336" s="882" t="s">
        <v>503</v>
      </c>
    </row>
    <row r="337" spans="1:11">
      <c r="A337" s="877">
        <v>5045</v>
      </c>
      <c r="B337" s="858" t="str">
        <f>INDEX('COPY ELECTRONIC TB HERE'!$B$2:$B$449,MATCH('Linked TB'!A337,'COPY ELECTRONIC TB HERE'!$A$2:$A$449,0))</f>
        <v xml:space="preserve">    WATER REVENUE-PUBLIC AUTH</v>
      </c>
      <c r="C337" s="878">
        <f t="shared" si="45"/>
        <v>-112853.73999999999</v>
      </c>
      <c r="D337" s="879"/>
      <c r="E337" s="881">
        <f>INDEX('COPY ELECTRONIC TB HERE'!$D$2:$D$449,MATCH('Linked TB'!A337,'COPY ELECTRONIC TB HERE'!$A$2:$A$449,0))</f>
        <v>-112853.73999999999</v>
      </c>
      <c r="F337" s="888">
        <f t="shared" si="47"/>
        <v>-112853.73999999999</v>
      </c>
      <c r="G337" s="881">
        <f t="shared" si="48"/>
        <v>0</v>
      </c>
      <c r="H337" s="882" t="s">
        <v>503</v>
      </c>
    </row>
    <row r="338" spans="1:11">
      <c r="A338" s="877">
        <v>5050</v>
      </c>
      <c r="B338" s="858" t="str">
        <f>INDEX('COPY ELECTRONIC TB HERE'!$B$2:$B$449,MATCH('Linked TB'!A338,'COPY ELECTRONIC TB HERE'!$A$2:$A$449,0))</f>
        <v xml:space="preserve">    WATER REVENUE-MULT FAM DWE</v>
      </c>
      <c r="C338" s="878">
        <f t="shared" si="45"/>
        <v>-10467.65</v>
      </c>
      <c r="D338" s="879"/>
      <c r="E338" s="881">
        <f>INDEX('COPY ELECTRONIC TB HERE'!$D$2:$D$449,MATCH('Linked TB'!A338,'COPY ELECTRONIC TB HERE'!$A$2:$A$449,0))</f>
        <v>-10467.65</v>
      </c>
      <c r="F338" s="888">
        <f t="shared" si="47"/>
        <v>-10467.65</v>
      </c>
      <c r="G338" s="881">
        <f t="shared" si="48"/>
        <v>0</v>
      </c>
      <c r="H338" s="882" t="s">
        <v>503</v>
      </c>
    </row>
    <row r="339" spans="1:11">
      <c r="A339" s="877">
        <v>5060</v>
      </c>
      <c r="B339" s="858" t="str">
        <f>INDEX('COPY ELECTRONIC TB HERE'!$B$2:$B$449,MATCH('Linked TB'!A339,'COPY ELECTRONIC TB HERE'!$A$2:$A$449,0))</f>
        <v xml:space="preserve">    PUBLIC FIRE PROTECTION</v>
      </c>
      <c r="C339" s="878">
        <f t="shared" si="45"/>
        <v>-34111.86</v>
      </c>
      <c r="D339" s="879"/>
      <c r="E339" s="881">
        <f>INDEX('COPY ELECTRONIC TB HERE'!$D$2:$D$449,MATCH('Linked TB'!A339,'COPY ELECTRONIC TB HERE'!$A$2:$A$449,0))</f>
        <v>-34111.86</v>
      </c>
      <c r="F339" s="888">
        <f t="shared" si="47"/>
        <v>-34111.86</v>
      </c>
      <c r="G339" s="881">
        <f t="shared" si="48"/>
        <v>0</v>
      </c>
      <c r="H339" s="882" t="s">
        <v>503</v>
      </c>
    </row>
    <row r="340" spans="1:11">
      <c r="A340" s="877">
        <v>5100</v>
      </c>
      <c r="B340" s="858" t="str">
        <f>INDEX('COPY ELECTRONIC TB HERE'!$B$2:$B$449,MATCH('Linked TB'!A340,'COPY ELECTRONIC TB HERE'!$A$2:$A$449,0))</f>
        <v xml:space="preserve">    SEWER REVENUE-RESIDENTIAL</v>
      </c>
      <c r="C340" s="878">
        <f t="shared" si="45"/>
        <v>0</v>
      </c>
      <c r="D340" s="879">
        <f>+E340</f>
        <v>0</v>
      </c>
      <c r="E340" s="881">
        <f>INDEX('COPY ELECTRONIC TB HERE'!$D$2:$D$449,MATCH('Linked TB'!A340,'COPY ELECTRONIC TB HERE'!$A$2:$A$449,0))</f>
        <v>0</v>
      </c>
      <c r="F340" s="888">
        <f t="shared" ref="F340:F346" si="49">+IF(UPPER(H340)="ACTUAL",C340,INDEX(ALLOCATION_TABLE,MATCH(UPPER(H340),INDEX(ALLOCATION_TABLE,0,1),0),5)*E340)</f>
        <v>0</v>
      </c>
      <c r="G340" s="881">
        <f t="shared" si="46"/>
        <v>0</v>
      </c>
      <c r="H340" s="882" t="s">
        <v>503</v>
      </c>
    </row>
    <row r="341" spans="1:11">
      <c r="A341" s="877">
        <v>5105</v>
      </c>
      <c r="B341" s="858" t="str">
        <f>INDEX('COPY ELECTRONIC TB HERE'!$B$2:$B$449,MATCH('Linked TB'!A341,'COPY ELECTRONIC TB HERE'!$A$2:$A$449,0))</f>
        <v xml:space="preserve">    SEWER REVENUE-ACCRUALS</v>
      </c>
      <c r="C341" s="878">
        <f t="shared" si="45"/>
        <v>0</v>
      </c>
      <c r="D341" s="879">
        <f>+E341</f>
        <v>0</v>
      </c>
      <c r="E341" s="881">
        <f>INDEX('COPY ELECTRONIC TB HERE'!$D$2:$D$449,MATCH('Linked TB'!A341,'COPY ELECTRONIC TB HERE'!$A$2:$A$449,0))</f>
        <v>0</v>
      </c>
      <c r="F341" s="888">
        <f t="shared" si="49"/>
        <v>0</v>
      </c>
      <c r="G341" s="881">
        <f t="shared" si="46"/>
        <v>0</v>
      </c>
      <c r="H341" s="882" t="s">
        <v>503</v>
      </c>
    </row>
    <row r="342" spans="1:11">
      <c r="A342" s="877">
        <v>5265</v>
      </c>
      <c r="B342" s="858" t="str">
        <f>INDEX('COPY ELECTRONIC TB HERE'!$B$2:$B$449,MATCH('Linked TB'!A342,'COPY ELECTRONIC TB HERE'!$A$2:$A$449,0))</f>
        <v xml:space="preserve">   FORFEITED DISCOUNTS</v>
      </c>
      <c r="C342" s="878">
        <f t="shared" si="45"/>
        <v>0</v>
      </c>
      <c r="D342" s="879">
        <v>0</v>
      </c>
      <c r="E342" s="881">
        <f>INDEX('COPY ELECTRONIC TB HERE'!$D$2:$D$449,MATCH('Linked TB'!A342,'COPY ELECTRONIC TB HERE'!$A$2:$A$449,0))</f>
        <v>0</v>
      </c>
      <c r="F342" s="888">
        <f t="shared" si="49"/>
        <v>0</v>
      </c>
      <c r="G342" s="881">
        <f t="shared" si="46"/>
        <v>0</v>
      </c>
      <c r="H342" s="882" t="s">
        <v>892</v>
      </c>
    </row>
    <row r="343" spans="1:11">
      <c r="A343" s="877">
        <v>5270</v>
      </c>
      <c r="B343" s="858" t="str">
        <f>INDEX('COPY ELECTRONIC TB HERE'!$B$2:$B$449,MATCH('Linked TB'!A343,'COPY ELECTRONIC TB HERE'!$A$2:$A$449,0))</f>
        <v xml:space="preserve">   MISC SERVICE REVENUE</v>
      </c>
      <c r="C343" s="878">
        <f t="shared" si="45"/>
        <v>-2004.35</v>
      </c>
      <c r="D343" s="879">
        <v>0</v>
      </c>
      <c r="E343" s="881">
        <f>INDEX('COPY ELECTRONIC TB HERE'!$D$2:$D$449,MATCH('Linked TB'!A343,'COPY ELECTRONIC TB HERE'!$A$2:$A$449,0))</f>
        <v>-2004.35</v>
      </c>
      <c r="F343" s="888">
        <f t="shared" si="49"/>
        <v>-2004.35</v>
      </c>
      <c r="G343" s="881">
        <f t="shared" si="46"/>
        <v>0</v>
      </c>
      <c r="H343" s="882" t="s">
        <v>892</v>
      </c>
    </row>
    <row r="344" spans="1:11">
      <c r="A344" s="877">
        <v>5285</v>
      </c>
      <c r="B344" s="858" t="str">
        <f>INDEX('COPY ELECTRONIC TB HERE'!$B$2:$B$449,MATCH('Linked TB'!A344,'COPY ELECTRONIC TB HERE'!$A$2:$A$449,0))</f>
        <v xml:space="preserve">   OTHER W/S REVENUES</v>
      </c>
      <c r="C344" s="878">
        <f t="shared" si="45"/>
        <v>-71190.5</v>
      </c>
      <c r="D344" s="879">
        <v>0</v>
      </c>
      <c r="E344" s="881">
        <f>INDEX('COPY ELECTRONIC TB HERE'!$D$2:$D$449,MATCH('Linked TB'!A344,'COPY ELECTRONIC TB HERE'!$A$2:$A$449,0))</f>
        <v>-71190.5</v>
      </c>
      <c r="F344" s="888">
        <f t="shared" si="49"/>
        <v>-71190.5</v>
      </c>
      <c r="G344" s="881">
        <f t="shared" si="46"/>
        <v>0</v>
      </c>
      <c r="H344" s="882" t="s">
        <v>892</v>
      </c>
    </row>
    <row r="345" spans="1:11">
      <c r="A345" s="877">
        <v>5390</v>
      </c>
      <c r="B345" s="858" t="str">
        <f>INDEX('COPY ELECTRONIC TB HERE'!$B$2:$B$449,MATCH('Linked TB'!A345,'COPY ELECTRONIC TB HERE'!$A$2:$A$449,0))</f>
        <v xml:space="preserve">    3RD PARTY BILLING REVENUE</v>
      </c>
      <c r="C345" s="878">
        <f t="shared" si="45"/>
        <v>0</v>
      </c>
      <c r="D345" s="879">
        <v>0</v>
      </c>
      <c r="E345" s="881">
        <f>INDEX('COPY ELECTRONIC TB HERE'!$D$2:$D$449,MATCH('Linked TB'!A345,'COPY ELECTRONIC TB HERE'!$A$2:$A$449,0))</f>
        <v>0</v>
      </c>
      <c r="F345" s="888">
        <f t="shared" si="49"/>
        <v>0</v>
      </c>
      <c r="G345" s="881">
        <f>+E345-F345</f>
        <v>0</v>
      </c>
      <c r="H345" s="882" t="s">
        <v>503</v>
      </c>
    </row>
    <row r="346" spans="1:11">
      <c r="A346" s="877">
        <v>5405</v>
      </c>
      <c r="B346" s="858" t="str">
        <f>INDEX('COPY ELECTRONIC TB HERE'!$B$2:$B$449,MATCH('Linked TB'!A346,'COPY ELECTRONIC TB HERE'!$A$2:$A$449,0))</f>
        <v xml:space="preserve">    REV FROM MGMT SERVICES</v>
      </c>
      <c r="C346" s="878">
        <f>+E346</f>
        <v>-153284.51999999999</v>
      </c>
      <c r="D346" s="879">
        <v>0</v>
      </c>
      <c r="E346" s="881">
        <f>INDEX('COPY ELECTRONIC TB HERE'!$D$2:$D$449,MATCH('Linked TB'!A346,'COPY ELECTRONIC TB HERE'!$A$2:$A$449,0))</f>
        <v>-153284.51999999999</v>
      </c>
      <c r="F346" s="888">
        <f t="shared" si="49"/>
        <v>-153284.51999999999</v>
      </c>
      <c r="G346" s="881">
        <f>+E346-F346</f>
        <v>0</v>
      </c>
      <c r="H346" s="882" t="s">
        <v>503</v>
      </c>
    </row>
    <row r="347" spans="1:11" ht="4.5" customHeight="1">
      <c r="A347" s="877"/>
      <c r="C347" s="885">
        <v>0</v>
      </c>
      <c r="D347" s="886">
        <v>0</v>
      </c>
      <c r="E347" s="887">
        <v>0</v>
      </c>
      <c r="F347" s="893">
        <v>0</v>
      </c>
      <c r="G347" s="887">
        <v>0</v>
      </c>
      <c r="H347" s="882"/>
    </row>
    <row r="348" spans="1:11" ht="15">
      <c r="A348" s="877" t="s">
        <v>1153</v>
      </c>
      <c r="B348" s="858" t="s">
        <v>1181</v>
      </c>
      <c r="C348" s="893">
        <f>SUM(C333:C347)</f>
        <v>-2292930.77</v>
      </c>
      <c r="D348" s="887">
        <f>SUM(D333:D347)</f>
        <v>0</v>
      </c>
      <c r="E348" s="887">
        <f>SUM(E333:E347)</f>
        <v>-2292930.77</v>
      </c>
      <c r="F348" s="893">
        <f>SUM(F333:F347)</f>
        <v>-2292930.77</v>
      </c>
      <c r="G348" s="887">
        <f>SUM(G333:G347)</f>
        <v>0</v>
      </c>
      <c r="H348" s="882"/>
      <c r="J348" s="883">
        <v>-2166770.7000000002</v>
      </c>
      <c r="K348" s="883">
        <f>+E348-J348</f>
        <v>-126160.06999999983</v>
      </c>
    </row>
    <row r="349" spans="1:11" ht="15">
      <c r="A349" s="877"/>
      <c r="C349" s="893"/>
      <c r="D349" s="887"/>
      <c r="E349" s="887"/>
      <c r="F349" s="893"/>
      <c r="G349" s="887"/>
      <c r="H349" s="882"/>
    </row>
    <row r="350" spans="1:11" hidden="1">
      <c r="C350" s="878"/>
      <c r="D350" s="879"/>
      <c r="E350" s="879"/>
      <c r="F350" s="878"/>
      <c r="G350" s="879"/>
      <c r="H350" s="882"/>
    </row>
    <row r="351" spans="1:11" ht="4.5" hidden="1" customHeight="1">
      <c r="A351" s="877"/>
      <c r="C351" s="885">
        <v>0</v>
      </c>
      <c r="D351" s="886">
        <v>0</v>
      </c>
      <c r="E351" s="887">
        <v>0</v>
      </c>
      <c r="F351" s="893">
        <v>0</v>
      </c>
      <c r="G351" s="887">
        <v>0</v>
      </c>
      <c r="H351" s="882"/>
    </row>
    <row r="352" spans="1:11" ht="15">
      <c r="A352" s="877"/>
      <c r="C352" s="893"/>
      <c r="D352" s="887"/>
      <c r="E352" s="887"/>
      <c r="F352" s="893"/>
      <c r="G352" s="887"/>
      <c r="H352" s="882"/>
    </row>
    <row r="353" spans="1:11" ht="15" hidden="1">
      <c r="A353" s="877"/>
      <c r="C353" s="893"/>
      <c r="D353" s="887"/>
      <c r="E353" s="887"/>
      <c r="F353" s="893"/>
      <c r="G353" s="887"/>
      <c r="H353" s="882"/>
    </row>
    <row r="354" spans="1:11" hidden="1">
      <c r="C354" s="878"/>
      <c r="D354" s="879"/>
      <c r="E354" s="879"/>
      <c r="F354" s="878"/>
      <c r="G354" s="879"/>
      <c r="H354" s="882"/>
    </row>
    <row r="355" spans="1:11" ht="4.5" hidden="1" customHeight="1">
      <c r="A355" s="877"/>
      <c r="C355" s="885">
        <v>0</v>
      </c>
      <c r="D355" s="886">
        <v>0</v>
      </c>
      <c r="E355" s="887">
        <v>0</v>
      </c>
      <c r="F355" s="893">
        <v>0</v>
      </c>
      <c r="G355" s="887">
        <v>0</v>
      </c>
      <c r="H355" s="882"/>
    </row>
    <row r="356" spans="1:11" ht="15" hidden="1">
      <c r="A356" s="877"/>
      <c r="C356" s="893"/>
      <c r="D356" s="893"/>
      <c r="E356" s="893"/>
      <c r="F356" s="893"/>
      <c r="G356" s="893"/>
      <c r="H356" s="882"/>
    </row>
    <row r="357" spans="1:11" ht="15">
      <c r="A357" s="877"/>
      <c r="C357" s="893"/>
      <c r="D357" s="887"/>
      <c r="E357" s="887"/>
      <c r="F357" s="893"/>
      <c r="G357" s="887"/>
      <c r="H357" s="882"/>
    </row>
    <row r="358" spans="1:11">
      <c r="A358" s="877">
        <v>5435</v>
      </c>
      <c r="B358" s="858" t="str">
        <f>INDEX('COPY ELECTRONIC TB HERE'!$B$2:$B$449,MATCH('Linked TB'!A358,'COPY ELECTRONIC TB HERE'!$A$2:$A$449,0))</f>
        <v xml:space="preserve">    PURCHASED WATER-WATER SYS</v>
      </c>
      <c r="C358" s="878"/>
      <c r="D358" s="879">
        <f>+E358</f>
        <v>85200</v>
      </c>
      <c r="E358" s="881">
        <f>INDEX('COPY ELECTRONIC TB HERE'!$D$2:$D$449,MATCH('Linked TB'!A358,'COPY ELECTRONIC TB HERE'!$A$2:$A$449,0))</f>
        <v>85200</v>
      </c>
      <c r="F358" s="888">
        <f>+IF(UPPER(H358)="ACTUAL",C358,INDEX(ALLOCATION_TABLE,MATCH(UPPER(H358),INDEX(ALLOCATION_TABLE,0,1),0),5)*E358)</f>
        <v>0</v>
      </c>
      <c r="G358" s="881">
        <f>+E358-F358</f>
        <v>85200</v>
      </c>
      <c r="H358" s="882" t="s">
        <v>503</v>
      </c>
    </row>
    <row r="359" spans="1:11">
      <c r="A359" s="891">
        <v>5460</v>
      </c>
      <c r="B359" s="858" t="str">
        <f>INDEX('COPY ELECTRONIC TB HERE'!$B$2:$B$449,MATCH('Linked TB'!A359,'COPY ELECTRONIC TB HERE'!$A$2:$A$449,0))</f>
        <v xml:space="preserve">    PURCHASED SEWER - BILLINGS</v>
      </c>
      <c r="C359" s="878">
        <v>0</v>
      </c>
      <c r="D359" s="879">
        <f>+E359</f>
        <v>0</v>
      </c>
      <c r="E359" s="881">
        <f>INDEX('COPY ELECTRONIC TB HERE'!$D$2:$D$449,MATCH('Linked TB'!A359,'COPY ELECTRONIC TB HERE'!$A$2:$A$449,0))</f>
        <v>0</v>
      </c>
      <c r="F359" s="888">
        <f>+IF(UPPER(H359)="ACTUAL",C359,INDEX(ALLOCATION_TABLE,MATCH(UPPER(H359),INDEX(ALLOCATION_TABLE,0,1),0),5)*E359)</f>
        <v>0</v>
      </c>
      <c r="G359" s="881">
        <f>+E359-F359</f>
        <v>0</v>
      </c>
      <c r="H359" s="882" t="s">
        <v>503</v>
      </c>
    </row>
    <row r="360" spans="1:11" ht="3.75" customHeight="1">
      <c r="A360" s="891"/>
      <c r="B360" s="890"/>
      <c r="C360" s="885">
        <v>0</v>
      </c>
      <c r="D360" s="886">
        <v>0</v>
      </c>
      <c r="E360" s="887">
        <v>0</v>
      </c>
      <c r="F360" s="893">
        <v>0</v>
      </c>
      <c r="G360" s="887">
        <v>0</v>
      </c>
      <c r="H360" s="882"/>
    </row>
    <row r="361" spans="1:11">
      <c r="A361" s="891" t="s">
        <v>1153</v>
      </c>
      <c r="B361" s="890" t="s">
        <v>1182</v>
      </c>
      <c r="C361" s="888">
        <f>SUM(C358:C360)</f>
        <v>0</v>
      </c>
      <c r="D361" s="881">
        <f>SUM(D358:D360)</f>
        <v>85200</v>
      </c>
      <c r="E361" s="881">
        <f>SUM(E358:E360)</f>
        <v>85200</v>
      </c>
      <c r="F361" s="888">
        <f>SUM(F358:F360)</f>
        <v>0</v>
      </c>
      <c r="G361" s="881">
        <f>SUM(G358:G360)</f>
        <v>85200</v>
      </c>
      <c r="H361" s="882"/>
      <c r="J361" s="883">
        <v>78100</v>
      </c>
      <c r="K361" s="883">
        <f>+E361-J361</f>
        <v>7100</v>
      </c>
    </row>
    <row r="362" spans="1:11">
      <c r="A362" s="877"/>
      <c r="C362" s="888"/>
      <c r="D362" s="881"/>
      <c r="E362" s="881"/>
      <c r="F362" s="888"/>
      <c r="G362" s="881"/>
      <c r="H362" s="882"/>
    </row>
    <row r="363" spans="1:11">
      <c r="A363" s="877">
        <v>5465</v>
      </c>
      <c r="B363" s="858" t="str">
        <f>INDEX('COPY ELECTRONIC TB HERE'!$B$2:$B$449,MATCH('Linked TB'!A363,'COPY ELECTRONIC TB HERE'!$A$2:$A$449,0))</f>
        <v xml:space="preserve">    ELEC PWR - WTR SYSTEM SRC</v>
      </c>
      <c r="C363" s="878">
        <f>+E363</f>
        <v>82607.659999999989</v>
      </c>
      <c r="D363" s="879">
        <v>0</v>
      </c>
      <c r="E363" s="881">
        <f>INDEX('COPY ELECTRONIC TB HERE'!$D$2:$D$449,MATCH('Linked TB'!A363,'COPY ELECTRONIC TB HERE'!$A$2:$A$449,0))</f>
        <v>82607.659999999989</v>
      </c>
      <c r="F363" s="888">
        <f>+IF(UPPER(H363)="ACTUAL",C363,INDEX(ALLOCATION_TABLE,MATCH(UPPER(H363),INDEX(ALLOCATION_TABLE,0,1),0),5)*E363)</f>
        <v>82607.659999999989</v>
      </c>
      <c r="G363" s="881">
        <f>+E363-F363</f>
        <v>0</v>
      </c>
      <c r="H363" s="882" t="s">
        <v>503</v>
      </c>
    </row>
    <row r="364" spans="1:11">
      <c r="A364" s="877">
        <v>5470</v>
      </c>
      <c r="B364" s="858" t="str">
        <f>INDEX('COPY ELECTRONIC TB HERE'!$B$2:$B$449,MATCH('Linked TB'!A364,'COPY ELECTRONIC TB HERE'!$A$2:$A$449,0))</f>
        <v xml:space="preserve">    ELEC PWR - SWR SYSTEM COLL</v>
      </c>
      <c r="C364" s="878">
        <v>0</v>
      </c>
      <c r="D364" s="879">
        <f>+E364</f>
        <v>12503.38</v>
      </c>
      <c r="E364" s="881">
        <f>INDEX('COPY ELECTRONIC TB HERE'!$D$2:$D$449,MATCH('Linked TB'!A364,'COPY ELECTRONIC TB HERE'!$A$2:$A$449,0))</f>
        <v>12503.38</v>
      </c>
      <c r="F364" s="888">
        <f>+IF(UPPER(H364)="ACTUAL",C364,INDEX(ALLOCATION_TABLE,MATCH(UPPER(H364),INDEX(ALLOCATION_TABLE,0,1),0),5)*E364)</f>
        <v>0</v>
      </c>
      <c r="G364" s="881">
        <f>+E364-F364</f>
        <v>12503.38</v>
      </c>
      <c r="H364" s="882" t="s">
        <v>503</v>
      </c>
    </row>
    <row r="365" spans="1:11" ht="5.0999999999999996" customHeight="1">
      <c r="A365" s="877"/>
      <c r="C365" s="885">
        <v>0</v>
      </c>
      <c r="D365" s="886">
        <v>0</v>
      </c>
      <c r="E365" s="887">
        <v>0</v>
      </c>
      <c r="F365" s="893">
        <v>0</v>
      </c>
      <c r="G365" s="887">
        <v>0</v>
      </c>
      <c r="H365" s="882"/>
    </row>
    <row r="366" spans="1:11">
      <c r="A366" s="877" t="s">
        <v>1153</v>
      </c>
      <c r="B366" s="858" t="s">
        <v>1183</v>
      </c>
      <c r="C366" s="888">
        <f>SUM(C363:C365)</f>
        <v>82607.659999999989</v>
      </c>
      <c r="D366" s="881">
        <f>SUM(D363:D365)</f>
        <v>12503.38</v>
      </c>
      <c r="E366" s="881">
        <f>SUM(E363:E365)</f>
        <v>95111.039999999994</v>
      </c>
      <c r="F366" s="888">
        <f>SUM(F363:F365)</f>
        <v>82607.659999999989</v>
      </c>
      <c r="G366" s="881">
        <f>SUM(G363:G365)</f>
        <v>12503.38</v>
      </c>
      <c r="H366" s="882"/>
      <c r="J366" s="883">
        <v>79634.849999999991</v>
      </c>
      <c r="K366" s="883">
        <f>+E366-J366</f>
        <v>15476.190000000002</v>
      </c>
    </row>
    <row r="367" spans="1:11">
      <c r="A367" s="877"/>
      <c r="C367" s="888"/>
      <c r="D367" s="881"/>
      <c r="E367" s="881"/>
      <c r="F367" s="888"/>
      <c r="G367" s="881"/>
      <c r="H367" s="882"/>
    </row>
    <row r="368" spans="1:11">
      <c r="A368" s="877">
        <v>5480</v>
      </c>
      <c r="B368" s="858" t="str">
        <f>INDEX('COPY ELECTRONIC TB HERE'!$B$2:$B$449,MATCH('Linked TB'!A368,'COPY ELECTRONIC TB HERE'!$A$2:$A$449,0))</f>
        <v xml:space="preserve">    CHLORINE</v>
      </c>
      <c r="C368" s="878">
        <f>E368</f>
        <v>57148.34</v>
      </c>
      <c r="D368" s="879">
        <v>0</v>
      </c>
      <c r="E368" s="881">
        <f>INDEX('COPY ELECTRONIC TB HERE'!$D$2:$D$449,MATCH('Linked TB'!A368,'COPY ELECTRONIC TB HERE'!$A$2:$A$449,0))</f>
        <v>57148.34</v>
      </c>
      <c r="F368" s="888">
        <f>+IF(UPPER(H368)="ACTUAL",C368,INDEX(ALLOCATION_TABLE,MATCH(UPPER(H368),INDEX(ALLOCATION_TABLE,0,1),0),5)*E368)</f>
        <v>57148.34</v>
      </c>
      <c r="G368" s="881">
        <f>+E368-F368</f>
        <v>0</v>
      </c>
      <c r="H368" s="882" t="s">
        <v>504</v>
      </c>
    </row>
    <row r="369" spans="1:11">
      <c r="A369" s="877">
        <v>5490</v>
      </c>
      <c r="B369" s="858" t="str">
        <f>INDEX('COPY ELECTRONIC TB HERE'!$B$2:$B$449,MATCH('Linked TB'!A369,'COPY ELECTRONIC TB HERE'!$A$2:$A$449,0))</f>
        <v xml:space="preserve">    OTHER TREATMENT CHEMICALS</v>
      </c>
      <c r="C369" s="878">
        <f>E369</f>
        <v>88272.81</v>
      </c>
      <c r="D369" s="879">
        <v>0</v>
      </c>
      <c r="E369" s="881">
        <f>INDEX('COPY ELECTRONIC TB HERE'!$D$2:$D$449,MATCH('Linked TB'!A369,'COPY ELECTRONIC TB HERE'!$A$2:$A$449,0))</f>
        <v>88272.81</v>
      </c>
      <c r="F369" s="888">
        <f>+IF(UPPER(H369)="ACTUAL",C369,INDEX(ALLOCATION_TABLE,MATCH(UPPER(H369),INDEX(ALLOCATION_TABLE,0,1),0),5)*E369)</f>
        <v>88272.81</v>
      </c>
      <c r="G369" s="881">
        <f>+E369-F369</f>
        <v>0</v>
      </c>
      <c r="H369" s="882" t="s">
        <v>504</v>
      </c>
    </row>
    <row r="370" spans="1:11" ht="5.0999999999999996" customHeight="1">
      <c r="A370" s="877"/>
      <c r="C370" s="885">
        <v>0</v>
      </c>
      <c r="D370" s="886">
        <v>0</v>
      </c>
      <c r="E370" s="887">
        <v>0</v>
      </c>
      <c r="F370" s="893">
        <v>0</v>
      </c>
      <c r="G370" s="887">
        <v>0</v>
      </c>
      <c r="H370" s="882"/>
    </row>
    <row r="371" spans="1:11">
      <c r="A371" s="877" t="s">
        <v>1153</v>
      </c>
      <c r="B371" s="858" t="s">
        <v>1184</v>
      </c>
      <c r="C371" s="888">
        <f>SUM(C368:C370)</f>
        <v>145421.15</v>
      </c>
      <c r="D371" s="881">
        <f>SUM(D369:D370)</f>
        <v>0</v>
      </c>
      <c r="E371" s="881">
        <f>SUM(E368:E370)</f>
        <v>145421.15</v>
      </c>
      <c r="F371" s="888">
        <f>SUM(F368:F370)</f>
        <v>145421.15</v>
      </c>
      <c r="G371" s="881">
        <f>SUM(G368:G370)</f>
        <v>0</v>
      </c>
      <c r="H371" s="882"/>
      <c r="J371" s="883">
        <v>101313.4</v>
      </c>
      <c r="K371" s="883">
        <f>+E371-J371</f>
        <v>44107.75</v>
      </c>
    </row>
    <row r="372" spans="1:11">
      <c r="A372" s="877"/>
      <c r="C372" s="888"/>
      <c r="D372" s="881"/>
      <c r="E372" s="881"/>
      <c r="F372" s="888"/>
      <c r="G372" s="881"/>
      <c r="H372" s="882"/>
    </row>
    <row r="373" spans="1:11">
      <c r="A373" s="877">
        <v>5495</v>
      </c>
      <c r="B373" s="858" t="str">
        <f>INDEX('COPY ELECTRONIC TB HERE'!$B$2:$B$449,MATCH('Linked TB'!A373,'COPY ELECTRONIC TB HERE'!$A$2:$A$449,0))</f>
        <v xml:space="preserve">   METER READING</v>
      </c>
      <c r="C373" s="878">
        <f>+E373</f>
        <v>0</v>
      </c>
      <c r="D373" s="879">
        <v>0</v>
      </c>
      <c r="E373" s="881">
        <f>INDEX('COPY ELECTRONIC TB HERE'!$D$2:$D$449,MATCH('Linked TB'!A373,'COPY ELECTRONIC TB HERE'!$A$2:$A$449,0))</f>
        <v>0</v>
      </c>
      <c r="F373" s="888">
        <f>+IF(UPPER(H373)="ACTUAL",C373,INDEX(ALLOCATION_TABLE,MATCH(UPPER(H373),INDEX(ALLOCATION_TABLE,0,1),0),5)*E373)</f>
        <v>0</v>
      </c>
      <c r="G373" s="881">
        <f>+E373-F373</f>
        <v>0</v>
      </c>
      <c r="H373" s="882" t="s">
        <v>503</v>
      </c>
    </row>
    <row r="374" spans="1:11" ht="5.0999999999999996" customHeight="1">
      <c r="A374" s="877"/>
      <c r="C374" s="885">
        <v>0</v>
      </c>
      <c r="D374" s="886">
        <v>0</v>
      </c>
      <c r="E374" s="887">
        <v>0</v>
      </c>
      <c r="F374" s="893">
        <v>0</v>
      </c>
      <c r="G374" s="887">
        <v>0</v>
      </c>
      <c r="H374" s="882"/>
    </row>
    <row r="375" spans="1:11">
      <c r="A375" s="877" t="s">
        <v>1153</v>
      </c>
      <c r="B375" s="858" t="s">
        <v>1185</v>
      </c>
      <c r="C375" s="888">
        <f>SUM(C373:C374)</f>
        <v>0</v>
      </c>
      <c r="D375" s="881">
        <f>SUM(D373:D374)</f>
        <v>0</v>
      </c>
      <c r="E375" s="881">
        <f>SUM(E373:E374)</f>
        <v>0</v>
      </c>
      <c r="F375" s="888">
        <f>SUM(F373:F374)</f>
        <v>0</v>
      </c>
      <c r="G375" s="881">
        <f>SUM(G373:G374)</f>
        <v>0</v>
      </c>
      <c r="H375" s="882"/>
      <c r="J375" s="883">
        <v>344.85000000000008</v>
      </c>
      <c r="K375" s="883">
        <f>+E375-J375</f>
        <v>-344.85000000000008</v>
      </c>
    </row>
    <row r="376" spans="1:11">
      <c r="A376" s="877"/>
      <c r="C376" s="888"/>
      <c r="D376" s="881"/>
      <c r="E376" s="881"/>
      <c r="F376" s="888"/>
      <c r="G376" s="881"/>
      <c r="H376" s="882"/>
    </row>
    <row r="377" spans="1:11">
      <c r="A377" s="877">
        <v>5505</v>
      </c>
      <c r="B377" s="858" t="str">
        <f>INDEX('COPY ELECTRONIC TB HERE'!$B$2:$B$449,MATCH('Linked TB'!A377,'COPY ELECTRONIC TB HERE'!$A$2:$A$449,0))</f>
        <v xml:space="preserve">    AGENCY EXPENSE</v>
      </c>
      <c r="C377" s="878">
        <v>0</v>
      </c>
      <c r="D377" s="879">
        <v>0</v>
      </c>
      <c r="E377" s="881">
        <f>INDEX('COPY ELECTRONIC TB HERE'!$D$2:$D$449,MATCH('Linked TB'!A377,'COPY ELECTRONIC TB HERE'!$A$2:$A$449,0))</f>
        <v>627.9</v>
      </c>
      <c r="F377" s="888">
        <f>+IF(UPPER(H377)="ACTUAL",C377,INDEX(ALLOCATION_TABLE,MATCH(UPPER(H377),INDEX(ALLOCATION_TABLE,0,1),0),5)*E377)</f>
        <v>627.9</v>
      </c>
      <c r="G377" s="881">
        <f>+E377-F377</f>
        <v>0</v>
      </c>
      <c r="H377" s="882" t="s">
        <v>892</v>
      </c>
    </row>
    <row r="378" spans="1:11">
      <c r="A378" s="877">
        <v>5510</v>
      </c>
      <c r="B378" s="858" t="str">
        <f>INDEX('COPY ELECTRONIC TB HERE'!$B$2:$B$449,MATCH('Linked TB'!A378,'COPY ELECTRONIC TB HERE'!$A$2:$A$449,0))</f>
        <v xml:space="preserve">    UNCOLLECTIBLE ACCOUNTS</v>
      </c>
      <c r="C378" s="878">
        <v>0</v>
      </c>
      <c r="D378" s="879">
        <v>0</v>
      </c>
      <c r="E378" s="881">
        <f>INDEX('COPY ELECTRONIC TB HERE'!$D$2:$D$449,MATCH('Linked TB'!A378,'COPY ELECTRONIC TB HERE'!$A$2:$A$449,0))</f>
        <v>42594.63</v>
      </c>
      <c r="F378" s="888">
        <f>+IF(UPPER(H378)="ACTUAL",C378,INDEX(ALLOCATION_TABLE,MATCH(UPPER(H378),INDEX(ALLOCATION_TABLE,0,1),0),5)*E378)</f>
        <v>42594.63</v>
      </c>
      <c r="G378" s="881">
        <f>+E378-F378</f>
        <v>0</v>
      </c>
      <c r="H378" s="882" t="s">
        <v>892</v>
      </c>
    </row>
    <row r="379" spans="1:11">
      <c r="A379" s="877">
        <v>5515</v>
      </c>
      <c r="B379" s="858" t="str">
        <f>INDEX('COPY ELECTRONIC TB HERE'!$B$2:$B$449,MATCH('Linked TB'!A379,'COPY ELECTRONIC TB HERE'!$A$2:$A$449,0))</f>
        <v xml:space="preserve">    UNCOLL ACCOUNTS ACCRUAL</v>
      </c>
      <c r="C379" s="878">
        <v>0</v>
      </c>
      <c r="D379" s="879"/>
      <c r="E379" s="881">
        <f>INDEX('COPY ELECTRONIC TB HERE'!$D$2:$D$449,MATCH('Linked TB'!A379,'COPY ELECTRONIC TB HERE'!$A$2:$A$449,0))</f>
        <v>-5869.4</v>
      </c>
      <c r="F379" s="888">
        <f>+IF(UPPER(H379)="ACTUAL",C379,INDEX(ALLOCATION_TABLE,MATCH(UPPER(H379),INDEX(ALLOCATION_TABLE,0,1),0),5)*E379)</f>
        <v>-5869.4</v>
      </c>
      <c r="G379" s="881">
        <f>+E379-F379</f>
        <v>0</v>
      </c>
      <c r="H379" s="882" t="s">
        <v>892</v>
      </c>
    </row>
    <row r="380" spans="1:11" ht="5.0999999999999996" customHeight="1">
      <c r="A380" s="877"/>
      <c r="C380" s="885">
        <v>0</v>
      </c>
      <c r="D380" s="886">
        <v>0</v>
      </c>
      <c r="E380" s="887">
        <v>0</v>
      </c>
      <c r="F380" s="893">
        <v>0</v>
      </c>
      <c r="G380" s="887">
        <v>0</v>
      </c>
      <c r="H380" s="882"/>
    </row>
    <row r="381" spans="1:11">
      <c r="A381" s="877" t="s">
        <v>1153</v>
      </c>
      <c r="B381" s="858" t="s">
        <v>1186</v>
      </c>
      <c r="C381" s="888">
        <f>SUM(C377:C380)</f>
        <v>0</v>
      </c>
      <c r="D381" s="881">
        <f>SUM(D378:D380)</f>
        <v>0</v>
      </c>
      <c r="E381" s="881">
        <f>SUM(E377:E380)</f>
        <v>37353.129999999997</v>
      </c>
      <c r="F381" s="888">
        <f>SUM(F377:F380)</f>
        <v>37353.129999999997</v>
      </c>
      <c r="G381" s="881">
        <f>SUM(G377:G380)</f>
        <v>0</v>
      </c>
      <c r="H381" s="882"/>
      <c r="J381" s="883">
        <v>126199.97000000002</v>
      </c>
      <c r="K381" s="883">
        <f>+E381-J381</f>
        <v>-88846.840000000026</v>
      </c>
    </row>
    <row r="382" spans="1:11">
      <c r="A382" s="877"/>
      <c r="C382" s="878"/>
      <c r="D382" s="879"/>
      <c r="E382" s="881"/>
      <c r="F382" s="888"/>
      <c r="G382" s="881"/>
      <c r="H382" s="882"/>
    </row>
    <row r="383" spans="1:11">
      <c r="A383" s="877">
        <v>5525</v>
      </c>
      <c r="B383" s="858" t="str">
        <f>INDEX('COPY ELECTRONIC TB HERE'!$B$2:$B$449,MATCH('Linked TB'!A383,'COPY ELECTRONIC TB HERE'!$A$2:$A$449,0))</f>
        <v xml:space="preserve">    BILL STOCK</v>
      </c>
      <c r="C383" s="878">
        <v>0</v>
      </c>
      <c r="D383" s="879">
        <v>0</v>
      </c>
      <c r="E383" s="881">
        <f>INDEX('COPY ELECTRONIC TB HERE'!$D$2:$D$449,MATCH('Linked TB'!A383,'COPY ELECTRONIC TB HERE'!$A$2:$A$449,0))</f>
        <v>746.88</v>
      </c>
      <c r="F383" s="888">
        <f>+IF(UPPER(H383)="ACTUAL",C383,INDEX(ALLOCATION_TABLE,MATCH(UPPER(H383),INDEX(ALLOCATION_TABLE,0,1),0),5)*E383)</f>
        <v>746.88</v>
      </c>
      <c r="G383" s="881">
        <f>+E383-F383</f>
        <v>0</v>
      </c>
      <c r="H383" s="882" t="s">
        <v>504</v>
      </c>
    </row>
    <row r="384" spans="1:11">
      <c r="A384" s="877">
        <v>5530</v>
      </c>
      <c r="B384" s="858" t="str">
        <f>INDEX('COPY ELECTRONIC TB HERE'!$B$2:$B$449,MATCH('Linked TB'!A384,'COPY ELECTRONIC TB HERE'!$A$2:$A$449,0))</f>
        <v xml:space="preserve">    BILLING COMPUTER SUPPLIES</v>
      </c>
      <c r="C384" s="878">
        <v>0</v>
      </c>
      <c r="D384" s="879">
        <v>0</v>
      </c>
      <c r="E384" s="881">
        <f>INDEX('COPY ELECTRONIC TB HERE'!$D$2:$D$449,MATCH('Linked TB'!A384,'COPY ELECTRONIC TB HERE'!$A$2:$A$449,0))</f>
        <v>0</v>
      </c>
      <c r="F384" s="888">
        <f>+IF(UPPER(H384)="ACTUAL",C384,INDEX(ALLOCATION_TABLE,MATCH(UPPER(H384),INDEX(ALLOCATION_TABLE,0,1),0),5)*E384)</f>
        <v>0</v>
      </c>
      <c r="G384" s="881">
        <f>+E384-F384</f>
        <v>0</v>
      </c>
      <c r="H384" s="882" t="s">
        <v>504</v>
      </c>
    </row>
    <row r="385" spans="1:11">
      <c r="A385" s="877">
        <v>5535</v>
      </c>
      <c r="B385" s="858" t="str">
        <f>INDEX('COPY ELECTRONIC TB HERE'!$B$2:$B$449,MATCH('Linked TB'!A385,'COPY ELECTRONIC TB HERE'!$A$2:$A$449,0))</f>
        <v xml:space="preserve">    BILLING ENVELOPES</v>
      </c>
      <c r="C385" s="878">
        <v>0</v>
      </c>
      <c r="D385" s="879">
        <v>0</v>
      </c>
      <c r="E385" s="881">
        <f>INDEX('COPY ELECTRONIC TB HERE'!$D$2:$D$449,MATCH('Linked TB'!A385,'COPY ELECTRONIC TB HERE'!$A$2:$A$449,0))</f>
        <v>1327.42</v>
      </c>
      <c r="F385" s="888">
        <f>+IF(UPPER(H385)="ACTUAL",C385,INDEX(ALLOCATION_TABLE,MATCH(UPPER(H385),INDEX(ALLOCATION_TABLE,0,1),0),5)*E385)</f>
        <v>1327.42</v>
      </c>
      <c r="G385" s="881">
        <f>+E385-F385</f>
        <v>0</v>
      </c>
      <c r="H385" s="882" t="s">
        <v>504</v>
      </c>
    </row>
    <row r="386" spans="1:11">
      <c r="A386" s="877">
        <v>5540</v>
      </c>
      <c r="B386" s="858" t="str">
        <f>INDEX('COPY ELECTRONIC TB HERE'!$B$2:$B$449,MATCH('Linked TB'!A386,'COPY ELECTRONIC TB HERE'!$A$2:$A$449,0))</f>
        <v xml:space="preserve">    BILLING POSTAGE</v>
      </c>
      <c r="C386" s="878">
        <v>0</v>
      </c>
      <c r="D386" s="879">
        <v>0</v>
      </c>
      <c r="E386" s="881">
        <f>INDEX('COPY ELECTRONIC TB HERE'!$D$2:$D$449,MATCH('Linked TB'!A386,'COPY ELECTRONIC TB HERE'!$A$2:$A$449,0))</f>
        <v>20542.280000000002</v>
      </c>
      <c r="F386" s="888">
        <f>+IF(UPPER(H386)="ACTUAL",C386,INDEX(ALLOCATION_TABLE,MATCH(UPPER(H386),INDEX(ALLOCATION_TABLE,0,1),0),5)*E386)</f>
        <v>20542.280000000002</v>
      </c>
      <c r="G386" s="881">
        <f>+E386-F386</f>
        <v>0</v>
      </c>
      <c r="H386" s="882" t="s">
        <v>504</v>
      </c>
    </row>
    <row r="387" spans="1:11">
      <c r="A387" s="877">
        <v>5545</v>
      </c>
      <c r="B387" s="858" t="str">
        <f>INDEX('COPY ELECTRONIC TB HERE'!$B$2:$B$449,MATCH('Linked TB'!A387,'COPY ELECTRONIC TB HERE'!$A$2:$A$449,0))</f>
        <v xml:space="preserve">    CUSTOMER SERVICE PRINTING</v>
      </c>
      <c r="C387" s="878">
        <v>0</v>
      </c>
      <c r="D387" s="879">
        <v>0</v>
      </c>
      <c r="E387" s="881">
        <f>INDEX('COPY ELECTRONIC TB HERE'!$D$2:$D$449,MATCH('Linked TB'!A387,'COPY ELECTRONIC TB HERE'!$A$2:$A$449,0))</f>
        <v>768.29000000000008</v>
      </c>
      <c r="F387" s="888">
        <f>+IF(UPPER(H387)="ACTUAL",C387,INDEX(ALLOCATION_TABLE,MATCH(UPPER(H387),INDEX(ALLOCATION_TABLE,0,1),0),5)*E387)</f>
        <v>768.29000000000008</v>
      </c>
      <c r="G387" s="881">
        <f>+E387-F387</f>
        <v>0</v>
      </c>
      <c r="H387" s="882" t="s">
        <v>504</v>
      </c>
    </row>
    <row r="388" spans="1:11" ht="5.0999999999999996" customHeight="1">
      <c r="A388" s="877"/>
      <c r="C388" s="885">
        <v>0</v>
      </c>
      <c r="D388" s="886">
        <v>0</v>
      </c>
      <c r="E388" s="887">
        <v>0</v>
      </c>
      <c r="F388" s="893">
        <v>0</v>
      </c>
      <c r="G388" s="887">
        <v>0</v>
      </c>
      <c r="H388" s="882"/>
    </row>
    <row r="389" spans="1:11">
      <c r="A389" s="877" t="s">
        <v>1153</v>
      </c>
      <c r="B389" s="858" t="s">
        <v>1187</v>
      </c>
      <c r="C389" s="888">
        <f>SUM(C383:C388)</f>
        <v>0</v>
      </c>
      <c r="D389" s="881">
        <f>SUM(D387:D388)</f>
        <v>0</v>
      </c>
      <c r="E389" s="881">
        <f>SUM(E383:E388)</f>
        <v>23384.870000000003</v>
      </c>
      <c r="F389" s="888">
        <f>SUM(F383:F388)</f>
        <v>23384.870000000003</v>
      </c>
      <c r="G389" s="881">
        <f>SUM(G383:G388)</f>
        <v>0</v>
      </c>
      <c r="H389" s="882"/>
      <c r="J389" s="883">
        <v>30567.059999999998</v>
      </c>
      <c r="K389" s="883">
        <f>+E389-J389</f>
        <v>-7182.1899999999951</v>
      </c>
    </row>
    <row r="390" spans="1:11">
      <c r="A390" s="877"/>
      <c r="C390" s="888"/>
      <c r="D390" s="881"/>
      <c r="E390" s="881"/>
      <c r="F390" s="888"/>
      <c r="G390" s="881"/>
      <c r="H390" s="882"/>
    </row>
    <row r="391" spans="1:11">
      <c r="A391" s="889">
        <v>5625</v>
      </c>
      <c r="B391" s="858" t="str">
        <f>INDEX('COPY ELECTRONIC TB HERE'!$B$2:$B$449,MATCH('Linked TB'!A391,'COPY ELECTRONIC TB HERE'!$A$2:$A$449,0))</f>
        <v xml:space="preserve">    401K PROFIT SHARING</v>
      </c>
      <c r="C391" s="878">
        <v>0</v>
      </c>
      <c r="D391" s="879">
        <v>0</v>
      </c>
      <c r="E391" s="881">
        <f>INDEX('COPY ELECTRONIC TB HERE'!$D$2:$D$449,MATCH('Linked TB'!A391,'COPY ELECTRONIC TB HERE'!$A$2:$A$449,0))</f>
        <v>21871.15</v>
      </c>
      <c r="F391" s="888">
        <f t="shared" ref="F391:F402" si="50">+IF(UPPER(H391)="ACTUAL",C391,INDEX(ALLOCATION_TABLE,MATCH(UPPER(H391),INDEX(ALLOCATION_TABLE,0,1),0),5)*E391)</f>
        <v>21871.15</v>
      </c>
      <c r="G391" s="881">
        <f t="shared" ref="G391:G402" si="51">+E391-F391</f>
        <v>0</v>
      </c>
      <c r="H391" s="882" t="s">
        <v>504</v>
      </c>
    </row>
    <row r="392" spans="1:11">
      <c r="A392" s="889">
        <v>5630</v>
      </c>
      <c r="B392" s="858" t="str">
        <f>INDEX('COPY ELECTRONIC TB HERE'!$B$2:$B$449,MATCH('Linked TB'!A392,'COPY ELECTRONIC TB HERE'!$A$2:$A$449,0))</f>
        <v xml:space="preserve">    HEALTH &amp; DENTAL PREMIUMS</v>
      </c>
      <c r="C392" s="878">
        <v>0</v>
      </c>
      <c r="D392" s="879">
        <v>0</v>
      </c>
      <c r="E392" s="881">
        <f>INDEX('COPY ELECTRONIC TB HERE'!$D$2:$D$449,MATCH('Linked TB'!A392,'COPY ELECTRONIC TB HERE'!$A$2:$A$449,0))</f>
        <v>16013.77</v>
      </c>
      <c r="F392" s="888">
        <f t="shared" si="50"/>
        <v>16013.77</v>
      </c>
      <c r="G392" s="881">
        <f t="shared" si="51"/>
        <v>0</v>
      </c>
      <c r="H392" s="882" t="s">
        <v>504</v>
      </c>
    </row>
    <row r="393" spans="1:11">
      <c r="A393" s="889">
        <v>5635</v>
      </c>
      <c r="B393" s="858" t="str">
        <f>INDEX('COPY ELECTRONIC TB HERE'!$B$2:$B$449,MATCH('Linked TB'!A393,'COPY ELECTRONIC TB HERE'!$A$2:$A$449,0))</f>
        <v xml:space="preserve">    DENTAL INS REIMBURSEMENTS</v>
      </c>
      <c r="C393" s="878">
        <v>0</v>
      </c>
      <c r="D393" s="879">
        <v>0</v>
      </c>
      <c r="E393" s="881">
        <f>INDEX('COPY ELECTRONIC TB HERE'!$D$2:$D$449,MATCH('Linked TB'!A393,'COPY ELECTRONIC TB HERE'!$A$2:$A$449,0))</f>
        <v>3666.57</v>
      </c>
      <c r="F393" s="888">
        <f t="shared" si="50"/>
        <v>3666.57</v>
      </c>
      <c r="G393" s="881">
        <f t="shared" si="51"/>
        <v>0</v>
      </c>
      <c r="H393" s="882" t="s">
        <v>504</v>
      </c>
    </row>
    <row r="394" spans="1:11">
      <c r="A394" s="889">
        <v>5645</v>
      </c>
      <c r="B394" s="858" t="str">
        <f>INDEX('COPY ELECTRONIC TB HERE'!$B$2:$B$449,MATCH('Linked TB'!A394,'COPY ELECTRONIC TB HERE'!$A$2:$A$449,0))</f>
        <v xml:space="preserve">    EMPLOYEE INS DEDUCTIONS</v>
      </c>
      <c r="C394" s="878">
        <v>0</v>
      </c>
      <c r="D394" s="879">
        <v>0</v>
      </c>
      <c r="E394" s="881">
        <f>INDEX('COPY ELECTRONIC TB HERE'!$D$2:$D$449,MATCH('Linked TB'!A394,'COPY ELECTRONIC TB HERE'!$A$2:$A$449,0))</f>
        <v>-24112.959999999999</v>
      </c>
      <c r="F394" s="888">
        <f t="shared" si="50"/>
        <v>-24112.959999999999</v>
      </c>
      <c r="G394" s="881">
        <f t="shared" si="51"/>
        <v>0</v>
      </c>
      <c r="H394" s="882" t="s">
        <v>504</v>
      </c>
    </row>
    <row r="395" spans="1:11">
      <c r="A395" s="889">
        <v>5650</v>
      </c>
      <c r="B395" s="858" t="str">
        <f>INDEX('COPY ELECTRONIC TB HERE'!$B$2:$B$449,MATCH('Linked TB'!A395,'COPY ELECTRONIC TB HERE'!$A$2:$A$449,0))</f>
        <v xml:space="preserve">    HEALTH COSTS &amp; OTHER</v>
      </c>
      <c r="C395" s="878">
        <v>0</v>
      </c>
      <c r="D395" s="879">
        <v>0</v>
      </c>
      <c r="E395" s="881">
        <f>INDEX('COPY ELECTRONIC TB HERE'!$D$2:$D$449,MATCH('Linked TB'!A395,'COPY ELECTRONIC TB HERE'!$A$2:$A$449,0))</f>
        <v>1672.29</v>
      </c>
      <c r="F395" s="888">
        <f t="shared" si="50"/>
        <v>1672.29</v>
      </c>
      <c r="G395" s="881">
        <f t="shared" si="51"/>
        <v>0</v>
      </c>
      <c r="H395" s="882" t="s">
        <v>504</v>
      </c>
    </row>
    <row r="396" spans="1:11">
      <c r="A396" s="889">
        <v>5655</v>
      </c>
      <c r="B396" s="858" t="str">
        <f>INDEX('COPY ELECTRONIC TB HERE'!$B$2:$B$449,MATCH('Linked TB'!A396,'COPY ELECTRONIC TB HERE'!$A$2:$A$449,0))</f>
        <v xml:space="preserve">    HEALTH INS REIMBURSEMENTS</v>
      </c>
      <c r="C396" s="878">
        <v>0</v>
      </c>
      <c r="D396" s="879">
        <v>0</v>
      </c>
      <c r="E396" s="881">
        <f>INDEX('COPY ELECTRONIC TB HERE'!$D$2:$D$449,MATCH('Linked TB'!A396,'COPY ELECTRONIC TB HERE'!$A$2:$A$449,0))</f>
        <v>90264.98</v>
      </c>
      <c r="F396" s="888">
        <f t="shared" si="50"/>
        <v>90264.98</v>
      </c>
      <c r="G396" s="881">
        <f t="shared" si="51"/>
        <v>0</v>
      </c>
      <c r="H396" s="882" t="s">
        <v>504</v>
      </c>
    </row>
    <row r="397" spans="1:11" ht="12" customHeight="1">
      <c r="A397" s="877">
        <v>5660</v>
      </c>
      <c r="B397" s="858" t="str">
        <f>INDEX('COPY ELECTRONIC TB HERE'!$B$2:$B$449,MATCH('Linked TB'!A397,'COPY ELECTRONIC TB HERE'!$A$2:$A$449,0))</f>
        <v xml:space="preserve">    OTHER EMP PENSION/BENEFITS</v>
      </c>
      <c r="C397" s="878">
        <v>0</v>
      </c>
      <c r="D397" s="879">
        <v>0</v>
      </c>
      <c r="E397" s="881">
        <f>INDEX('COPY ELECTRONIC TB HERE'!$D$2:$D$449,MATCH('Linked TB'!A397,'COPY ELECTRONIC TB HERE'!$A$2:$A$449,0))</f>
        <v>798.62</v>
      </c>
      <c r="F397" s="888">
        <f t="shared" si="50"/>
        <v>798.62</v>
      </c>
      <c r="G397" s="881">
        <f t="shared" si="51"/>
        <v>0</v>
      </c>
      <c r="H397" s="882" t="s">
        <v>504</v>
      </c>
    </row>
    <row r="398" spans="1:11">
      <c r="A398" s="889">
        <v>5665</v>
      </c>
      <c r="B398" s="858" t="str">
        <f>INDEX('COPY ELECTRONIC TB HERE'!$B$2:$B$449,MATCH('Linked TB'!A398,'COPY ELECTRONIC TB HERE'!$A$2:$A$449,0))</f>
        <v xml:space="preserve">    PENSION / 401K MATCH</v>
      </c>
      <c r="C398" s="878">
        <v>0</v>
      </c>
      <c r="D398" s="879">
        <v>0</v>
      </c>
      <c r="E398" s="881">
        <f>INDEX('COPY ELECTRONIC TB HERE'!$D$2:$D$449,MATCH('Linked TB'!A398,'COPY ELECTRONIC TB HERE'!$A$2:$A$449,0))</f>
        <v>7556.88</v>
      </c>
      <c r="F398" s="888">
        <f t="shared" si="50"/>
        <v>7556.88</v>
      </c>
      <c r="G398" s="881">
        <f t="shared" si="51"/>
        <v>0</v>
      </c>
      <c r="H398" s="882" t="s">
        <v>504</v>
      </c>
    </row>
    <row r="399" spans="1:11">
      <c r="A399" s="889">
        <v>5670</v>
      </c>
      <c r="B399" s="858" t="str">
        <f>INDEX('COPY ELECTRONIC TB HERE'!$B$2:$B$449,MATCH('Linked TB'!A399,'COPY ELECTRONIC TB HERE'!$A$2:$A$449,0))</f>
        <v xml:space="preserve">    TERM LIFE INS</v>
      </c>
      <c r="C399" s="878">
        <v>0</v>
      </c>
      <c r="D399" s="879">
        <v>0</v>
      </c>
      <c r="E399" s="881">
        <f>INDEX('COPY ELECTRONIC TB HERE'!$D$2:$D$449,MATCH('Linked TB'!A399,'COPY ELECTRONIC TB HERE'!$A$2:$A$449,0))</f>
        <v>5226.7299999999996</v>
      </c>
      <c r="F399" s="888">
        <f t="shared" si="50"/>
        <v>5226.7299999999996</v>
      </c>
      <c r="G399" s="881">
        <f t="shared" si="51"/>
        <v>0</v>
      </c>
      <c r="H399" s="882" t="s">
        <v>504</v>
      </c>
    </row>
    <row r="400" spans="1:11">
      <c r="A400" s="889">
        <v>5675</v>
      </c>
      <c r="B400" s="858" t="str">
        <f>INDEX('COPY ELECTRONIC TB HERE'!$B$2:$B$449,MATCH('Linked TB'!A400,'COPY ELECTRONIC TB HERE'!$A$2:$A$449,0))</f>
        <v xml:space="preserve">    TERM LIFE INS-OPT</v>
      </c>
      <c r="C400" s="878">
        <v>0</v>
      </c>
      <c r="D400" s="879">
        <v>0</v>
      </c>
      <c r="E400" s="881">
        <f>INDEX('COPY ELECTRONIC TB HERE'!$D$2:$D$449,MATCH('Linked TB'!A400,'COPY ELECTRONIC TB HERE'!$A$2:$A$449,0))</f>
        <v>-636.65</v>
      </c>
      <c r="F400" s="888">
        <f t="shared" si="50"/>
        <v>-636.65</v>
      </c>
      <c r="G400" s="881">
        <f t="shared" si="51"/>
        <v>0</v>
      </c>
      <c r="H400" s="882" t="s">
        <v>504</v>
      </c>
    </row>
    <row r="401" spans="1:11">
      <c r="A401" s="889">
        <v>5680</v>
      </c>
      <c r="B401" s="858" t="str">
        <f>INDEX('COPY ELECTRONIC TB HERE'!$B$2:$B$449,MATCH('Linked TB'!A401,'COPY ELECTRONIC TB HERE'!$A$2:$A$449,0))</f>
        <v xml:space="preserve">    DEPEND LIFE INS-OPT</v>
      </c>
      <c r="C401" s="878">
        <v>0</v>
      </c>
      <c r="D401" s="879">
        <v>0</v>
      </c>
      <c r="E401" s="881">
        <f>INDEX('COPY ELECTRONIC TB HERE'!$D$2:$D$449,MATCH('Linked TB'!A401,'COPY ELECTRONIC TB HERE'!$A$2:$A$449,0))</f>
        <v>-403.07</v>
      </c>
      <c r="F401" s="888">
        <f t="shared" si="50"/>
        <v>-403.07</v>
      </c>
      <c r="G401" s="881">
        <f t="shared" si="51"/>
        <v>0</v>
      </c>
      <c r="H401" s="882" t="s">
        <v>504</v>
      </c>
    </row>
    <row r="402" spans="1:11">
      <c r="A402" s="889">
        <v>5690</v>
      </c>
      <c r="B402" s="858" t="str">
        <f>INDEX('COPY ELECTRONIC TB HERE'!$B$2:$B$449,MATCH('Linked TB'!A402,'COPY ELECTRONIC TB HERE'!$A$2:$A$449,0))</f>
        <v xml:space="preserve">    TUITION</v>
      </c>
      <c r="C402" s="878">
        <v>0</v>
      </c>
      <c r="D402" s="879">
        <v>0</v>
      </c>
      <c r="E402" s="881">
        <f>INDEX('COPY ELECTRONIC TB HERE'!$D$2:$D$449,MATCH('Linked TB'!A402,'COPY ELECTRONIC TB HERE'!$A$2:$A$449,0))</f>
        <v>222.73</v>
      </c>
      <c r="F402" s="888">
        <f t="shared" si="50"/>
        <v>222.73</v>
      </c>
      <c r="G402" s="881">
        <f t="shared" si="51"/>
        <v>0</v>
      </c>
      <c r="H402" s="882" t="s">
        <v>504</v>
      </c>
    </row>
    <row r="403" spans="1:11" ht="5.0999999999999996" customHeight="1">
      <c r="A403" s="877"/>
      <c r="C403" s="885">
        <v>0</v>
      </c>
      <c r="D403" s="886">
        <v>0</v>
      </c>
      <c r="E403" s="887">
        <v>0</v>
      </c>
      <c r="F403" s="893">
        <v>0</v>
      </c>
      <c r="G403" s="887">
        <v>0</v>
      </c>
      <c r="H403" s="882"/>
    </row>
    <row r="404" spans="1:11">
      <c r="A404" s="877" t="s">
        <v>1153</v>
      </c>
      <c r="B404" s="858" t="s">
        <v>1188</v>
      </c>
      <c r="C404" s="888">
        <f>SUM(C391:C403)</f>
        <v>0</v>
      </c>
      <c r="D404" s="881">
        <f>SUM(D391:D403)</f>
        <v>0</v>
      </c>
      <c r="E404" s="881">
        <f>SUM(E391:E403)</f>
        <v>122141.03999999998</v>
      </c>
      <c r="F404" s="888">
        <f>SUM(F391:F403)</f>
        <v>122141.03999999998</v>
      </c>
      <c r="G404" s="881">
        <f>SUM(G391:G403)</f>
        <v>0</v>
      </c>
      <c r="H404" s="882"/>
      <c r="J404" s="883">
        <v>123344.14000000003</v>
      </c>
      <c r="K404" s="883">
        <f>+E404-J404</f>
        <v>-1203.1000000000495</v>
      </c>
    </row>
    <row r="405" spans="1:11">
      <c r="A405" s="877"/>
      <c r="C405" s="878"/>
      <c r="D405" s="879"/>
      <c r="E405" s="881"/>
      <c r="F405" s="888"/>
      <c r="G405" s="881"/>
      <c r="H405" s="882"/>
    </row>
    <row r="406" spans="1:11">
      <c r="A406" s="889">
        <v>5715</v>
      </c>
      <c r="B406" s="858" t="str">
        <f>INDEX('COPY ELECTRONIC TB HERE'!$B$2:$B$449,MATCH('Linked TB'!A406,'COPY ELECTRONIC TB HERE'!$A$2:$A$449,0))</f>
        <v xml:space="preserve">    INSURANCE-OTHER</v>
      </c>
      <c r="C406" s="878">
        <v>0</v>
      </c>
      <c r="D406" s="879">
        <v>0</v>
      </c>
      <c r="E406" s="881">
        <f>INDEX('COPY ELECTRONIC TB HERE'!$D$2:$D$449,MATCH('Linked TB'!A406,'COPY ELECTRONIC TB HERE'!$A$2:$A$449,0))</f>
        <v>63191.840000000004</v>
      </c>
      <c r="F406" s="888">
        <f>+IF(UPPER(H406)="ACTUAL",C406,INDEX(ALLOCATION_TABLE,MATCH(UPPER(H406),INDEX(ALLOCATION_TABLE,0,1),0),5)*E406)</f>
        <v>63191.840000000004</v>
      </c>
      <c r="G406" s="881">
        <f>+E406-F406</f>
        <v>0</v>
      </c>
      <c r="H406" s="882" t="s">
        <v>504</v>
      </c>
    </row>
    <row r="407" spans="1:11" ht="5.0999999999999996" customHeight="1">
      <c r="A407" s="877"/>
      <c r="C407" s="885">
        <v>0</v>
      </c>
      <c r="D407" s="886">
        <v>0</v>
      </c>
      <c r="E407" s="887">
        <v>0</v>
      </c>
      <c r="F407" s="893">
        <v>0</v>
      </c>
      <c r="G407" s="887">
        <v>0</v>
      </c>
      <c r="H407" s="882"/>
    </row>
    <row r="408" spans="1:11">
      <c r="A408" s="877" t="s">
        <v>1153</v>
      </c>
      <c r="B408" s="858" t="s">
        <v>1189</v>
      </c>
      <c r="C408" s="888">
        <f>SUM(C406:C407)</f>
        <v>0</v>
      </c>
      <c r="D408" s="881">
        <f>SUM(D406:D407)</f>
        <v>0</v>
      </c>
      <c r="E408" s="881">
        <f>SUM(E406:E407)</f>
        <v>63191.840000000004</v>
      </c>
      <c r="F408" s="888">
        <f>SUM(F406:F407)</f>
        <v>63191.840000000004</v>
      </c>
      <c r="G408" s="881">
        <f>SUM(G406:G407)</f>
        <v>0</v>
      </c>
      <c r="H408" s="882"/>
      <c r="J408" s="883">
        <v>59054.22</v>
      </c>
      <c r="K408" s="883">
        <f>+E408-J408</f>
        <v>4137.6200000000026</v>
      </c>
    </row>
    <row r="409" spans="1:11">
      <c r="A409" s="877"/>
      <c r="C409" s="888"/>
      <c r="D409" s="881"/>
      <c r="E409" s="881"/>
      <c r="F409" s="888"/>
      <c r="G409" s="881"/>
      <c r="H409" s="882"/>
    </row>
    <row r="410" spans="1:11">
      <c r="A410" s="889">
        <v>5735</v>
      </c>
      <c r="B410" s="858" t="str">
        <f>INDEX('COPY ELECTRONIC TB HERE'!$B$2:$B$449,MATCH('Linked TB'!A410,'COPY ELECTRONIC TB HERE'!$A$2:$A$449,0))</f>
        <v xml:space="preserve">    COMPUTER MAINTENANCE</v>
      </c>
      <c r="C410" s="878">
        <v>0</v>
      </c>
      <c r="D410" s="879">
        <v>0</v>
      </c>
      <c r="E410" s="881">
        <f>INDEX('COPY ELECTRONIC TB HERE'!$D$2:$D$449,MATCH('Linked TB'!A410,'COPY ELECTRONIC TB HERE'!$A$2:$A$449,0))</f>
        <v>39418.639999999999</v>
      </c>
      <c r="F410" s="888">
        <f>+IF(UPPER(H410)="ACTUAL",C410,INDEX(ALLOCATION_TABLE,MATCH(UPPER(H410),INDEX(ALLOCATION_TABLE,0,1),0),5)*E410)</f>
        <v>39418.639999999999</v>
      </c>
      <c r="G410" s="881">
        <f>+E410-F410</f>
        <v>0</v>
      </c>
      <c r="H410" s="882" t="s">
        <v>504</v>
      </c>
    </row>
    <row r="411" spans="1:11">
      <c r="A411" s="889">
        <v>5740</v>
      </c>
      <c r="B411" s="858" t="str">
        <f>INDEX('COPY ELECTRONIC TB HERE'!$B$2:$B$449,MATCH('Linked TB'!A411,'COPY ELECTRONIC TB HERE'!$A$2:$A$449,0))</f>
        <v xml:space="preserve">    COMPUTER SUPPLIES</v>
      </c>
      <c r="C411" s="878">
        <v>0</v>
      </c>
      <c r="D411" s="879">
        <v>0</v>
      </c>
      <c r="E411" s="881">
        <f>INDEX('COPY ELECTRONIC TB HERE'!$D$2:$D$449,MATCH('Linked TB'!A411,'COPY ELECTRONIC TB HERE'!$A$2:$A$449,0))</f>
        <v>852.64</v>
      </c>
      <c r="F411" s="888">
        <f>+IF(UPPER(H411)="ACTUAL",C411,INDEX(ALLOCATION_TABLE,MATCH(UPPER(H411),INDEX(ALLOCATION_TABLE,0,1),0),5)*E411)</f>
        <v>852.64</v>
      </c>
      <c r="G411" s="881">
        <f>+E411-F411</f>
        <v>0</v>
      </c>
      <c r="H411" s="882" t="s">
        <v>504</v>
      </c>
    </row>
    <row r="412" spans="1:11">
      <c r="A412" s="877">
        <v>5745</v>
      </c>
      <c r="B412" s="858" t="str">
        <f>INDEX('COPY ELECTRONIC TB HERE'!$B$2:$B$449,MATCH('Linked TB'!A412,'COPY ELECTRONIC TB HERE'!$A$2:$A$449,0))</f>
        <v xml:space="preserve">    COMPUTER AMORT &amp; PROG COST</v>
      </c>
      <c r="C412" s="878">
        <v>0</v>
      </c>
      <c r="D412" s="879">
        <v>0</v>
      </c>
      <c r="E412" s="881">
        <f>INDEX('COPY ELECTRONIC TB HERE'!$D$2:$D$449,MATCH('Linked TB'!A412,'COPY ELECTRONIC TB HERE'!$A$2:$A$449,0))</f>
        <v>0</v>
      </c>
      <c r="F412" s="888">
        <f>+IF(UPPER(H412)="ACTUAL",C412,INDEX(ALLOCATION_TABLE,MATCH(UPPER(H412),INDEX(ALLOCATION_TABLE,0,1),0),5)*E412)</f>
        <v>0</v>
      </c>
      <c r="G412" s="881">
        <f>+E412-F412</f>
        <v>0</v>
      </c>
      <c r="H412" s="882" t="s">
        <v>504</v>
      </c>
    </row>
    <row r="413" spans="1:11">
      <c r="A413" s="889">
        <v>5750</v>
      </c>
      <c r="B413" s="858" t="str">
        <f>INDEX('COPY ELECTRONIC TB HERE'!$B$2:$B$449,MATCH('Linked TB'!A413,'COPY ELECTRONIC TB HERE'!$A$2:$A$449,0))</f>
        <v xml:space="preserve">    INTERNET SUPPLIER</v>
      </c>
      <c r="C413" s="878">
        <v>0</v>
      </c>
      <c r="D413" s="879">
        <v>0</v>
      </c>
      <c r="E413" s="881">
        <f>INDEX('COPY ELECTRONIC TB HERE'!$D$2:$D$449,MATCH('Linked TB'!A413,'COPY ELECTRONIC TB HERE'!$A$2:$A$449,0))</f>
        <v>3813.82</v>
      </c>
      <c r="F413" s="888">
        <f>+IF(UPPER(H413)="ACTUAL",C413,INDEX(ALLOCATION_TABLE,MATCH(UPPER(H413),INDEX(ALLOCATION_TABLE,0,1),0),5)*E413)</f>
        <v>3813.82</v>
      </c>
      <c r="G413" s="881">
        <f>+E413-F413</f>
        <v>0</v>
      </c>
      <c r="H413" s="882" t="s">
        <v>504</v>
      </c>
    </row>
    <row r="414" spans="1:11">
      <c r="A414" s="889">
        <v>5755</v>
      </c>
      <c r="B414" s="858" t="str">
        <f>INDEX('COPY ELECTRONIC TB HERE'!$B$2:$B$449,MATCH('Linked TB'!A414,'COPY ELECTRONIC TB HERE'!$A$2:$A$449,0))</f>
        <v xml:space="preserve">    MICROFILMING</v>
      </c>
      <c r="C414" s="878">
        <f t="shared" ref="C414" si="52">E414</f>
        <v>0</v>
      </c>
      <c r="D414" s="879">
        <v>0</v>
      </c>
      <c r="E414" s="881">
        <f>INDEX('COPY ELECTRONIC TB HERE'!$D$2:$D$449,MATCH('Linked TB'!A414,'COPY ELECTRONIC TB HERE'!$A$2:$A$449,0))</f>
        <v>0</v>
      </c>
      <c r="F414" s="888">
        <f>+IF(UPPER(H414)="ACTUAL",C414,INDEX(ALLOCATION_TABLE,MATCH(UPPER(H414),INDEX(ALLOCATION_TABLE,0,1),0),5)*E414)</f>
        <v>0</v>
      </c>
      <c r="G414" s="881">
        <f>+E414-F414</f>
        <v>0</v>
      </c>
      <c r="H414" s="882" t="s">
        <v>504</v>
      </c>
    </row>
    <row r="415" spans="1:11" ht="5.0999999999999996" customHeight="1">
      <c r="A415" s="877"/>
      <c r="C415" s="885">
        <v>0</v>
      </c>
      <c r="D415" s="886">
        <v>0</v>
      </c>
      <c r="E415" s="887">
        <v>0</v>
      </c>
      <c r="F415" s="893">
        <v>0</v>
      </c>
      <c r="G415" s="887">
        <v>0</v>
      </c>
      <c r="H415" s="882"/>
    </row>
    <row r="416" spans="1:11">
      <c r="A416" s="877" t="s">
        <v>1153</v>
      </c>
      <c r="B416" s="858" t="s">
        <v>1190</v>
      </c>
      <c r="C416" s="888">
        <f>SUM(C410:C415)</f>
        <v>0</v>
      </c>
      <c r="D416" s="881">
        <f>SUM(D410:D415)</f>
        <v>0</v>
      </c>
      <c r="E416" s="881">
        <f>SUM(E410:E415)</f>
        <v>44085.1</v>
      </c>
      <c r="F416" s="888">
        <f>SUM(F410:F415)</f>
        <v>44085.1</v>
      </c>
      <c r="G416" s="881">
        <f>SUM(G410:G415)</f>
        <v>0</v>
      </c>
      <c r="H416" s="882"/>
      <c r="J416" s="883">
        <v>52512.359999999986</v>
      </c>
      <c r="K416" s="883">
        <f>+E416-J416</f>
        <v>-8427.2599999999875</v>
      </c>
    </row>
    <row r="417" spans="1:11">
      <c r="A417" s="877"/>
      <c r="C417" s="888"/>
      <c r="D417" s="881"/>
      <c r="E417" s="881"/>
      <c r="F417" s="888"/>
      <c r="G417" s="881"/>
      <c r="H417" s="882"/>
    </row>
    <row r="418" spans="1:11">
      <c r="A418" s="877">
        <v>5785</v>
      </c>
      <c r="B418" s="858" t="str">
        <f>INDEX('COPY ELECTRONIC TB HERE'!$B$2:$B$449,MATCH('Linked TB'!A418,'COPY ELECTRONIC TB HERE'!$A$2:$A$449,0))</f>
        <v xml:space="preserve">    ADVERTISING/MARKETING</v>
      </c>
      <c r="C418" s="878">
        <v>0</v>
      </c>
      <c r="D418" s="879">
        <v>0</v>
      </c>
      <c r="E418" s="881">
        <f>INDEX('COPY ELECTRONIC TB HERE'!$D$2:$D$449,MATCH('Linked TB'!A418,'COPY ELECTRONIC TB HERE'!$A$2:$A$449,0))</f>
        <v>160.16</v>
      </c>
      <c r="F418" s="888">
        <f>+IF(UPPER(H418)="ACTUAL",C418,INDEX(ALLOCATION_TABLE,MATCH(UPPER(H418),INDEX(ALLOCATION_TABLE,0,1),0),5)*E418)</f>
        <v>160.16</v>
      </c>
      <c r="G418" s="881">
        <f t="shared" ref="G418:G426" si="53">+E418-F418</f>
        <v>0</v>
      </c>
      <c r="H418" s="882" t="s">
        <v>504</v>
      </c>
    </row>
    <row r="419" spans="1:11">
      <c r="A419" s="877">
        <v>5790</v>
      </c>
      <c r="B419" s="858" t="str">
        <f>INDEX('COPY ELECTRONIC TB HERE'!$B$2:$B$449,MATCH('Linked TB'!A419,'COPY ELECTRONIC TB HERE'!$A$2:$A$449,0))</f>
        <v xml:space="preserve">    BANK SERVICE CHARGE</v>
      </c>
      <c r="C419" s="878">
        <v>0</v>
      </c>
      <c r="D419" s="879">
        <v>0</v>
      </c>
      <c r="E419" s="881">
        <f>INDEX('COPY ELECTRONIC TB HERE'!$D$2:$D$449,MATCH('Linked TB'!A419,'COPY ELECTRONIC TB HERE'!$A$2:$A$449,0))</f>
        <v>2463.13</v>
      </c>
      <c r="F419" s="888">
        <f>+IF(UPPER(H419)="ACTUAL",C419,INDEX(ALLOCATION_TABLE,MATCH(UPPER(H419),INDEX(ALLOCATION_TABLE,0,1),0),5)*E419)</f>
        <v>2463.13</v>
      </c>
      <c r="G419" s="881">
        <f t="shared" si="53"/>
        <v>0</v>
      </c>
      <c r="H419" s="882" t="s">
        <v>504</v>
      </c>
    </row>
    <row r="420" spans="1:11">
      <c r="A420" s="877">
        <v>5795</v>
      </c>
      <c r="B420" s="858" t="str">
        <f>INDEX('COPY ELECTRONIC TB HERE'!$B$2:$B$449,MATCH('Linked TB'!A420,'COPY ELECTRONIC TB HERE'!$A$2:$A$449,0))</f>
        <v xml:space="preserve">    CONTRIBUTIONS</v>
      </c>
      <c r="C420" s="878">
        <v>0</v>
      </c>
      <c r="D420" s="879">
        <v>0</v>
      </c>
      <c r="E420" s="881">
        <f>INDEX('COPY ELECTRONIC TB HERE'!$D$2:$D$449,MATCH('Linked TB'!A420,'COPY ELECTRONIC TB HERE'!$A$2:$A$449,0))</f>
        <v>340.19</v>
      </c>
      <c r="F420" s="888">
        <f>+IF(UPPER(H420)="ACTUAL",C420,INDEX(ALLOCATION_TABLE,MATCH(UPPER(H420),INDEX(ALLOCATION_TABLE,0,1),0),5)*E420)</f>
        <v>340.19</v>
      </c>
      <c r="G420" s="881">
        <f t="shared" ref="G420" si="54">+E420-F420</f>
        <v>0</v>
      </c>
      <c r="H420" s="882" t="s">
        <v>504</v>
      </c>
    </row>
    <row r="421" spans="1:11">
      <c r="A421" s="877">
        <v>5800</v>
      </c>
      <c r="B421" s="858" t="str">
        <f>INDEX('COPY ELECTRONIC TB HERE'!$B$2:$B$449,MATCH('Linked TB'!A421,'COPY ELECTRONIC TB HERE'!$A$2:$A$449,0))</f>
        <v xml:space="preserve">    LETTER OF CREDIT FEE</v>
      </c>
      <c r="C421" s="878">
        <v>0</v>
      </c>
      <c r="D421" s="879">
        <v>0</v>
      </c>
      <c r="E421" s="881">
        <f>INDEX('COPY ELECTRONIC TB HERE'!$D$2:$D$449,MATCH('Linked TB'!A421,'COPY ELECTRONIC TB HERE'!$A$2:$A$449,0))</f>
        <v>0</v>
      </c>
      <c r="F421" s="888">
        <f t="shared" ref="F421:F426" si="55">+IF(UPPER(H421)="ACTUAL",C421,INDEX(ALLOCATION_TABLE,MATCH(UPPER(H421),INDEX(ALLOCATION_TABLE,0,1),0),5)*E421)</f>
        <v>0</v>
      </c>
      <c r="G421" s="881">
        <f t="shared" si="53"/>
        <v>0</v>
      </c>
      <c r="H421" s="882" t="s">
        <v>504</v>
      </c>
    </row>
    <row r="422" spans="1:11">
      <c r="A422" s="877">
        <v>5805</v>
      </c>
      <c r="B422" s="858" t="str">
        <f>INDEX('COPY ELECTRONIC TB HERE'!$B$2:$B$449,MATCH('Linked TB'!A422,'COPY ELECTRONIC TB HERE'!$A$2:$A$449,0))</f>
        <v xml:space="preserve">    LICENSE FEES</v>
      </c>
      <c r="C422" s="878">
        <v>0</v>
      </c>
      <c r="D422" s="879">
        <v>0</v>
      </c>
      <c r="E422" s="881">
        <f>INDEX('COPY ELECTRONIC TB HERE'!$D$2:$D$449,MATCH('Linked TB'!A422,'COPY ELECTRONIC TB HERE'!$A$2:$A$449,0))</f>
        <v>706.94999999999993</v>
      </c>
      <c r="F422" s="888">
        <f>+IF(UPPER(H422)="ACTUAL",C422,INDEX(ALLOCATION_TABLE,MATCH(UPPER(H422),INDEX(ALLOCATION_TABLE,0,1),0),5)*E422)</f>
        <v>706.94999999999993</v>
      </c>
      <c r="G422" s="881">
        <f t="shared" si="53"/>
        <v>0</v>
      </c>
      <c r="H422" s="882" t="s">
        <v>504</v>
      </c>
    </row>
    <row r="423" spans="1:11">
      <c r="A423" s="877">
        <v>5810</v>
      </c>
      <c r="B423" s="858" t="str">
        <f>INDEX('COPY ELECTRONIC TB HERE'!$B$2:$B$449,MATCH('Linked TB'!A423,'COPY ELECTRONIC TB HERE'!$A$2:$A$449,0))</f>
        <v xml:space="preserve">    MEMBERSHIPS</v>
      </c>
      <c r="C423" s="878">
        <v>0</v>
      </c>
      <c r="D423" s="879">
        <v>0</v>
      </c>
      <c r="E423" s="881">
        <f>INDEX('COPY ELECTRONIC TB HERE'!$D$2:$D$449,MATCH('Linked TB'!A423,'COPY ELECTRONIC TB HERE'!$A$2:$A$449,0))</f>
        <v>5374.7000000000007</v>
      </c>
      <c r="F423" s="888">
        <f t="shared" si="55"/>
        <v>5374.7000000000007</v>
      </c>
      <c r="G423" s="881">
        <f t="shared" si="53"/>
        <v>0</v>
      </c>
      <c r="H423" s="882" t="s">
        <v>504</v>
      </c>
    </row>
    <row r="424" spans="1:11">
      <c r="A424" s="877">
        <v>5815</v>
      </c>
      <c r="B424" s="858" t="str">
        <f>INDEX('COPY ELECTRONIC TB HERE'!$B$2:$B$449,MATCH('Linked TB'!A424,'COPY ELECTRONIC TB HERE'!$A$2:$A$449,0))</f>
        <v xml:space="preserve">    PENALTIES/FINES</v>
      </c>
      <c r="C424" s="878">
        <v>0</v>
      </c>
      <c r="D424" s="879">
        <v>0</v>
      </c>
      <c r="E424" s="881">
        <f>INDEX('COPY ELECTRONIC TB HERE'!$D$2:$D$449,MATCH('Linked TB'!A424,'COPY ELECTRONIC TB HERE'!$A$2:$A$449,0))</f>
        <v>3.22</v>
      </c>
      <c r="F424" s="888">
        <f t="shared" si="55"/>
        <v>3.22</v>
      </c>
      <c r="G424" s="881">
        <f t="shared" si="53"/>
        <v>0</v>
      </c>
      <c r="H424" s="882" t="s">
        <v>504</v>
      </c>
    </row>
    <row r="425" spans="1:11">
      <c r="A425" s="877">
        <v>5820</v>
      </c>
      <c r="B425" s="858" t="str">
        <f>INDEX('COPY ELECTRONIC TB HERE'!$B$2:$B$449,MATCH('Linked TB'!A425,'COPY ELECTRONIC TB HERE'!$A$2:$A$449,0))</f>
        <v xml:space="preserve">    TRAINING EXPENSE</v>
      </c>
      <c r="C425" s="878">
        <v>0</v>
      </c>
      <c r="D425" s="879">
        <v>0</v>
      </c>
      <c r="E425" s="881">
        <f>INDEX('COPY ELECTRONIC TB HERE'!$D$2:$D$449,MATCH('Linked TB'!A425,'COPY ELECTRONIC TB HERE'!$A$2:$A$449,0))</f>
        <v>2225.9499999999998</v>
      </c>
      <c r="F425" s="888">
        <f t="shared" si="55"/>
        <v>2225.9499999999998</v>
      </c>
      <c r="G425" s="881">
        <f t="shared" si="53"/>
        <v>0</v>
      </c>
      <c r="H425" s="882" t="s">
        <v>504</v>
      </c>
    </row>
    <row r="426" spans="1:11">
      <c r="A426" s="877">
        <v>5825</v>
      </c>
      <c r="B426" s="858" t="str">
        <f>INDEX('COPY ELECTRONIC TB HERE'!$B$2:$B$449,MATCH('Linked TB'!A426,'COPY ELECTRONIC TB HERE'!$A$2:$A$449,0))</f>
        <v xml:space="preserve">    OTHER MISC EXPENSE</v>
      </c>
      <c r="C426" s="878">
        <v>0</v>
      </c>
      <c r="D426" s="879">
        <v>0</v>
      </c>
      <c r="E426" s="881">
        <f>INDEX('COPY ELECTRONIC TB HERE'!$D$2:$D$449,MATCH('Linked TB'!A426,'COPY ELECTRONIC TB HERE'!$A$2:$A$449,0))</f>
        <v>1208.8899999999999</v>
      </c>
      <c r="F426" s="888">
        <f t="shared" si="55"/>
        <v>1208.8899999999999</v>
      </c>
      <c r="G426" s="881">
        <f t="shared" si="53"/>
        <v>0</v>
      </c>
      <c r="H426" s="882" t="s">
        <v>504</v>
      </c>
    </row>
    <row r="427" spans="1:11" ht="5.0999999999999996" customHeight="1">
      <c r="A427" s="877"/>
      <c r="C427" s="885">
        <v>0</v>
      </c>
      <c r="D427" s="886">
        <v>0</v>
      </c>
      <c r="E427" s="887">
        <v>0</v>
      </c>
      <c r="F427" s="893">
        <v>0</v>
      </c>
      <c r="G427" s="887">
        <v>0</v>
      </c>
      <c r="H427" s="882"/>
    </row>
    <row r="428" spans="1:11">
      <c r="A428" s="877" t="s">
        <v>1153</v>
      </c>
      <c r="B428" s="858" t="s">
        <v>1191</v>
      </c>
      <c r="C428" s="888">
        <f>SUM(C418:C427)</f>
        <v>0</v>
      </c>
      <c r="D428" s="881">
        <f>SUM(D421:D427)</f>
        <v>0</v>
      </c>
      <c r="E428" s="881">
        <f>SUM(E418:E427)</f>
        <v>12483.189999999999</v>
      </c>
      <c r="F428" s="888">
        <f>SUM(F418:F427)</f>
        <v>12483.189999999999</v>
      </c>
      <c r="G428" s="881">
        <f>SUM(G418:G427)</f>
        <v>0</v>
      </c>
      <c r="H428" s="882"/>
      <c r="J428" s="883">
        <v>19396.939999999999</v>
      </c>
      <c r="K428" s="883">
        <f>+E428-J428</f>
        <v>-6913.75</v>
      </c>
    </row>
    <row r="429" spans="1:11">
      <c r="A429" s="877"/>
      <c r="C429" s="878"/>
      <c r="D429" s="879"/>
      <c r="E429" s="881"/>
      <c r="F429" s="888"/>
      <c r="G429" s="881"/>
      <c r="H429" s="882"/>
    </row>
    <row r="430" spans="1:11">
      <c r="A430" s="877">
        <v>5855</v>
      </c>
      <c r="B430" s="858" t="str">
        <f>INDEX('COPY ELECTRONIC TB HERE'!$B$2:$B$449,MATCH('Linked TB'!A430,'COPY ELECTRONIC TB HERE'!$A$2:$A$449,0))</f>
        <v xml:space="preserve">    ANSWERING SERVICE</v>
      </c>
      <c r="C430" s="878">
        <v>0</v>
      </c>
      <c r="D430" s="879">
        <v>0</v>
      </c>
      <c r="E430" s="881">
        <f>INDEX('COPY ELECTRONIC TB HERE'!$D$2:$D$449,MATCH('Linked TB'!A430,'COPY ELECTRONIC TB HERE'!$A$2:$A$449,0))</f>
        <v>879.31999999999994</v>
      </c>
      <c r="F430" s="888">
        <f>+IF(UPPER(H430)="ACTUAL",C430,INDEX(ALLOCATION_TABLE,MATCH(UPPER(H430),INDEX(ALLOCATION_TABLE,0,1),0),5)*E430)</f>
        <v>879.31999999999994</v>
      </c>
      <c r="G430" s="881">
        <f>+E430-F430</f>
        <v>0</v>
      </c>
      <c r="H430" s="882" t="s">
        <v>504</v>
      </c>
    </row>
    <row r="431" spans="1:11">
      <c r="A431" s="877">
        <v>5860</v>
      </c>
      <c r="B431" s="858" t="str">
        <f>INDEX('COPY ELECTRONIC TB HERE'!$B$2:$B$449,MATCH('Linked TB'!A431,'COPY ELECTRONIC TB HERE'!$A$2:$A$449,0))</f>
        <v xml:space="preserve">    CLEANING SUPPLIES</v>
      </c>
      <c r="C431" s="878">
        <v>0</v>
      </c>
      <c r="D431" s="879">
        <v>0</v>
      </c>
      <c r="E431" s="881">
        <f>INDEX('COPY ELECTRONIC TB HERE'!$D$2:$D$449,MATCH('Linked TB'!A431,'COPY ELECTRONIC TB HERE'!$A$2:$A$449,0))</f>
        <v>896.5</v>
      </c>
      <c r="F431" s="888">
        <f t="shared" ref="F431:F439" si="56">+IF(UPPER(H431)="ACTUAL",C431,INDEX(ALLOCATION_TABLE,MATCH(UPPER(H431),INDEX(ALLOCATION_TABLE,0,1),0),5)*E431)</f>
        <v>896.5</v>
      </c>
      <c r="G431" s="881">
        <f>+E431-F431</f>
        <v>0</v>
      </c>
      <c r="H431" s="882" t="s">
        <v>504</v>
      </c>
    </row>
    <row r="432" spans="1:11">
      <c r="A432" s="877">
        <v>5865</v>
      </c>
      <c r="B432" s="858" t="str">
        <f>INDEX('COPY ELECTRONIC TB HERE'!$B$2:$B$449,MATCH('Linked TB'!A432,'COPY ELECTRONIC TB HERE'!$A$2:$A$449,0))</f>
        <v xml:space="preserve">    COPY MACHINE</v>
      </c>
      <c r="C432" s="878">
        <v>0</v>
      </c>
      <c r="D432" s="879">
        <v>0</v>
      </c>
      <c r="E432" s="881">
        <f>INDEX('COPY ELECTRONIC TB HERE'!$D$2:$D$449,MATCH('Linked TB'!A432,'COPY ELECTRONIC TB HERE'!$A$2:$A$449,0))</f>
        <v>1500.49</v>
      </c>
      <c r="F432" s="888">
        <f>+IF(UPPER(H432)="ACTUAL",C432,INDEX(ALLOCATION_TABLE,MATCH(UPPER(H432),INDEX(ALLOCATION_TABLE,0,1),0),5)*E432)</f>
        <v>1500.49</v>
      </c>
      <c r="G432" s="881">
        <f t="shared" ref="G432:G439" si="57">+E432-F432</f>
        <v>0</v>
      </c>
      <c r="H432" s="882" t="s">
        <v>504</v>
      </c>
    </row>
    <row r="433" spans="1:11">
      <c r="A433" s="877">
        <v>5870</v>
      </c>
      <c r="B433" s="858" t="str">
        <f>INDEX('COPY ELECTRONIC TB HERE'!$B$2:$B$449,MATCH('Linked TB'!A433,'COPY ELECTRONIC TB HERE'!$A$2:$A$449,0))</f>
        <v xml:space="preserve">    HOLIDAY EVENTS/PICNICS</v>
      </c>
      <c r="C433" s="878">
        <v>0</v>
      </c>
      <c r="D433" s="879">
        <v>0</v>
      </c>
      <c r="E433" s="881">
        <f>INDEX('COPY ELECTRONIC TB HERE'!$D$2:$D$449,MATCH('Linked TB'!A433,'COPY ELECTRONIC TB HERE'!$A$2:$A$449,0))</f>
        <v>157.02999999999997</v>
      </c>
      <c r="F433" s="888">
        <f>+IF(UPPER(H433)="ACTUAL",C433,INDEX(ALLOCATION_TABLE,MATCH(UPPER(H433),INDEX(ALLOCATION_TABLE,0,1),0),5)*E433)</f>
        <v>157.02999999999997</v>
      </c>
      <c r="G433" s="881">
        <f t="shared" si="57"/>
        <v>0</v>
      </c>
      <c r="H433" s="882" t="s">
        <v>504</v>
      </c>
    </row>
    <row r="434" spans="1:11">
      <c r="A434" s="877">
        <v>5875</v>
      </c>
      <c r="B434" s="858" t="str">
        <f>INDEX('COPY ELECTRONIC TB HERE'!$B$2:$B$449,MATCH('Linked TB'!A434,'COPY ELECTRONIC TB HERE'!$A$2:$A$449,0))</f>
        <v xml:space="preserve">    KITCHEN SUPPLIES</v>
      </c>
      <c r="C434" s="878">
        <v>0</v>
      </c>
      <c r="D434" s="879">
        <v>0</v>
      </c>
      <c r="E434" s="881">
        <f>INDEX('COPY ELECTRONIC TB HERE'!$D$2:$D$449,MATCH('Linked TB'!A434,'COPY ELECTRONIC TB HERE'!$A$2:$A$449,0))</f>
        <v>114.72</v>
      </c>
      <c r="F434" s="888">
        <f>+IF(UPPER(H434)="ACTUAL",C434,INDEX(ALLOCATION_TABLE,MATCH(UPPER(H434),INDEX(ALLOCATION_TABLE,0,1),0),5)*E434)</f>
        <v>114.72</v>
      </c>
      <c r="G434" s="881">
        <f t="shared" si="57"/>
        <v>0</v>
      </c>
      <c r="H434" s="882" t="s">
        <v>504</v>
      </c>
    </row>
    <row r="435" spans="1:11">
      <c r="A435" s="889">
        <v>5880</v>
      </c>
      <c r="B435" s="858" t="str">
        <f>INDEX('COPY ELECTRONIC TB HERE'!$B$2:$B$449,MATCH('Linked TB'!A435,'COPY ELECTRONIC TB HERE'!$A$2:$A$449,0))</f>
        <v xml:space="preserve">    OFFICE SUPPLY STORES</v>
      </c>
      <c r="C435" s="878">
        <v>0</v>
      </c>
      <c r="D435" s="879">
        <v>0</v>
      </c>
      <c r="E435" s="881">
        <f>INDEX('COPY ELECTRONIC TB HERE'!$D$2:$D$449,MATCH('Linked TB'!A435,'COPY ELECTRONIC TB HERE'!$A$2:$A$449,0))</f>
        <v>1015.3</v>
      </c>
      <c r="F435" s="888">
        <f t="shared" si="56"/>
        <v>1015.3</v>
      </c>
      <c r="G435" s="881">
        <f t="shared" si="57"/>
        <v>0</v>
      </c>
      <c r="H435" s="882" t="s">
        <v>504</v>
      </c>
    </row>
    <row r="436" spans="1:11">
      <c r="A436" s="889">
        <v>5885</v>
      </c>
      <c r="B436" s="858" t="str">
        <f>INDEX('COPY ELECTRONIC TB HERE'!$B$2:$B$449,MATCH('Linked TB'!A436,'COPY ELECTRONIC TB HERE'!$A$2:$A$449,0))</f>
        <v xml:space="preserve">    PRINTING/BLUEPRINTS</v>
      </c>
      <c r="C436" s="878">
        <v>0</v>
      </c>
      <c r="D436" s="879">
        <v>0</v>
      </c>
      <c r="E436" s="881">
        <f>INDEX('COPY ELECTRONIC TB HERE'!$D$2:$D$449,MATCH('Linked TB'!A436,'COPY ELECTRONIC TB HERE'!$A$2:$A$449,0))</f>
        <v>375.46</v>
      </c>
      <c r="F436" s="888">
        <f>+IF(UPPER(H436)="ACTUAL",C436,INDEX(ALLOCATION_TABLE,MATCH(UPPER(H436),INDEX(ALLOCATION_TABLE,0,1),0),5)*E436)</f>
        <v>375.46</v>
      </c>
      <c r="G436" s="881">
        <f t="shared" si="57"/>
        <v>0</v>
      </c>
      <c r="H436" s="882" t="s">
        <v>504</v>
      </c>
    </row>
    <row r="437" spans="1:11">
      <c r="A437" s="889">
        <v>5890</v>
      </c>
      <c r="B437" s="858" t="str">
        <f>INDEX('COPY ELECTRONIC TB HERE'!$B$2:$B$449,MATCH('Linked TB'!A437,'COPY ELECTRONIC TB HERE'!$A$2:$A$449,0))</f>
        <v xml:space="preserve">    PUBL SUBSCRIPTIONS/TAPES</v>
      </c>
      <c r="C437" s="878">
        <v>0</v>
      </c>
      <c r="D437" s="879">
        <v>0</v>
      </c>
      <c r="E437" s="881">
        <f>INDEX('COPY ELECTRONIC TB HERE'!$D$2:$D$449,MATCH('Linked TB'!A437,'COPY ELECTRONIC TB HERE'!$A$2:$A$449,0))</f>
        <v>134.04</v>
      </c>
      <c r="F437" s="888">
        <f>+IF(UPPER(H437)="ACTUAL",C437,INDEX(ALLOCATION_TABLE,MATCH(UPPER(H437),INDEX(ALLOCATION_TABLE,0,1),0),5)*E437)</f>
        <v>134.04</v>
      </c>
      <c r="G437" s="881">
        <f t="shared" si="57"/>
        <v>0</v>
      </c>
      <c r="H437" s="882" t="s">
        <v>504</v>
      </c>
    </row>
    <row r="438" spans="1:11">
      <c r="A438" s="877">
        <v>5895</v>
      </c>
      <c r="B438" s="858" t="str">
        <f>INDEX('COPY ELECTRONIC TB HERE'!$B$2:$B$449,MATCH('Linked TB'!A438,'COPY ELECTRONIC TB HERE'!$A$2:$A$449,0))</f>
        <v xml:space="preserve">    SHIPPING CHARGES</v>
      </c>
      <c r="C438" s="878">
        <v>0</v>
      </c>
      <c r="D438" s="879">
        <v>0</v>
      </c>
      <c r="E438" s="881">
        <f>INDEX('COPY ELECTRONIC TB HERE'!$D$2:$D$449,MATCH('Linked TB'!A438,'COPY ELECTRONIC TB HERE'!$A$2:$A$449,0))</f>
        <v>5799.16</v>
      </c>
      <c r="F438" s="888">
        <f t="shared" si="56"/>
        <v>5799.16</v>
      </c>
      <c r="G438" s="881">
        <f t="shared" si="57"/>
        <v>0</v>
      </c>
      <c r="H438" s="882" t="s">
        <v>504</v>
      </c>
    </row>
    <row r="439" spans="1:11">
      <c r="A439" s="877">
        <v>5900</v>
      </c>
      <c r="B439" s="858" t="str">
        <f>INDEX('COPY ELECTRONIC TB HERE'!$B$2:$B$449,MATCH('Linked TB'!A439,'COPY ELECTRONIC TB HERE'!$A$2:$A$449,0))</f>
        <v xml:space="preserve">    OTHER OFFICE EXPENSES</v>
      </c>
      <c r="C439" s="878">
        <v>0</v>
      </c>
      <c r="D439" s="879">
        <v>0</v>
      </c>
      <c r="E439" s="881">
        <f>INDEX('COPY ELECTRONIC TB HERE'!$D$2:$D$449,MATCH('Linked TB'!A439,'COPY ELECTRONIC TB HERE'!$A$2:$A$449,0))</f>
        <v>1268.44</v>
      </c>
      <c r="F439" s="888">
        <f t="shared" si="56"/>
        <v>1268.44</v>
      </c>
      <c r="G439" s="881">
        <f t="shared" si="57"/>
        <v>0</v>
      </c>
      <c r="H439" s="882" t="s">
        <v>504</v>
      </c>
    </row>
    <row r="440" spans="1:11" ht="5.0999999999999996" customHeight="1">
      <c r="A440" s="877"/>
      <c r="C440" s="885">
        <v>0</v>
      </c>
      <c r="D440" s="886">
        <v>0</v>
      </c>
      <c r="E440" s="887">
        <v>0</v>
      </c>
      <c r="F440" s="893">
        <v>0</v>
      </c>
      <c r="G440" s="887">
        <v>0</v>
      </c>
      <c r="H440" s="882"/>
    </row>
    <row r="441" spans="1:11">
      <c r="A441" s="877" t="s">
        <v>1153</v>
      </c>
      <c r="B441" s="858" t="s">
        <v>1192</v>
      </c>
      <c r="C441" s="888">
        <f>SUM(C430:C440)</f>
        <v>0</v>
      </c>
      <c r="D441" s="881">
        <f>SUM(D431:D440)</f>
        <v>0</v>
      </c>
      <c r="E441" s="881">
        <f>SUM(E430:E440)</f>
        <v>12140.460000000001</v>
      </c>
      <c r="F441" s="888">
        <f>SUM(F430:F440)</f>
        <v>12140.460000000001</v>
      </c>
      <c r="G441" s="881">
        <f>SUM(G430:G440)</f>
        <v>0</v>
      </c>
      <c r="H441" s="882"/>
      <c r="J441" s="883">
        <v>19162.830000000002</v>
      </c>
      <c r="K441" s="883">
        <f>+E441-J441</f>
        <v>-7022.3700000000008</v>
      </c>
    </row>
    <row r="442" spans="1:11">
      <c r="A442" s="877"/>
      <c r="C442" s="878"/>
      <c r="D442" s="879"/>
      <c r="E442" s="881"/>
      <c r="F442" s="888"/>
      <c r="G442" s="881"/>
      <c r="H442" s="882"/>
    </row>
    <row r="443" spans="1:11">
      <c r="A443" s="877">
        <v>5930</v>
      </c>
      <c r="B443" s="858" t="str">
        <f>INDEX('COPY ELECTRONIC TB HERE'!$B$2:$B$449,MATCH('Linked TB'!A443,'COPY ELECTRONIC TB HERE'!$A$2:$A$449,0))</f>
        <v xml:space="preserve">    OFFICE ELECTRIC</v>
      </c>
      <c r="C443" s="878">
        <v>0</v>
      </c>
      <c r="D443" s="879">
        <v>0</v>
      </c>
      <c r="E443" s="881">
        <f>INDEX('COPY ELECTRONIC TB HERE'!$D$2:$D$449,MATCH('Linked TB'!A443,'COPY ELECTRONIC TB HERE'!$A$2:$A$449,0))</f>
        <v>2118.54</v>
      </c>
      <c r="F443" s="888">
        <f t="shared" ref="F443:F454" si="58">+IF(UPPER(H443)="ACTUAL",C443,INDEX(ALLOCATION_TABLE,MATCH(UPPER(H443),INDEX(ALLOCATION_TABLE,0,1),0),5)*E443)</f>
        <v>2118.54</v>
      </c>
      <c r="G443" s="881">
        <f>+E443-F443</f>
        <v>0</v>
      </c>
      <c r="H443" s="882" t="s">
        <v>504</v>
      </c>
    </row>
    <row r="444" spans="1:11">
      <c r="A444" s="877">
        <v>5935</v>
      </c>
      <c r="B444" s="858" t="str">
        <f>INDEX('COPY ELECTRONIC TB HERE'!$B$2:$B$449,MATCH('Linked TB'!A444,'COPY ELECTRONIC TB HERE'!$A$2:$A$449,0))</f>
        <v xml:space="preserve">    OFFICE GAS</v>
      </c>
      <c r="C444" s="878">
        <v>0</v>
      </c>
      <c r="D444" s="879">
        <v>0</v>
      </c>
      <c r="E444" s="881">
        <f>INDEX('COPY ELECTRONIC TB HERE'!$D$2:$D$449,MATCH('Linked TB'!A444,'COPY ELECTRONIC TB HERE'!$A$2:$A$449,0))</f>
        <v>1066.32</v>
      </c>
      <c r="F444" s="888">
        <f t="shared" si="58"/>
        <v>1066.32</v>
      </c>
      <c r="G444" s="881">
        <f>+E444-F444</f>
        <v>0</v>
      </c>
      <c r="H444" s="882" t="s">
        <v>504</v>
      </c>
    </row>
    <row r="445" spans="1:11">
      <c r="A445" s="877">
        <v>5940</v>
      </c>
      <c r="B445" s="858" t="str">
        <f>INDEX('COPY ELECTRONIC TB HERE'!$B$2:$B$449,MATCH('Linked TB'!A445,'COPY ELECTRONIC TB HERE'!$A$2:$A$449,0))</f>
        <v xml:space="preserve">    OFFICE WATER</v>
      </c>
      <c r="C445" s="878">
        <v>0</v>
      </c>
      <c r="D445" s="879">
        <v>0</v>
      </c>
      <c r="E445" s="881">
        <f>INDEX('COPY ELECTRONIC TB HERE'!$D$2:$D$449,MATCH('Linked TB'!A445,'COPY ELECTRONIC TB HERE'!$A$2:$A$449,0))</f>
        <v>1476.79</v>
      </c>
      <c r="F445" s="888">
        <f t="shared" si="58"/>
        <v>1476.79</v>
      </c>
      <c r="G445" s="881">
        <f>+E445-F445</f>
        <v>0</v>
      </c>
      <c r="H445" s="882" t="s">
        <v>504</v>
      </c>
    </row>
    <row r="446" spans="1:11">
      <c r="A446" s="877">
        <v>5945</v>
      </c>
      <c r="B446" s="858" t="str">
        <f>INDEX('COPY ELECTRONIC TB HERE'!$B$2:$B$449,MATCH('Linked TB'!A446,'COPY ELECTRONIC TB HERE'!$A$2:$A$449,0))</f>
        <v xml:space="preserve">    OFFICE TELECOM</v>
      </c>
      <c r="C446" s="878">
        <v>0</v>
      </c>
      <c r="D446" s="879">
        <v>0</v>
      </c>
      <c r="E446" s="881">
        <f>INDEX('COPY ELECTRONIC TB HERE'!$D$2:$D$449,MATCH('Linked TB'!A446,'COPY ELECTRONIC TB HERE'!$A$2:$A$449,0))</f>
        <v>33237.160000000003</v>
      </c>
      <c r="F446" s="888">
        <f t="shared" si="58"/>
        <v>33237.160000000003</v>
      </c>
      <c r="G446" s="881">
        <f>+E446-F446</f>
        <v>0</v>
      </c>
      <c r="H446" s="882" t="s">
        <v>504</v>
      </c>
    </row>
    <row r="447" spans="1:11">
      <c r="A447" s="877">
        <v>5950</v>
      </c>
      <c r="B447" s="858" t="str">
        <f>INDEX('COPY ELECTRONIC TB HERE'!$B$2:$B$449,MATCH('Linked TB'!A447,'COPY ELECTRONIC TB HERE'!$A$2:$A$449,0))</f>
        <v xml:space="preserve">    OFFICE GARBAGE REMOVAL</v>
      </c>
      <c r="C447" s="878">
        <v>0</v>
      </c>
      <c r="D447" s="879">
        <v>0</v>
      </c>
      <c r="E447" s="881">
        <f>INDEX('COPY ELECTRONIC TB HERE'!$D$2:$D$449,MATCH('Linked TB'!A447,'COPY ELECTRONIC TB HERE'!$A$2:$A$449,0))</f>
        <v>862.05000000000007</v>
      </c>
      <c r="F447" s="888">
        <f t="shared" si="58"/>
        <v>862.05000000000007</v>
      </c>
      <c r="G447" s="881">
        <f>+E447-F447</f>
        <v>0</v>
      </c>
      <c r="H447" s="882" t="s">
        <v>504</v>
      </c>
    </row>
    <row r="448" spans="1:11">
      <c r="A448" s="877">
        <v>5955</v>
      </c>
      <c r="B448" s="858" t="str">
        <f>INDEX('COPY ELECTRONIC TB HERE'!$B$2:$B$449,MATCH('Linked TB'!A448,'COPY ELECTRONIC TB HERE'!$A$2:$A$449,0))</f>
        <v xml:space="preserve">    OFFICE LANDSCAPE / MOW / P</v>
      </c>
      <c r="C448" s="878">
        <v>0</v>
      </c>
      <c r="D448" s="879">
        <v>0</v>
      </c>
      <c r="E448" s="881">
        <f>INDEX('COPY ELECTRONIC TB HERE'!$D$2:$D$449,MATCH('Linked TB'!A448,'COPY ELECTRONIC TB HERE'!$A$2:$A$449,0))</f>
        <v>6204.42</v>
      </c>
      <c r="F448" s="888">
        <f t="shared" si="58"/>
        <v>6204.42</v>
      </c>
      <c r="G448" s="881">
        <f t="shared" ref="G448:G453" si="59">+E448-F448</f>
        <v>0</v>
      </c>
      <c r="H448" s="882" t="s">
        <v>504</v>
      </c>
    </row>
    <row r="449" spans="1:11">
      <c r="A449" s="877">
        <v>5960</v>
      </c>
      <c r="B449" s="858" t="str">
        <f>INDEX('COPY ELECTRONIC TB HERE'!$B$2:$B$449,MATCH('Linked TB'!A449,'COPY ELECTRONIC TB HERE'!$A$2:$A$449,0))</f>
        <v xml:space="preserve">    OFFICE ALARM SYS PHONE EXP</v>
      </c>
      <c r="C449" s="878">
        <v>0</v>
      </c>
      <c r="D449" s="879">
        <v>0</v>
      </c>
      <c r="E449" s="881">
        <f>INDEX('COPY ELECTRONIC TB HERE'!$D$2:$D$449,MATCH('Linked TB'!A449,'COPY ELECTRONIC TB HERE'!$A$2:$A$449,0))</f>
        <v>2552.5100000000002</v>
      </c>
      <c r="F449" s="888">
        <f t="shared" si="58"/>
        <v>2552.5100000000002</v>
      </c>
      <c r="G449" s="881">
        <f t="shared" si="59"/>
        <v>0</v>
      </c>
      <c r="H449" s="882" t="s">
        <v>504</v>
      </c>
    </row>
    <row r="450" spans="1:11">
      <c r="A450" s="877">
        <v>5965</v>
      </c>
      <c r="B450" s="858" t="str">
        <f>INDEX('COPY ELECTRONIC TB HERE'!$B$2:$B$449,MATCH('Linked TB'!A450,'COPY ELECTRONIC TB HERE'!$A$2:$A$449,0))</f>
        <v xml:space="preserve">    OFFICE MAINTENANCE</v>
      </c>
      <c r="C450" s="878">
        <v>0</v>
      </c>
      <c r="D450" s="879">
        <v>0</v>
      </c>
      <c r="E450" s="881">
        <f>INDEX('COPY ELECTRONIC TB HERE'!$D$2:$D$449,MATCH('Linked TB'!A450,'COPY ELECTRONIC TB HERE'!$A$2:$A$449,0))</f>
        <v>1776.94</v>
      </c>
      <c r="F450" s="888">
        <f t="shared" si="58"/>
        <v>1776.94</v>
      </c>
      <c r="G450" s="881">
        <f t="shared" si="59"/>
        <v>0</v>
      </c>
      <c r="H450" s="882" t="s">
        <v>504</v>
      </c>
    </row>
    <row r="451" spans="1:11">
      <c r="A451" s="877">
        <v>5970</v>
      </c>
      <c r="B451" s="858" t="str">
        <f>INDEX('COPY ELECTRONIC TB HERE'!$B$2:$B$449,MATCH('Linked TB'!A451,'COPY ELECTRONIC TB HERE'!$A$2:$A$449,0))</f>
        <v xml:space="preserve">    OFFICE CLEANING SERVICE</v>
      </c>
      <c r="C451" s="878">
        <v>0</v>
      </c>
      <c r="D451" s="879">
        <v>0</v>
      </c>
      <c r="E451" s="881">
        <f>INDEX('COPY ELECTRONIC TB HERE'!$D$2:$D$449,MATCH('Linked TB'!A451,'COPY ELECTRONIC TB HERE'!$A$2:$A$449,0))</f>
        <v>3753.06</v>
      </c>
      <c r="F451" s="888">
        <f t="shared" si="58"/>
        <v>3753.06</v>
      </c>
      <c r="G451" s="881">
        <f t="shared" si="59"/>
        <v>0</v>
      </c>
      <c r="H451" s="882" t="s">
        <v>504</v>
      </c>
    </row>
    <row r="452" spans="1:11">
      <c r="A452" s="877">
        <v>5975</v>
      </c>
      <c r="B452" s="858" t="str">
        <f>INDEX('COPY ELECTRONIC TB HERE'!$B$2:$B$449,MATCH('Linked TB'!A452,'COPY ELECTRONIC TB HERE'!$A$2:$A$449,0))</f>
        <v xml:space="preserve">    OFFICE MACHINE/HEAT&amp;COOL</v>
      </c>
      <c r="C452" s="878">
        <v>0</v>
      </c>
      <c r="D452" s="879">
        <v>0</v>
      </c>
      <c r="E452" s="881">
        <f>INDEX('COPY ELECTRONIC TB HERE'!$D$2:$D$449,MATCH('Linked TB'!A452,'COPY ELECTRONIC TB HERE'!$A$2:$A$449,0))</f>
        <v>1221.96</v>
      </c>
      <c r="F452" s="888">
        <f t="shared" si="58"/>
        <v>1221.96</v>
      </c>
      <c r="G452" s="881">
        <f t="shared" si="59"/>
        <v>0</v>
      </c>
      <c r="H452" s="882" t="s">
        <v>504</v>
      </c>
    </row>
    <row r="453" spans="1:11">
      <c r="A453" s="877">
        <v>5980</v>
      </c>
      <c r="B453" s="858" t="str">
        <f>INDEX('COPY ELECTRONIC TB HERE'!$B$2:$B$449,MATCH('Linked TB'!A453,'COPY ELECTRONIC TB HERE'!$A$2:$A$449,0))</f>
        <v xml:space="preserve">    OTHER OFFICE UTILITIES</v>
      </c>
      <c r="C453" s="878">
        <v>0</v>
      </c>
      <c r="D453" s="879">
        <v>0</v>
      </c>
      <c r="E453" s="881">
        <f>INDEX('COPY ELECTRONIC TB HERE'!$D$2:$D$449,MATCH('Linked TB'!A453,'COPY ELECTRONIC TB HERE'!$A$2:$A$449,0))</f>
        <v>3.0799999999999996</v>
      </c>
      <c r="F453" s="888">
        <f t="shared" si="58"/>
        <v>3.0799999999999996</v>
      </c>
      <c r="G453" s="881">
        <f t="shared" si="59"/>
        <v>0</v>
      </c>
      <c r="H453" s="882" t="s">
        <v>504</v>
      </c>
    </row>
    <row r="454" spans="1:11">
      <c r="A454" s="877">
        <v>5985</v>
      </c>
      <c r="B454" s="858" t="str">
        <f>INDEX('COPY ELECTRONIC TB HERE'!$B$2:$B$449,MATCH('Linked TB'!A454,'COPY ELECTRONIC TB HERE'!$A$2:$A$449,0))</f>
        <v xml:space="preserve">    TELEMETERING PHONE EXPENSE</v>
      </c>
      <c r="C454" s="878">
        <f t="shared" ref="C454" si="60">E454</f>
        <v>0</v>
      </c>
      <c r="D454" s="879">
        <v>0</v>
      </c>
      <c r="E454" s="881">
        <f>INDEX('COPY ELECTRONIC TB HERE'!$D$2:$D$449,MATCH('Linked TB'!A454,'COPY ELECTRONIC TB HERE'!$A$2:$A$449,0))</f>
        <v>0</v>
      </c>
      <c r="F454" s="888">
        <f t="shared" si="58"/>
        <v>0</v>
      </c>
      <c r="G454" s="881">
        <f>+E454-F454</f>
        <v>0</v>
      </c>
      <c r="H454" s="882" t="s">
        <v>504</v>
      </c>
    </row>
    <row r="455" spans="1:11" ht="5.0999999999999996" customHeight="1">
      <c r="A455" s="877"/>
      <c r="C455" s="885">
        <v>0</v>
      </c>
      <c r="D455" s="886">
        <v>0</v>
      </c>
      <c r="E455" s="887">
        <v>0</v>
      </c>
      <c r="F455" s="893">
        <v>0</v>
      </c>
      <c r="G455" s="887">
        <v>0</v>
      </c>
      <c r="H455" s="882"/>
    </row>
    <row r="456" spans="1:11">
      <c r="A456" s="877" t="s">
        <v>1153</v>
      </c>
      <c r="B456" s="858" t="s">
        <v>1193</v>
      </c>
      <c r="C456" s="888">
        <f>SUM(C443:C455)</f>
        <v>0</v>
      </c>
      <c r="D456" s="881">
        <f>SUM(D446:D455)</f>
        <v>0</v>
      </c>
      <c r="E456" s="881">
        <f>SUM(E443:E455)</f>
        <v>54272.830000000009</v>
      </c>
      <c r="F456" s="888">
        <f>SUM(F443:F455)</f>
        <v>54272.830000000009</v>
      </c>
      <c r="G456" s="881">
        <f>SUM(G443:G455)</f>
        <v>0</v>
      </c>
      <c r="H456" s="882"/>
      <c r="J456" s="883">
        <v>53824.87999999999</v>
      </c>
      <c r="K456" s="883">
        <f>+E456-J456</f>
        <v>447.95000000001892</v>
      </c>
    </row>
    <row r="457" spans="1:11">
      <c r="A457" s="877"/>
      <c r="C457" s="878"/>
      <c r="D457" s="879"/>
      <c r="E457" s="881"/>
      <c r="F457" s="888"/>
      <c r="G457" s="881"/>
      <c r="H457" s="882"/>
    </row>
    <row r="458" spans="1:11">
      <c r="A458" s="877">
        <v>6010</v>
      </c>
      <c r="B458" s="858" t="str">
        <f>INDEX('COPY ELECTRONIC TB HERE'!$B$2:$B$449,MATCH('Linked TB'!A458,'COPY ELECTRONIC TB HERE'!$A$2:$A$449,0))</f>
        <v xml:space="preserve">    AUDIT FEES</v>
      </c>
      <c r="C458" s="878">
        <v>0</v>
      </c>
      <c r="D458" s="879">
        <v>0</v>
      </c>
      <c r="E458" s="881">
        <f>INDEX('COPY ELECTRONIC TB HERE'!$D$2:$D$449,MATCH('Linked TB'!A458,'COPY ELECTRONIC TB HERE'!$A$2:$A$449,0))</f>
        <v>10636.880000000001</v>
      </c>
      <c r="F458" s="888">
        <f t="shared" ref="F458:F465" si="61">+IF(UPPER(H458)="ACTUAL",C458,INDEX(ALLOCATION_TABLE,MATCH(UPPER(H458),INDEX(ALLOCATION_TABLE,0,1),0),5)*E458)</f>
        <v>10636.880000000001</v>
      </c>
      <c r="G458" s="881">
        <f t="shared" ref="G458:G465" si="62">+E458-F458</f>
        <v>0</v>
      </c>
      <c r="H458" s="882" t="s">
        <v>504</v>
      </c>
    </row>
    <row r="459" spans="1:11">
      <c r="A459" s="877">
        <v>6015</v>
      </c>
      <c r="B459" s="858" t="str">
        <f>INDEX('COPY ELECTRONIC TB HERE'!$B$2:$B$449,MATCH('Linked TB'!A459,'COPY ELECTRONIC TB HERE'!$A$2:$A$449,0))</f>
        <v xml:space="preserve">    EMPLOY FINDER FEES</v>
      </c>
      <c r="C459" s="878">
        <v>0</v>
      </c>
      <c r="D459" s="879">
        <v>0</v>
      </c>
      <c r="E459" s="881">
        <f>INDEX('COPY ELECTRONIC TB HERE'!$D$2:$D$449,MATCH('Linked TB'!A459,'COPY ELECTRONIC TB HERE'!$A$2:$A$449,0))</f>
        <v>941.54</v>
      </c>
      <c r="F459" s="888">
        <f t="shared" si="61"/>
        <v>941.54</v>
      </c>
      <c r="G459" s="881">
        <f t="shared" si="62"/>
        <v>0</v>
      </c>
      <c r="H459" s="882" t="s">
        <v>504</v>
      </c>
    </row>
    <row r="460" spans="1:11">
      <c r="A460" s="877">
        <v>6020</v>
      </c>
      <c r="B460" s="858" t="str">
        <f>INDEX('COPY ELECTRONIC TB HERE'!$B$2:$B$449,MATCH('Linked TB'!A460,'COPY ELECTRONIC TB HERE'!$A$2:$A$449,0))</f>
        <v xml:space="preserve">    ENGINEERING FEES</v>
      </c>
      <c r="C460" s="878">
        <v>0</v>
      </c>
      <c r="D460" s="879">
        <v>0</v>
      </c>
      <c r="E460" s="881">
        <f>INDEX('COPY ELECTRONIC TB HERE'!$D$2:$D$449,MATCH('Linked TB'!A460,'COPY ELECTRONIC TB HERE'!$A$2:$A$449,0))</f>
        <v>102.87</v>
      </c>
      <c r="F460" s="888">
        <f t="shared" si="61"/>
        <v>102.87</v>
      </c>
      <c r="G460" s="881">
        <f t="shared" si="62"/>
        <v>0</v>
      </c>
      <c r="H460" s="882" t="s">
        <v>504</v>
      </c>
    </row>
    <row r="461" spans="1:11">
      <c r="A461" s="877">
        <v>6025</v>
      </c>
      <c r="B461" s="858" t="str">
        <f>INDEX('COPY ELECTRONIC TB HERE'!$B$2:$B$449,MATCH('Linked TB'!A461,'COPY ELECTRONIC TB HERE'!$A$2:$A$449,0))</f>
        <v xml:space="preserve">    LEGAL FEES</v>
      </c>
      <c r="C461" s="878">
        <v>0</v>
      </c>
      <c r="D461" s="879">
        <v>0</v>
      </c>
      <c r="E461" s="881">
        <f>INDEX('COPY ELECTRONIC TB HERE'!$D$2:$D$449,MATCH('Linked TB'!A461,'COPY ELECTRONIC TB HERE'!$A$2:$A$449,0))</f>
        <v>347.92</v>
      </c>
      <c r="F461" s="888">
        <f t="shared" si="61"/>
        <v>347.92</v>
      </c>
      <c r="G461" s="881">
        <f t="shared" si="62"/>
        <v>0</v>
      </c>
      <c r="H461" s="882" t="s">
        <v>504</v>
      </c>
    </row>
    <row r="462" spans="1:11">
      <c r="A462" s="877">
        <v>6035</v>
      </c>
      <c r="B462" s="858" t="str">
        <f>INDEX('COPY ELECTRONIC TB HERE'!$B$2:$B$449,MATCH('Linked TB'!A462,'COPY ELECTRONIC TB HERE'!$A$2:$A$449,0))</f>
        <v xml:space="preserve">    PAYROLL SERVICES</v>
      </c>
      <c r="C462" s="878">
        <v>0</v>
      </c>
      <c r="D462" s="879">
        <v>0</v>
      </c>
      <c r="E462" s="881">
        <f>INDEX('COPY ELECTRONIC TB HERE'!$D$2:$D$449,MATCH('Linked TB'!A462,'COPY ELECTRONIC TB HERE'!$A$2:$A$449,0))</f>
        <v>2279.14</v>
      </c>
      <c r="F462" s="888">
        <f t="shared" si="61"/>
        <v>2279.14</v>
      </c>
      <c r="G462" s="881">
        <f t="shared" si="62"/>
        <v>0</v>
      </c>
      <c r="H462" s="882" t="s">
        <v>504</v>
      </c>
    </row>
    <row r="463" spans="1:11">
      <c r="A463" s="877">
        <v>6040</v>
      </c>
      <c r="B463" s="858" t="str">
        <f>INDEX('COPY ELECTRONIC TB HERE'!$B$2:$B$449,MATCH('Linked TB'!A463,'COPY ELECTRONIC TB HERE'!$A$2:$A$449,0))</f>
        <v xml:space="preserve">    TAX RETURN REVIEW</v>
      </c>
      <c r="C463" s="878">
        <v>0</v>
      </c>
      <c r="D463" s="879">
        <v>0</v>
      </c>
      <c r="E463" s="881">
        <f>INDEX('COPY ELECTRONIC TB HERE'!$D$2:$D$449,MATCH('Linked TB'!A463,'COPY ELECTRONIC TB HERE'!$A$2:$A$449,0))</f>
        <v>4333.54</v>
      </c>
      <c r="F463" s="888">
        <f t="shared" si="61"/>
        <v>4333.54</v>
      </c>
      <c r="G463" s="881">
        <f t="shared" si="62"/>
        <v>0</v>
      </c>
      <c r="H463" s="882" t="s">
        <v>504</v>
      </c>
    </row>
    <row r="464" spans="1:11">
      <c r="A464" s="877">
        <v>6045</v>
      </c>
      <c r="B464" s="858" t="str">
        <f>INDEX('COPY ELECTRONIC TB HERE'!$B$2:$B$449,MATCH('Linked TB'!A464,'COPY ELECTRONIC TB HERE'!$A$2:$A$449,0))</f>
        <v xml:space="preserve">    TEMP EMPLOY - CLERICAL</v>
      </c>
      <c r="C464" s="878">
        <v>0</v>
      </c>
      <c r="D464" s="879">
        <v>0</v>
      </c>
      <c r="E464" s="881">
        <f>INDEX('COPY ELECTRONIC TB HERE'!$D$2:$D$449,MATCH('Linked TB'!A464,'COPY ELECTRONIC TB HERE'!$A$2:$A$449,0))</f>
        <v>1452.58</v>
      </c>
      <c r="F464" s="888">
        <f t="shared" si="61"/>
        <v>1452.58</v>
      </c>
      <c r="G464" s="881">
        <f t="shared" si="62"/>
        <v>0</v>
      </c>
      <c r="H464" s="882" t="s">
        <v>504</v>
      </c>
    </row>
    <row r="465" spans="1:11">
      <c r="A465" s="877">
        <v>6050</v>
      </c>
      <c r="B465" s="858" t="str">
        <f>INDEX('COPY ELECTRONIC TB HERE'!$B$2:$B$449,MATCH('Linked TB'!A465,'COPY ELECTRONIC TB HERE'!$A$2:$A$449,0))</f>
        <v xml:space="preserve">    OTHER OUTSIDE SERVICES</v>
      </c>
      <c r="C465" s="878">
        <v>0</v>
      </c>
      <c r="D465" s="879">
        <v>0</v>
      </c>
      <c r="E465" s="881">
        <f>INDEX('COPY ELECTRONIC TB HERE'!$D$2:$D$449,MATCH('Linked TB'!A465,'COPY ELECTRONIC TB HERE'!$A$2:$A$449,0))</f>
        <v>9906.369999999999</v>
      </c>
      <c r="F465" s="888">
        <f t="shared" si="61"/>
        <v>9906.369999999999</v>
      </c>
      <c r="G465" s="881">
        <f t="shared" si="62"/>
        <v>0</v>
      </c>
      <c r="H465" s="882" t="s">
        <v>504</v>
      </c>
    </row>
    <row r="466" spans="1:11" ht="5.0999999999999996" customHeight="1">
      <c r="A466" s="877"/>
      <c r="C466" s="885">
        <v>0</v>
      </c>
      <c r="D466" s="886">
        <v>0</v>
      </c>
      <c r="E466" s="887">
        <v>0</v>
      </c>
      <c r="F466" s="893">
        <v>0</v>
      </c>
      <c r="G466" s="887">
        <v>0</v>
      </c>
      <c r="H466" s="882"/>
    </row>
    <row r="467" spans="1:11">
      <c r="A467" s="877" t="s">
        <v>1153</v>
      </c>
      <c r="B467" s="858" t="s">
        <v>1194</v>
      </c>
      <c r="C467" s="888">
        <f>SUM(C458:C466)</f>
        <v>0</v>
      </c>
      <c r="D467" s="881">
        <f>SUM(D460:D466)</f>
        <v>0</v>
      </c>
      <c r="E467" s="881">
        <f>SUM(E458:E466)</f>
        <v>30000.84</v>
      </c>
      <c r="F467" s="888">
        <f>SUM(F458:F466)</f>
        <v>30000.84</v>
      </c>
      <c r="G467" s="881">
        <f>SUM(G458:G466)</f>
        <v>0</v>
      </c>
      <c r="H467" s="882"/>
      <c r="J467" s="883">
        <v>30721.279999999999</v>
      </c>
      <c r="K467" s="883">
        <f>+E467-J467</f>
        <v>-720.43999999999869</v>
      </c>
    </row>
    <row r="468" spans="1:11">
      <c r="A468" s="877"/>
      <c r="C468" s="878"/>
      <c r="D468" s="879"/>
      <c r="E468" s="881"/>
      <c r="F468" s="888"/>
      <c r="G468" s="881"/>
      <c r="H468" s="882"/>
    </row>
    <row r="469" spans="1:11">
      <c r="A469" s="877">
        <v>6065</v>
      </c>
      <c r="B469" s="858" t="str">
        <f>INDEX('COPY ELECTRONIC TB HERE'!$B$2:$B$449,MATCH('Linked TB'!A469,'COPY ELECTRONIC TB HERE'!$A$2:$A$449,0))</f>
        <v xml:space="preserve">    RATE CASE AMORT EXPENSE</v>
      </c>
      <c r="C469" s="878">
        <v>0</v>
      </c>
      <c r="D469" s="879">
        <v>0</v>
      </c>
      <c r="E469" s="881">
        <f>INDEX('COPY ELECTRONIC TB HERE'!$D$2:$D$449,MATCH('Linked TB'!A469,'COPY ELECTRONIC TB HERE'!$A$2:$A$449,0))</f>
        <v>91717.35</v>
      </c>
      <c r="F469" s="888">
        <f>+IF(UPPER(H469)="ACTUAL",C469,INDEX(ALLOCATION_TABLE,MATCH(UPPER(H469),INDEX(ALLOCATION_TABLE,0,1),0),5)*E469)</f>
        <v>91717.35</v>
      </c>
      <c r="G469" s="881">
        <f>+E469-F469</f>
        <v>0</v>
      </c>
      <c r="H469" s="882" t="s">
        <v>504</v>
      </c>
    </row>
    <row r="470" spans="1:11">
      <c r="A470" s="877">
        <v>6070</v>
      </c>
      <c r="B470" s="858" t="str">
        <f>INDEX('COPY ELECTRONIC TB HERE'!$B$2:$B$449,MATCH('Linked TB'!A470,'COPY ELECTRONIC TB HERE'!$A$2:$A$449,0))</f>
        <v xml:space="preserve">    MISC REG MATTERS COMM EXP</v>
      </c>
      <c r="C470" s="878">
        <v>0</v>
      </c>
      <c r="D470" s="879">
        <v>0</v>
      </c>
      <c r="E470" s="881">
        <f>INDEX('COPY ELECTRONIC TB HERE'!$D$2:$D$449,MATCH('Linked TB'!A470,'COPY ELECTRONIC TB HERE'!$A$2:$A$449,0))</f>
        <v>7845.54</v>
      </c>
      <c r="F470" s="888">
        <f>+IF(UPPER(H470)="ACTUAL",C470,INDEX(ALLOCATION_TABLE,MATCH(UPPER(H470),INDEX(ALLOCATION_TABLE,0,1),0),5)*E470)</f>
        <v>7845.54</v>
      </c>
      <c r="G470" s="881">
        <f>+E470-F470</f>
        <v>0</v>
      </c>
      <c r="H470" s="882" t="s">
        <v>504</v>
      </c>
    </row>
    <row r="471" spans="1:11" ht="5.0999999999999996" customHeight="1">
      <c r="A471" s="877"/>
      <c r="C471" s="885">
        <v>0</v>
      </c>
      <c r="D471" s="886">
        <v>0</v>
      </c>
      <c r="E471" s="887">
        <v>0</v>
      </c>
      <c r="F471" s="893">
        <v>0</v>
      </c>
      <c r="G471" s="887">
        <v>0</v>
      </c>
      <c r="H471" s="882"/>
    </row>
    <row r="472" spans="1:11">
      <c r="A472" s="877" t="s">
        <v>1153</v>
      </c>
      <c r="B472" s="858" t="s">
        <v>1195</v>
      </c>
      <c r="C472" s="888">
        <f>SUM(C469:C471)</f>
        <v>0</v>
      </c>
      <c r="D472" s="881">
        <f>SUM(D469:D471)</f>
        <v>0</v>
      </c>
      <c r="E472" s="881">
        <f>SUM(E469:E471)</f>
        <v>99562.89</v>
      </c>
      <c r="F472" s="888">
        <f>SUM(F469:F471)</f>
        <v>99562.89</v>
      </c>
      <c r="G472" s="881">
        <f>SUM(G469:G471)</f>
        <v>0</v>
      </c>
      <c r="H472" s="882"/>
      <c r="J472" s="883">
        <v>55884.98000000001</v>
      </c>
      <c r="K472" s="883">
        <f>+E472-J472</f>
        <v>43677.909999999989</v>
      </c>
    </row>
    <row r="473" spans="1:11">
      <c r="A473" s="877"/>
      <c r="C473" s="878"/>
      <c r="D473" s="879"/>
      <c r="E473" s="881"/>
      <c r="F473" s="888"/>
      <c r="G473" s="881"/>
      <c r="H473" s="882"/>
    </row>
    <row r="474" spans="1:11">
      <c r="A474" s="877">
        <v>6090</v>
      </c>
      <c r="B474" s="858" t="str">
        <f>INDEX('COPY ELECTRONIC TB HERE'!$B$2:$B$449,MATCH('Linked TB'!A474,'COPY ELECTRONIC TB HERE'!$A$2:$A$449,0))</f>
        <v xml:space="preserve">    RENT</v>
      </c>
      <c r="C474" s="878">
        <v>0</v>
      </c>
      <c r="D474" s="879">
        <v>0</v>
      </c>
      <c r="E474" s="881">
        <f>INDEX('COPY ELECTRONIC TB HERE'!$D$2:$D$449,MATCH('Linked TB'!A474,'COPY ELECTRONIC TB HERE'!$A$2:$A$449,0))</f>
        <v>6253.99</v>
      </c>
      <c r="F474" s="888">
        <f>+IF(UPPER(H474)="ACTUAL",C474,INDEX(ALLOCATION_TABLE,MATCH(UPPER(H474),INDEX(ALLOCATION_TABLE,0,1),0),5)*E474)</f>
        <v>6253.99</v>
      </c>
      <c r="G474" s="881">
        <f>+E474-F474</f>
        <v>0</v>
      </c>
      <c r="H474" s="882" t="s">
        <v>504</v>
      </c>
    </row>
    <row r="475" spans="1:11" ht="5.0999999999999996" customHeight="1">
      <c r="A475" s="877"/>
      <c r="C475" s="885">
        <v>0</v>
      </c>
      <c r="D475" s="886">
        <v>0</v>
      </c>
      <c r="E475" s="887">
        <v>0</v>
      </c>
      <c r="F475" s="893">
        <v>0</v>
      </c>
      <c r="G475" s="887">
        <v>0</v>
      </c>
      <c r="H475" s="882"/>
    </row>
    <row r="476" spans="1:11">
      <c r="A476" s="877" t="s">
        <v>1153</v>
      </c>
      <c r="B476" s="858" t="s">
        <v>1196</v>
      </c>
      <c r="C476" s="888">
        <f>SUM(C474:C475)</f>
        <v>0</v>
      </c>
      <c r="D476" s="881">
        <f>SUM(D474:D475)</f>
        <v>0</v>
      </c>
      <c r="E476" s="881">
        <f>SUM(E474:E475)</f>
        <v>6253.99</v>
      </c>
      <c r="F476" s="888">
        <f>SUM(F474:F475)</f>
        <v>6253.99</v>
      </c>
      <c r="G476" s="881">
        <f>SUM(G474:G475)</f>
        <v>0</v>
      </c>
      <c r="H476" s="882"/>
    </row>
    <row r="477" spans="1:11">
      <c r="A477" s="877"/>
      <c r="C477" s="878"/>
      <c r="D477" s="879"/>
      <c r="E477" s="881"/>
      <c r="F477" s="888"/>
      <c r="G477" s="881"/>
      <c r="H477" s="882"/>
    </row>
    <row r="478" spans="1:11">
      <c r="A478" s="889">
        <v>6110</v>
      </c>
      <c r="B478" s="858" t="str">
        <f>INDEX('COPY ELECTRONIC TB HERE'!$B$2:$B$449,MATCH('Linked TB'!A478,'COPY ELECTRONIC TB HERE'!$A$2:$A$449,0))</f>
        <v xml:space="preserve">    SALARIES-ACCTG/FINANCE</v>
      </c>
      <c r="C478" s="878">
        <v>0</v>
      </c>
      <c r="D478" s="879">
        <v>0</v>
      </c>
      <c r="E478" s="881">
        <f>INDEX('COPY ELECTRONIC TB HERE'!$D$2:$D$449,MATCH('Linked TB'!A478,'COPY ELECTRONIC TB HERE'!$A$2:$A$449,0))</f>
        <v>32509.98</v>
      </c>
      <c r="F478" s="888">
        <f t="shared" ref="F478:F490" si="63">+IF(UPPER(H478)="ACTUAL",C478,INDEX(ALLOCATION_TABLE,MATCH(UPPER(H478),INDEX(ALLOCATION_TABLE,0,1),0),5)*E478)</f>
        <v>32509.98</v>
      </c>
      <c r="G478" s="881">
        <f t="shared" ref="G478:G490" si="64">+E478-F478</f>
        <v>0</v>
      </c>
      <c r="H478" s="882" t="s">
        <v>504</v>
      </c>
    </row>
    <row r="479" spans="1:11">
      <c r="A479" s="889">
        <v>6115</v>
      </c>
      <c r="B479" s="858" t="str">
        <f>INDEX('COPY ELECTRONIC TB HERE'!$B$2:$B$449,MATCH('Linked TB'!A479,'COPY ELECTRONIC TB HERE'!$A$2:$A$449,0))</f>
        <v xml:space="preserve">    SALARIES-ADMIN</v>
      </c>
      <c r="C479" s="878">
        <v>0</v>
      </c>
      <c r="D479" s="879">
        <v>0</v>
      </c>
      <c r="E479" s="881">
        <f>INDEX('COPY ELECTRONIC TB HERE'!$D$2:$D$449,MATCH('Linked TB'!A479,'COPY ELECTRONIC TB HERE'!$A$2:$A$449,0))</f>
        <v>1763.75</v>
      </c>
      <c r="F479" s="888">
        <f t="shared" ref="F479" si="65">+IF(UPPER(H479)="ACTUAL",C479,INDEX(ALLOCATION_TABLE,MATCH(UPPER(H479),INDEX(ALLOCATION_TABLE,0,1),0),5)*E479)</f>
        <v>1763.75</v>
      </c>
      <c r="G479" s="881">
        <f t="shared" ref="G479" si="66">+E479-F479</f>
        <v>0</v>
      </c>
      <c r="H479" s="882" t="s">
        <v>504</v>
      </c>
    </row>
    <row r="480" spans="1:11">
      <c r="A480" s="889">
        <v>6120</v>
      </c>
      <c r="B480" s="858" t="str">
        <f>INDEX('COPY ELECTRONIC TB HERE'!$B$2:$B$449,MATCH('Linked TB'!A480,'COPY ELECTRONIC TB HERE'!$A$2:$A$449,0))</f>
        <v xml:space="preserve">    SALARIES-OFFICERS/STKHLDR</v>
      </c>
      <c r="C480" s="878">
        <v>0</v>
      </c>
      <c r="D480" s="879">
        <v>0</v>
      </c>
      <c r="E480" s="881">
        <f>INDEX('COPY ELECTRONIC TB HERE'!$D$2:$D$449,MATCH('Linked TB'!A480,'COPY ELECTRONIC TB HERE'!$A$2:$A$449,0))</f>
        <v>46296.170000000006</v>
      </c>
      <c r="F480" s="888">
        <f>+IF(UPPER(H480)="ACTUAL",C480,INDEX(ALLOCATION_TABLE,MATCH(UPPER(H480),INDEX(ALLOCATION_TABLE,0,1),0),5)*E480)</f>
        <v>46296.170000000006</v>
      </c>
      <c r="G480" s="881">
        <f t="shared" si="64"/>
        <v>0</v>
      </c>
      <c r="H480" s="882" t="s">
        <v>504</v>
      </c>
    </row>
    <row r="481" spans="1:11">
      <c r="A481" s="889">
        <v>6125</v>
      </c>
      <c r="B481" s="858" t="str">
        <f>INDEX('COPY ELECTRONIC TB HERE'!$B$2:$B$449,MATCH('Linked TB'!A481,'COPY ELECTRONIC TB HERE'!$A$2:$A$449,0))</f>
        <v xml:space="preserve">    SALARIES-HR</v>
      </c>
      <c r="C481" s="878">
        <v>0</v>
      </c>
      <c r="D481" s="879">
        <v>0</v>
      </c>
      <c r="E481" s="881">
        <f>INDEX('COPY ELECTRONIC TB HERE'!$D$2:$D$449,MATCH('Linked TB'!A481,'COPY ELECTRONIC TB HERE'!$A$2:$A$449,0))</f>
        <v>8330.2900000000009</v>
      </c>
      <c r="F481" s="888">
        <f>+IF(UPPER(H481)="ACTUAL",C481,INDEX(ALLOCATION_TABLE,MATCH(UPPER(H481),INDEX(ALLOCATION_TABLE,0,1),0),5)*E481)</f>
        <v>8330.2900000000009</v>
      </c>
      <c r="G481" s="881">
        <f t="shared" si="64"/>
        <v>0</v>
      </c>
      <c r="H481" s="882" t="s">
        <v>504</v>
      </c>
    </row>
    <row r="482" spans="1:11">
      <c r="A482" s="889">
        <v>6130</v>
      </c>
      <c r="B482" s="858" t="str">
        <f>INDEX('COPY ELECTRONIC TB HERE'!$B$2:$B$449,MATCH('Linked TB'!A482,'COPY ELECTRONIC TB HERE'!$A$2:$A$449,0))</f>
        <v xml:space="preserve">    SALARIES-MIS</v>
      </c>
      <c r="C482" s="878">
        <v>0</v>
      </c>
      <c r="D482" s="879">
        <v>0</v>
      </c>
      <c r="E482" s="881">
        <f>INDEX('COPY ELECTRONIC TB HERE'!$D$2:$D$449,MATCH('Linked TB'!A482,'COPY ELECTRONIC TB HERE'!$A$2:$A$449,0))</f>
        <v>9544.1999999999989</v>
      </c>
      <c r="F482" s="888">
        <f>+IF(UPPER(H482)="ACTUAL",C482,INDEX(ALLOCATION_TABLE,MATCH(UPPER(H482),INDEX(ALLOCATION_TABLE,0,1),0),5)*E482)</f>
        <v>9544.1999999999989</v>
      </c>
      <c r="G482" s="881">
        <f t="shared" si="64"/>
        <v>0</v>
      </c>
      <c r="H482" s="882" t="s">
        <v>504</v>
      </c>
    </row>
    <row r="483" spans="1:11">
      <c r="A483" s="889">
        <v>6135</v>
      </c>
      <c r="B483" s="858" t="str">
        <f>INDEX('COPY ELECTRONIC TB HERE'!$B$2:$B$449,MATCH('Linked TB'!A483,'COPY ELECTRONIC TB HERE'!$A$2:$A$449,0))</f>
        <v xml:space="preserve">    SALARIES-LEADERSHIP OPS</v>
      </c>
      <c r="C483" s="878">
        <v>0</v>
      </c>
      <c r="D483" s="879">
        <v>0</v>
      </c>
      <c r="E483" s="881">
        <f>INDEX('COPY ELECTRONIC TB HERE'!$D$2:$D$449,MATCH('Linked TB'!A483,'COPY ELECTRONIC TB HERE'!$A$2:$A$449,0))</f>
        <v>31130.81</v>
      </c>
      <c r="F483" s="888">
        <f t="shared" si="63"/>
        <v>31130.81</v>
      </c>
      <c r="G483" s="881">
        <f t="shared" si="64"/>
        <v>0</v>
      </c>
      <c r="H483" s="882" t="s">
        <v>504</v>
      </c>
    </row>
    <row r="484" spans="1:11">
      <c r="A484" s="889">
        <v>6140</v>
      </c>
      <c r="B484" s="858" t="str">
        <f>INDEX('COPY ELECTRONIC TB HERE'!$B$2:$B$449,MATCH('Linked TB'!A484,'COPY ELECTRONIC TB HERE'!$A$2:$A$449,0))</f>
        <v xml:space="preserve">    SALARIES-REGULATORY</v>
      </c>
      <c r="C484" s="878">
        <v>0</v>
      </c>
      <c r="D484" s="879">
        <v>0</v>
      </c>
      <c r="E484" s="881">
        <f>INDEX('COPY ELECTRONIC TB HERE'!$D$2:$D$449,MATCH('Linked TB'!A484,'COPY ELECTRONIC TB HERE'!$A$2:$A$449,0))</f>
        <v>28995.030000000002</v>
      </c>
      <c r="F484" s="888">
        <f>+IF(UPPER(H484)="ACTUAL",C484,INDEX(ALLOCATION_TABLE,MATCH(UPPER(H484),INDEX(ALLOCATION_TABLE,0,1),0),5)*E484)</f>
        <v>28995.030000000002</v>
      </c>
      <c r="G484" s="881">
        <f t="shared" si="64"/>
        <v>0</v>
      </c>
      <c r="H484" s="882" t="s">
        <v>504</v>
      </c>
    </row>
    <row r="485" spans="1:11">
      <c r="A485" s="889">
        <v>6145</v>
      </c>
      <c r="B485" s="858" t="str">
        <f>INDEX('COPY ELECTRONIC TB HERE'!$B$2:$B$449,MATCH('Linked TB'!A485,'COPY ELECTRONIC TB HERE'!$A$2:$A$449,0))</f>
        <v xml:space="preserve">    SALARIES-CUSTOMER SERVICE</v>
      </c>
      <c r="C485" s="878">
        <v>0</v>
      </c>
      <c r="D485" s="879">
        <v>0</v>
      </c>
      <c r="E485" s="881">
        <f>INDEX('COPY ELECTRONIC TB HERE'!$D$2:$D$449,MATCH('Linked TB'!A485,'COPY ELECTRONIC TB HERE'!$A$2:$A$449,0))</f>
        <v>29937.719999999998</v>
      </c>
      <c r="F485" s="888">
        <f t="shared" si="63"/>
        <v>29937.719999999998</v>
      </c>
      <c r="G485" s="881">
        <f t="shared" si="64"/>
        <v>0</v>
      </c>
      <c r="H485" s="882" t="s">
        <v>504</v>
      </c>
    </row>
    <row r="486" spans="1:11">
      <c r="A486" s="889">
        <v>6146</v>
      </c>
      <c r="B486" s="858" t="str">
        <f>INDEX('COPY ELECTRONIC TB HERE'!$B$2:$B$449,MATCH('Linked TB'!A486,'COPY ELECTRONIC TB HERE'!$A$2:$A$449,0))</f>
        <v xml:space="preserve">    SALARIES-BILLING</v>
      </c>
      <c r="C486" s="878">
        <v>0</v>
      </c>
      <c r="D486" s="879">
        <v>0</v>
      </c>
      <c r="E486" s="881">
        <f>INDEX('COPY ELECTRONIC TB HERE'!$D$2:$D$449,MATCH('Linked TB'!A486,'COPY ELECTRONIC TB HERE'!$A$2:$A$449,0))</f>
        <v>5557.48</v>
      </c>
      <c r="F486" s="888">
        <f>+IF(UPPER(H486)="ACTUAL",C486,INDEX(ALLOCATION_TABLE,MATCH(UPPER(H486),INDEX(ALLOCATION_TABLE,0,1),0),5)*E486)</f>
        <v>5557.48</v>
      </c>
      <c r="G486" s="881">
        <f t="shared" si="64"/>
        <v>0</v>
      </c>
      <c r="H486" s="882" t="s">
        <v>504</v>
      </c>
    </row>
    <row r="487" spans="1:11">
      <c r="A487" s="889">
        <v>6147</v>
      </c>
      <c r="B487" s="858" t="str">
        <f>INDEX('COPY ELECTRONIC TB HERE'!$B$2:$B$449,MATCH('Linked TB'!A487,'COPY ELECTRONIC TB HERE'!$A$2:$A$449,0))</f>
        <v xml:space="preserve">    SALARIES-CORP SERVICE ADMI</v>
      </c>
      <c r="C487" s="878">
        <v>0</v>
      </c>
      <c r="D487" s="879">
        <v>0</v>
      </c>
      <c r="E487" s="881">
        <f>INDEX('COPY ELECTRONIC TB HERE'!$D$2:$D$449,MATCH('Linked TB'!A487,'COPY ELECTRONIC TB HERE'!$A$2:$A$449,0))</f>
        <v>6006.42</v>
      </c>
      <c r="F487" s="888">
        <f>+IF(UPPER(H487)="ACTUAL",C487,INDEX(ALLOCATION_TABLE,MATCH(UPPER(H487),INDEX(ALLOCATION_TABLE,0,1),0),5)*E487)</f>
        <v>6006.42</v>
      </c>
      <c r="G487" s="881">
        <f t="shared" si="64"/>
        <v>0</v>
      </c>
      <c r="H487" s="882" t="s">
        <v>504</v>
      </c>
    </row>
    <row r="488" spans="1:11">
      <c r="A488" s="889">
        <v>6150</v>
      </c>
      <c r="B488" s="858" t="str">
        <f>INDEX('COPY ELECTRONIC TB HERE'!$B$2:$B$449,MATCH('Linked TB'!A488,'COPY ELECTRONIC TB HERE'!$A$2:$A$449,0))</f>
        <v xml:space="preserve">    SALARIES-OPERATIONS FIELD</v>
      </c>
      <c r="C488" s="878">
        <v>0</v>
      </c>
      <c r="D488" s="879">
        <v>0</v>
      </c>
      <c r="E488" s="881">
        <f>INDEX('COPY ELECTRONIC TB HERE'!$D$2:$D$449,MATCH('Linked TB'!A488,'COPY ELECTRONIC TB HERE'!$A$2:$A$449,0))</f>
        <v>429206.82</v>
      </c>
      <c r="F488" s="888">
        <f t="shared" si="63"/>
        <v>429206.82</v>
      </c>
      <c r="G488" s="881">
        <f t="shared" si="64"/>
        <v>0</v>
      </c>
      <c r="H488" s="882" t="s">
        <v>504</v>
      </c>
    </row>
    <row r="489" spans="1:11">
      <c r="A489" s="889">
        <v>6155</v>
      </c>
      <c r="B489" s="858" t="str">
        <f>INDEX('COPY ELECTRONIC TB HERE'!$B$2:$B$449,MATCH('Linked TB'!A489,'COPY ELECTRONIC TB HERE'!$A$2:$A$449,0))</f>
        <v xml:space="preserve">    SALARIES-OPERATIONS OFFICE</v>
      </c>
      <c r="C489" s="878">
        <v>0</v>
      </c>
      <c r="D489" s="879">
        <v>0</v>
      </c>
      <c r="E489" s="881">
        <f>INDEX('COPY ELECTRONIC TB HERE'!$D$2:$D$449,MATCH('Linked TB'!A489,'COPY ELECTRONIC TB HERE'!$A$2:$A$449,0))</f>
        <v>60378.100000000006</v>
      </c>
      <c r="F489" s="888">
        <f t="shared" si="63"/>
        <v>60378.100000000006</v>
      </c>
      <c r="G489" s="881">
        <f t="shared" si="64"/>
        <v>0</v>
      </c>
      <c r="H489" s="882" t="s">
        <v>504</v>
      </c>
    </row>
    <row r="490" spans="1:11">
      <c r="A490" s="877">
        <v>6165</v>
      </c>
      <c r="B490" s="858" t="str">
        <f>INDEX('COPY ELECTRONIC TB HERE'!$B$2:$B$449,MATCH('Linked TB'!A490,'COPY ELECTRONIC TB HERE'!$A$2:$A$449,0))</f>
        <v xml:space="preserve">    CAPITALIZED TIME ADJUSTMEN</v>
      </c>
      <c r="C490" s="878">
        <v>0</v>
      </c>
      <c r="D490" s="879">
        <v>0</v>
      </c>
      <c r="E490" s="881">
        <f>INDEX('COPY ELECTRONIC TB HERE'!$D$2:$D$449,MATCH('Linked TB'!A490,'COPY ELECTRONIC TB HERE'!$A$2:$A$449,0))</f>
        <v>-132209.91</v>
      </c>
      <c r="F490" s="888">
        <f t="shared" si="63"/>
        <v>-132209.91</v>
      </c>
      <c r="G490" s="881">
        <f t="shared" si="64"/>
        <v>0</v>
      </c>
      <c r="H490" s="882" t="s">
        <v>504</v>
      </c>
    </row>
    <row r="491" spans="1:11" ht="5.0999999999999996" customHeight="1">
      <c r="A491" s="877"/>
      <c r="C491" s="885">
        <v>0</v>
      </c>
      <c r="D491" s="886">
        <v>0</v>
      </c>
      <c r="E491" s="887">
        <v>0</v>
      </c>
      <c r="F491" s="893">
        <v>0</v>
      </c>
      <c r="G491" s="887">
        <v>0</v>
      </c>
      <c r="H491" s="882"/>
    </row>
    <row r="492" spans="1:11">
      <c r="A492" s="877" t="s">
        <v>1153</v>
      </c>
      <c r="B492" s="858" t="s">
        <v>1197</v>
      </c>
      <c r="C492" s="888">
        <f>SUM(C478:C491)</f>
        <v>0</v>
      </c>
      <c r="D492" s="881">
        <f>SUM(D478:D491)</f>
        <v>0</v>
      </c>
      <c r="E492" s="881">
        <f>SUM(E478:E491)</f>
        <v>557446.86</v>
      </c>
      <c r="F492" s="888">
        <f>SUM(F478:F491)</f>
        <v>557446.86</v>
      </c>
      <c r="G492" s="881">
        <f>SUM(G478:G491)</f>
        <v>0</v>
      </c>
      <c r="H492" s="882"/>
      <c r="J492" s="883">
        <v>582494.1</v>
      </c>
      <c r="K492" s="883">
        <f>+E492-J492</f>
        <v>-25047.239999999991</v>
      </c>
    </row>
    <row r="493" spans="1:11">
      <c r="A493" s="877"/>
      <c r="C493" s="878"/>
      <c r="D493" s="879"/>
      <c r="E493" s="881"/>
      <c r="F493" s="888"/>
      <c r="G493" s="881"/>
      <c r="H493" s="882"/>
    </row>
    <row r="494" spans="1:11">
      <c r="A494" s="877">
        <v>6185</v>
      </c>
      <c r="B494" s="858" t="str">
        <f>INDEX('COPY ELECTRONIC TB HERE'!$B$2:$B$449,MATCH('Linked TB'!A494,'COPY ELECTRONIC TB HERE'!$A$2:$A$449,0))</f>
        <v xml:space="preserve">    TRAVEL LODGING</v>
      </c>
      <c r="C494" s="878">
        <v>0</v>
      </c>
      <c r="D494" s="879">
        <v>0</v>
      </c>
      <c r="E494" s="881">
        <f>INDEX('COPY ELECTRONIC TB HERE'!$D$2:$D$449,MATCH('Linked TB'!A494,'COPY ELECTRONIC TB HERE'!$A$2:$A$449,0))</f>
        <v>5379.62</v>
      </c>
      <c r="F494" s="888">
        <f t="shared" ref="F494:F499" si="67">+IF(UPPER(H494)="ACTUAL",C494,INDEX(ALLOCATION_TABLE,MATCH(UPPER(H494),INDEX(ALLOCATION_TABLE,0,1),0),5)*E494)</f>
        <v>5379.62</v>
      </c>
      <c r="G494" s="881">
        <f t="shared" ref="G494:G499" si="68">+E494-F494</f>
        <v>0</v>
      </c>
      <c r="H494" s="882" t="s">
        <v>504</v>
      </c>
    </row>
    <row r="495" spans="1:11">
      <c r="A495" s="877">
        <v>6190</v>
      </c>
      <c r="B495" s="858" t="str">
        <f>INDEX('COPY ELECTRONIC TB HERE'!$B$2:$B$449,MATCH('Linked TB'!A495,'COPY ELECTRONIC TB HERE'!$A$2:$A$449,0))</f>
        <v xml:space="preserve">    TRAVEL AIRFARE</v>
      </c>
      <c r="C495" s="878">
        <v>0</v>
      </c>
      <c r="D495" s="879">
        <v>0</v>
      </c>
      <c r="E495" s="881">
        <f>INDEX('COPY ELECTRONIC TB HERE'!$D$2:$D$449,MATCH('Linked TB'!A495,'COPY ELECTRONIC TB HERE'!$A$2:$A$449,0))</f>
        <v>1417.01</v>
      </c>
      <c r="F495" s="888">
        <f t="shared" si="67"/>
        <v>1417.01</v>
      </c>
      <c r="G495" s="881">
        <f t="shared" si="68"/>
        <v>0</v>
      </c>
      <c r="H495" s="882" t="s">
        <v>504</v>
      </c>
    </row>
    <row r="496" spans="1:11">
      <c r="A496" s="877">
        <v>6195</v>
      </c>
      <c r="B496" s="858" t="str">
        <f>INDEX('COPY ELECTRONIC TB HERE'!$B$2:$B$449,MATCH('Linked TB'!A496,'COPY ELECTRONIC TB HERE'!$A$2:$A$449,0))</f>
        <v xml:space="preserve">    TRAVEL TRANSPORTATION</v>
      </c>
      <c r="C496" s="878">
        <v>0</v>
      </c>
      <c r="D496" s="879">
        <v>0</v>
      </c>
      <c r="E496" s="881">
        <f>INDEX('COPY ELECTRONIC TB HERE'!$D$2:$D$449,MATCH('Linked TB'!A496,'COPY ELECTRONIC TB HERE'!$A$2:$A$449,0))</f>
        <v>1361.85</v>
      </c>
      <c r="F496" s="888">
        <f t="shared" si="67"/>
        <v>1361.85</v>
      </c>
      <c r="G496" s="881">
        <f t="shared" si="68"/>
        <v>0</v>
      </c>
      <c r="H496" s="882" t="s">
        <v>504</v>
      </c>
    </row>
    <row r="497" spans="1:11">
      <c r="A497" s="877">
        <v>6200</v>
      </c>
      <c r="B497" s="858" t="str">
        <f>INDEX('COPY ELECTRONIC TB HERE'!$B$2:$B$449,MATCH('Linked TB'!A497,'COPY ELECTRONIC TB HERE'!$A$2:$A$449,0))</f>
        <v xml:space="preserve">    TRAVEL MEALS</v>
      </c>
      <c r="C497" s="878">
        <v>0</v>
      </c>
      <c r="D497" s="879">
        <v>0</v>
      </c>
      <c r="E497" s="881">
        <f>INDEX('COPY ELECTRONIC TB HERE'!$D$2:$D$449,MATCH('Linked TB'!A497,'COPY ELECTRONIC TB HERE'!$A$2:$A$449,0))</f>
        <v>3749.22</v>
      </c>
      <c r="F497" s="888">
        <f t="shared" si="67"/>
        <v>3749.22</v>
      </c>
      <c r="G497" s="881">
        <f t="shared" si="68"/>
        <v>0</v>
      </c>
      <c r="H497" s="882" t="s">
        <v>504</v>
      </c>
    </row>
    <row r="498" spans="1:11">
      <c r="A498" s="877">
        <v>6205</v>
      </c>
      <c r="B498" s="858" t="str">
        <f>INDEX('COPY ELECTRONIC TB HERE'!$B$2:$B$449,MATCH('Linked TB'!A498,'COPY ELECTRONIC TB HERE'!$A$2:$A$449,0))</f>
        <v xml:space="preserve">    TRAVEL ENTERTAINMENT</v>
      </c>
      <c r="C498" s="878">
        <v>0</v>
      </c>
      <c r="D498" s="879">
        <v>0</v>
      </c>
      <c r="E498" s="881">
        <f>INDEX('COPY ELECTRONIC TB HERE'!$D$2:$D$449,MATCH('Linked TB'!A498,'COPY ELECTRONIC TB HERE'!$A$2:$A$449,0))</f>
        <v>558.39</v>
      </c>
      <c r="F498" s="888">
        <f t="shared" si="67"/>
        <v>558.39</v>
      </c>
      <c r="G498" s="881">
        <f t="shared" si="68"/>
        <v>0</v>
      </c>
      <c r="H498" s="882" t="s">
        <v>504</v>
      </c>
    </row>
    <row r="499" spans="1:11">
      <c r="A499" s="877">
        <v>6207</v>
      </c>
      <c r="B499" s="858" t="str">
        <f>INDEX('COPY ELECTRONIC TB HERE'!$B$2:$B$449,MATCH('Linked TB'!A499,'COPY ELECTRONIC TB HERE'!$A$2:$A$449,0))</f>
        <v xml:space="preserve">    TRAVEL OTHER</v>
      </c>
      <c r="C499" s="878">
        <v>0</v>
      </c>
      <c r="D499" s="879">
        <v>0</v>
      </c>
      <c r="E499" s="881">
        <f>INDEX('COPY ELECTRONIC TB HERE'!$D$2:$D$449,MATCH('Linked TB'!A499,'COPY ELECTRONIC TB HERE'!$A$2:$A$449,0))</f>
        <v>169.27</v>
      </c>
      <c r="F499" s="888">
        <f t="shared" si="67"/>
        <v>169.27</v>
      </c>
      <c r="G499" s="881">
        <f t="shared" si="68"/>
        <v>0</v>
      </c>
      <c r="H499" s="882" t="s">
        <v>504</v>
      </c>
    </row>
    <row r="500" spans="1:11" ht="5.0999999999999996" customHeight="1">
      <c r="A500" s="877"/>
      <c r="C500" s="885">
        <v>0</v>
      </c>
      <c r="D500" s="886">
        <v>0</v>
      </c>
      <c r="E500" s="887">
        <v>0</v>
      </c>
      <c r="F500" s="893">
        <v>0</v>
      </c>
      <c r="G500" s="887">
        <v>0</v>
      </c>
      <c r="H500" s="882"/>
    </row>
    <row r="501" spans="1:11">
      <c r="A501" s="877" t="s">
        <v>1153</v>
      </c>
      <c r="B501" s="858" t="s">
        <v>1198</v>
      </c>
      <c r="C501" s="888">
        <f>SUM(C494:C500)</f>
        <v>0</v>
      </c>
      <c r="D501" s="881">
        <f>SUM(D497:D500)</f>
        <v>0</v>
      </c>
      <c r="E501" s="881">
        <f>SUM(E494:E500)</f>
        <v>12635.359999999999</v>
      </c>
      <c r="F501" s="888">
        <f>SUM(F494:F500)</f>
        <v>12635.359999999999</v>
      </c>
      <c r="G501" s="881">
        <f>SUM(G494:G500)</f>
        <v>0</v>
      </c>
      <c r="H501" s="882"/>
      <c r="J501" s="883">
        <v>6886.17</v>
      </c>
      <c r="K501" s="883">
        <f>+E501-J501</f>
        <v>5749.1899999999987</v>
      </c>
    </row>
    <row r="502" spans="1:11">
      <c r="A502" s="877"/>
      <c r="C502" s="878"/>
      <c r="D502" s="879"/>
      <c r="E502" s="881"/>
      <c r="F502" s="888"/>
      <c r="G502" s="881"/>
      <c r="H502" s="882"/>
    </row>
    <row r="503" spans="1:11">
      <c r="A503" s="877">
        <v>6215</v>
      </c>
      <c r="B503" s="858" t="str">
        <f>INDEX('COPY ELECTRONIC TB HERE'!$B$2:$B$449,MATCH('Linked TB'!A503,'COPY ELECTRONIC TB HERE'!$A$2:$A$449,0))</f>
        <v xml:space="preserve">    FUEL</v>
      </c>
      <c r="C503" s="878">
        <v>0</v>
      </c>
      <c r="D503" s="879">
        <v>0</v>
      </c>
      <c r="E503" s="881">
        <f>INDEX('COPY ELECTRONIC TB HERE'!$D$2:$D$449,MATCH('Linked TB'!A503,'COPY ELECTRONIC TB HERE'!$A$2:$A$449,0))</f>
        <v>33994.53</v>
      </c>
      <c r="F503" s="888">
        <f>+IF(UPPER(H503)="ACTUAL",C503,INDEX(ALLOCATION_TABLE,MATCH(UPPER(H503),INDEX(ALLOCATION_TABLE,0,1),0),5)*E503)</f>
        <v>33994.53</v>
      </c>
      <c r="G503" s="881">
        <f>+E503-F503</f>
        <v>0</v>
      </c>
      <c r="H503" s="882" t="s">
        <v>504</v>
      </c>
    </row>
    <row r="504" spans="1:11">
      <c r="A504" s="877">
        <v>6220</v>
      </c>
      <c r="B504" s="858" t="str">
        <f>INDEX('COPY ELECTRONIC TB HERE'!$B$2:$B$449,MATCH('Linked TB'!A504,'COPY ELECTRONIC TB HERE'!$A$2:$A$449,0))</f>
        <v xml:space="preserve">    AUTO REPAIR/TIRES</v>
      </c>
      <c r="C504" s="878">
        <v>0</v>
      </c>
      <c r="D504" s="879">
        <v>0</v>
      </c>
      <c r="E504" s="881">
        <f>INDEX('COPY ELECTRONIC TB HERE'!$D$2:$D$449,MATCH('Linked TB'!A504,'COPY ELECTRONIC TB HERE'!$A$2:$A$449,0))</f>
        <v>12777.08</v>
      </c>
      <c r="F504" s="888">
        <f>+IF(UPPER(H504)="ACTUAL",C504,INDEX(ALLOCATION_TABLE,MATCH(UPPER(H504),INDEX(ALLOCATION_TABLE,0,1),0),5)*E504)</f>
        <v>12777.08</v>
      </c>
      <c r="G504" s="881">
        <f>+E504-F504</f>
        <v>0</v>
      </c>
      <c r="H504" s="882" t="s">
        <v>504</v>
      </c>
    </row>
    <row r="505" spans="1:11">
      <c r="A505" s="877">
        <v>6225</v>
      </c>
      <c r="B505" s="858" t="str">
        <f>INDEX('COPY ELECTRONIC TB HERE'!$B$2:$B$449,MATCH('Linked TB'!A505,'COPY ELECTRONIC TB HERE'!$A$2:$A$449,0))</f>
        <v xml:space="preserve">    AUTO LICENSES</v>
      </c>
      <c r="C505" s="878">
        <v>0</v>
      </c>
      <c r="D505" s="879">
        <v>0</v>
      </c>
      <c r="E505" s="881">
        <f>INDEX('COPY ELECTRONIC TB HERE'!$D$2:$D$449,MATCH('Linked TB'!A505,'COPY ELECTRONIC TB HERE'!$A$2:$A$449,0))</f>
        <v>0</v>
      </c>
      <c r="F505" s="888">
        <f>+IF(UPPER(H505)="ACTUAL",C505,INDEX(ALLOCATION_TABLE,MATCH(UPPER(H505),INDEX(ALLOCATION_TABLE,0,1),0),5)*E505)</f>
        <v>0</v>
      </c>
      <c r="G505" s="881">
        <f>+E505-F505</f>
        <v>0</v>
      </c>
      <c r="H505" s="882" t="s">
        <v>504</v>
      </c>
    </row>
    <row r="506" spans="1:11">
      <c r="A506" s="877">
        <v>6230</v>
      </c>
      <c r="B506" s="858" t="str">
        <f>INDEX('COPY ELECTRONIC TB HERE'!$B$2:$B$449,MATCH('Linked TB'!A506,'COPY ELECTRONIC TB HERE'!$A$2:$A$449,0))</f>
        <v xml:space="preserve">    OTHER TRANS EXPENSES</v>
      </c>
      <c r="C506" s="878">
        <v>0</v>
      </c>
      <c r="D506" s="879">
        <v>0</v>
      </c>
      <c r="E506" s="881">
        <f>INDEX('COPY ELECTRONIC TB HERE'!$D$2:$D$449,MATCH('Linked TB'!A506,'COPY ELECTRONIC TB HERE'!$A$2:$A$449,0))</f>
        <v>15.96</v>
      </c>
      <c r="F506" s="888">
        <f>+IF(UPPER(H506)="ACTUAL",C506,INDEX(ALLOCATION_TABLE,MATCH(UPPER(H506),INDEX(ALLOCATION_TABLE,0,1),0),5)*E506)</f>
        <v>15.96</v>
      </c>
      <c r="G506" s="881">
        <f>+E506-F506</f>
        <v>0</v>
      </c>
      <c r="H506" s="882" t="s">
        <v>504</v>
      </c>
    </row>
    <row r="507" spans="1:11" ht="5.0999999999999996" customHeight="1">
      <c r="A507" s="877"/>
      <c r="C507" s="885">
        <v>0</v>
      </c>
      <c r="D507" s="886">
        <v>0</v>
      </c>
      <c r="E507" s="887">
        <v>0</v>
      </c>
      <c r="F507" s="893">
        <v>0</v>
      </c>
      <c r="G507" s="887">
        <v>0</v>
      </c>
      <c r="H507" s="882"/>
    </row>
    <row r="508" spans="1:11">
      <c r="A508" s="877" t="s">
        <v>1153</v>
      </c>
      <c r="B508" s="858" t="s">
        <v>1199</v>
      </c>
      <c r="C508" s="888">
        <f>SUM(C503:C507)</f>
        <v>0</v>
      </c>
      <c r="D508" s="881">
        <f>SUM(D503:D507)</f>
        <v>0</v>
      </c>
      <c r="E508" s="881">
        <f>SUM(E503:E507)</f>
        <v>46787.57</v>
      </c>
      <c r="F508" s="888">
        <f>SUM(F503:F507)</f>
        <v>46787.57</v>
      </c>
      <c r="G508" s="881">
        <f>SUM(G503:G507)</f>
        <v>0</v>
      </c>
      <c r="H508" s="882"/>
      <c r="J508" s="883">
        <v>47173.159999999996</v>
      </c>
      <c r="K508" s="883">
        <f>+E508-J508</f>
        <v>-385.58999999999651</v>
      </c>
    </row>
    <row r="509" spans="1:11">
      <c r="A509" s="877"/>
      <c r="C509" s="878"/>
      <c r="D509" s="879"/>
      <c r="E509" s="881"/>
      <c r="F509" s="888"/>
      <c r="G509" s="881"/>
      <c r="H509" s="882"/>
    </row>
    <row r="510" spans="1:11">
      <c r="A510" s="877">
        <v>6255</v>
      </c>
      <c r="B510" s="858" t="str">
        <f>INDEX('COPY ELECTRONIC TB HERE'!$B$2:$B$449,MATCH('Linked TB'!A510,'COPY ELECTRONIC TB HERE'!$A$2:$A$449,0))</f>
        <v xml:space="preserve">    TEST-WATER</v>
      </c>
      <c r="C510" s="878">
        <f>E510</f>
        <v>19568.2</v>
      </c>
      <c r="D510" s="879">
        <v>0</v>
      </c>
      <c r="E510" s="881">
        <f>INDEX('COPY ELECTRONIC TB HERE'!$D$2:$D$449,MATCH('Linked TB'!A510,'COPY ELECTRONIC TB HERE'!$A$2:$A$449,0))</f>
        <v>19568.2</v>
      </c>
      <c r="F510" s="888">
        <f>+IF(UPPER(H510)="ACTUAL",C510,INDEX(ALLOCATION_TABLE,MATCH(UPPER(H510),INDEX(ALLOCATION_TABLE,0,1),0),5)*E510)</f>
        <v>19568.2</v>
      </c>
      <c r="G510" s="881">
        <f>+E510-F510</f>
        <v>0</v>
      </c>
      <c r="H510" s="882" t="s">
        <v>503</v>
      </c>
    </row>
    <row r="511" spans="1:11">
      <c r="A511" s="877">
        <v>6260</v>
      </c>
      <c r="B511" s="858" t="str">
        <f>INDEX('COPY ELECTRONIC TB HERE'!$B$2:$B$449,MATCH('Linked TB'!A511,'COPY ELECTRONIC TB HERE'!$A$2:$A$449,0))</f>
        <v xml:space="preserve">    TEST-EQUIP/CHEMICAL</v>
      </c>
      <c r="C511" s="878">
        <f t="shared" ref="C511:C512" si="69">E511</f>
        <v>7474.6</v>
      </c>
      <c r="D511" s="879">
        <v>0</v>
      </c>
      <c r="E511" s="881">
        <f>INDEX('COPY ELECTRONIC TB HERE'!$D$2:$D$449,MATCH('Linked TB'!A511,'COPY ELECTRONIC TB HERE'!$A$2:$A$449,0))</f>
        <v>7474.6</v>
      </c>
      <c r="F511" s="888">
        <f>+IF(UPPER(H511)="ACTUAL",C511,INDEX(ALLOCATION_TABLE,MATCH(UPPER(H511),INDEX(ALLOCATION_TABLE,0,1),0),5)*E511)</f>
        <v>7474.6</v>
      </c>
      <c r="G511" s="881">
        <f>+E511-F511</f>
        <v>0</v>
      </c>
      <c r="H511" s="882" t="s">
        <v>504</v>
      </c>
    </row>
    <row r="512" spans="1:11">
      <c r="A512" s="877">
        <v>6265</v>
      </c>
      <c r="B512" s="858" t="str">
        <f>INDEX('COPY ELECTRONIC TB HERE'!$B$2:$B$449,MATCH('Linked TB'!A512,'COPY ELECTRONIC TB HERE'!$A$2:$A$449,0))</f>
        <v xml:space="preserve">    TEST-SAFE WATER DRINKING</v>
      </c>
      <c r="C512" s="878">
        <f t="shared" si="69"/>
        <v>0</v>
      </c>
      <c r="D512" s="879">
        <v>0</v>
      </c>
      <c r="E512" s="881">
        <f>INDEX('COPY ELECTRONIC TB HERE'!$D$2:$D$449,MATCH('Linked TB'!A512,'COPY ELECTRONIC TB HERE'!$A$2:$A$449,0))</f>
        <v>0</v>
      </c>
      <c r="F512" s="888">
        <f>+IF(UPPER(H512)="ACTUAL",C512,INDEX(ALLOCATION_TABLE,MATCH(UPPER(H512),INDEX(ALLOCATION_TABLE,0,1),0),5)*E512)</f>
        <v>0</v>
      </c>
      <c r="G512" s="881">
        <f>+E512-F512</f>
        <v>0</v>
      </c>
      <c r="H512" s="882" t="s">
        <v>504</v>
      </c>
    </row>
    <row r="513" spans="1:11">
      <c r="A513" s="877">
        <v>6270</v>
      </c>
      <c r="B513" s="858" t="str">
        <f>INDEX('COPY ELECTRONIC TB HERE'!$B$2:$B$449,MATCH('Linked TB'!A513,'COPY ELECTRONIC TB HERE'!$A$2:$A$449,0))</f>
        <v xml:space="preserve">    TEST-SEWER</v>
      </c>
      <c r="C513" s="878">
        <v>0</v>
      </c>
      <c r="D513" s="879">
        <f>+E513</f>
        <v>7049.47</v>
      </c>
      <c r="E513" s="881">
        <f>INDEX('COPY ELECTRONIC TB HERE'!$D$2:$D$449,MATCH('Linked TB'!A513,'COPY ELECTRONIC TB HERE'!$A$2:$A$449,0))</f>
        <v>7049.47</v>
      </c>
      <c r="F513" s="888">
        <f>+IF(UPPER(H513)="ACTUAL",C513,INDEX(ALLOCATION_TABLE,MATCH(UPPER(H513),INDEX(ALLOCATION_TABLE,0,1),0),5)*E513)</f>
        <v>0</v>
      </c>
      <c r="G513" s="881">
        <f>+E513-F513</f>
        <v>7049.47</v>
      </c>
      <c r="H513" s="882" t="s">
        <v>503</v>
      </c>
    </row>
    <row r="514" spans="1:11" ht="5.0999999999999996" customHeight="1">
      <c r="A514" s="877"/>
      <c r="C514" s="885">
        <v>0</v>
      </c>
      <c r="D514" s="886">
        <v>0</v>
      </c>
      <c r="E514" s="887">
        <v>0</v>
      </c>
      <c r="F514" s="893">
        <v>0</v>
      </c>
      <c r="G514" s="887">
        <v>0</v>
      </c>
      <c r="H514" s="882"/>
    </row>
    <row r="515" spans="1:11">
      <c r="A515" s="877" t="s">
        <v>1153</v>
      </c>
      <c r="B515" s="858" t="s">
        <v>1200</v>
      </c>
      <c r="C515" s="888">
        <f>SUM(C510:C514)</f>
        <v>27042.800000000003</v>
      </c>
      <c r="D515" s="881">
        <f>SUM(D510:D514)</f>
        <v>7049.47</v>
      </c>
      <c r="E515" s="881">
        <f>SUM(E510:E514)</f>
        <v>34092.270000000004</v>
      </c>
      <c r="F515" s="888">
        <f>SUM(F510:F514)</f>
        <v>27042.800000000003</v>
      </c>
      <c r="G515" s="881">
        <f>SUM(G510:G514)</f>
        <v>7049.47</v>
      </c>
      <c r="H515" s="882"/>
      <c r="J515" s="883">
        <v>24880.35</v>
      </c>
      <c r="K515" s="883">
        <f>+E515-J515</f>
        <v>9211.9200000000055</v>
      </c>
    </row>
    <row r="516" spans="1:11">
      <c r="A516" s="877"/>
      <c r="C516" s="878"/>
      <c r="D516" s="879"/>
      <c r="E516" s="881"/>
      <c r="F516" s="888"/>
      <c r="G516" s="881"/>
      <c r="H516" s="882"/>
    </row>
    <row r="517" spans="1:11">
      <c r="A517" s="877">
        <v>6285</v>
      </c>
      <c r="B517" s="858" t="str">
        <f>INDEX('COPY ELECTRONIC TB HERE'!$B$2:$B$449,MATCH('Linked TB'!A517,'COPY ELECTRONIC TB HERE'!$A$2:$A$449,0))</f>
        <v xml:space="preserve">    WATER-MAINT SUPPLIES</v>
      </c>
      <c r="C517" s="878">
        <f>+E517</f>
        <v>7387.3099999999995</v>
      </c>
      <c r="D517" s="879">
        <v>0</v>
      </c>
      <c r="E517" s="881">
        <f>INDEX('COPY ELECTRONIC TB HERE'!$D$2:$D$449,MATCH('Linked TB'!A517,'COPY ELECTRONIC TB HERE'!$A$2:$A$449,0))</f>
        <v>7387.3099999999995</v>
      </c>
      <c r="F517" s="888">
        <f t="shared" ref="F517:F535" si="70">+IF(UPPER(H517)="ACTUAL",C517,INDEX(ALLOCATION_TABLE,MATCH(UPPER(H517),INDEX(ALLOCATION_TABLE,0,1),0),5)*E517)</f>
        <v>7387.3099999999995</v>
      </c>
      <c r="G517" s="881">
        <f t="shared" ref="G517:G535" si="71">+E517-F517</f>
        <v>0</v>
      </c>
      <c r="H517" s="882" t="s">
        <v>503</v>
      </c>
    </row>
    <row r="518" spans="1:11">
      <c r="A518" s="877">
        <v>6290</v>
      </c>
      <c r="B518" s="858" t="str">
        <f>INDEX('COPY ELECTRONIC TB HERE'!$B$2:$B$449,MATCH('Linked TB'!A518,'COPY ELECTRONIC TB HERE'!$A$2:$A$449,0))</f>
        <v xml:space="preserve">    WATER-MAINT REPAIRS</v>
      </c>
      <c r="C518" s="878">
        <f>+E518</f>
        <v>14057.220000000001</v>
      </c>
      <c r="D518" s="879">
        <v>0</v>
      </c>
      <c r="E518" s="881">
        <f>INDEX('COPY ELECTRONIC TB HERE'!$D$2:$D$449,MATCH('Linked TB'!A518,'COPY ELECTRONIC TB HERE'!$A$2:$A$449,0))</f>
        <v>14057.220000000001</v>
      </c>
      <c r="F518" s="888">
        <f t="shared" si="70"/>
        <v>14057.220000000001</v>
      </c>
      <c r="G518" s="881">
        <f t="shared" si="71"/>
        <v>0</v>
      </c>
      <c r="H518" s="882" t="s">
        <v>503</v>
      </c>
    </row>
    <row r="519" spans="1:11">
      <c r="A519" s="877">
        <v>6295</v>
      </c>
      <c r="B519" s="858" t="str">
        <f>INDEX('COPY ELECTRONIC TB HERE'!$B$2:$B$449,MATCH('Linked TB'!A519,'COPY ELECTRONIC TB HERE'!$A$2:$A$449,0))</f>
        <v xml:space="preserve">    WATER-MAIN BREAKS</v>
      </c>
      <c r="C519" s="878">
        <f>+E519</f>
        <v>10494.7</v>
      </c>
      <c r="D519" s="879">
        <v>0</v>
      </c>
      <c r="E519" s="881">
        <f>INDEX('COPY ELECTRONIC TB HERE'!$D$2:$D$449,MATCH('Linked TB'!A519,'COPY ELECTRONIC TB HERE'!$A$2:$A$449,0))</f>
        <v>10494.7</v>
      </c>
      <c r="F519" s="888">
        <f t="shared" si="70"/>
        <v>10494.7</v>
      </c>
      <c r="G519" s="881">
        <f t="shared" si="71"/>
        <v>0</v>
      </c>
      <c r="H519" s="882" t="s">
        <v>503</v>
      </c>
    </row>
    <row r="520" spans="1:11">
      <c r="A520" s="877">
        <v>6300</v>
      </c>
      <c r="B520" s="858" t="str">
        <f>INDEX('COPY ELECTRONIC TB HERE'!$B$2:$B$449,MATCH('Linked TB'!A520,'COPY ELECTRONIC TB HERE'!$A$2:$A$449,0))</f>
        <v xml:space="preserve">    WATER-ELEC EQUIPT REPAIR</v>
      </c>
      <c r="C520" s="878">
        <f>+E520</f>
        <v>170.09</v>
      </c>
      <c r="D520" s="879">
        <v>0</v>
      </c>
      <c r="E520" s="881">
        <f>INDEX('COPY ELECTRONIC TB HERE'!$D$2:$D$449,MATCH('Linked TB'!A520,'COPY ELECTRONIC TB HERE'!$A$2:$A$449,0))</f>
        <v>170.09</v>
      </c>
      <c r="F520" s="888">
        <f t="shared" si="70"/>
        <v>170.09</v>
      </c>
      <c r="G520" s="881">
        <f t="shared" si="71"/>
        <v>0</v>
      </c>
      <c r="H520" s="882" t="s">
        <v>503</v>
      </c>
    </row>
    <row r="521" spans="1:11">
      <c r="A521" s="877">
        <v>6310</v>
      </c>
      <c r="B521" s="858" t="str">
        <f>INDEX('COPY ELECTRONIC TB HERE'!$B$2:$B$449,MATCH('Linked TB'!A521,'COPY ELECTRONIC TB HERE'!$A$2:$A$449,0))</f>
        <v xml:space="preserve">    WATER-OTHER MAINT EXP</v>
      </c>
      <c r="C521" s="878">
        <f>+E521</f>
        <v>42183.380000000005</v>
      </c>
      <c r="D521" s="879">
        <v>0</v>
      </c>
      <c r="E521" s="881">
        <f>INDEX('COPY ELECTRONIC TB HERE'!$D$2:$D$449,MATCH('Linked TB'!A521,'COPY ELECTRONIC TB HERE'!$A$2:$A$449,0))</f>
        <v>42183.380000000005</v>
      </c>
      <c r="F521" s="888">
        <f t="shared" si="70"/>
        <v>42183.380000000005</v>
      </c>
      <c r="G521" s="881">
        <f t="shared" si="71"/>
        <v>0</v>
      </c>
      <c r="H521" s="882" t="s">
        <v>503</v>
      </c>
    </row>
    <row r="522" spans="1:11">
      <c r="A522" s="877">
        <v>6320</v>
      </c>
      <c r="B522" s="858" t="str">
        <f>INDEX('COPY ELECTRONIC TB HERE'!$B$2:$B$449,MATCH('Linked TB'!A522,'COPY ELECTRONIC TB HERE'!$A$2:$A$449,0))</f>
        <v xml:space="preserve">    SEWER-MAINT SUPPLIES</v>
      </c>
      <c r="C522" s="878">
        <v>0</v>
      </c>
      <c r="D522" s="879">
        <f t="shared" ref="D522:D527" si="72">+E522</f>
        <v>415.02</v>
      </c>
      <c r="E522" s="881">
        <f>INDEX('COPY ELECTRONIC TB HERE'!$D$2:$D$449,MATCH('Linked TB'!A522,'COPY ELECTRONIC TB HERE'!$A$2:$A$449,0))</f>
        <v>415.02</v>
      </c>
      <c r="F522" s="888">
        <f t="shared" si="70"/>
        <v>0</v>
      </c>
      <c r="G522" s="881">
        <f t="shared" si="71"/>
        <v>415.02</v>
      </c>
      <c r="H522" s="882" t="s">
        <v>503</v>
      </c>
    </row>
    <row r="523" spans="1:11">
      <c r="A523" s="877">
        <v>6325</v>
      </c>
      <c r="B523" s="858" t="str">
        <f>INDEX('COPY ELECTRONIC TB HERE'!$B$2:$B$449,MATCH('Linked TB'!A523,'COPY ELECTRONIC TB HERE'!$A$2:$A$449,0))</f>
        <v xml:space="preserve">    SEWER-MAINT REPAIRS</v>
      </c>
      <c r="C523" s="878">
        <v>0</v>
      </c>
      <c r="D523" s="879">
        <f t="shared" si="72"/>
        <v>3971.44</v>
      </c>
      <c r="E523" s="881">
        <f>INDEX('COPY ELECTRONIC TB HERE'!$D$2:$D$449,MATCH('Linked TB'!A523,'COPY ELECTRONIC TB HERE'!$A$2:$A$449,0))</f>
        <v>3971.44</v>
      </c>
      <c r="F523" s="888">
        <f t="shared" si="70"/>
        <v>0</v>
      </c>
      <c r="G523" s="881">
        <f t="shared" si="71"/>
        <v>3971.44</v>
      </c>
      <c r="H523" s="882" t="s">
        <v>503</v>
      </c>
    </row>
    <row r="524" spans="1:11">
      <c r="A524" s="877">
        <v>6330</v>
      </c>
      <c r="B524" s="858" t="str">
        <f>INDEX('COPY ELECTRONIC TB HERE'!$B$2:$B$449,MATCH('Linked TB'!A524,'COPY ELECTRONIC TB HERE'!$A$2:$A$449,0))</f>
        <v xml:space="preserve">    SEWER-MAIN BREAKS</v>
      </c>
      <c r="C524" s="878">
        <v>0</v>
      </c>
      <c r="D524" s="879">
        <f t="shared" si="72"/>
        <v>0</v>
      </c>
      <c r="E524" s="881">
        <f>INDEX('COPY ELECTRONIC TB HERE'!$D$2:$D$449,MATCH('Linked TB'!A524,'COPY ELECTRONIC TB HERE'!$A$2:$A$449,0))</f>
        <v>0</v>
      </c>
      <c r="F524" s="888">
        <f>+IF(UPPER(H524)="ACTUAL",C524,INDEX(ALLOCATION_TABLE,MATCH(UPPER(H524),INDEX(ALLOCATION_TABLE,0,1),0),5)*E524)</f>
        <v>0</v>
      </c>
      <c r="G524" s="881">
        <f>+E524-F524</f>
        <v>0</v>
      </c>
      <c r="H524" s="882" t="s">
        <v>503</v>
      </c>
    </row>
    <row r="525" spans="1:11">
      <c r="A525" s="877">
        <v>6335</v>
      </c>
      <c r="B525" s="858" t="str">
        <f>INDEX('COPY ELECTRONIC TB HERE'!$B$2:$B$449,MATCH('Linked TB'!A525,'COPY ELECTRONIC TB HERE'!$A$2:$A$449,0))</f>
        <v xml:space="preserve">    SEWER-ELEC EQUIPT REPAIR</v>
      </c>
      <c r="C525" s="878">
        <v>0</v>
      </c>
      <c r="D525" s="879">
        <f t="shared" si="72"/>
        <v>2258.73</v>
      </c>
      <c r="E525" s="881">
        <f>INDEX('COPY ELECTRONIC TB HERE'!$D$2:$D$449,MATCH('Linked TB'!A525,'COPY ELECTRONIC TB HERE'!$A$2:$A$449,0))</f>
        <v>2258.73</v>
      </c>
      <c r="F525" s="888">
        <f t="shared" si="70"/>
        <v>0</v>
      </c>
      <c r="G525" s="881">
        <f t="shared" si="71"/>
        <v>2258.73</v>
      </c>
      <c r="H525" s="882" t="s">
        <v>503</v>
      </c>
    </row>
    <row r="526" spans="1:11">
      <c r="A526" s="877">
        <v>6340</v>
      </c>
      <c r="B526" s="858" t="str">
        <f>INDEX('COPY ELECTRONIC TB HERE'!$B$2:$B$449,MATCH('Linked TB'!A526,'COPY ELECTRONIC TB HERE'!$A$2:$A$449,0))</f>
        <v xml:space="preserve">    SEWER-PERMITS</v>
      </c>
      <c r="C526" s="878">
        <v>0</v>
      </c>
      <c r="D526" s="879">
        <f t="shared" si="72"/>
        <v>0</v>
      </c>
      <c r="E526" s="881">
        <f>INDEX('COPY ELECTRONIC TB HERE'!$D$2:$D$449,MATCH('Linked TB'!A526,'COPY ELECTRONIC TB HERE'!$A$2:$A$449,0))</f>
        <v>0</v>
      </c>
      <c r="F526" s="888">
        <f t="shared" si="70"/>
        <v>0</v>
      </c>
      <c r="G526" s="881">
        <f t="shared" si="71"/>
        <v>0</v>
      </c>
      <c r="H526" s="882" t="s">
        <v>503</v>
      </c>
    </row>
    <row r="527" spans="1:11">
      <c r="A527" s="877">
        <v>6345</v>
      </c>
      <c r="B527" s="858" t="str">
        <f>INDEX('COPY ELECTRONIC TB HERE'!$B$2:$B$449,MATCH('Linked TB'!A527,'COPY ELECTRONIC TB HERE'!$A$2:$A$449,0))</f>
        <v xml:space="preserve">    SEWER-OTHER MAINT EXP</v>
      </c>
      <c r="C527" s="878">
        <v>0</v>
      </c>
      <c r="D527" s="879">
        <f t="shared" si="72"/>
        <v>2492.54</v>
      </c>
      <c r="E527" s="881">
        <f>INDEX('COPY ELECTRONIC TB HERE'!$D$2:$D$449,MATCH('Linked TB'!A527,'COPY ELECTRONIC TB HERE'!$A$2:$A$449,0))</f>
        <v>2492.54</v>
      </c>
      <c r="F527" s="888">
        <f t="shared" si="70"/>
        <v>0</v>
      </c>
      <c r="G527" s="881">
        <f t="shared" si="71"/>
        <v>2492.54</v>
      </c>
      <c r="H527" s="882" t="s">
        <v>503</v>
      </c>
    </row>
    <row r="528" spans="1:11">
      <c r="A528" s="877">
        <v>6355</v>
      </c>
      <c r="B528" s="858" t="str">
        <f>INDEX('COPY ELECTRONIC TB HERE'!$B$2:$B$449,MATCH('Linked TB'!A528,'COPY ELECTRONIC TB HERE'!$A$2:$A$449,0))</f>
        <v xml:space="preserve">    DEFERRED MAINT EXPENSE</v>
      </c>
      <c r="C528" s="878">
        <f>E528</f>
        <v>7162.44</v>
      </c>
      <c r="D528" s="879">
        <v>0</v>
      </c>
      <c r="E528" s="881">
        <f>INDEX('COPY ELECTRONIC TB HERE'!$D$2:$D$449,MATCH('Linked TB'!A528,'COPY ELECTRONIC TB HERE'!$A$2:$A$449,0))</f>
        <v>7162.44</v>
      </c>
      <c r="F528" s="888">
        <f t="shared" si="70"/>
        <v>7162.44</v>
      </c>
      <c r="G528" s="881">
        <f t="shared" si="71"/>
        <v>0</v>
      </c>
      <c r="H528" s="882" t="s">
        <v>504</v>
      </c>
    </row>
    <row r="529" spans="1:11">
      <c r="A529" s="877">
        <v>6360</v>
      </c>
      <c r="B529" s="858" t="str">
        <f>INDEX('COPY ELECTRONIC TB HERE'!$B$2:$B$449,MATCH('Linked TB'!A529,'COPY ELECTRONIC TB HERE'!$A$2:$A$449,0))</f>
        <v xml:space="preserve">    COMMUNICATION EXPENSE</v>
      </c>
      <c r="C529" s="878">
        <f t="shared" ref="C529:C535" si="73">E529</f>
        <v>233.35</v>
      </c>
      <c r="D529" s="879">
        <v>0</v>
      </c>
      <c r="E529" s="881">
        <f>INDEX('COPY ELECTRONIC TB HERE'!$D$2:$D$449,MATCH('Linked TB'!A529,'COPY ELECTRONIC TB HERE'!$A$2:$A$449,0))</f>
        <v>233.35</v>
      </c>
      <c r="F529" s="888">
        <f>+IF(UPPER(H529)="ACTUAL",C529,INDEX(ALLOCATION_TABLE,MATCH(UPPER(H529),INDEX(ALLOCATION_TABLE,0,1),0),5)*E529)</f>
        <v>233.35</v>
      </c>
      <c r="G529" s="881">
        <f t="shared" si="71"/>
        <v>0</v>
      </c>
      <c r="H529" s="882" t="s">
        <v>504</v>
      </c>
    </row>
    <row r="530" spans="1:11">
      <c r="A530" s="877">
        <v>6370</v>
      </c>
      <c r="B530" s="858" t="str">
        <f>INDEX('COPY ELECTRONIC TB HERE'!$B$2:$B$449,MATCH('Linked TB'!A530,'COPY ELECTRONIC TB HERE'!$A$2:$A$449,0))</f>
        <v xml:space="preserve">    OPER CONTRACTED WORKERS</v>
      </c>
      <c r="C530" s="878">
        <f t="shared" si="73"/>
        <v>3600</v>
      </c>
      <c r="D530" s="879">
        <v>0</v>
      </c>
      <c r="E530" s="881">
        <f>INDEX('COPY ELECTRONIC TB HERE'!$D$2:$D$449,MATCH('Linked TB'!A530,'COPY ELECTRONIC TB HERE'!$A$2:$A$449,0))</f>
        <v>3600</v>
      </c>
      <c r="F530" s="888">
        <f>+IF(UPPER(H530)="ACTUAL",C530,INDEX(ALLOCATION_TABLE,MATCH(UPPER(H530),INDEX(ALLOCATION_TABLE,0,1),0),5)*E530)</f>
        <v>3600</v>
      </c>
      <c r="G530" s="881">
        <f t="shared" si="71"/>
        <v>0</v>
      </c>
      <c r="H530" s="882" t="s">
        <v>504</v>
      </c>
    </row>
    <row r="531" spans="1:11">
      <c r="A531" s="877">
        <v>6380</v>
      </c>
      <c r="B531" s="858" t="str">
        <f>INDEX('COPY ELECTRONIC TB HERE'!$B$2:$B$449,MATCH('Linked TB'!A531,'COPY ELECTRONIC TB HERE'!$A$2:$A$449,0))</f>
        <v xml:space="preserve">    REPAIRS &amp; MAINT-MAINT,LAND</v>
      </c>
      <c r="C531" s="878">
        <f t="shared" si="73"/>
        <v>0</v>
      </c>
      <c r="D531" s="879">
        <v>0</v>
      </c>
      <c r="E531" s="881">
        <f>INDEX('COPY ELECTRONIC TB HERE'!$D$2:$D$449,MATCH('Linked TB'!A531,'COPY ELECTRONIC TB HERE'!$A$2:$A$449,0))</f>
        <v>0</v>
      </c>
      <c r="F531" s="888">
        <f>+IF(UPPER(H531)="ACTUAL",C531,INDEX(ALLOCATION_TABLE,MATCH(UPPER(H531),INDEX(ALLOCATION_TABLE,0,1),0),5)*E531)</f>
        <v>0</v>
      </c>
      <c r="G531" s="881">
        <f t="shared" si="71"/>
        <v>0</v>
      </c>
      <c r="H531" s="882" t="s">
        <v>504</v>
      </c>
    </row>
    <row r="532" spans="1:11">
      <c r="A532" s="877">
        <v>6385</v>
      </c>
      <c r="B532" s="858" t="str">
        <f>INDEX('COPY ELECTRONIC TB HERE'!$B$2:$B$449,MATCH('Linked TB'!A532,'COPY ELECTRONIC TB HERE'!$A$2:$A$449,0))</f>
        <v xml:space="preserve">    UNIFORMS</v>
      </c>
      <c r="C532" s="878">
        <f t="shared" si="73"/>
        <v>-1392.19</v>
      </c>
      <c r="D532" s="879">
        <v>0</v>
      </c>
      <c r="E532" s="881">
        <f>INDEX('COPY ELECTRONIC TB HERE'!$D$2:$D$449,MATCH('Linked TB'!A532,'COPY ELECTRONIC TB HERE'!$A$2:$A$449,0))</f>
        <v>-1392.19</v>
      </c>
      <c r="F532" s="888">
        <f t="shared" si="70"/>
        <v>-1392.19</v>
      </c>
      <c r="G532" s="881">
        <f t="shared" si="71"/>
        <v>0</v>
      </c>
      <c r="H532" s="882" t="s">
        <v>504</v>
      </c>
    </row>
    <row r="533" spans="1:11">
      <c r="A533" s="877">
        <v>6390</v>
      </c>
      <c r="B533" s="858" t="str">
        <f>INDEX('COPY ELECTRONIC TB HERE'!$B$2:$B$449,MATCH('Linked TB'!A533,'COPY ELECTRONIC TB HERE'!$A$2:$A$449,0))</f>
        <v xml:space="preserve">    WEATHER/HURRICANE/FUEL EXP</v>
      </c>
      <c r="C533" s="878">
        <f t="shared" si="73"/>
        <v>5128.62</v>
      </c>
      <c r="D533" s="879">
        <v>0</v>
      </c>
      <c r="E533" s="881">
        <f>INDEX('COPY ELECTRONIC TB HERE'!$D$2:$D$449,MATCH('Linked TB'!A533,'COPY ELECTRONIC TB HERE'!$A$2:$A$449,0))</f>
        <v>5128.62</v>
      </c>
      <c r="F533" s="888">
        <f>+IF(UPPER(H533)="ACTUAL",C533,INDEX(ALLOCATION_TABLE,MATCH(UPPER(H533),INDEX(ALLOCATION_TABLE,0,1),0),5)*E533)</f>
        <v>5128.62</v>
      </c>
      <c r="G533" s="881">
        <f t="shared" si="71"/>
        <v>0</v>
      </c>
      <c r="H533" s="882" t="s">
        <v>504</v>
      </c>
    </row>
    <row r="534" spans="1:11">
      <c r="A534" s="877">
        <v>6400</v>
      </c>
      <c r="B534" s="858" t="str">
        <f>INDEX('COPY ELECTRONIC TB HERE'!$B$2:$B$449,MATCH('Linked TB'!A534,'COPY ELECTRONIC TB HERE'!$A$2:$A$449,0))</f>
        <v xml:space="preserve">   SEWER RODDING</v>
      </c>
      <c r="C534" s="878">
        <f t="shared" si="73"/>
        <v>0</v>
      </c>
      <c r="D534" s="879">
        <f>+E534</f>
        <v>0</v>
      </c>
      <c r="E534" s="881">
        <f>INDEX('COPY ELECTRONIC TB HERE'!$D$2:$D$449,MATCH('Linked TB'!A534,'COPY ELECTRONIC TB HERE'!$A$2:$A$449,0))</f>
        <v>0</v>
      </c>
      <c r="F534" s="888">
        <f t="shared" si="70"/>
        <v>0</v>
      </c>
      <c r="G534" s="881">
        <f t="shared" si="71"/>
        <v>0</v>
      </c>
      <c r="H534" s="882" t="s">
        <v>503</v>
      </c>
    </row>
    <row r="535" spans="1:11">
      <c r="A535" s="877">
        <v>6410</v>
      </c>
      <c r="B535" s="858" t="str">
        <f>INDEX('COPY ELECTRONIC TB HERE'!$B$2:$B$449,MATCH('Linked TB'!A535,'COPY ELECTRONIC TB HERE'!$A$2:$A$449,0))</f>
        <v xml:space="preserve">   SLUDGE HAULING</v>
      </c>
      <c r="C535" s="878">
        <f t="shared" si="73"/>
        <v>0</v>
      </c>
      <c r="D535" s="879">
        <f>+E535</f>
        <v>0</v>
      </c>
      <c r="E535" s="881">
        <f>INDEX('COPY ELECTRONIC TB HERE'!$D$2:$D$449,MATCH('Linked TB'!A535,'COPY ELECTRONIC TB HERE'!$A$2:$A$449,0))</f>
        <v>0</v>
      </c>
      <c r="F535" s="888">
        <f t="shared" si="70"/>
        <v>0</v>
      </c>
      <c r="G535" s="881">
        <f t="shared" si="71"/>
        <v>0</v>
      </c>
      <c r="H535" s="882" t="s">
        <v>503</v>
      </c>
    </row>
    <row r="536" spans="1:11" ht="5.0999999999999996" customHeight="1">
      <c r="A536" s="877"/>
      <c r="C536" s="885">
        <v>0</v>
      </c>
      <c r="D536" s="886">
        <v>0</v>
      </c>
      <c r="E536" s="887">
        <v>0</v>
      </c>
      <c r="F536" s="893">
        <v>0</v>
      </c>
      <c r="G536" s="887">
        <v>0</v>
      </c>
      <c r="H536" s="882"/>
    </row>
    <row r="537" spans="1:11">
      <c r="A537" s="877" t="s">
        <v>1153</v>
      </c>
      <c r="B537" s="858" t="s">
        <v>1201</v>
      </c>
      <c r="C537" s="888">
        <f>SUM(C517:C536)</f>
        <v>89024.920000000013</v>
      </c>
      <c r="D537" s="881">
        <f>SUM(D517:D536)</f>
        <v>9137.73</v>
      </c>
      <c r="E537" s="881">
        <f>SUM(E517:E536)</f>
        <v>98162.650000000009</v>
      </c>
      <c r="F537" s="888">
        <f>SUM(F517:F536)</f>
        <v>89024.920000000013</v>
      </c>
      <c r="G537" s="881">
        <f>SUM(G517:G536)</f>
        <v>9137.73</v>
      </c>
      <c r="H537" s="882"/>
      <c r="J537" s="883">
        <v>87087.489999999991</v>
      </c>
      <c r="K537" s="883">
        <f>+E537-J537</f>
        <v>11075.160000000018</v>
      </c>
    </row>
    <row r="538" spans="1:11">
      <c r="A538" s="877"/>
      <c r="C538" s="878"/>
      <c r="D538" s="879"/>
      <c r="E538" s="881"/>
      <c r="F538" s="888"/>
      <c r="G538" s="881"/>
      <c r="H538" s="882"/>
    </row>
    <row r="539" spans="1:11">
      <c r="A539" s="877">
        <v>6445</v>
      </c>
      <c r="B539" s="858" t="str">
        <f>INDEX('COPY ELECTRONIC TB HERE'!$B$2:$B$449,MATCH('Linked TB'!A539,'COPY ELECTRONIC TB HERE'!$A$2:$A$449,0))</f>
        <v xml:space="preserve">    DEPREC-ORGANIZATION</v>
      </c>
      <c r="C539" s="878">
        <f t="shared" ref="C539:C563" si="74">+E539</f>
        <v>2562.2399999999998</v>
      </c>
      <c r="D539" s="879">
        <v>0</v>
      </c>
      <c r="E539" s="881">
        <f>INDEX('COPY ELECTRONIC TB HERE'!$D$2:$D$449,MATCH('Linked TB'!A539,'COPY ELECTRONIC TB HERE'!$A$2:$A$449,0))</f>
        <v>2562.2399999999998</v>
      </c>
      <c r="F539" s="888">
        <f>+IF(UPPER(H539)="ACTUAL",C539,INDEX(ALLOCATION_TABLE,MATCH(UPPER(H539),INDEX(ALLOCATION_TABLE,0,1),0),5)*E539)</f>
        <v>2562.2399999999998</v>
      </c>
      <c r="G539" s="881">
        <f t="shared" ref="G539:G589" si="75">+E539-F539</f>
        <v>0</v>
      </c>
      <c r="H539" s="882" t="s">
        <v>503</v>
      </c>
    </row>
    <row r="540" spans="1:11">
      <c r="A540" s="889">
        <v>6455</v>
      </c>
      <c r="B540" s="858" t="str">
        <f>INDEX('COPY ELECTRONIC TB HERE'!$B$2:$B$449,MATCH('Linked TB'!A540,'COPY ELECTRONIC TB HERE'!$A$2:$A$449,0))</f>
        <v xml:space="preserve">    DEPREC-STRUCT &amp; IMPRV SRC</v>
      </c>
      <c r="C540" s="878">
        <f t="shared" si="74"/>
        <v>2271.54</v>
      </c>
      <c r="D540" s="879">
        <v>0</v>
      </c>
      <c r="E540" s="881">
        <f>INDEX('COPY ELECTRONIC TB HERE'!$D$2:$D$449,MATCH('Linked TB'!A540,'COPY ELECTRONIC TB HERE'!$A$2:$A$449,0))</f>
        <v>2271.54</v>
      </c>
      <c r="F540" s="888">
        <f t="shared" ref="F540:F567" si="76">+IF(UPPER(H540)="ACTUAL",C540,INDEX(ALLOCATION_TABLE,MATCH(UPPER(H540),INDEX(ALLOCATION_TABLE,0,1),0),5)*E540)</f>
        <v>2271.54</v>
      </c>
      <c r="G540" s="881">
        <f t="shared" si="75"/>
        <v>0</v>
      </c>
      <c r="H540" s="882" t="s">
        <v>503</v>
      </c>
    </row>
    <row r="541" spans="1:11">
      <c r="A541" s="889">
        <v>6460</v>
      </c>
      <c r="B541" s="858" t="str">
        <f>INDEX('COPY ELECTRONIC TB HERE'!$B$2:$B$449,MATCH('Linked TB'!A541,'COPY ELECTRONIC TB HERE'!$A$2:$A$449,0))</f>
        <v xml:space="preserve">    DEPREC-STRUCT &amp; IMPRV WTP</v>
      </c>
      <c r="C541" s="878">
        <f t="shared" si="74"/>
        <v>9102.64</v>
      </c>
      <c r="D541" s="879">
        <v>0</v>
      </c>
      <c r="E541" s="881">
        <f>INDEX('COPY ELECTRONIC TB HERE'!$D$2:$D$449,MATCH('Linked TB'!A541,'COPY ELECTRONIC TB HERE'!$A$2:$A$449,0))</f>
        <v>9102.64</v>
      </c>
      <c r="F541" s="888">
        <f t="shared" si="76"/>
        <v>9102.64</v>
      </c>
      <c r="G541" s="881">
        <f t="shared" si="75"/>
        <v>0</v>
      </c>
      <c r="H541" s="882" t="s">
        <v>503</v>
      </c>
    </row>
    <row r="542" spans="1:11">
      <c r="A542" s="877">
        <v>6465</v>
      </c>
      <c r="B542" s="858" t="str">
        <f>INDEX('COPY ELECTRONIC TB HERE'!$B$2:$B$449,MATCH('Linked TB'!A542,'COPY ELECTRONIC TB HERE'!$A$2:$A$449,0))</f>
        <v xml:space="preserve">    DEPREC-STRUCT &amp; IMPRV DIST</v>
      </c>
      <c r="C542" s="878">
        <f>+E542</f>
        <v>0</v>
      </c>
      <c r="D542" s="879">
        <v>0</v>
      </c>
      <c r="E542" s="881">
        <f>INDEX('COPY ELECTRONIC TB HERE'!$D$2:$D$449,MATCH('Linked TB'!A542,'COPY ELECTRONIC TB HERE'!$A$2:$A$449,0))</f>
        <v>0</v>
      </c>
      <c r="F542" s="888">
        <f>+IF(UPPER(H542)="ACTUAL",C542,INDEX(ALLOCATION_TABLE,MATCH(UPPER(H542),INDEX(ALLOCATION_TABLE,0,1),0),5)*E542)</f>
        <v>0</v>
      </c>
      <c r="G542" s="881">
        <f>+E542-F542</f>
        <v>0</v>
      </c>
      <c r="H542" s="882" t="s">
        <v>503</v>
      </c>
    </row>
    <row r="543" spans="1:11">
      <c r="A543" s="877">
        <v>6470</v>
      </c>
      <c r="B543" s="858" t="str">
        <f>INDEX('COPY ELECTRONIC TB HERE'!$B$2:$B$449,MATCH('Linked TB'!A543,'COPY ELECTRONIC TB HERE'!$A$2:$A$449,0))</f>
        <v xml:space="preserve">    DEPREC-STRUCT &amp; IMPRV GEN</v>
      </c>
      <c r="C543" s="878">
        <f>+E543</f>
        <v>2592</v>
      </c>
      <c r="D543" s="879">
        <v>0</v>
      </c>
      <c r="E543" s="881">
        <f>INDEX('COPY ELECTRONIC TB HERE'!$D$2:$D$449,MATCH('Linked TB'!A543,'COPY ELECTRONIC TB HERE'!$A$2:$A$449,0))</f>
        <v>2592</v>
      </c>
      <c r="F543" s="888">
        <f>+IF(UPPER(H543)="ACTUAL",C543,INDEX(ALLOCATION_TABLE,MATCH(UPPER(H543),INDEX(ALLOCATION_TABLE,0,1),0),5)*E543)</f>
        <v>2592</v>
      </c>
      <c r="G543" s="881">
        <f>+E543-F543</f>
        <v>0</v>
      </c>
      <c r="H543" s="882" t="s">
        <v>503</v>
      </c>
    </row>
    <row r="544" spans="1:11">
      <c r="A544" s="889">
        <v>6485</v>
      </c>
      <c r="B544" s="858" t="str">
        <f>INDEX('COPY ELECTRONIC TB HERE'!$B$2:$B$449,MATCH('Linked TB'!A544,'COPY ELECTRONIC TB HERE'!$A$2:$A$449,0))</f>
        <v xml:space="preserve">    DEPREC-WELLS &amp; SPRINGS</v>
      </c>
      <c r="C544" s="878">
        <f t="shared" si="74"/>
        <v>9517.56</v>
      </c>
      <c r="D544" s="879">
        <v>0</v>
      </c>
      <c r="E544" s="881">
        <f>INDEX('COPY ELECTRONIC TB HERE'!$D$2:$D$449,MATCH('Linked TB'!A544,'COPY ELECTRONIC TB HERE'!$A$2:$A$449,0))</f>
        <v>9517.56</v>
      </c>
      <c r="F544" s="888">
        <f t="shared" si="76"/>
        <v>9517.56</v>
      </c>
      <c r="G544" s="881">
        <f t="shared" si="75"/>
        <v>0</v>
      </c>
      <c r="H544" s="882" t="s">
        <v>503</v>
      </c>
    </row>
    <row r="545" spans="1:8">
      <c r="A545" s="877">
        <v>6495</v>
      </c>
      <c r="B545" s="858" t="str">
        <f>INDEX('COPY ELECTRONIC TB HERE'!$B$2:$B$449,MATCH('Linked TB'!A545,'COPY ELECTRONIC TB HERE'!$A$2:$A$449,0))</f>
        <v xml:space="preserve">    DEPREC-SUPPLY MAINS</v>
      </c>
      <c r="C545" s="878">
        <f>+E545</f>
        <v>132.36000000000001</v>
      </c>
      <c r="D545" s="879">
        <v>0</v>
      </c>
      <c r="E545" s="881">
        <f>INDEX('COPY ELECTRONIC TB HERE'!$D$2:$D$449,MATCH('Linked TB'!A545,'COPY ELECTRONIC TB HERE'!$A$2:$A$449,0))</f>
        <v>132.36000000000001</v>
      </c>
      <c r="F545" s="888">
        <f>+IF(UPPER(H545)="ACTUAL",C545,INDEX(ALLOCATION_TABLE,MATCH(UPPER(H545),INDEX(ALLOCATION_TABLE,0,1),0),5)*E545)</f>
        <v>132.36000000000001</v>
      </c>
      <c r="G545" s="881">
        <f>+E545-F545</f>
        <v>0</v>
      </c>
      <c r="H545" s="882" t="s">
        <v>503</v>
      </c>
    </row>
    <row r="546" spans="1:8">
      <c r="A546" s="877">
        <v>6505</v>
      </c>
      <c r="B546" s="858" t="str">
        <f>INDEX('COPY ELECTRONIC TB HERE'!$B$2:$B$449,MATCH('Linked TB'!A546,'COPY ELECTRONIC TB HERE'!$A$2:$A$449,0))</f>
        <v xml:space="preserve">    DEPREC-ELEC PUMP EQP SRC P</v>
      </c>
      <c r="C546" s="878">
        <f>+E546</f>
        <v>127.78</v>
      </c>
      <c r="D546" s="879">
        <v>0</v>
      </c>
      <c r="E546" s="881">
        <f>INDEX('COPY ELECTRONIC TB HERE'!$D$2:$D$449,MATCH('Linked TB'!A546,'COPY ELECTRONIC TB HERE'!$A$2:$A$449,0))</f>
        <v>127.78</v>
      </c>
      <c r="F546" s="888">
        <f>+IF(UPPER(H546)="ACTUAL",C546,INDEX(ALLOCATION_TABLE,MATCH(UPPER(H546),INDEX(ALLOCATION_TABLE,0,1),0),5)*E546)</f>
        <v>127.78</v>
      </c>
      <c r="G546" s="881">
        <f>+E546-F546</f>
        <v>0</v>
      </c>
      <c r="H546" s="882" t="s">
        <v>503</v>
      </c>
    </row>
    <row r="547" spans="1:8">
      <c r="A547" s="877">
        <v>6510</v>
      </c>
      <c r="B547" s="858" t="str">
        <f>INDEX('COPY ELECTRONIC TB HERE'!$B$2:$B$449,MATCH('Linked TB'!A547,'COPY ELECTRONIC TB HERE'!$A$2:$A$449,0))</f>
        <v xml:space="preserve">    DEPREC-ELEC PUMP EQP WTP</v>
      </c>
      <c r="C547" s="878">
        <f>+E547</f>
        <v>12179.82</v>
      </c>
      <c r="D547" s="879">
        <v>0</v>
      </c>
      <c r="E547" s="881">
        <f>INDEX('COPY ELECTRONIC TB HERE'!$D$2:$D$449,MATCH('Linked TB'!A547,'COPY ELECTRONIC TB HERE'!$A$2:$A$449,0))</f>
        <v>12179.82</v>
      </c>
      <c r="F547" s="888">
        <f>+IF(UPPER(H547)="ACTUAL",C547,INDEX(ALLOCATION_TABLE,MATCH(UPPER(H547),INDEX(ALLOCATION_TABLE,0,1),0),5)*E547)</f>
        <v>12179.82</v>
      </c>
      <c r="G547" s="881">
        <f>+E547-F547</f>
        <v>0</v>
      </c>
      <c r="H547" s="882" t="s">
        <v>503</v>
      </c>
    </row>
    <row r="548" spans="1:8">
      <c r="A548" s="877">
        <v>6515</v>
      </c>
      <c r="B548" s="858" t="str">
        <f>INDEX('COPY ELECTRONIC TB HERE'!$B$2:$B$449,MATCH('Linked TB'!A548,'COPY ELECTRONIC TB HERE'!$A$2:$A$449,0))</f>
        <v xml:space="preserve">    DEPREC-ELEC PUMP EQP TRANS</v>
      </c>
      <c r="C548" s="878">
        <f>+E548</f>
        <v>134.1</v>
      </c>
      <c r="D548" s="879">
        <v>0</v>
      </c>
      <c r="E548" s="881">
        <f>INDEX('COPY ELECTRONIC TB HERE'!$D$2:$D$449,MATCH('Linked TB'!A548,'COPY ELECTRONIC TB HERE'!$A$2:$A$449,0))</f>
        <v>134.1</v>
      </c>
      <c r="F548" s="888">
        <f>+IF(UPPER(H548)="ACTUAL",C548,INDEX(ALLOCATION_TABLE,MATCH(UPPER(H548),INDEX(ALLOCATION_TABLE,0,1),0),5)*E548)</f>
        <v>134.1</v>
      </c>
      <c r="G548" s="881">
        <f>+E548-F548</f>
        <v>0</v>
      </c>
      <c r="H548" s="882" t="s">
        <v>503</v>
      </c>
    </row>
    <row r="549" spans="1:8">
      <c r="A549" s="889">
        <v>6520</v>
      </c>
      <c r="B549" s="858" t="str">
        <f>INDEX('COPY ELECTRONIC TB HERE'!$B$2:$B$449,MATCH('Linked TB'!A549,'COPY ELECTRONIC TB HERE'!$A$2:$A$449,0))</f>
        <v xml:space="preserve">    DEPREC-WATER TREATMENT EQP</v>
      </c>
      <c r="C549" s="878">
        <f t="shared" si="74"/>
        <v>11851.1</v>
      </c>
      <c r="D549" s="879">
        <v>0</v>
      </c>
      <c r="E549" s="881">
        <f>INDEX('COPY ELECTRONIC TB HERE'!$D$2:$D$449,MATCH('Linked TB'!A549,'COPY ELECTRONIC TB HERE'!$A$2:$A$449,0))</f>
        <v>11851.1</v>
      </c>
      <c r="F549" s="888">
        <f t="shared" si="76"/>
        <v>11851.1</v>
      </c>
      <c r="G549" s="881">
        <f t="shared" si="75"/>
        <v>0</v>
      </c>
      <c r="H549" s="882" t="s">
        <v>503</v>
      </c>
    </row>
    <row r="550" spans="1:8">
      <c r="A550" s="889">
        <v>6525</v>
      </c>
      <c r="B550" s="858" t="str">
        <f>INDEX('COPY ELECTRONIC TB HERE'!$B$2:$B$449,MATCH('Linked TB'!A550,'COPY ELECTRONIC TB HERE'!$A$2:$A$449,0))</f>
        <v xml:space="preserve">    DEPREC-DIST RESV &amp; STANDPI</v>
      </c>
      <c r="C550" s="878">
        <f t="shared" si="74"/>
        <v>10485</v>
      </c>
      <c r="D550" s="879">
        <v>0</v>
      </c>
      <c r="E550" s="881">
        <f>INDEX('COPY ELECTRONIC TB HERE'!$D$2:$D$449,MATCH('Linked TB'!A550,'COPY ELECTRONIC TB HERE'!$A$2:$A$449,0))</f>
        <v>10485</v>
      </c>
      <c r="F550" s="888">
        <f t="shared" si="76"/>
        <v>10485</v>
      </c>
      <c r="G550" s="881">
        <f t="shared" si="75"/>
        <v>0</v>
      </c>
      <c r="H550" s="882" t="s">
        <v>503</v>
      </c>
    </row>
    <row r="551" spans="1:8">
      <c r="A551" s="889">
        <v>6530</v>
      </c>
      <c r="B551" s="858" t="str">
        <f>INDEX('COPY ELECTRONIC TB HERE'!$B$2:$B$449,MATCH('Linked TB'!A551,'COPY ELECTRONIC TB HERE'!$A$2:$A$449,0))</f>
        <v xml:space="preserve">    DEPREC-TRANS &amp; DISTR MAINS</v>
      </c>
      <c r="C551" s="878">
        <f t="shared" si="74"/>
        <v>61011.289999999994</v>
      </c>
      <c r="D551" s="879">
        <v>0</v>
      </c>
      <c r="E551" s="881">
        <f>INDEX('COPY ELECTRONIC TB HERE'!$D$2:$D$449,MATCH('Linked TB'!A551,'COPY ELECTRONIC TB HERE'!$A$2:$A$449,0))</f>
        <v>61011.289999999994</v>
      </c>
      <c r="F551" s="888">
        <f t="shared" si="76"/>
        <v>61011.289999999994</v>
      </c>
      <c r="G551" s="881">
        <f t="shared" si="75"/>
        <v>0</v>
      </c>
      <c r="H551" s="882" t="s">
        <v>503</v>
      </c>
    </row>
    <row r="552" spans="1:8">
      <c r="A552" s="889">
        <v>6535</v>
      </c>
      <c r="B552" s="858" t="str">
        <f>INDEX('COPY ELECTRONIC TB HERE'!$B$2:$B$449,MATCH('Linked TB'!A552,'COPY ELECTRONIC TB HERE'!$A$2:$A$449,0))</f>
        <v xml:space="preserve">    DEPREC-SERVICE LINES</v>
      </c>
      <c r="C552" s="878">
        <f t="shared" si="74"/>
        <v>14097.18</v>
      </c>
      <c r="D552" s="879">
        <v>0</v>
      </c>
      <c r="E552" s="881">
        <f>INDEX('COPY ELECTRONIC TB HERE'!$D$2:$D$449,MATCH('Linked TB'!A552,'COPY ELECTRONIC TB HERE'!$A$2:$A$449,0))</f>
        <v>14097.18</v>
      </c>
      <c r="F552" s="888">
        <f t="shared" si="76"/>
        <v>14097.18</v>
      </c>
      <c r="G552" s="881">
        <f t="shared" si="75"/>
        <v>0</v>
      </c>
      <c r="H552" s="882" t="s">
        <v>503</v>
      </c>
    </row>
    <row r="553" spans="1:8">
      <c r="A553" s="889">
        <v>6540</v>
      </c>
      <c r="B553" s="858" t="str">
        <f>INDEX('COPY ELECTRONIC TB HERE'!$B$2:$B$449,MATCH('Linked TB'!A553,'COPY ELECTRONIC TB HERE'!$A$2:$A$449,0))</f>
        <v xml:space="preserve">    DEPREC-METERS</v>
      </c>
      <c r="C553" s="878">
        <f t="shared" si="74"/>
        <v>14340.81</v>
      </c>
      <c r="D553" s="879">
        <v>0</v>
      </c>
      <c r="E553" s="881">
        <f>INDEX('COPY ELECTRONIC TB HERE'!$D$2:$D$449,MATCH('Linked TB'!A553,'COPY ELECTRONIC TB HERE'!$A$2:$A$449,0))</f>
        <v>14340.81</v>
      </c>
      <c r="F553" s="888">
        <f t="shared" si="76"/>
        <v>14340.81</v>
      </c>
      <c r="G553" s="881">
        <f t="shared" si="75"/>
        <v>0</v>
      </c>
      <c r="H553" s="882" t="s">
        <v>503</v>
      </c>
    </row>
    <row r="554" spans="1:8">
      <c r="A554" s="889">
        <v>6545</v>
      </c>
      <c r="B554" s="858" t="str">
        <f>INDEX('COPY ELECTRONIC TB HERE'!$B$2:$B$449,MATCH('Linked TB'!A554,'COPY ELECTRONIC TB HERE'!$A$2:$A$449,0))</f>
        <v xml:space="preserve">    DEPREC-METER INSTALLS</v>
      </c>
      <c r="C554" s="878">
        <f t="shared" si="74"/>
        <v>8680.82</v>
      </c>
      <c r="D554" s="879">
        <v>0</v>
      </c>
      <c r="E554" s="881">
        <f>INDEX('COPY ELECTRONIC TB HERE'!$D$2:$D$449,MATCH('Linked TB'!A554,'COPY ELECTRONIC TB HERE'!$A$2:$A$449,0))</f>
        <v>8680.82</v>
      </c>
      <c r="F554" s="888">
        <f t="shared" si="76"/>
        <v>8680.82</v>
      </c>
      <c r="G554" s="881">
        <f t="shared" si="75"/>
        <v>0</v>
      </c>
      <c r="H554" s="882" t="s">
        <v>503</v>
      </c>
    </row>
    <row r="555" spans="1:8">
      <c r="A555" s="877">
        <v>6550</v>
      </c>
      <c r="B555" s="858" t="str">
        <f>INDEX('COPY ELECTRONIC TB HERE'!$B$2:$B$449,MATCH('Linked TB'!A555,'COPY ELECTRONIC TB HERE'!$A$2:$A$449,0))</f>
        <v xml:space="preserve">    DEPREC-HYDRANTS</v>
      </c>
      <c r="C555" s="878">
        <f>+E555</f>
        <v>7724.84</v>
      </c>
      <c r="D555" s="879">
        <v>0</v>
      </c>
      <c r="E555" s="881">
        <f>INDEX('COPY ELECTRONIC TB HERE'!$D$2:$D$449,MATCH('Linked TB'!A555,'COPY ELECTRONIC TB HERE'!$A$2:$A$449,0))</f>
        <v>7724.84</v>
      </c>
      <c r="F555" s="888">
        <f>+IF(UPPER(H555)="ACTUAL",C555,INDEX(ALLOCATION_TABLE,MATCH(UPPER(H555),INDEX(ALLOCATION_TABLE,0,1),0),5)*E555)</f>
        <v>7724.84</v>
      </c>
      <c r="G555" s="881">
        <f>+E555-F555</f>
        <v>0</v>
      </c>
      <c r="H555" s="882" t="s">
        <v>503</v>
      </c>
    </row>
    <row r="556" spans="1:8">
      <c r="A556" s="877">
        <v>6555</v>
      </c>
      <c r="B556" s="858" t="str">
        <f>INDEX('COPY ELECTRONIC TB HERE'!$B$2:$B$449,MATCH('Linked TB'!A556,'COPY ELECTRONIC TB HERE'!$A$2:$A$449,0))</f>
        <v xml:space="preserve">    DEPREC-BACKFLOW PREVENT DE</v>
      </c>
      <c r="C556" s="878">
        <f>+E556</f>
        <v>0</v>
      </c>
      <c r="D556" s="879">
        <v>0</v>
      </c>
      <c r="E556" s="881">
        <f>INDEX('COPY ELECTRONIC TB HERE'!$D$2:$D$449,MATCH('Linked TB'!A556,'COPY ELECTRONIC TB HERE'!$A$2:$A$449,0))</f>
        <v>0</v>
      </c>
      <c r="F556" s="888">
        <f>+IF(UPPER(H556)="ACTUAL",C556,INDEX(ALLOCATION_TABLE,MATCH(UPPER(H556),INDEX(ALLOCATION_TABLE,0,1),0),5)*E556)</f>
        <v>0</v>
      </c>
      <c r="G556" s="881">
        <f>+E556-F556</f>
        <v>0</v>
      </c>
      <c r="H556" s="882" t="s">
        <v>503</v>
      </c>
    </row>
    <row r="557" spans="1:8">
      <c r="A557" s="877">
        <v>6575</v>
      </c>
      <c r="B557" s="858" t="str">
        <f>INDEX('COPY ELECTRONIC TB HERE'!$B$2:$B$449,MATCH('Linked TB'!A557,'COPY ELECTRONIC TB HERE'!$A$2:$A$449,0))</f>
        <v xml:space="preserve">    DEPREC-OTH PLT&amp;MISC EQP DI</v>
      </c>
      <c r="C557" s="878">
        <f>+E557</f>
        <v>0</v>
      </c>
      <c r="D557" s="879">
        <v>0</v>
      </c>
      <c r="E557" s="881">
        <f>INDEX('COPY ELECTRONIC TB HERE'!$D$2:$D$449,MATCH('Linked TB'!A557,'COPY ELECTRONIC TB HERE'!$A$2:$A$449,0))</f>
        <v>0</v>
      </c>
      <c r="F557" s="888">
        <f>+IF(UPPER(H557)="ACTUAL",C557,INDEX(ALLOCATION_TABLE,MATCH(UPPER(H557),INDEX(ALLOCATION_TABLE,0,1),0),5)*E557)</f>
        <v>0</v>
      </c>
      <c r="G557" s="881">
        <f>+E557-F557</f>
        <v>0</v>
      </c>
      <c r="H557" s="882" t="s">
        <v>503</v>
      </c>
    </row>
    <row r="558" spans="1:8">
      <c r="A558" s="877">
        <v>6580</v>
      </c>
      <c r="B558" s="858" t="str">
        <f>INDEX('COPY ELECTRONIC TB HERE'!$B$2:$B$449,MATCH('Linked TB'!A558,'COPY ELECTRONIC TB HERE'!$A$2:$A$449,0))</f>
        <v xml:space="preserve">    DEPREC-OFFICE STRUCTURE</v>
      </c>
      <c r="C558" s="878">
        <f>+E558</f>
        <v>3350.93</v>
      </c>
      <c r="D558" s="879">
        <v>0</v>
      </c>
      <c r="E558" s="881">
        <f>INDEX('COPY ELECTRONIC TB HERE'!$D$2:$D$449,MATCH('Linked TB'!A558,'COPY ELECTRONIC TB HERE'!$A$2:$A$449,0))</f>
        <v>3350.93</v>
      </c>
      <c r="F558" s="888">
        <f>+IF(UPPER(H558)="ACTUAL",C558,INDEX(ALLOCATION_TABLE,MATCH(UPPER(H558),INDEX(ALLOCATION_TABLE,0,1),0),5)*E558)</f>
        <v>3350.93</v>
      </c>
      <c r="G558" s="881">
        <f>+E558-F558</f>
        <v>0</v>
      </c>
      <c r="H558" s="882" t="s">
        <v>503</v>
      </c>
    </row>
    <row r="559" spans="1:8">
      <c r="A559" s="889">
        <v>6585</v>
      </c>
      <c r="B559" s="858" t="str">
        <f>INDEX('COPY ELECTRONIC TB HERE'!$B$2:$B$449,MATCH('Linked TB'!A559,'COPY ELECTRONIC TB HERE'!$A$2:$A$449,0))</f>
        <v xml:space="preserve">    DEPREC-OFFICE FURN/EQPT</v>
      </c>
      <c r="C559" s="878">
        <f t="shared" si="74"/>
        <v>2376.1</v>
      </c>
      <c r="D559" s="879">
        <v>0</v>
      </c>
      <c r="E559" s="881">
        <f>INDEX('COPY ELECTRONIC TB HERE'!$D$2:$D$449,MATCH('Linked TB'!A559,'COPY ELECTRONIC TB HERE'!$A$2:$A$449,0))</f>
        <v>2376.1</v>
      </c>
      <c r="F559" s="888">
        <f t="shared" si="76"/>
        <v>2376.1</v>
      </c>
      <c r="G559" s="881">
        <f t="shared" si="75"/>
        <v>0</v>
      </c>
      <c r="H559" s="882" t="s">
        <v>503</v>
      </c>
    </row>
    <row r="560" spans="1:8">
      <c r="A560" s="889">
        <v>6595</v>
      </c>
      <c r="B560" s="858" t="str">
        <f>INDEX('COPY ELECTRONIC TB HERE'!$B$2:$B$449,MATCH('Linked TB'!A560,'COPY ELECTRONIC TB HERE'!$A$2:$A$449,0))</f>
        <v xml:space="preserve">    DEPREC-TOOL SHOP &amp; MISC EQ</v>
      </c>
      <c r="C560" s="878">
        <f t="shared" si="74"/>
        <v>5275.43</v>
      </c>
      <c r="D560" s="879">
        <v>0</v>
      </c>
      <c r="E560" s="881">
        <f>INDEX('COPY ELECTRONIC TB HERE'!$D$2:$D$449,MATCH('Linked TB'!A560,'COPY ELECTRONIC TB HERE'!$A$2:$A$449,0))</f>
        <v>5275.43</v>
      </c>
      <c r="F560" s="888">
        <f t="shared" si="76"/>
        <v>5275.43</v>
      </c>
      <c r="G560" s="881">
        <f t="shared" si="75"/>
        <v>0</v>
      </c>
      <c r="H560" s="882" t="s">
        <v>503</v>
      </c>
    </row>
    <row r="561" spans="1:8">
      <c r="A561" s="889">
        <v>6600</v>
      </c>
      <c r="B561" s="858" t="str">
        <f>INDEX('COPY ELECTRONIC TB HERE'!$B$2:$B$449,MATCH('Linked TB'!A561,'COPY ELECTRONIC TB HERE'!$A$2:$A$449,0))</f>
        <v xml:space="preserve">    DEPREC-LABORATORY EQUIPMEN</v>
      </c>
      <c r="C561" s="878">
        <f t="shared" si="74"/>
        <v>972.84</v>
      </c>
      <c r="D561" s="879">
        <v>0</v>
      </c>
      <c r="E561" s="881">
        <f>INDEX('COPY ELECTRONIC TB HERE'!$D$2:$D$449,MATCH('Linked TB'!A561,'COPY ELECTRONIC TB HERE'!$A$2:$A$449,0))</f>
        <v>972.84</v>
      </c>
      <c r="F561" s="888">
        <f>+IF(UPPER(H561)="ACTUAL",C561,INDEX(ALLOCATION_TABLE,MATCH(UPPER(H561),INDEX(ALLOCATION_TABLE,0,1),0),5)*E561)</f>
        <v>972.84</v>
      </c>
      <c r="G561" s="881">
        <f t="shared" si="75"/>
        <v>0</v>
      </c>
      <c r="H561" s="882" t="s">
        <v>503</v>
      </c>
    </row>
    <row r="562" spans="1:8">
      <c r="A562" s="889">
        <v>6605</v>
      </c>
      <c r="B562" s="858" t="str">
        <f>INDEX('COPY ELECTRONIC TB HERE'!$B$2:$B$449,MATCH('Linked TB'!A562,'COPY ELECTRONIC TB HERE'!$A$2:$A$449,0))</f>
        <v xml:space="preserve">    DEPREC-POWER OPERATED EQUIP</v>
      </c>
      <c r="C562" s="878">
        <f t="shared" ref="C562" si="77">+E562</f>
        <v>214.2</v>
      </c>
      <c r="D562" s="879">
        <v>0</v>
      </c>
      <c r="E562" s="881">
        <f>INDEX('COPY ELECTRONIC TB HERE'!$D$2:$D$449,MATCH('Linked TB'!A562,'COPY ELECTRONIC TB HERE'!$A$2:$A$449,0))</f>
        <v>214.2</v>
      </c>
      <c r="F562" s="888">
        <f>+IF(UPPER(H562)="ACTUAL",C562,INDEX(ALLOCATION_TABLE,MATCH(UPPER(H562),INDEX(ALLOCATION_TABLE,0,1),0),5)*E562)</f>
        <v>214.2</v>
      </c>
      <c r="G562" s="881">
        <f t="shared" ref="G562" si="78">+E562-F562</f>
        <v>0</v>
      </c>
      <c r="H562" s="882" t="s">
        <v>503</v>
      </c>
    </row>
    <row r="563" spans="1:8">
      <c r="A563" s="889">
        <v>6610</v>
      </c>
      <c r="B563" s="858" t="str">
        <f>INDEX('COPY ELECTRONIC TB HERE'!$B$2:$B$449,MATCH('Linked TB'!A563,'COPY ELECTRONIC TB HERE'!$A$2:$A$449,0))</f>
        <v xml:space="preserve">    DEPREC-COMMUNICATION EQPT</v>
      </c>
      <c r="C563" s="878">
        <f t="shared" si="74"/>
        <v>2669.05</v>
      </c>
      <c r="D563" s="879">
        <v>0</v>
      </c>
      <c r="E563" s="881">
        <f>INDEX('COPY ELECTRONIC TB HERE'!$D$2:$D$449,MATCH('Linked TB'!A563,'COPY ELECTRONIC TB HERE'!$A$2:$A$449,0))</f>
        <v>2669.05</v>
      </c>
      <c r="F563" s="888">
        <f t="shared" si="76"/>
        <v>2669.05</v>
      </c>
      <c r="G563" s="881">
        <f t="shared" si="75"/>
        <v>0</v>
      </c>
      <c r="H563" s="882" t="s">
        <v>503</v>
      </c>
    </row>
    <row r="564" spans="1:8">
      <c r="A564" s="877">
        <v>6615</v>
      </c>
      <c r="B564" s="858" t="str">
        <f>INDEX('COPY ELECTRONIC TB HERE'!$B$2:$B$449,MATCH('Linked TB'!A564,'COPY ELECTRONIC TB HERE'!$A$2:$A$449,0))</f>
        <v xml:space="preserve">    DEPREC-MISC EQUIPMENT</v>
      </c>
      <c r="C564" s="878">
        <f>+E564</f>
        <v>0</v>
      </c>
      <c r="D564" s="879">
        <v>0</v>
      </c>
      <c r="E564" s="881">
        <f>INDEX('COPY ELECTRONIC TB HERE'!$D$2:$D$449,MATCH('Linked TB'!A564,'COPY ELECTRONIC TB HERE'!$A$2:$A$449,0))</f>
        <v>0</v>
      </c>
      <c r="F564" s="888">
        <f t="shared" si="76"/>
        <v>0</v>
      </c>
      <c r="G564" s="881">
        <f t="shared" si="75"/>
        <v>0</v>
      </c>
      <c r="H564" s="882" t="s">
        <v>503</v>
      </c>
    </row>
    <row r="565" spans="1:8">
      <c r="A565" s="877">
        <v>6620</v>
      </c>
      <c r="B565" s="858" t="str">
        <f>INDEX('COPY ELECTRONIC TB HERE'!$B$2:$B$449,MATCH('Linked TB'!A565,'COPY ELECTRONIC TB HERE'!$A$2:$A$449,0))</f>
        <v xml:space="preserve">    DEPREC-OTHER TANG PLT WATE</v>
      </c>
      <c r="C565" s="878">
        <f>+E565</f>
        <v>1399.56</v>
      </c>
      <c r="D565" s="879">
        <v>0</v>
      </c>
      <c r="E565" s="881">
        <f>INDEX('COPY ELECTRONIC TB HERE'!$D$2:$D$449,MATCH('Linked TB'!A565,'COPY ELECTRONIC TB HERE'!$A$2:$A$449,0))</f>
        <v>1399.56</v>
      </c>
      <c r="F565" s="888">
        <f>+IF(UPPER(H565)="ACTUAL",C565,INDEX(ALLOCATION_TABLE,MATCH(UPPER(H565),INDEX(ALLOCATION_TABLE,0,1),0),5)*E565)</f>
        <v>1399.56</v>
      </c>
      <c r="G565" s="881">
        <f>+E565-F565</f>
        <v>0</v>
      </c>
      <c r="H565" s="882" t="s">
        <v>503</v>
      </c>
    </row>
    <row r="566" spans="1:8">
      <c r="A566" s="877">
        <v>6655</v>
      </c>
      <c r="B566" s="858" t="str">
        <f>INDEX('COPY ELECTRONIC TB HERE'!$B$2:$B$449,MATCH('Linked TB'!A566,'COPY ELECTRONIC TB HERE'!$A$2:$A$449,0))</f>
        <v xml:space="preserve">    DEPREC-STRUCT/IMPRV COLL P</v>
      </c>
      <c r="C566" s="878">
        <v>0</v>
      </c>
      <c r="D566" s="879">
        <f>+E566</f>
        <v>0</v>
      </c>
      <c r="E566" s="881">
        <f>INDEX('COPY ELECTRONIC TB HERE'!$D$2:$D$449,MATCH('Linked TB'!A566,'COPY ELECTRONIC TB HERE'!$A$2:$A$449,0))</f>
        <v>0</v>
      </c>
      <c r="F566" s="888">
        <f>+IF(UPPER(H566)="ACTUAL",C566,INDEX(ALLOCATION_TABLE,MATCH(UPPER(H566),INDEX(ALLOCATION_TABLE,0,1),0),5)*E566)</f>
        <v>0</v>
      </c>
      <c r="G566" s="881">
        <f>+E566-F566</f>
        <v>0</v>
      </c>
      <c r="H566" s="882" t="s">
        <v>503</v>
      </c>
    </row>
    <row r="567" spans="1:8">
      <c r="A567" s="889">
        <v>6660</v>
      </c>
      <c r="B567" s="858" t="str">
        <f>INDEX('COPY ELECTRONIC TB HERE'!$B$2:$B$449,MATCH('Linked TB'!A567,'COPY ELECTRONIC TB HERE'!$A$2:$A$449,0))</f>
        <v xml:space="preserve">    DEPREC-STRUCT/IMPRV PUMP</v>
      </c>
      <c r="C567" s="878">
        <v>0</v>
      </c>
      <c r="D567" s="879">
        <f>+E567</f>
        <v>0</v>
      </c>
      <c r="E567" s="881">
        <f>INDEX('COPY ELECTRONIC TB HERE'!$D$2:$D$449,MATCH('Linked TB'!A567,'COPY ELECTRONIC TB HERE'!$A$2:$A$449,0))</f>
        <v>0</v>
      </c>
      <c r="F567" s="888">
        <f t="shared" si="76"/>
        <v>0</v>
      </c>
      <c r="G567" s="881">
        <f t="shared" si="75"/>
        <v>0</v>
      </c>
      <c r="H567" s="882" t="s">
        <v>503</v>
      </c>
    </row>
    <row r="568" spans="1:8">
      <c r="A568" s="877">
        <v>6670</v>
      </c>
      <c r="B568" s="858" t="str">
        <f>INDEX('COPY ELECTRONIC TB HERE'!$B$2:$B$449,MATCH('Linked TB'!A568,'COPY ELECTRONIC TB HERE'!$A$2:$A$449,0))</f>
        <v xml:space="preserve">    DEPREC-STRUCT/IMPRV RCLM W</v>
      </c>
      <c r="C568" s="878">
        <v>0</v>
      </c>
      <c r="D568" s="879">
        <f t="shared" ref="D568:D589" si="79">+E568</f>
        <v>0</v>
      </c>
      <c r="E568" s="881">
        <f>INDEX('COPY ELECTRONIC TB HERE'!$D$2:$D$449,MATCH('Linked TB'!A568,'COPY ELECTRONIC TB HERE'!$A$2:$A$449,0))</f>
        <v>0</v>
      </c>
      <c r="F568" s="888">
        <f t="shared" ref="F568:F589" si="80">+IF(UPPER(H568)="ACTUAL",C568,INDEX(ALLOCATION_TABLE,MATCH(UPPER(H568),INDEX(ALLOCATION_TABLE,0,1),0),5)*E568)</f>
        <v>0</v>
      </c>
      <c r="G568" s="881">
        <f t="shared" si="75"/>
        <v>0</v>
      </c>
      <c r="H568" s="882" t="s">
        <v>503</v>
      </c>
    </row>
    <row r="569" spans="1:8">
      <c r="A569" s="889">
        <v>6680</v>
      </c>
      <c r="B569" s="858" t="str">
        <f>INDEX('COPY ELECTRONIC TB HERE'!$B$2:$B$449,MATCH('Linked TB'!A569,'COPY ELECTRONIC TB HERE'!$A$2:$A$449,0))</f>
        <v xml:space="preserve">    DEPREC-STRUCT/IMPRV GEN PL</v>
      </c>
      <c r="C569" s="878">
        <v>0</v>
      </c>
      <c r="D569" s="879">
        <f t="shared" si="79"/>
        <v>2.64</v>
      </c>
      <c r="E569" s="881">
        <f>INDEX('COPY ELECTRONIC TB HERE'!$D$2:$D$449,MATCH('Linked TB'!A569,'COPY ELECTRONIC TB HERE'!$A$2:$A$449,0))</f>
        <v>2.64</v>
      </c>
      <c r="F569" s="888">
        <f t="shared" si="80"/>
        <v>0</v>
      </c>
      <c r="G569" s="881">
        <f t="shared" si="75"/>
        <v>2.64</v>
      </c>
      <c r="H569" s="882" t="s">
        <v>503</v>
      </c>
    </row>
    <row r="570" spans="1:8">
      <c r="A570" s="877">
        <v>6695</v>
      </c>
      <c r="B570" s="858" t="str">
        <f>INDEX('COPY ELECTRONIC TB HERE'!$B$2:$B$449,MATCH('Linked TB'!A570,'COPY ELECTRONIC TB HERE'!$A$2:$A$449,0))</f>
        <v xml:space="preserve">    DEPREC-POWER GEN EQUIP TRE</v>
      </c>
      <c r="C570" s="878">
        <v>0</v>
      </c>
      <c r="D570" s="879">
        <f t="shared" si="79"/>
        <v>0</v>
      </c>
      <c r="E570" s="881">
        <f>INDEX('COPY ELECTRONIC TB HERE'!$D$2:$D$449,MATCH('Linked TB'!A570,'COPY ELECTRONIC TB HERE'!$A$2:$A$449,0))</f>
        <v>0</v>
      </c>
      <c r="F570" s="888">
        <f t="shared" si="80"/>
        <v>0</v>
      </c>
      <c r="G570" s="881">
        <f t="shared" si="75"/>
        <v>0</v>
      </c>
      <c r="H570" s="882" t="s">
        <v>503</v>
      </c>
    </row>
    <row r="571" spans="1:8">
      <c r="A571" s="889">
        <v>6710</v>
      </c>
      <c r="B571" s="858" t="str">
        <f>INDEX('COPY ELECTRONIC TB HERE'!$B$2:$B$449,MATCH('Linked TB'!A571,'COPY ELECTRONIC TB HERE'!$A$2:$A$449,0))</f>
        <v xml:space="preserve">    DEPREC-SEWER FORCE MAIN/SR</v>
      </c>
      <c r="C571" s="878">
        <v>0</v>
      </c>
      <c r="D571" s="879">
        <f t="shared" si="79"/>
        <v>9.98</v>
      </c>
      <c r="E571" s="881">
        <f>INDEX('COPY ELECTRONIC TB HERE'!$D$2:$D$449,MATCH('Linked TB'!A571,'COPY ELECTRONIC TB HERE'!$A$2:$A$449,0))</f>
        <v>9.98</v>
      </c>
      <c r="F571" s="888">
        <f t="shared" si="80"/>
        <v>0</v>
      </c>
      <c r="G571" s="881">
        <f t="shared" si="75"/>
        <v>9.98</v>
      </c>
      <c r="H571" s="882" t="s">
        <v>503</v>
      </c>
    </row>
    <row r="572" spans="1:8">
      <c r="A572" s="889">
        <v>6715</v>
      </c>
      <c r="B572" s="858" t="str">
        <f>INDEX('COPY ELECTRONIC TB HERE'!$B$2:$B$449,MATCH('Linked TB'!A572,'COPY ELECTRONIC TB HERE'!$A$2:$A$449,0))</f>
        <v xml:space="preserve">    DEPREC-SEWER GRAVITY MAIN/</v>
      </c>
      <c r="C572" s="878">
        <v>0</v>
      </c>
      <c r="D572" s="879">
        <f t="shared" si="79"/>
        <v>34.71</v>
      </c>
      <c r="E572" s="881">
        <f>INDEX('COPY ELECTRONIC TB HERE'!$D$2:$D$449,MATCH('Linked TB'!A572,'COPY ELECTRONIC TB HERE'!$A$2:$A$449,0))</f>
        <v>34.71</v>
      </c>
      <c r="F572" s="888">
        <f t="shared" si="80"/>
        <v>0</v>
      </c>
      <c r="G572" s="881">
        <f t="shared" si="75"/>
        <v>34.71</v>
      </c>
      <c r="H572" s="882" t="s">
        <v>503</v>
      </c>
    </row>
    <row r="573" spans="1:8">
      <c r="A573" s="877">
        <v>6725</v>
      </c>
      <c r="B573" s="858" t="str">
        <f>INDEX('COPY ELECTRONIC TB HERE'!$B$2:$B$449,MATCH('Linked TB'!A573,'COPY ELECTRONIC TB HERE'!$A$2:$A$449,0))</f>
        <v xml:space="preserve">    DEPREC-SERVICES TO CUSTOME</v>
      </c>
      <c r="C573" s="878">
        <v>0</v>
      </c>
      <c r="D573" s="879">
        <f t="shared" si="79"/>
        <v>3.66</v>
      </c>
      <c r="E573" s="881">
        <f>INDEX('COPY ELECTRONIC TB HERE'!$D$2:$D$449,MATCH('Linked TB'!A573,'COPY ELECTRONIC TB HERE'!$A$2:$A$449,0))</f>
        <v>3.66</v>
      </c>
      <c r="F573" s="888">
        <f t="shared" si="80"/>
        <v>0</v>
      </c>
      <c r="G573" s="881">
        <f t="shared" si="75"/>
        <v>3.66</v>
      </c>
      <c r="H573" s="882" t="s">
        <v>503</v>
      </c>
    </row>
    <row r="574" spans="1:8">
      <c r="A574" s="877">
        <v>6730</v>
      </c>
      <c r="B574" s="858" t="str">
        <f>INDEX('COPY ELECTRONIC TB HERE'!$B$2:$B$449,MATCH('Linked TB'!A574,'COPY ELECTRONIC TB HERE'!$A$2:$A$449,0))</f>
        <v xml:space="preserve">    DEPREC-FLOW MEASURE DEVICE</v>
      </c>
      <c r="C574" s="878">
        <v>0</v>
      </c>
      <c r="D574" s="879">
        <f t="shared" si="79"/>
        <v>46.63</v>
      </c>
      <c r="E574" s="881">
        <f>INDEX('COPY ELECTRONIC TB HERE'!$D$2:$D$449,MATCH('Linked TB'!A574,'COPY ELECTRONIC TB HERE'!$A$2:$A$449,0))</f>
        <v>46.63</v>
      </c>
      <c r="F574" s="888">
        <f t="shared" si="80"/>
        <v>0</v>
      </c>
      <c r="G574" s="881">
        <f t="shared" si="75"/>
        <v>46.63</v>
      </c>
      <c r="H574" s="882" t="s">
        <v>503</v>
      </c>
    </row>
    <row r="575" spans="1:8">
      <c r="A575" s="877">
        <v>6735</v>
      </c>
      <c r="B575" s="858" t="str">
        <f>INDEX('COPY ELECTRONIC TB HERE'!$B$2:$B$449,MATCH('Linked TB'!A575,'COPY ELECTRONIC TB HERE'!$A$2:$A$449,0))</f>
        <v xml:space="preserve">    DEPREC-FLOW MEASURE INSTAL</v>
      </c>
      <c r="C575" s="878">
        <v>0</v>
      </c>
      <c r="D575" s="879">
        <f t="shared" si="79"/>
        <v>0</v>
      </c>
      <c r="E575" s="881">
        <f>INDEX('COPY ELECTRONIC TB HERE'!$D$2:$D$449,MATCH('Linked TB'!A575,'COPY ELECTRONIC TB HERE'!$A$2:$A$449,0))</f>
        <v>0</v>
      </c>
      <c r="F575" s="888">
        <f t="shared" si="80"/>
        <v>0</v>
      </c>
      <c r="G575" s="881">
        <f t="shared" si="75"/>
        <v>0</v>
      </c>
      <c r="H575" s="882" t="s">
        <v>503</v>
      </c>
    </row>
    <row r="576" spans="1:8">
      <c r="A576" s="877">
        <v>6745</v>
      </c>
      <c r="B576" s="858" t="str">
        <f>INDEX('COPY ELECTRONIC TB HERE'!$B$2:$B$449,MATCH('Linked TB'!A576,'COPY ELECTRONIC TB HERE'!$A$2:$A$449,0))</f>
        <v xml:space="preserve">    DEPREC-PUMP EQP PUMP PLT</v>
      </c>
      <c r="C576" s="878">
        <v>0</v>
      </c>
      <c r="D576" s="879">
        <f t="shared" si="79"/>
        <v>76.569999999999993</v>
      </c>
      <c r="E576" s="881">
        <f>INDEX('COPY ELECTRONIC TB HERE'!$D$2:$D$449,MATCH('Linked TB'!A576,'COPY ELECTRONIC TB HERE'!$A$2:$A$449,0))</f>
        <v>76.569999999999993</v>
      </c>
      <c r="F576" s="888">
        <f t="shared" si="80"/>
        <v>0</v>
      </c>
      <c r="G576" s="881">
        <f t="shared" si="75"/>
        <v>76.569999999999993</v>
      </c>
      <c r="H576" s="882" t="s">
        <v>503</v>
      </c>
    </row>
    <row r="577" spans="1:11">
      <c r="A577" s="877">
        <v>6750</v>
      </c>
      <c r="B577" s="858" t="str">
        <f>INDEX('COPY ELECTRONIC TB HERE'!$B$2:$B$449,MATCH('Linked TB'!A577,'COPY ELECTRONIC TB HERE'!$A$2:$A$449,0))</f>
        <v xml:space="preserve">    DEPREC-PUMP EQP RCLM WTP</v>
      </c>
      <c r="C577" s="878">
        <v>0</v>
      </c>
      <c r="D577" s="879">
        <f t="shared" si="79"/>
        <v>0</v>
      </c>
      <c r="E577" s="881">
        <f>INDEX('COPY ELECTRONIC TB HERE'!$D$2:$D$449,MATCH('Linked TB'!A577,'COPY ELECTRONIC TB HERE'!$A$2:$A$449,0))</f>
        <v>0</v>
      </c>
      <c r="F577" s="888">
        <f t="shared" si="80"/>
        <v>0</v>
      </c>
      <c r="G577" s="881">
        <f t="shared" si="75"/>
        <v>0</v>
      </c>
      <c r="H577" s="882" t="s">
        <v>503</v>
      </c>
    </row>
    <row r="578" spans="1:11">
      <c r="A578" s="877">
        <v>6760</v>
      </c>
      <c r="B578" s="858" t="str">
        <f>INDEX('COPY ELECTRONIC TB HERE'!$B$2:$B$449,MATCH('Linked TB'!A578,'COPY ELECTRONIC TB HERE'!$A$2:$A$449,0))</f>
        <v xml:space="preserve">    DEPREC-TREAT/DISP EQUIP LA</v>
      </c>
      <c r="C578" s="878"/>
      <c r="D578" s="879">
        <f t="shared" si="79"/>
        <v>4.68</v>
      </c>
      <c r="E578" s="881">
        <f>INDEX('COPY ELECTRONIC TB HERE'!$D$2:$D$449,MATCH('Linked TB'!A578,'COPY ELECTRONIC TB HERE'!$A$2:$A$449,0))</f>
        <v>4.68</v>
      </c>
      <c r="F578" s="888">
        <f>+IF(UPPER(H578)="ACTUAL",C578,INDEX(ALLOCATION_TABLE,MATCH(UPPER(H578),INDEX(ALLOCATION_TABLE,0,1),0),5)*E578)</f>
        <v>0</v>
      </c>
      <c r="G578" s="881">
        <f t="shared" si="75"/>
        <v>4.68</v>
      </c>
      <c r="H578" s="882" t="s">
        <v>503</v>
      </c>
    </row>
    <row r="579" spans="1:11">
      <c r="A579" s="889">
        <v>6765</v>
      </c>
      <c r="B579" s="858" t="str">
        <f>INDEX('COPY ELECTRONIC TB HERE'!$B$2:$B$449,MATCH('Linked TB'!A579,'COPY ELECTRONIC TB HERE'!$A$2:$A$449,0))</f>
        <v xml:space="preserve">    DEPREC-TREAT/DISP EQ TRT P</v>
      </c>
      <c r="C579" s="878">
        <v>0</v>
      </c>
      <c r="D579" s="879">
        <f t="shared" si="79"/>
        <v>163.04</v>
      </c>
      <c r="E579" s="881">
        <f>INDEX('COPY ELECTRONIC TB HERE'!$D$2:$D$449,MATCH('Linked TB'!A579,'COPY ELECTRONIC TB HERE'!$A$2:$A$449,0))</f>
        <v>163.04</v>
      </c>
      <c r="F579" s="888">
        <f t="shared" si="80"/>
        <v>0</v>
      </c>
      <c r="G579" s="881">
        <f t="shared" si="75"/>
        <v>163.04</v>
      </c>
      <c r="H579" s="882" t="s">
        <v>503</v>
      </c>
    </row>
    <row r="580" spans="1:11">
      <c r="A580" s="877">
        <v>6775</v>
      </c>
      <c r="B580" s="858" t="str">
        <f>INDEX('COPY ELECTRONIC TB HERE'!$B$2:$B$449,MATCH('Linked TB'!A580,'COPY ELECTRONIC TB HERE'!$A$2:$A$449,0))</f>
        <v xml:space="preserve">    DEPREC-PLANT SEWERS TRTMT</v>
      </c>
      <c r="C580" s="878">
        <v>0</v>
      </c>
      <c r="D580" s="879">
        <f t="shared" si="79"/>
        <v>0</v>
      </c>
      <c r="E580" s="881">
        <f>INDEX('COPY ELECTRONIC TB HERE'!$D$2:$D$449,MATCH('Linked TB'!A580,'COPY ELECTRONIC TB HERE'!$A$2:$A$449,0))</f>
        <v>0</v>
      </c>
      <c r="F580" s="888">
        <f t="shared" si="80"/>
        <v>0</v>
      </c>
      <c r="G580" s="881">
        <f t="shared" si="75"/>
        <v>0</v>
      </c>
      <c r="H580" s="882" t="s">
        <v>503</v>
      </c>
    </row>
    <row r="581" spans="1:11">
      <c r="A581" s="877">
        <v>6800</v>
      </c>
      <c r="B581" s="858" t="str">
        <f>INDEX('COPY ELECTRONIC TB HERE'!$B$2:$B$449,MATCH('Linked TB'!A581,'COPY ELECTRONIC TB HERE'!$A$2:$A$449,0))</f>
        <v xml:space="preserve">    DEPREC-OTHER PLT PUMP</v>
      </c>
      <c r="C581" s="878">
        <v>0</v>
      </c>
      <c r="D581" s="879">
        <f t="shared" si="79"/>
        <v>0</v>
      </c>
      <c r="E581" s="881">
        <f>INDEX('COPY ELECTRONIC TB HERE'!$D$2:$D$449,MATCH('Linked TB'!A581,'COPY ELECTRONIC TB HERE'!$A$2:$A$449,0))</f>
        <v>0</v>
      </c>
      <c r="F581" s="888">
        <f t="shared" si="80"/>
        <v>0</v>
      </c>
      <c r="G581" s="881">
        <f t="shared" si="75"/>
        <v>0</v>
      </c>
      <c r="H581" s="882" t="s">
        <v>503</v>
      </c>
    </row>
    <row r="582" spans="1:11">
      <c r="A582" s="877">
        <v>6830</v>
      </c>
      <c r="B582" s="858" t="str">
        <f>INDEX('COPY ELECTRONIC TB HERE'!$B$2:$B$449,MATCH('Linked TB'!A582,'COPY ELECTRONIC TB HERE'!$A$2:$A$449,0))</f>
        <v xml:space="preserve">    DEPREC-STORES EQUIPMENT</v>
      </c>
      <c r="C582" s="878">
        <v>0</v>
      </c>
      <c r="D582" s="879">
        <f t="shared" si="79"/>
        <v>0</v>
      </c>
      <c r="E582" s="881">
        <f>INDEX('COPY ELECTRONIC TB HERE'!$D$2:$D$449,MATCH('Linked TB'!A582,'COPY ELECTRONIC TB HERE'!$A$2:$A$449,0))</f>
        <v>0</v>
      </c>
      <c r="F582" s="888">
        <f t="shared" si="80"/>
        <v>0</v>
      </c>
      <c r="G582" s="881">
        <f t="shared" si="75"/>
        <v>0</v>
      </c>
      <c r="H582" s="882" t="s">
        <v>503</v>
      </c>
    </row>
    <row r="583" spans="1:11">
      <c r="A583" s="877">
        <v>6835</v>
      </c>
      <c r="B583" s="858" t="str">
        <f>INDEX('COPY ELECTRONIC TB HERE'!$B$2:$B$449,MATCH('Linked TB'!A583,'COPY ELECTRONIC TB HERE'!$A$2:$A$449,0))</f>
        <v xml:space="preserve">    DEPREC-TOOL SHOP &amp; MISC EQ</v>
      </c>
      <c r="C583" s="878">
        <v>0</v>
      </c>
      <c r="D583" s="879">
        <f t="shared" si="79"/>
        <v>1.26</v>
      </c>
      <c r="E583" s="881">
        <f>INDEX('COPY ELECTRONIC TB HERE'!$D$2:$D$449,MATCH('Linked TB'!A583,'COPY ELECTRONIC TB HERE'!$A$2:$A$449,0))</f>
        <v>1.26</v>
      </c>
      <c r="F583" s="888">
        <f t="shared" si="80"/>
        <v>0</v>
      </c>
      <c r="G583" s="881">
        <f t="shared" si="75"/>
        <v>1.26</v>
      </c>
      <c r="H583" s="882" t="s">
        <v>503</v>
      </c>
    </row>
    <row r="584" spans="1:11">
      <c r="A584" s="877">
        <v>6840</v>
      </c>
      <c r="B584" s="858" t="str">
        <f>INDEX('COPY ELECTRONIC TB HERE'!$B$2:$B$449,MATCH('Linked TB'!A584,'COPY ELECTRONIC TB HERE'!$A$2:$A$449,0))</f>
        <v xml:space="preserve">    DEPREC-LABORATORY EQPT</v>
      </c>
      <c r="C584" s="878">
        <v>0</v>
      </c>
      <c r="D584" s="879">
        <f t="shared" si="79"/>
        <v>2.89</v>
      </c>
      <c r="E584" s="881">
        <f>INDEX('COPY ELECTRONIC TB HERE'!$D$2:$D$449,MATCH('Linked TB'!A584,'COPY ELECTRONIC TB HERE'!$A$2:$A$449,0))</f>
        <v>2.89</v>
      </c>
      <c r="F584" s="888">
        <f t="shared" si="80"/>
        <v>0</v>
      </c>
      <c r="G584" s="881">
        <f t="shared" si="75"/>
        <v>2.89</v>
      </c>
      <c r="H584" s="882" t="s">
        <v>503</v>
      </c>
    </row>
    <row r="585" spans="1:11">
      <c r="A585" s="877">
        <v>6845</v>
      </c>
      <c r="B585" s="858" t="str">
        <f>INDEX('COPY ELECTRONIC TB HERE'!$B$2:$B$449,MATCH('Linked TB'!A585,'COPY ELECTRONIC TB HERE'!$A$2:$A$449,0))</f>
        <v xml:space="preserve">    DEPREC-POWER OPERATED EQUI</v>
      </c>
      <c r="C585" s="878">
        <v>0</v>
      </c>
      <c r="D585" s="879">
        <f t="shared" si="79"/>
        <v>0</v>
      </c>
      <c r="E585" s="881">
        <f>INDEX('COPY ELECTRONIC TB HERE'!$D$2:$D$449,MATCH('Linked TB'!A585,'COPY ELECTRONIC TB HERE'!$A$2:$A$449,0))</f>
        <v>0</v>
      </c>
      <c r="F585" s="888">
        <f t="shared" si="80"/>
        <v>0</v>
      </c>
      <c r="G585" s="881">
        <f t="shared" si="75"/>
        <v>0</v>
      </c>
      <c r="H585" s="882" t="s">
        <v>503</v>
      </c>
    </row>
    <row r="586" spans="1:11">
      <c r="A586" s="877">
        <v>6850</v>
      </c>
      <c r="B586" s="858" t="str">
        <f>INDEX('COPY ELECTRONIC TB HERE'!$B$2:$B$449,MATCH('Linked TB'!A586,'COPY ELECTRONIC TB HERE'!$A$2:$A$449,0))</f>
        <v xml:space="preserve">    DEPREC-COMMUNICATION EQPT</v>
      </c>
      <c r="C586" s="878">
        <v>0</v>
      </c>
      <c r="D586" s="879">
        <f t="shared" si="79"/>
        <v>0</v>
      </c>
      <c r="E586" s="881">
        <f>INDEX('COPY ELECTRONIC TB HERE'!$D$2:$D$449,MATCH('Linked TB'!A586,'COPY ELECTRONIC TB HERE'!$A$2:$A$449,0))</f>
        <v>0</v>
      </c>
      <c r="F586" s="888">
        <f t="shared" si="80"/>
        <v>0</v>
      </c>
      <c r="G586" s="881">
        <f t="shared" si="75"/>
        <v>0</v>
      </c>
      <c r="H586" s="882" t="s">
        <v>503</v>
      </c>
    </row>
    <row r="587" spans="1:11">
      <c r="A587" s="877">
        <v>6855</v>
      </c>
      <c r="B587" s="858" t="str">
        <f>INDEX('COPY ELECTRONIC TB HERE'!$B$2:$B$449,MATCH('Linked TB'!A587,'COPY ELECTRONIC TB HERE'!$A$2:$A$449,0))</f>
        <v xml:space="preserve">    DEPREC-MISC EQUIP SEWER</v>
      </c>
      <c r="C587" s="878">
        <v>0</v>
      </c>
      <c r="D587" s="879">
        <f t="shared" si="79"/>
        <v>0</v>
      </c>
      <c r="E587" s="881">
        <f>INDEX('COPY ELECTRONIC TB HERE'!$D$2:$D$449,MATCH('Linked TB'!A587,'COPY ELECTRONIC TB HERE'!$A$2:$A$449,0))</f>
        <v>0</v>
      </c>
      <c r="F587" s="888">
        <f t="shared" si="80"/>
        <v>0</v>
      </c>
      <c r="G587" s="881">
        <f t="shared" si="75"/>
        <v>0</v>
      </c>
      <c r="H587" s="882" t="s">
        <v>503</v>
      </c>
    </row>
    <row r="588" spans="1:11">
      <c r="A588" s="877">
        <v>6885</v>
      </c>
      <c r="B588" s="858" t="str">
        <f>INDEX('COPY ELECTRONIC TB HERE'!$B$2:$B$449,MATCH('Linked TB'!A588,'COPY ELECTRONIC TB HERE'!$A$2:$A$449,0))</f>
        <v xml:space="preserve">    DEPREC-REUSE DIST RESERVOI</v>
      </c>
      <c r="C588" s="878">
        <v>0</v>
      </c>
      <c r="D588" s="879">
        <f t="shared" si="79"/>
        <v>0</v>
      </c>
      <c r="E588" s="881">
        <f>INDEX('COPY ELECTRONIC TB HERE'!$D$2:$D$449,MATCH('Linked TB'!A588,'COPY ELECTRONIC TB HERE'!$A$2:$A$449,0))</f>
        <v>0</v>
      </c>
      <c r="F588" s="888">
        <f t="shared" si="80"/>
        <v>0</v>
      </c>
      <c r="G588" s="881">
        <f t="shared" si="75"/>
        <v>0</v>
      </c>
      <c r="H588" s="882" t="s">
        <v>503</v>
      </c>
    </row>
    <row r="589" spans="1:11">
      <c r="A589" s="877">
        <v>6890</v>
      </c>
      <c r="B589" s="858" t="str">
        <f>INDEX('COPY ELECTRONIC TB HERE'!$B$2:$B$449,MATCH('Linked TB'!A589,'COPY ELECTRONIC TB HERE'!$A$2:$A$449,0))</f>
        <v xml:space="preserve">    DEPREC-REUSE TRANSM / DIST</v>
      </c>
      <c r="C589" s="878">
        <v>0</v>
      </c>
      <c r="D589" s="879">
        <f t="shared" si="79"/>
        <v>7.2</v>
      </c>
      <c r="E589" s="881">
        <f>INDEX('COPY ELECTRONIC TB HERE'!$D$2:$D$449,MATCH('Linked TB'!A589,'COPY ELECTRONIC TB HERE'!$A$2:$A$449,0))</f>
        <v>7.2</v>
      </c>
      <c r="F589" s="888">
        <f t="shared" si="80"/>
        <v>0</v>
      </c>
      <c r="G589" s="881">
        <f t="shared" si="75"/>
        <v>7.2</v>
      </c>
      <c r="H589" s="882" t="s">
        <v>503</v>
      </c>
    </row>
    <row r="590" spans="1:11" ht="5.0999999999999996" customHeight="1">
      <c r="A590" s="877"/>
      <c r="C590" s="885">
        <v>0</v>
      </c>
      <c r="D590" s="886">
        <v>0</v>
      </c>
      <c r="E590" s="887">
        <v>0</v>
      </c>
      <c r="F590" s="893">
        <v>0</v>
      </c>
      <c r="G590" s="887">
        <v>0</v>
      </c>
      <c r="H590" s="882"/>
    </row>
    <row r="591" spans="1:11">
      <c r="A591" s="877" t="s">
        <v>1153</v>
      </c>
      <c r="B591" s="858" t="s">
        <v>1202</v>
      </c>
      <c r="C591" s="888">
        <f>SUM(C539:C590)</f>
        <v>183069.18999999997</v>
      </c>
      <c r="D591" s="881">
        <f>SUM(D539:D590)</f>
        <v>353.25999999999993</v>
      </c>
      <c r="E591" s="881">
        <f>SUM(E539:E590)</f>
        <v>183422.45000000004</v>
      </c>
      <c r="F591" s="888">
        <f>SUM(F539:F590)</f>
        <v>183069.18999999997</v>
      </c>
      <c r="G591" s="881">
        <f>SUM(G539:G590)</f>
        <v>353.25999999999993</v>
      </c>
      <c r="H591" s="882"/>
      <c r="J591" s="883">
        <v>175832.35999999996</v>
      </c>
      <c r="K591" s="883">
        <f>+E591-J591</f>
        <v>7590.0900000000838</v>
      </c>
    </row>
    <row r="592" spans="1:11">
      <c r="A592" s="877"/>
      <c r="C592" s="888"/>
      <c r="D592" s="881"/>
      <c r="E592" s="881"/>
      <c r="F592" s="888"/>
      <c r="G592" s="881"/>
      <c r="H592" s="882"/>
    </row>
    <row r="593" spans="1:11">
      <c r="A593" s="877">
        <v>6905</v>
      </c>
      <c r="B593" s="858" t="str">
        <f>INDEX('COPY ELECTRONIC TB HERE'!$B$2:$B$449,MATCH('Linked TB'!A593,'COPY ELECTRONIC TB HERE'!$A$2:$A$449,0))</f>
        <v xml:space="preserve">    DEPREC-AUTO TRANS</v>
      </c>
      <c r="C593" s="878">
        <v>0</v>
      </c>
      <c r="D593" s="879">
        <f>+E593</f>
        <v>44620.58</v>
      </c>
      <c r="E593" s="881">
        <f>INDEX('COPY ELECTRONIC TB HERE'!$D$2:$D$449,MATCH('Linked TB'!A593,'COPY ELECTRONIC TB HERE'!$A$2:$A$449,0))</f>
        <v>44620.58</v>
      </c>
      <c r="F593" s="888">
        <f>+IF(UPPER(H593)="ACTUAL",C593,INDEX(ALLOCATION_TABLE,MATCH(UPPER(H593),INDEX(ALLOCATION_TABLE,0,1),0),5)*E593)</f>
        <v>0</v>
      </c>
      <c r="G593" s="881">
        <f>+E593-F593</f>
        <v>44620.58</v>
      </c>
      <c r="H593" s="882" t="s">
        <v>503</v>
      </c>
    </row>
    <row r="594" spans="1:11" ht="4.5" customHeight="1">
      <c r="A594" s="877"/>
      <c r="C594" s="885">
        <v>0</v>
      </c>
      <c r="D594" s="886">
        <v>0</v>
      </c>
      <c r="E594" s="887">
        <v>0</v>
      </c>
      <c r="F594" s="893">
        <v>0</v>
      </c>
      <c r="G594" s="887">
        <v>0</v>
      </c>
      <c r="H594" s="882"/>
    </row>
    <row r="595" spans="1:11">
      <c r="A595" s="877" t="s">
        <v>1153</v>
      </c>
      <c r="C595" s="888">
        <f>SUM(C593:C594)</f>
        <v>0</v>
      </c>
      <c r="D595" s="881">
        <f>SUM(D593:D594)</f>
        <v>44620.58</v>
      </c>
      <c r="E595" s="881">
        <f>SUM(E593:E594)</f>
        <v>44620.58</v>
      </c>
      <c r="F595" s="888">
        <f>SUM(F593:F594)</f>
        <v>0</v>
      </c>
      <c r="G595" s="881">
        <f>SUM(G593:G594)</f>
        <v>44620.58</v>
      </c>
      <c r="H595" s="880"/>
      <c r="J595" s="883">
        <v>28594.620000000003</v>
      </c>
      <c r="K595" s="883">
        <f>+E595-J595</f>
        <v>16025.96</v>
      </c>
    </row>
    <row r="596" spans="1:11">
      <c r="A596" s="877"/>
      <c r="C596" s="888"/>
      <c r="D596" s="881"/>
      <c r="E596" s="881"/>
      <c r="F596" s="888"/>
      <c r="G596" s="881"/>
      <c r="H596" s="880"/>
    </row>
    <row r="597" spans="1:11">
      <c r="A597" s="877">
        <v>6920</v>
      </c>
      <c r="B597" s="858" t="str">
        <f>INDEX('COPY ELECTRONIC TB HERE'!$B$2:$B$449,MATCH('Linked TB'!A597,'COPY ELECTRONIC TB HERE'!$A$2:$A$449,0))</f>
        <v xml:space="preserve">    DEPREC-COMPUTER</v>
      </c>
      <c r="C597" s="878">
        <v>0</v>
      </c>
      <c r="D597" s="879">
        <f>+E597</f>
        <v>88027.36</v>
      </c>
      <c r="E597" s="881">
        <f>INDEX('COPY ELECTRONIC TB HERE'!$D$2:$D$449,MATCH('Linked TB'!A597,'COPY ELECTRONIC TB HERE'!$A$2:$A$449,0))</f>
        <v>88027.36</v>
      </c>
      <c r="F597" s="888">
        <f>+IF(UPPER(H597)="ACTUAL",C597,INDEX(ALLOCATION_TABLE,MATCH(UPPER(H597),INDEX(ALLOCATION_TABLE,0,1),0),5)*E597)</f>
        <v>0</v>
      </c>
      <c r="G597" s="881">
        <f>+E597-F597</f>
        <v>88027.36</v>
      </c>
      <c r="H597" s="882" t="s">
        <v>503</v>
      </c>
    </row>
    <row r="598" spans="1:11" ht="4.5" customHeight="1">
      <c r="A598" s="877"/>
      <c r="C598" s="885">
        <v>0</v>
      </c>
      <c r="D598" s="886">
        <v>0</v>
      </c>
      <c r="E598" s="887">
        <v>0</v>
      </c>
      <c r="F598" s="893">
        <v>0</v>
      </c>
      <c r="G598" s="887">
        <v>0</v>
      </c>
      <c r="H598" s="882"/>
    </row>
    <row r="599" spans="1:11">
      <c r="A599" s="877" t="s">
        <v>1153</v>
      </c>
      <c r="C599" s="888">
        <f>SUM(C597:C598)</f>
        <v>0</v>
      </c>
      <c r="D599" s="881">
        <f>SUM(D597:D598)</f>
        <v>88027.36</v>
      </c>
      <c r="E599" s="881">
        <f>SUM(E597:E598)</f>
        <v>88027.36</v>
      </c>
      <c r="F599" s="888">
        <f>SUM(F597:F598)</f>
        <v>0</v>
      </c>
      <c r="G599" s="881">
        <f>SUM(G597:G598)</f>
        <v>88027.36</v>
      </c>
      <c r="H599" s="880"/>
      <c r="J599" s="883">
        <v>86070.079999999987</v>
      </c>
      <c r="K599" s="883">
        <f>+E599-J599</f>
        <v>1957.2800000000134</v>
      </c>
    </row>
    <row r="600" spans="1:11">
      <c r="A600" s="877"/>
      <c r="C600" s="888"/>
      <c r="D600" s="881"/>
      <c r="E600" s="881"/>
      <c r="F600" s="888"/>
      <c r="G600" s="881"/>
      <c r="H600" s="880"/>
    </row>
    <row r="601" spans="1:11">
      <c r="A601" s="877">
        <v>6960</v>
      </c>
      <c r="B601" s="858" t="str">
        <f>INDEX('COPY ELECTRONIC TB HERE'!$B$2:$B$449,MATCH('Linked TB'!A601,'COPY ELECTRONIC TB HERE'!$A$2:$A$449,0))</f>
        <v xml:space="preserve">   AMORT OF UTIL PAA-WATER</v>
      </c>
      <c r="C601" s="878">
        <v>0</v>
      </c>
      <c r="D601" s="879">
        <f>+E601</f>
        <v>-3660.48</v>
      </c>
      <c r="E601" s="881">
        <f>INDEX('COPY ELECTRONIC TB HERE'!$D$2:$D$449,MATCH('Linked TB'!A601,'COPY ELECTRONIC TB HERE'!$A$2:$A$449,0))</f>
        <v>-3660.48</v>
      </c>
      <c r="F601" s="888">
        <f>+IF(UPPER(H601)="ACTUAL",C601,INDEX(ALLOCATION_TABLE,MATCH(UPPER(H601),INDEX(ALLOCATION_TABLE,0,1),0),5)*E601)</f>
        <v>0</v>
      </c>
      <c r="G601" s="881">
        <f>+E601-F601</f>
        <v>-3660.48</v>
      </c>
      <c r="H601" s="882" t="s">
        <v>503</v>
      </c>
    </row>
    <row r="602" spans="1:11" ht="4.5" customHeight="1">
      <c r="A602" s="877"/>
      <c r="C602" s="885">
        <v>0</v>
      </c>
      <c r="D602" s="886">
        <v>0</v>
      </c>
      <c r="E602" s="887">
        <v>0</v>
      </c>
      <c r="F602" s="893">
        <v>0</v>
      </c>
      <c r="G602" s="887">
        <v>0</v>
      </c>
      <c r="H602" s="882"/>
    </row>
    <row r="603" spans="1:11">
      <c r="A603" s="877" t="s">
        <v>1153</v>
      </c>
      <c r="C603" s="888">
        <f>SUM(C601:C602)</f>
        <v>0</v>
      </c>
      <c r="D603" s="881">
        <f>SUM(D601:D602)</f>
        <v>-3660.48</v>
      </c>
      <c r="E603" s="881">
        <f>SUM(E601:E602)</f>
        <v>-3660.48</v>
      </c>
      <c r="F603" s="888">
        <f>SUM(F601:F602)</f>
        <v>0</v>
      </c>
      <c r="G603" s="881">
        <f>SUM(G601:G602)</f>
        <v>-3660.48</v>
      </c>
      <c r="H603" s="880"/>
      <c r="J603" s="883">
        <v>-3660.48</v>
      </c>
      <c r="K603" s="883">
        <f>+E603-J603</f>
        <v>0</v>
      </c>
    </row>
    <row r="604" spans="1:11">
      <c r="A604" s="877"/>
      <c r="C604" s="878"/>
      <c r="D604" s="879"/>
      <c r="E604" s="881"/>
      <c r="F604" s="888"/>
      <c r="G604" s="881"/>
      <c r="H604" s="882"/>
    </row>
    <row r="605" spans="1:11">
      <c r="A605" s="889">
        <v>7160</v>
      </c>
      <c r="B605" s="858" t="str">
        <f>INDEX('COPY ELECTRONIC TB HERE'!$B$2:$B$449,MATCH('Linked TB'!A605,'COPY ELECTRONIC TB HERE'!$A$2:$A$449,0))</f>
        <v xml:space="preserve">    AMORT-OTHER TANGIBLE PLT W</v>
      </c>
      <c r="C605" s="878">
        <f>+E605</f>
        <v>-1490.52</v>
      </c>
      <c r="D605" s="879">
        <v>0</v>
      </c>
      <c r="E605" s="881">
        <f>INDEX('COPY ELECTRONIC TB HERE'!$D$2:$D$449,MATCH('Linked TB'!A605,'COPY ELECTRONIC TB HERE'!$A$2:$A$449,0))</f>
        <v>-1490.52</v>
      </c>
      <c r="F605" s="888">
        <f>+IF(UPPER(H605)="ACTUAL",C605,INDEX(ALLOCATION_TABLE,MATCH(UPPER(H605),INDEX(ALLOCATION_TABLE,0,1),0),5)*E605)</f>
        <v>-1490.52</v>
      </c>
      <c r="G605" s="881">
        <f>+E605-F605</f>
        <v>0</v>
      </c>
      <c r="H605" s="882" t="s">
        <v>503</v>
      </c>
    </row>
    <row r="606" spans="1:11">
      <c r="A606" s="877">
        <v>7165</v>
      </c>
      <c r="B606" s="858" t="str">
        <f>INDEX('COPY ELECTRONIC TB HERE'!$B$2:$B$449,MATCH('Linked TB'!A606,'COPY ELECTRONIC TB HERE'!$A$2:$A$449,0))</f>
        <v xml:space="preserve">    AMORT-WATER-TAP</v>
      </c>
      <c r="C606" s="878">
        <f>+E606</f>
        <v>-427.17</v>
      </c>
      <c r="D606" s="879">
        <v>0</v>
      </c>
      <c r="E606" s="881">
        <f>INDEX('COPY ELECTRONIC TB HERE'!$D$2:$D$449,MATCH('Linked TB'!A606,'COPY ELECTRONIC TB HERE'!$A$2:$A$449,0))</f>
        <v>-427.17</v>
      </c>
      <c r="F606" s="888">
        <f t="shared" ref="F606:F611" si="81">+IF(UPPER(H606)="ACTUAL",C606,INDEX(ALLOCATION_TABLE,MATCH(UPPER(H606),INDEX(ALLOCATION_TABLE,0,1),0),5)*E606)</f>
        <v>-427.17</v>
      </c>
      <c r="G606" s="881">
        <f t="shared" ref="G606:G611" si="82">+E606-F606</f>
        <v>0</v>
      </c>
      <c r="H606" s="882" t="s">
        <v>503</v>
      </c>
    </row>
    <row r="607" spans="1:11">
      <c r="A607" s="877">
        <v>7185</v>
      </c>
      <c r="B607" s="858" t="str">
        <f>INDEX('COPY ELECTRONIC TB HERE'!$B$2:$B$449,MATCH('Linked TB'!A607,'COPY ELECTRONIC TB HERE'!$A$2:$A$449,0))</f>
        <v xml:space="preserve">    AMORT-WTR PLT MTR FEE</v>
      </c>
      <c r="C607" s="878">
        <f>+E607</f>
        <v>0</v>
      </c>
      <c r="D607" s="879">
        <v>0</v>
      </c>
      <c r="E607" s="881">
        <f>INDEX('COPY ELECTRONIC TB HERE'!$D$2:$D$449,MATCH('Linked TB'!A607,'COPY ELECTRONIC TB HERE'!$A$2:$A$449,0))</f>
        <v>0</v>
      </c>
      <c r="F607" s="888">
        <f t="shared" si="81"/>
        <v>0</v>
      </c>
      <c r="G607" s="881">
        <f t="shared" si="82"/>
        <v>0</v>
      </c>
      <c r="H607" s="882" t="s">
        <v>503</v>
      </c>
    </row>
    <row r="608" spans="1:11">
      <c r="A608" s="877">
        <v>7225</v>
      </c>
      <c r="B608" s="858" t="str">
        <f>INDEX('COPY ELECTRONIC TB HERE'!$B$2:$B$449,MATCH('Linked TB'!A608,'COPY ELECTRONIC TB HERE'!$A$2:$A$449,0))</f>
        <v xml:space="preserve">    AMORT-STRUCT/IMPRV PUMP PL</v>
      </c>
      <c r="C608" s="878">
        <v>0</v>
      </c>
      <c r="D608" s="879">
        <f>+E608</f>
        <v>0</v>
      </c>
      <c r="E608" s="881">
        <f>INDEX('COPY ELECTRONIC TB HERE'!$D$2:$D$449,MATCH('Linked TB'!A608,'COPY ELECTRONIC TB HERE'!$A$2:$A$449,0))</f>
        <v>0</v>
      </c>
      <c r="F608" s="888">
        <f t="shared" si="81"/>
        <v>0</v>
      </c>
      <c r="G608" s="881">
        <f t="shared" si="82"/>
        <v>0</v>
      </c>
      <c r="H608" s="882" t="s">
        <v>503</v>
      </c>
    </row>
    <row r="609" spans="1:19">
      <c r="A609" s="877">
        <v>7245</v>
      </c>
      <c r="B609" s="858" t="str">
        <f>INDEX('COPY ELECTRONIC TB HERE'!$B$2:$B$449,MATCH('Linked TB'!A609,'COPY ELECTRONIC TB HERE'!$A$2:$A$449,0))</f>
        <v xml:space="preserve">    AMORT-STRUCT/IMPRV GEN PLT</v>
      </c>
      <c r="C609" s="878">
        <v>0</v>
      </c>
      <c r="D609" s="879">
        <f>+E609</f>
        <v>0</v>
      </c>
      <c r="E609" s="881">
        <f>INDEX('COPY ELECTRONIC TB HERE'!$D$2:$D$449,MATCH('Linked TB'!A609,'COPY ELECTRONIC TB HERE'!$A$2:$A$449,0))</f>
        <v>0</v>
      </c>
      <c r="F609" s="888">
        <f t="shared" si="81"/>
        <v>0</v>
      </c>
      <c r="G609" s="881">
        <f t="shared" si="82"/>
        <v>0</v>
      </c>
      <c r="H609" s="882" t="s">
        <v>503</v>
      </c>
    </row>
    <row r="610" spans="1:19">
      <c r="A610" s="877">
        <v>7275</v>
      </c>
      <c r="B610" s="858" t="str">
        <f>INDEX('COPY ELECTRONIC TB HERE'!$B$2:$B$449,MATCH('Linked TB'!A610,'COPY ELECTRONIC TB HERE'!$A$2:$A$449,0))</f>
        <v xml:space="preserve">    AMORT-SEWER FORCE MAIN/SRV</v>
      </c>
      <c r="C610" s="878">
        <v>0</v>
      </c>
      <c r="D610" s="879">
        <f>+E610</f>
        <v>0</v>
      </c>
      <c r="E610" s="881">
        <f>INDEX('COPY ELECTRONIC TB HERE'!$D$2:$D$449,MATCH('Linked TB'!A610,'COPY ELECTRONIC TB HERE'!$A$2:$A$449,0))</f>
        <v>0</v>
      </c>
      <c r="F610" s="888">
        <f t="shared" si="81"/>
        <v>0</v>
      </c>
      <c r="G610" s="881">
        <f t="shared" si="82"/>
        <v>0</v>
      </c>
      <c r="H610" s="882" t="s">
        <v>503</v>
      </c>
    </row>
    <row r="611" spans="1:19">
      <c r="A611" s="877">
        <v>7280</v>
      </c>
      <c r="B611" s="858" t="str">
        <f>INDEX('COPY ELECTRONIC TB HERE'!$B$2:$B$449,MATCH('Linked TB'!A611,'COPY ELECTRONIC TB HERE'!$A$2:$A$449,0))</f>
        <v xml:space="preserve">    AMORT-SEWER GRAVITY MAIN</v>
      </c>
      <c r="C611" s="878">
        <v>0</v>
      </c>
      <c r="D611" s="879">
        <f>+E611</f>
        <v>0</v>
      </c>
      <c r="E611" s="881">
        <f>INDEX('COPY ELECTRONIC TB HERE'!$D$2:$D$449,MATCH('Linked TB'!A611,'COPY ELECTRONIC TB HERE'!$A$2:$A$449,0))</f>
        <v>0</v>
      </c>
      <c r="F611" s="888">
        <f t="shared" si="81"/>
        <v>0</v>
      </c>
      <c r="G611" s="881">
        <f t="shared" si="82"/>
        <v>0</v>
      </c>
      <c r="H611" s="882" t="s">
        <v>503</v>
      </c>
    </row>
    <row r="612" spans="1:19" ht="5.0999999999999996" customHeight="1">
      <c r="A612" s="877"/>
      <c r="C612" s="885">
        <v>0</v>
      </c>
      <c r="D612" s="886">
        <v>0</v>
      </c>
      <c r="E612" s="887">
        <v>0</v>
      </c>
      <c r="F612" s="893">
        <v>0</v>
      </c>
      <c r="G612" s="887">
        <v>0</v>
      </c>
      <c r="H612" s="882"/>
    </row>
    <row r="613" spans="1:19">
      <c r="A613" s="877" t="s">
        <v>1153</v>
      </c>
      <c r="B613" s="858" t="s">
        <v>1203</v>
      </c>
      <c r="C613" s="888">
        <f>SUM(C605:C612)</f>
        <v>-1917.69</v>
      </c>
      <c r="D613" s="881">
        <f>SUM(D605:D612)</f>
        <v>0</v>
      </c>
      <c r="E613" s="881">
        <f>SUM(E605:E612)</f>
        <v>-1917.69</v>
      </c>
      <c r="F613" s="888">
        <f>SUM(F605:F612)</f>
        <v>-1917.69</v>
      </c>
      <c r="G613" s="881">
        <f>SUM(G605:G612)</f>
        <v>0</v>
      </c>
      <c r="H613" s="882"/>
      <c r="J613" s="883">
        <v>-1536.46</v>
      </c>
      <c r="K613" s="883">
        <f>+E613-J613</f>
        <v>-381.23</v>
      </c>
    </row>
    <row r="614" spans="1:19">
      <c r="A614" s="877"/>
      <c r="C614" s="878"/>
      <c r="D614" s="879"/>
      <c r="E614" s="881"/>
      <c r="F614" s="888"/>
      <c r="G614" s="881"/>
      <c r="H614" s="882"/>
    </row>
    <row r="615" spans="1:19">
      <c r="A615" s="889">
        <v>7510</v>
      </c>
      <c r="B615" s="858" t="str">
        <f>INDEX('COPY ELECTRONIC TB HERE'!$B$2:$B$449,MATCH('Linked TB'!A615,'COPY ELECTRONIC TB HERE'!$A$2:$A$449,0))</f>
        <v xml:space="preserve">    FICA EXPENSE</v>
      </c>
      <c r="C615" s="878">
        <v>0</v>
      </c>
      <c r="D615" s="879">
        <v>0</v>
      </c>
      <c r="E615" s="881">
        <f>INDEX('COPY ELECTRONIC TB HERE'!$D$2:$D$449,MATCH('Linked TB'!A615,'COPY ELECTRONIC TB HERE'!$A$2:$A$449,0))</f>
        <v>42157.369999999995</v>
      </c>
      <c r="F615" s="888">
        <f>+IF(UPPER(H615)="ACTUAL",C615,INDEX(ALLOCATION_TABLE,MATCH(UPPER(H615),INDEX(ALLOCATION_TABLE,0,1),0),5)*E615)</f>
        <v>42157.369999999995</v>
      </c>
      <c r="G615" s="881">
        <f>+E615-F615</f>
        <v>0</v>
      </c>
      <c r="H615" s="882" t="s">
        <v>892</v>
      </c>
    </row>
    <row r="616" spans="1:19">
      <c r="A616" s="889">
        <v>7515</v>
      </c>
      <c r="B616" s="858" t="str">
        <f>INDEX('COPY ELECTRONIC TB HERE'!$B$2:$B$449,MATCH('Linked TB'!A616,'COPY ELECTRONIC TB HERE'!$A$2:$A$449,0))</f>
        <v xml:space="preserve">    FEDERAL UNEMPLOYMENT TAX</v>
      </c>
      <c r="C616" s="878">
        <v>0</v>
      </c>
      <c r="D616" s="879">
        <v>0</v>
      </c>
      <c r="E616" s="881">
        <f>INDEX('COPY ELECTRONIC TB HERE'!$D$2:$D$449,MATCH('Linked TB'!A616,'COPY ELECTRONIC TB HERE'!$A$2:$A$449,0))</f>
        <v>792.34</v>
      </c>
      <c r="F616" s="888">
        <f>+IF(UPPER(H616)="ACTUAL",C616,INDEX(ALLOCATION_TABLE,MATCH(UPPER(H616),INDEX(ALLOCATION_TABLE,0,1),0),5)*E616)</f>
        <v>792.34</v>
      </c>
      <c r="G616" s="881">
        <f>+E616-F616</f>
        <v>0</v>
      </c>
      <c r="H616" s="882" t="s">
        <v>892</v>
      </c>
    </row>
    <row r="617" spans="1:19">
      <c r="A617" s="889">
        <v>7520</v>
      </c>
      <c r="B617" s="858" t="str">
        <f>INDEX('COPY ELECTRONIC TB HERE'!$B$2:$B$449,MATCH('Linked TB'!A617,'COPY ELECTRONIC TB HERE'!$A$2:$A$449,0))</f>
        <v xml:space="preserve">    STATE UNEMPLOYMENT TAX</v>
      </c>
      <c r="C617" s="878">
        <v>0</v>
      </c>
      <c r="D617" s="879">
        <v>0</v>
      </c>
      <c r="E617" s="881">
        <f>INDEX('COPY ELECTRONIC TB HERE'!$D$2:$D$449,MATCH('Linked TB'!A617,'COPY ELECTRONIC TB HERE'!$A$2:$A$449,0))</f>
        <v>6504.2000000000007</v>
      </c>
      <c r="F617" s="888">
        <f>+IF(UPPER(H617)="ACTUAL",C617,INDEX(ALLOCATION_TABLE,MATCH(UPPER(H617),INDEX(ALLOCATION_TABLE,0,1),0),5)*E617)</f>
        <v>6504.2000000000007</v>
      </c>
      <c r="G617" s="881">
        <f>+E617-F617</f>
        <v>0</v>
      </c>
      <c r="H617" s="882" t="s">
        <v>892</v>
      </c>
    </row>
    <row r="618" spans="1:19" ht="5.0999999999999996" customHeight="1">
      <c r="A618" s="877"/>
      <c r="C618" s="885">
        <v>0</v>
      </c>
      <c r="D618" s="886">
        <v>0</v>
      </c>
      <c r="E618" s="887">
        <v>0</v>
      </c>
      <c r="F618" s="893">
        <v>0</v>
      </c>
      <c r="G618" s="887">
        <v>0</v>
      </c>
      <c r="H618" s="882"/>
    </row>
    <row r="619" spans="1:19">
      <c r="A619" s="877" t="s">
        <v>1153</v>
      </c>
      <c r="B619" s="858" t="s">
        <v>1204</v>
      </c>
      <c r="C619" s="888">
        <f>SUM(C615:C618)</f>
        <v>0</v>
      </c>
      <c r="D619" s="881">
        <f>SUM(D615:D618)</f>
        <v>0</v>
      </c>
      <c r="E619" s="881">
        <f>SUM(E615:E618)</f>
        <v>49453.909999999989</v>
      </c>
      <c r="F619" s="888">
        <f>SUM(F615:F618)</f>
        <v>49453.909999999989</v>
      </c>
      <c r="G619" s="881">
        <f>SUM(G615:G618)</f>
        <v>0</v>
      </c>
      <c r="H619" s="882"/>
      <c r="J619" s="883">
        <v>51022.630000000005</v>
      </c>
      <c r="K619" s="883">
        <f>+E619-J619</f>
        <v>-1568.7200000000157</v>
      </c>
    </row>
    <row r="620" spans="1:19" ht="13.5">
      <c r="A620" s="877"/>
      <c r="C620" s="878"/>
      <c r="D620" s="879"/>
      <c r="E620" s="881"/>
      <c r="F620" s="888"/>
      <c r="G620" s="881"/>
      <c r="H620" s="882"/>
      <c r="M620" s="1755"/>
      <c r="N620" s="476"/>
      <c r="O620" s="476"/>
      <c r="P620" s="476"/>
      <c r="Q620" s="1756"/>
      <c r="R620" s="1757"/>
      <c r="S620" s="1757"/>
    </row>
    <row r="621" spans="1:19" ht="13.5">
      <c r="A621" s="877">
        <v>7535</v>
      </c>
      <c r="B621" s="858" t="str">
        <f>INDEX('COPY ELECTRONIC TB HERE'!$B$2:$B$449,MATCH('Linked TB'!A621,'COPY ELECTRONIC TB HERE'!$A$2:$A$449,0))</f>
        <v xml:space="preserve">    FRANCHISE TAX</v>
      </c>
      <c r="C621" s="878">
        <v>0</v>
      </c>
      <c r="D621" s="879">
        <v>0</v>
      </c>
      <c r="E621" s="881">
        <f>INDEX('COPY ELECTRONIC TB HERE'!$D$2:$D$449,MATCH('Linked TB'!A621,'COPY ELECTRONIC TB HERE'!$A$2:$A$449,0))</f>
        <v>7782.6900000000005</v>
      </c>
      <c r="F621" s="888">
        <f t="shared" ref="F621:F626" si="83">+IF(UPPER(H621)="ACTUAL",C621,INDEX(ALLOCATION_TABLE,MATCH(UPPER(H621),INDEX(ALLOCATION_TABLE,0,1),0),5)*E621)</f>
        <v>7782.6900000000005</v>
      </c>
      <c r="G621" s="881">
        <f t="shared" ref="G621:G626" si="84">+E621-F621</f>
        <v>0</v>
      </c>
      <c r="H621" s="882" t="s">
        <v>892</v>
      </c>
      <c r="M621" s="1755"/>
      <c r="N621" s="476"/>
      <c r="O621" s="476"/>
      <c r="P621" s="476"/>
      <c r="Q621" s="1756"/>
      <c r="R621" s="1757"/>
      <c r="S621" s="1757"/>
    </row>
    <row r="622" spans="1:19" ht="13.5">
      <c r="A622" s="877">
        <v>7540</v>
      </c>
      <c r="B622" s="858" t="str">
        <f>INDEX('COPY ELECTRONIC TB HERE'!$B$2:$B$449,MATCH('Linked TB'!A622,'COPY ELECTRONIC TB HERE'!$A$2:$A$449,0))</f>
        <v xml:space="preserve">    GROSS RECEIPTS TAX</v>
      </c>
      <c r="C622" s="878">
        <v>0</v>
      </c>
      <c r="D622" s="879">
        <v>0</v>
      </c>
      <c r="E622" s="881">
        <f>INDEX('COPY ELECTRONIC TB HERE'!$D$2:$D$449,MATCH('Linked TB'!A622,'COPY ELECTRONIC TB HERE'!$A$2:$A$449,0))</f>
        <v>0</v>
      </c>
      <c r="F622" s="888">
        <f t="shared" si="83"/>
        <v>0</v>
      </c>
      <c r="G622" s="881">
        <f t="shared" si="84"/>
        <v>0</v>
      </c>
      <c r="H622" s="882" t="s">
        <v>504</v>
      </c>
      <c r="M622" s="1755"/>
      <c r="N622" s="476"/>
      <c r="O622" s="476"/>
      <c r="P622" s="476"/>
      <c r="Q622" s="1757"/>
      <c r="R622" s="1756"/>
      <c r="S622" s="1757"/>
    </row>
    <row r="623" spans="1:19" ht="13.5">
      <c r="A623" s="877">
        <v>7545</v>
      </c>
      <c r="B623" s="858" t="str">
        <f>INDEX('COPY ELECTRONIC TB HERE'!$B$2:$B$449,MATCH('Linked TB'!A623,'COPY ELECTRONIC TB HERE'!$A$2:$A$449,0))</f>
        <v xml:space="preserve">    PERSONAL PROPERTY/ICT TAX</v>
      </c>
      <c r="C623" s="878">
        <v>0</v>
      </c>
      <c r="D623" s="879">
        <v>0</v>
      </c>
      <c r="E623" s="881">
        <f>INDEX('COPY ELECTRONIC TB HERE'!$D$2:$D$449,MATCH('Linked TB'!A623,'COPY ELECTRONIC TB HERE'!$A$2:$A$449,0))</f>
        <v>23070.71</v>
      </c>
      <c r="F623" s="888">
        <f t="shared" si="83"/>
        <v>23070.71</v>
      </c>
      <c r="G623" s="881">
        <f t="shared" si="84"/>
        <v>0</v>
      </c>
      <c r="H623" s="882" t="s">
        <v>504</v>
      </c>
      <c r="M623" s="1755"/>
      <c r="N623" s="476"/>
      <c r="O623" s="476"/>
      <c r="P623" s="476"/>
      <c r="Q623" s="1757"/>
      <c r="R623" s="1756"/>
      <c r="S623" s="1757"/>
    </row>
    <row r="624" spans="1:19" ht="13.5">
      <c r="A624" s="877">
        <v>7550</v>
      </c>
      <c r="B624" s="858" t="str">
        <f>INDEX('COPY ELECTRONIC TB HERE'!$B$2:$B$449,MATCH('Linked TB'!A624,'COPY ELECTRONIC TB HERE'!$A$2:$A$449,0))</f>
        <v xml:space="preserve">    PROPERTY/OTHER GENERAL TAX</v>
      </c>
      <c r="C624" s="878">
        <v>0</v>
      </c>
      <c r="D624" s="879">
        <v>0</v>
      </c>
      <c r="E624" s="881">
        <f>INDEX('COPY ELECTRONIC TB HERE'!$D$2:$D$449,MATCH('Linked TB'!A624,'COPY ELECTRONIC TB HERE'!$A$2:$A$449,0))</f>
        <v>-1.0900000000000001</v>
      </c>
      <c r="F624" s="888">
        <f t="shared" si="83"/>
        <v>-1.0900000000000001</v>
      </c>
      <c r="G624" s="881">
        <f t="shared" si="84"/>
        <v>0</v>
      </c>
      <c r="H624" s="882" t="s">
        <v>504</v>
      </c>
      <c r="M624" s="1755"/>
      <c r="N624" s="476"/>
      <c r="O624" s="476"/>
      <c r="P624" s="476"/>
      <c r="Q624" s="1757"/>
      <c r="R624" s="1756"/>
      <c r="S624" s="1757"/>
    </row>
    <row r="625" spans="1:19" ht="13.5">
      <c r="A625" s="877">
        <v>7555</v>
      </c>
      <c r="B625" s="858" t="str">
        <f>INDEX('COPY ELECTRONIC TB HERE'!$B$2:$B$449,MATCH('Linked TB'!A625,'COPY ELECTRONIC TB HERE'!$A$2:$A$449,0))</f>
        <v xml:space="preserve">    REAL ESTATE TAX</v>
      </c>
      <c r="C625" s="878">
        <v>0</v>
      </c>
      <c r="D625" s="879">
        <v>0</v>
      </c>
      <c r="E625" s="881">
        <f>INDEX('COPY ELECTRONIC TB HERE'!$D$2:$D$449,MATCH('Linked TB'!A625,'COPY ELECTRONIC TB HERE'!$A$2:$A$449,0))</f>
        <v>51539.39</v>
      </c>
      <c r="F625" s="888">
        <f t="shared" si="83"/>
        <v>51539.39</v>
      </c>
      <c r="G625" s="881">
        <f t="shared" si="84"/>
        <v>0</v>
      </c>
      <c r="H625" s="882" t="s">
        <v>504</v>
      </c>
      <c r="M625" s="1755"/>
      <c r="N625" s="476"/>
      <c r="O625" s="476"/>
      <c r="P625" s="476"/>
      <c r="Q625" s="1757"/>
      <c r="R625" s="1757"/>
      <c r="S625" s="1756"/>
    </row>
    <row r="626" spans="1:19" ht="13.5">
      <c r="A626" s="877">
        <v>7570</v>
      </c>
      <c r="B626" s="858" t="str">
        <f>INDEX('COPY ELECTRONIC TB HERE'!$B$2:$B$449,MATCH('Linked TB'!A626,'COPY ELECTRONIC TB HERE'!$A$2:$A$449,0))</f>
        <v xml:space="preserve">    UTILITY/COMMISSION TAX</v>
      </c>
      <c r="C626" s="878">
        <v>0</v>
      </c>
      <c r="D626" s="879">
        <v>0</v>
      </c>
      <c r="E626" s="881">
        <f>INDEX('COPY ELECTRONIC TB HERE'!$D$2:$D$449,MATCH('Linked TB'!A626,'COPY ELECTRONIC TB HERE'!$A$2:$A$449,0))</f>
        <v>3919.74</v>
      </c>
      <c r="F626" s="888">
        <f t="shared" si="83"/>
        <v>3919.74</v>
      </c>
      <c r="G626" s="881">
        <f t="shared" si="84"/>
        <v>0</v>
      </c>
      <c r="H626" s="882" t="s">
        <v>892</v>
      </c>
      <c r="M626" s="1755"/>
      <c r="N626" s="476"/>
      <c r="O626" s="476"/>
      <c r="P626" s="476"/>
      <c r="Q626" s="1757"/>
      <c r="R626" s="1756"/>
      <c r="S626" s="1757"/>
    </row>
    <row r="627" spans="1:19" ht="5.0999999999999996" customHeight="1">
      <c r="A627" s="877"/>
      <c r="C627" s="885">
        <v>0</v>
      </c>
      <c r="D627" s="886">
        <v>0</v>
      </c>
      <c r="E627" s="887">
        <v>0</v>
      </c>
      <c r="F627" s="893">
        <v>0</v>
      </c>
      <c r="G627" s="887">
        <v>0</v>
      </c>
      <c r="H627" s="882"/>
      <c r="M627" s="1755"/>
      <c r="N627" s="476"/>
      <c r="O627" s="476"/>
      <c r="P627" s="476"/>
      <c r="Q627" s="1757"/>
      <c r="R627" s="1756"/>
      <c r="S627" s="1757"/>
    </row>
    <row r="628" spans="1:19" ht="13.5">
      <c r="A628" s="877" t="s">
        <v>1153</v>
      </c>
      <c r="B628" s="858" t="s">
        <v>1205</v>
      </c>
      <c r="C628" s="888">
        <f>SUM(C621:C627)</f>
        <v>0</v>
      </c>
      <c r="D628" s="881">
        <f>SUM(D621:D627)</f>
        <v>0</v>
      </c>
      <c r="E628" s="881">
        <f>SUM(E621:E627)</f>
        <v>86311.44</v>
      </c>
      <c r="F628" s="888">
        <f>SUM(F621:F627)</f>
        <v>86311.44</v>
      </c>
      <c r="G628" s="881">
        <f>SUM(G621:G627)</f>
        <v>0</v>
      </c>
      <c r="H628" s="882"/>
      <c r="J628" s="883">
        <v>94427.38</v>
      </c>
      <c r="K628" s="883">
        <f>+E628-J628</f>
        <v>-8115.9400000000023</v>
      </c>
      <c r="M628" s="1758"/>
      <c r="N628" s="476"/>
      <c r="O628" s="476"/>
      <c r="P628" s="476"/>
      <c r="Q628" s="1757"/>
      <c r="R628" s="1757"/>
    </row>
    <row r="629" spans="1:19">
      <c r="A629" s="877"/>
      <c r="C629" s="878"/>
      <c r="D629" s="879"/>
      <c r="E629" s="881"/>
      <c r="F629" s="888"/>
      <c r="G629" s="881"/>
      <c r="H629" s="882"/>
    </row>
    <row r="630" spans="1:19">
      <c r="A630" s="889">
        <v>7595</v>
      </c>
      <c r="B630" s="858" t="str">
        <f>INDEX('COPY ELECTRONIC TB HERE'!$B$2:$B$449,MATCH('Linked TB'!A630,'COPY ELECTRONIC TB HERE'!$A$2:$A$449,0))</f>
        <v xml:space="preserve">   DEF INCOME TAX-FEDERAL</v>
      </c>
      <c r="C630" s="878">
        <v>0</v>
      </c>
      <c r="D630" s="879">
        <v>0</v>
      </c>
      <c r="E630" s="881">
        <f>INDEX('COPY ELECTRONIC TB HERE'!$D$2:$D$449,MATCH('Linked TB'!A630,'COPY ELECTRONIC TB HERE'!$A$2:$A$449,0))</f>
        <v>103426.57</v>
      </c>
      <c r="F630" s="888">
        <f>+IF(UPPER(H630)="ACTUAL",C630,INDEX(ALLOCATION_TABLE,MATCH(UPPER(H630),INDEX(ALLOCATION_TABLE,0,1),0),5)*E630)</f>
        <v>103426.57</v>
      </c>
      <c r="G630" s="881">
        <f>+E630-F630</f>
        <v>0</v>
      </c>
      <c r="H630" s="882" t="s">
        <v>892</v>
      </c>
    </row>
    <row r="631" spans="1:19">
      <c r="A631" s="889">
        <v>7600</v>
      </c>
      <c r="B631" s="858" t="str">
        <f>INDEX('COPY ELECTRONIC TB HERE'!$B$2:$B$449,MATCH('Linked TB'!A631,'COPY ELECTRONIC TB HERE'!$A$2:$A$449,0))</f>
        <v xml:space="preserve">   DEF INCOME TAXES-STATE</v>
      </c>
      <c r="C631" s="878">
        <v>0</v>
      </c>
      <c r="D631" s="879">
        <v>0</v>
      </c>
      <c r="E631" s="881">
        <f>INDEX('COPY ELECTRONIC TB HERE'!$D$2:$D$449,MATCH('Linked TB'!A631,'COPY ELECTRONIC TB HERE'!$A$2:$A$449,0))</f>
        <v>19382.5</v>
      </c>
      <c r="F631" s="888">
        <f>+IF(UPPER(H631)="ACTUAL",C631,INDEX(ALLOCATION_TABLE,MATCH(UPPER(H631),INDEX(ALLOCATION_TABLE,0,1),0),5)*E631)</f>
        <v>19382.5</v>
      </c>
      <c r="G631" s="881">
        <f>+E631-F631</f>
        <v>0</v>
      </c>
      <c r="H631" s="882" t="s">
        <v>892</v>
      </c>
    </row>
    <row r="632" spans="1:19">
      <c r="A632" s="889">
        <v>7605</v>
      </c>
      <c r="B632" s="858" t="str">
        <f>INDEX('COPY ELECTRONIC TB HERE'!$B$2:$B$449,MATCH('Linked TB'!A632,'COPY ELECTRONIC TB HERE'!$A$2:$A$449,0))</f>
        <v xml:space="preserve">   INCOME TAXES-FEDERAL</v>
      </c>
      <c r="C632" s="878">
        <v>0</v>
      </c>
      <c r="D632" s="879">
        <v>0</v>
      </c>
      <c r="E632" s="881">
        <f>INDEX('COPY ELECTRONIC TB HERE'!$D$2:$D$449,MATCH('Linked TB'!A632,'COPY ELECTRONIC TB HERE'!$A$2:$A$449,0))</f>
        <v>-79976.960000000006</v>
      </c>
      <c r="F632" s="888">
        <f>+IF(UPPER(H632)="ACTUAL",C632,INDEX(ALLOCATION_TABLE,MATCH(UPPER(H632),INDEX(ALLOCATION_TABLE,0,1),0),5)*E632)</f>
        <v>-79976.960000000006</v>
      </c>
      <c r="G632" s="881">
        <f>+E632-F632</f>
        <v>0</v>
      </c>
      <c r="H632" s="882" t="s">
        <v>892</v>
      </c>
    </row>
    <row r="633" spans="1:19">
      <c r="A633" s="889">
        <v>7610</v>
      </c>
      <c r="B633" s="858" t="str">
        <f>INDEX('COPY ELECTRONIC TB HERE'!$B$2:$B$449,MATCH('Linked TB'!A633,'COPY ELECTRONIC TB HERE'!$A$2:$A$449,0))</f>
        <v xml:space="preserve">   INCOME TAXES-STATE</v>
      </c>
      <c r="C633" s="878">
        <f t="shared" ref="C633" si="85">E633</f>
        <v>0</v>
      </c>
      <c r="D633" s="879">
        <v>0</v>
      </c>
      <c r="E633" s="881">
        <f>INDEX('COPY ELECTRONIC TB HERE'!$D$2:$D$449,MATCH('Linked TB'!A633,'COPY ELECTRONIC TB HERE'!$A$2:$A$449,0))</f>
        <v>0</v>
      </c>
      <c r="F633" s="888">
        <f>+IF(UPPER(H633)="ACTUAL",C633,INDEX(ALLOCATION_TABLE,MATCH(UPPER(H633),INDEX(ALLOCATION_TABLE,0,1),0),5)*E633)</f>
        <v>0</v>
      </c>
      <c r="G633" s="881">
        <f>+E633-F633</f>
        <v>0</v>
      </c>
      <c r="H633" s="882" t="s">
        <v>892</v>
      </c>
    </row>
    <row r="634" spans="1:19">
      <c r="A634" s="877">
        <v>7775</v>
      </c>
      <c r="B634" s="858" t="str">
        <f>INDEX('COPY ELECTRONIC TB HERE'!$B$2:$B$449,MATCH('Linked TB'!A634,'COPY ELECTRONIC TB HERE'!$A$2:$A$449,0))</f>
        <v xml:space="preserve">   CURRENT TAX-FIT-SOLD CO</v>
      </c>
      <c r="C634" s="878">
        <v>0</v>
      </c>
      <c r="D634" s="879">
        <v>0</v>
      </c>
      <c r="E634" s="881">
        <f>INDEX('COPY ELECTRONIC TB HERE'!$D$2:$D$449,MATCH('Linked TB'!A634,'COPY ELECTRONIC TB HERE'!$A$2:$A$449,0))</f>
        <v>1530</v>
      </c>
      <c r="F634" s="888">
        <f>+IF(UPPER(H634)="ACTUAL",C634,INDEX(ALLOCATION_TABLE,MATCH(UPPER(H634),INDEX(ALLOCATION_TABLE,0,1),0),5)*E634)</f>
        <v>1530</v>
      </c>
      <c r="G634" s="881">
        <f>+E634-F634</f>
        <v>0</v>
      </c>
      <c r="H634" s="882" t="s">
        <v>892</v>
      </c>
    </row>
    <row r="635" spans="1:19" ht="5.0999999999999996" customHeight="1">
      <c r="A635" s="877"/>
      <c r="C635" s="885">
        <v>0</v>
      </c>
      <c r="D635" s="886">
        <v>0</v>
      </c>
      <c r="E635" s="887">
        <v>0</v>
      </c>
      <c r="F635" s="893">
        <v>0</v>
      </c>
      <c r="G635" s="887">
        <v>0</v>
      </c>
      <c r="H635" s="882"/>
    </row>
    <row r="636" spans="1:19">
      <c r="A636" s="877" t="s">
        <v>1153</v>
      </c>
      <c r="B636" s="858" t="s">
        <v>1206</v>
      </c>
      <c r="C636" s="888">
        <f>SUM(C630:C635)</f>
        <v>0</v>
      </c>
      <c r="D636" s="881">
        <f>SUM(D630:D635)</f>
        <v>0</v>
      </c>
      <c r="E636" s="881">
        <f>SUM(E630:E635)</f>
        <v>44362.11</v>
      </c>
      <c r="F636" s="888">
        <f>SUM(F630:F635)</f>
        <v>44362.11</v>
      </c>
      <c r="G636" s="881">
        <f>SUM(G630:G635)</f>
        <v>0</v>
      </c>
      <c r="H636" s="882"/>
      <c r="J636" s="883">
        <v>-97435.77</v>
      </c>
      <c r="K636" s="883">
        <f>+E636-J636</f>
        <v>141797.88</v>
      </c>
    </row>
    <row r="637" spans="1:19">
      <c r="A637" s="877"/>
      <c r="C637" s="878"/>
      <c r="D637" s="879"/>
      <c r="E637" s="881"/>
      <c r="F637" s="888"/>
      <c r="G637" s="881"/>
      <c r="H637" s="882"/>
    </row>
    <row r="638" spans="1:19" ht="5.0999999999999996" customHeight="1">
      <c r="A638" s="877"/>
      <c r="C638" s="885"/>
      <c r="D638" s="886"/>
      <c r="E638" s="887"/>
      <c r="F638" s="893"/>
      <c r="G638" s="887"/>
      <c r="H638" s="882"/>
    </row>
    <row r="639" spans="1:19" ht="15">
      <c r="A639" s="877" t="s">
        <v>1153</v>
      </c>
      <c r="B639" s="858" t="s">
        <v>1207</v>
      </c>
      <c r="C639" s="893">
        <f>+SUMIF($A$358:$A$638,$A639,C$358:C$638)</f>
        <v>525248.03</v>
      </c>
      <c r="D639" s="887">
        <f>+SUMIF($A$358:$A$638,$A639,D$358:D$638)</f>
        <v>243231.29999999996</v>
      </c>
      <c r="E639" s="887">
        <f>+SUMIF($A$358:$A$638,$A639,E$358:E$638)</f>
        <v>2070346.76</v>
      </c>
      <c r="F639" s="893">
        <f>+SUMIF($A$358:$A$638,$A639,F$358:F$638)</f>
        <v>1827115.46</v>
      </c>
      <c r="G639" s="887">
        <f>+SUMIF($A$358:$A$638,$A639,G$358:G$638)</f>
        <v>243231.29999999996</v>
      </c>
      <c r="H639" s="882">
        <f>+F639+G639-E639</f>
        <v>0</v>
      </c>
      <c r="J639" s="883">
        <v>1930802.9499999997</v>
      </c>
      <c r="K639" s="883">
        <f>+J639-E639</f>
        <v>-139543.81000000029</v>
      </c>
    </row>
    <row r="640" spans="1:19" ht="15">
      <c r="A640" s="877"/>
      <c r="C640" s="893"/>
      <c r="D640" s="887"/>
      <c r="E640" s="887"/>
      <c r="F640" s="893"/>
      <c r="G640" s="887"/>
      <c r="H640" s="882"/>
    </row>
    <row r="641" spans="1:11" ht="15">
      <c r="A641" s="877"/>
      <c r="C641" s="893"/>
      <c r="D641" s="887"/>
      <c r="E641" s="887"/>
      <c r="F641" s="893"/>
      <c r="G641" s="887"/>
      <c r="H641" s="882"/>
    </row>
    <row r="642" spans="1:11">
      <c r="A642" s="877">
        <v>7655</v>
      </c>
      <c r="B642" s="858" t="str">
        <f>INDEX('COPY ELECTRONIC TB HERE'!$B$2:$B$449,MATCH('Linked TB'!A642,'COPY ELECTRONIC TB HERE'!$A$2:$A$449,0))</f>
        <v xml:space="preserve">    MISCELLANEOUS INC NON-UTIL</v>
      </c>
      <c r="C642" s="878">
        <v>0</v>
      </c>
      <c r="D642" s="879">
        <v>0</v>
      </c>
      <c r="E642" s="881">
        <f>INDEX('COPY ELECTRONIC TB HERE'!$D$2:$D$449,MATCH('Linked TB'!A642,'COPY ELECTRONIC TB HERE'!$A$2:$A$449,0))</f>
        <v>0</v>
      </c>
      <c r="F642" s="888">
        <f>+IF(UPPER(H642)="ACTUAL",C642,INDEX(ALLOCATION_TABLE,MATCH(UPPER(H642),INDEX(ALLOCATION_TABLE,0,1),0),5)*E642)</f>
        <v>0</v>
      </c>
      <c r="G642" s="881">
        <f>+E642-F642</f>
        <v>0</v>
      </c>
      <c r="H642" s="882" t="s">
        <v>892</v>
      </c>
    </row>
    <row r="643" spans="1:11">
      <c r="A643" s="877">
        <v>7660</v>
      </c>
      <c r="B643" s="858" t="str">
        <f>INDEX('COPY ELECTRONIC TB HERE'!$B$2:$B$449,MATCH('Linked TB'!A643,'COPY ELECTRONIC TB HERE'!$A$2:$A$449,0))</f>
        <v xml:space="preserve">    MISCELLANEOUS EXP NON-UTIL</v>
      </c>
      <c r="C643" s="878">
        <v>0</v>
      </c>
      <c r="D643" s="879">
        <v>0</v>
      </c>
      <c r="E643" s="881">
        <f>INDEX('COPY ELECTRONIC TB HERE'!$D$2:$D$449,MATCH('Linked TB'!A643,'COPY ELECTRONIC TB HERE'!$A$2:$A$449,0))</f>
        <v>0</v>
      </c>
      <c r="F643" s="888">
        <f>+IF(UPPER(H643)="ACTUAL",C643,INDEX(ALLOCATION_TABLE,MATCH(UPPER(H643),INDEX(ALLOCATION_TABLE,0,1),0),5)*E643)</f>
        <v>0</v>
      </c>
      <c r="G643" s="881">
        <f>+E643-F643</f>
        <v>0</v>
      </c>
      <c r="H643" s="882" t="s">
        <v>892</v>
      </c>
    </row>
    <row r="644" spans="1:11" ht="4.5" customHeight="1">
      <c r="A644" s="877"/>
      <c r="C644" s="885">
        <v>0</v>
      </c>
      <c r="D644" s="886">
        <v>0</v>
      </c>
      <c r="E644" s="887">
        <v>0</v>
      </c>
      <c r="F644" s="893">
        <v>0</v>
      </c>
      <c r="G644" s="887">
        <v>0</v>
      </c>
      <c r="H644" s="882"/>
    </row>
    <row r="645" spans="1:11" ht="15">
      <c r="A645" s="877" t="s">
        <v>1153</v>
      </c>
      <c r="B645" s="858" t="s">
        <v>1208</v>
      </c>
      <c r="C645" s="893">
        <f>SUM(C642:C643)</f>
        <v>0</v>
      </c>
      <c r="D645" s="887">
        <f>SUM(D642:D643)</f>
        <v>0</v>
      </c>
      <c r="E645" s="887">
        <f>SUM(E642:E643)</f>
        <v>0</v>
      </c>
      <c r="F645" s="893">
        <f>SUM(F642:F643)</f>
        <v>0</v>
      </c>
      <c r="G645" s="887">
        <f>SUM(G642:G643)</f>
        <v>0</v>
      </c>
      <c r="H645" s="882"/>
      <c r="J645" s="883">
        <v>-4032.7200000000003</v>
      </c>
      <c r="K645" s="883">
        <f>+J645-E645</f>
        <v>-4032.7200000000003</v>
      </c>
    </row>
    <row r="646" spans="1:11">
      <c r="A646" s="877"/>
      <c r="C646" s="878"/>
      <c r="D646" s="879"/>
      <c r="E646" s="881"/>
      <c r="F646" s="888"/>
      <c r="G646" s="881"/>
      <c r="H646" s="882"/>
    </row>
    <row r="647" spans="1:11">
      <c r="A647" s="877">
        <v>7680</v>
      </c>
      <c r="B647" s="858" t="str">
        <f>INDEX('COPY ELECTRONIC TB HERE'!$B$2:$B$449,MATCH('Linked TB'!A647,'COPY ELECTRONIC TB HERE'!$A$2:$A$449,0))</f>
        <v xml:space="preserve">    RENTAL INCOME</v>
      </c>
      <c r="C647" s="878">
        <v>0</v>
      </c>
      <c r="D647" s="879">
        <v>0</v>
      </c>
      <c r="E647" s="881">
        <f>INDEX('COPY ELECTRONIC TB HERE'!$D$2:$D$449,MATCH('Linked TB'!A647,'COPY ELECTRONIC TB HERE'!$A$2:$A$449,0))</f>
        <v>-1300</v>
      </c>
      <c r="F647" s="888">
        <f>+IF(UPPER(H647)="ACTUAL",C647,INDEX(ALLOCATION_TABLE,MATCH(UPPER(H647),INDEX(ALLOCATION_TABLE,0,1),0),5)*E647)</f>
        <v>-1300</v>
      </c>
      <c r="G647" s="881">
        <f>+E647-F647</f>
        <v>0</v>
      </c>
      <c r="H647" s="882" t="s">
        <v>892</v>
      </c>
    </row>
    <row r="648" spans="1:11">
      <c r="A648" s="877">
        <v>7685</v>
      </c>
      <c r="B648" s="858" t="str">
        <f>INDEX('COPY ELECTRONIC TB HERE'!$B$2:$B$449,MATCH('Linked TB'!A648,'COPY ELECTRONIC TB HERE'!$A$2:$A$449,0))</f>
        <v xml:space="preserve">    INTEREST INCOME</v>
      </c>
      <c r="C648" s="878">
        <v>0</v>
      </c>
      <c r="D648" s="879">
        <v>0</v>
      </c>
      <c r="E648" s="881">
        <f>INDEX('COPY ELECTRONIC TB HERE'!$D$2:$D$449,MATCH('Linked TB'!A648,'COPY ELECTRONIC TB HERE'!$A$2:$A$449,0))</f>
        <v>0</v>
      </c>
      <c r="F648" s="888">
        <f>+IF(UPPER(H648)="ACTUAL",C648,INDEX(ALLOCATION_TABLE,MATCH(UPPER(H648),INDEX(ALLOCATION_TABLE,0,1),0),5)*E648)</f>
        <v>0</v>
      </c>
      <c r="G648" s="881">
        <f>+E648-F648</f>
        <v>0</v>
      </c>
      <c r="H648" s="882" t="s">
        <v>892</v>
      </c>
    </row>
    <row r="649" spans="1:11">
      <c r="A649" s="877">
        <v>7765</v>
      </c>
      <c r="B649" s="858" t="str">
        <f>INDEX('COPY ELECTRONIC TB HERE'!$B$2:$B$449,MATCH('Linked TB'!A649,'COPY ELECTRONIC TB HERE'!$A$2:$A$449,0))</f>
        <v xml:space="preserve">   SALE OF UTILITY PROPERTY</v>
      </c>
      <c r="C649" s="878">
        <v>0</v>
      </c>
      <c r="D649" s="879">
        <v>0</v>
      </c>
      <c r="E649" s="881">
        <f>INDEX('COPY ELECTRONIC TB HERE'!$D$2:$D$449,MATCH('Linked TB'!A649,'COPY ELECTRONIC TB HERE'!$A$2:$A$449,0))</f>
        <v>-4500</v>
      </c>
      <c r="F649" s="888">
        <f>+IF(UPPER(H649)="ACTUAL",C649,INDEX(ALLOCATION_TABLE,MATCH(UPPER(H649),INDEX(ALLOCATION_TABLE,0,1),0),5)*E649)</f>
        <v>-4500</v>
      </c>
      <c r="G649" s="881">
        <f>+E649-F649</f>
        <v>0</v>
      </c>
      <c r="H649" s="882" t="s">
        <v>892</v>
      </c>
    </row>
    <row r="650" spans="1:11" ht="5.0999999999999996" customHeight="1">
      <c r="A650" s="877"/>
      <c r="C650" s="885">
        <v>0</v>
      </c>
      <c r="D650" s="886">
        <v>0</v>
      </c>
      <c r="E650" s="887">
        <v>0</v>
      </c>
      <c r="F650" s="893">
        <v>0</v>
      </c>
      <c r="G650" s="887">
        <v>0</v>
      </c>
      <c r="H650" s="882"/>
    </row>
    <row r="651" spans="1:11">
      <c r="A651" s="877" t="s">
        <v>1153</v>
      </c>
      <c r="B651" s="858" t="s">
        <v>1209</v>
      </c>
      <c r="C651" s="888">
        <f>SUM(C647:C650)</f>
        <v>0</v>
      </c>
      <c r="D651" s="881">
        <f>SUM(D647:D650)</f>
        <v>0</v>
      </c>
      <c r="E651" s="881">
        <f>SUM(E647:E650)</f>
        <v>-5800</v>
      </c>
      <c r="F651" s="888">
        <f>SUM(F647:F650)</f>
        <v>-5800</v>
      </c>
      <c r="G651" s="881">
        <f>SUM(G647:G650)</f>
        <v>0</v>
      </c>
      <c r="H651" s="882"/>
    </row>
    <row r="652" spans="1:11">
      <c r="A652" s="877"/>
      <c r="C652" s="878"/>
      <c r="D652" s="879"/>
      <c r="E652" s="881"/>
      <c r="F652" s="888"/>
      <c r="G652" s="881"/>
      <c r="H652" s="882"/>
    </row>
    <row r="653" spans="1:11" ht="5.0999999999999996" customHeight="1">
      <c r="A653" s="877"/>
      <c r="C653" s="885"/>
      <c r="D653" s="886"/>
      <c r="E653" s="887"/>
      <c r="F653" s="893"/>
      <c r="G653" s="887"/>
      <c r="H653" s="882"/>
    </row>
    <row r="654" spans="1:11" ht="15">
      <c r="A654" s="877" t="s">
        <v>1153</v>
      </c>
      <c r="B654" s="858" t="s">
        <v>1210</v>
      </c>
      <c r="C654" s="893">
        <f>+SUMIF($A$642:$A$653,$A654,C$642:C$653)</f>
        <v>0</v>
      </c>
      <c r="D654" s="887">
        <f>+SUMIF($A$642:$A$653,$A654,D$642:D$653)</f>
        <v>0</v>
      </c>
      <c r="E654" s="887">
        <f>+SUMIF($A$642:$A$653,$A654,E$642:E$653)</f>
        <v>-5800</v>
      </c>
      <c r="F654" s="893">
        <f>+SUMIF($A$642:$A$653,$A654,F$642:F$653)</f>
        <v>-5800</v>
      </c>
      <c r="G654" s="887">
        <f>+SUMIF($A$642:$A$653,$A654,G$642:G$653)</f>
        <v>0</v>
      </c>
      <c r="H654" s="882"/>
    </row>
    <row r="655" spans="1:11">
      <c r="A655" s="877"/>
      <c r="C655" s="878"/>
      <c r="D655" s="879"/>
      <c r="E655" s="881"/>
      <c r="F655" s="888"/>
      <c r="G655" s="881"/>
      <c r="H655" s="882"/>
    </row>
    <row r="656" spans="1:11">
      <c r="A656" s="889">
        <v>7710</v>
      </c>
      <c r="B656" s="858" t="str">
        <f>INDEX('COPY ELECTRONIC TB HERE'!$B$2:$B$449,MATCH('Linked TB'!A656,'COPY ELECTRONIC TB HERE'!$A$2:$A$449,0))</f>
        <v xml:space="preserve">   INTEREST EXPENSE-INTERCO</v>
      </c>
      <c r="C656" s="878">
        <v>0</v>
      </c>
      <c r="D656" s="879">
        <f>G656</f>
        <v>168850.02569808139</v>
      </c>
      <c r="E656" s="881">
        <f>INDEX('COPY ELECTRONIC TB HERE'!$D$2:$D$449,MATCH('Linked TB'!A656,'COPY ELECTRONIC TB HERE'!$A$2:$A$449,0))</f>
        <v>178792.78999999998</v>
      </c>
      <c r="F656" s="888">
        <f>+IF(UPPER(H656)="ACTUAL",C656,INDEX(ALLOCATION_TABLE,MATCH(UPPER(H656),INDEX(ALLOCATION_TABLE,0,1),0),5)*E656)</f>
        <v>9942.7643019185998</v>
      </c>
      <c r="G656" s="881">
        <f>+E656-F656</f>
        <v>168850.02569808139</v>
      </c>
      <c r="H656" s="882" t="s">
        <v>1211</v>
      </c>
    </row>
    <row r="657" spans="1:8" ht="5.0999999999999996" customHeight="1">
      <c r="A657" s="877"/>
      <c r="C657" s="885">
        <v>0</v>
      </c>
      <c r="D657" s="886">
        <v>0</v>
      </c>
      <c r="E657" s="887">
        <v>0</v>
      </c>
      <c r="F657" s="893">
        <v>0</v>
      </c>
      <c r="G657" s="887">
        <v>0</v>
      </c>
      <c r="H657" s="882"/>
    </row>
    <row r="658" spans="1:8">
      <c r="A658" s="877" t="s">
        <v>1153</v>
      </c>
      <c r="B658" s="858" t="s">
        <v>1212</v>
      </c>
      <c r="C658" s="888">
        <f>SUM(C656:C657)</f>
        <v>0</v>
      </c>
      <c r="D658" s="881">
        <f>SUM(D656:D657)</f>
        <v>168850.02569808139</v>
      </c>
      <c r="E658" s="881">
        <f>SUM(E656:E657)</f>
        <v>178792.78999999998</v>
      </c>
      <c r="F658" s="888">
        <f>SUM(F656:F657)</f>
        <v>9942.7643019185998</v>
      </c>
      <c r="G658" s="881">
        <f>SUM(G656:G657)</f>
        <v>168850.02569808139</v>
      </c>
      <c r="H658" s="882"/>
    </row>
    <row r="659" spans="1:8">
      <c r="A659" s="877"/>
      <c r="C659" s="878"/>
      <c r="D659" s="879"/>
      <c r="E659" s="881"/>
      <c r="F659" s="888"/>
      <c r="G659" s="881"/>
      <c r="H659" s="882"/>
    </row>
    <row r="660" spans="1:8">
      <c r="A660" s="877">
        <v>7735</v>
      </c>
      <c r="B660" s="858" t="str">
        <f>INDEX('COPY ELECTRONIC TB HERE'!$B$2:$B$449,MATCH('Linked TB'!A660,'COPY ELECTRONIC TB HERE'!$A$2:$A$449,0))</f>
        <v xml:space="preserve">    S/T INT EXP BANK ONE</v>
      </c>
      <c r="C660" s="878">
        <v>0</v>
      </c>
      <c r="D660" s="879">
        <f>G660</f>
        <v>1254.0547587208764</v>
      </c>
      <c r="E660" s="881">
        <f>INDEX('COPY ELECTRONIC TB HERE'!$D$2:$D$449,MATCH('Linked TB'!A660,'COPY ELECTRONIC TB HERE'!$A$2:$A$449,0))</f>
        <v>1327.9</v>
      </c>
      <c r="F660" s="888">
        <f>+IF(UPPER(H660)="ACTUAL",C660,INDEX(ALLOCATION_TABLE,MATCH(UPPER(H660),INDEX(ALLOCATION_TABLE,0,1),0),5)*E660)</f>
        <v>73.845241279123783</v>
      </c>
      <c r="G660" s="881">
        <f>+E660-F660</f>
        <v>1254.0547587208764</v>
      </c>
      <c r="H660" s="882" t="s">
        <v>1211</v>
      </c>
    </row>
    <row r="661" spans="1:8" ht="5.0999999999999996" customHeight="1">
      <c r="A661" s="877"/>
      <c r="C661" s="885">
        <v>0</v>
      </c>
      <c r="D661" s="886">
        <v>0</v>
      </c>
      <c r="E661" s="887">
        <v>0</v>
      </c>
      <c r="F661" s="893">
        <v>0</v>
      </c>
      <c r="G661" s="887">
        <v>0</v>
      </c>
      <c r="H661" s="882"/>
    </row>
    <row r="662" spans="1:8">
      <c r="A662" s="877" t="s">
        <v>1153</v>
      </c>
      <c r="B662" s="858" t="s">
        <v>1213</v>
      </c>
      <c r="C662" s="888">
        <f>SUM(C660:C661)</f>
        <v>0</v>
      </c>
      <c r="D662" s="881">
        <f>SUM(D660:D661)</f>
        <v>1254.0547587208764</v>
      </c>
      <c r="E662" s="881">
        <f>SUM(E660:E661)</f>
        <v>1327.9</v>
      </c>
      <c r="F662" s="888">
        <f>SUM(F660:F661)</f>
        <v>73.845241279123783</v>
      </c>
      <c r="G662" s="881">
        <f>SUM(G660:G661)</f>
        <v>1254.0547587208764</v>
      </c>
      <c r="H662" s="882"/>
    </row>
    <row r="663" spans="1:8">
      <c r="A663" s="877"/>
      <c r="C663" s="878"/>
      <c r="D663" s="879"/>
      <c r="E663" s="881"/>
      <c r="F663" s="888"/>
      <c r="G663" s="881"/>
      <c r="H663" s="882"/>
    </row>
    <row r="664" spans="1:8">
      <c r="A664" s="877">
        <v>7750</v>
      </c>
      <c r="B664" s="858" t="str">
        <f>INDEX('COPY ELECTRONIC TB HERE'!$B$2:$B$449,MATCH('Linked TB'!A664,'COPY ELECTRONIC TB HERE'!$A$2:$A$449,0))</f>
        <v xml:space="preserve">   INTEREST DURING CONSTRUCTIO</v>
      </c>
      <c r="C664" s="878">
        <v>0</v>
      </c>
      <c r="D664" s="879">
        <f>G664</f>
        <v>196.7220602776963</v>
      </c>
      <c r="E664" s="881">
        <f>INDEX('COPY ELECTRONIC TB HERE'!$D$2:$D$449,MATCH('Linked TB'!A664,'COPY ELECTRONIC TB HERE'!$A$2:$A$449,0))</f>
        <v>-1730.25</v>
      </c>
      <c r="F664" s="888">
        <f>+IF(UPPER(H664)="ACTUAL",C664,INDEX(ALLOCATION_TABLE,MATCH(UPPER(H664),INDEX(ALLOCATION_TABLE,0,1),0),5)*E664)</f>
        <v>-1926.9720602776963</v>
      </c>
      <c r="G664" s="881">
        <f>+E664-F664</f>
        <v>196.7220602776963</v>
      </c>
      <c r="H664" s="882" t="s">
        <v>880</v>
      </c>
    </row>
    <row r="665" spans="1:8" ht="5.0999999999999996" customHeight="1">
      <c r="A665" s="894"/>
      <c r="C665" s="885"/>
      <c r="D665" s="886">
        <v>0</v>
      </c>
      <c r="E665" s="887">
        <v>0</v>
      </c>
      <c r="F665" s="893">
        <v>0</v>
      </c>
      <c r="G665" s="887">
        <v>0</v>
      </c>
      <c r="H665" s="882"/>
    </row>
    <row r="666" spans="1:8">
      <c r="A666" s="894" t="s">
        <v>1153</v>
      </c>
      <c r="B666" s="858" t="s">
        <v>1214</v>
      </c>
      <c r="C666" s="888">
        <f>SUM(C664:C665)</f>
        <v>0</v>
      </c>
      <c r="D666" s="881">
        <f>SUM(D664:D665)</f>
        <v>196.7220602776963</v>
      </c>
      <c r="E666" s="881">
        <f>SUM(E664:E665)</f>
        <v>-1730.25</v>
      </c>
      <c r="F666" s="888">
        <f>SUM(F664:F665)</f>
        <v>-1926.9720602776963</v>
      </c>
      <c r="G666" s="881">
        <f>SUM(G664:G665)</f>
        <v>196.7220602776963</v>
      </c>
      <c r="H666" s="882"/>
    </row>
    <row r="667" spans="1:8">
      <c r="C667" s="878"/>
      <c r="D667" s="879"/>
      <c r="E667" s="879"/>
      <c r="F667" s="878"/>
      <c r="G667" s="879"/>
      <c r="H667" s="882"/>
    </row>
    <row r="668" spans="1:8" ht="5.0999999999999996" customHeight="1">
      <c r="A668" s="894"/>
      <c r="C668" s="885"/>
      <c r="D668" s="886"/>
      <c r="E668" s="887"/>
      <c r="F668" s="893"/>
      <c r="G668" s="887"/>
      <c r="H668" s="882"/>
    </row>
    <row r="669" spans="1:8" ht="15">
      <c r="A669" s="858" t="s">
        <v>1153</v>
      </c>
      <c r="B669" s="858" t="s">
        <v>1215</v>
      </c>
      <c r="C669" s="885">
        <f>+SUMIF($A$656:$A$668,$A669,C$656:C$668)</f>
        <v>0</v>
      </c>
      <c r="D669" s="886">
        <f>+SUMIF($A$656:$A$668,$A669,D$656:D$668)</f>
        <v>170300.80251707998</v>
      </c>
      <c r="E669" s="886">
        <f>+SUMIF($A$656:$A$668,$A669,E$656:E$668)</f>
        <v>178390.43999999997</v>
      </c>
      <c r="F669" s="885">
        <f>+SUMIF($A$656:$A$668,$A669,F$656:F$668)</f>
        <v>8089.6374829200267</v>
      </c>
      <c r="G669" s="886">
        <f>+SUMIF($A$656:$A$668,$A669,G$656:G$668)</f>
        <v>170300.80251707998</v>
      </c>
      <c r="H669" s="882"/>
    </row>
    <row r="670" spans="1:8">
      <c r="C670" s="878"/>
      <c r="D670" s="879"/>
      <c r="E670" s="879"/>
      <c r="F670" s="878"/>
      <c r="G670" s="879"/>
      <c r="H670" s="882"/>
    </row>
    <row r="671" spans="1:8" ht="5.0999999999999996" customHeight="1">
      <c r="A671" s="894"/>
      <c r="C671" s="885"/>
      <c r="D671" s="886"/>
      <c r="E671" s="887"/>
      <c r="F671" s="893"/>
      <c r="G671" s="887"/>
      <c r="H671" s="882"/>
    </row>
    <row r="672" spans="1:8" ht="15">
      <c r="A672" s="858" t="s">
        <v>1153</v>
      </c>
      <c r="B672" s="858" t="s">
        <v>1216</v>
      </c>
      <c r="C672" s="898">
        <f>+C669+C639+C348+C654</f>
        <v>-1767682.74</v>
      </c>
      <c r="D672" s="899">
        <f>+D669+D639+D348+D654</f>
        <v>413532.10251707991</v>
      </c>
      <c r="E672" s="899">
        <f>+E669+E639+E348+E654+E352+E356</f>
        <v>-49993.569999999832</v>
      </c>
      <c r="F672" s="898">
        <f>+F669+F639+F348+F654+F352+F356</f>
        <v>-463525.67251708009</v>
      </c>
      <c r="G672" s="899">
        <f>+G669+G639+G348+G654+G352+G356</f>
        <v>413532.10251707991</v>
      </c>
      <c r="H672" s="882">
        <f>+E672-F672-G672</f>
        <v>0</v>
      </c>
    </row>
    <row r="673" spans="1:8" ht="13.5" thickBot="1">
      <c r="C673" s="900"/>
      <c r="D673" s="901"/>
      <c r="E673" s="901"/>
      <c r="F673" s="900"/>
      <c r="G673" s="901"/>
      <c r="H673" s="902"/>
    </row>
    <row r="675" spans="1:8" ht="15.75" thickBot="1">
      <c r="A675" s="1778" t="s">
        <v>97</v>
      </c>
      <c r="B675" s="1778"/>
      <c r="C675" s="1778"/>
      <c r="D675" s="1778"/>
      <c r="E675" s="1778"/>
    </row>
    <row r="676" spans="1:8">
      <c r="A676" s="892" t="s">
        <v>1153</v>
      </c>
      <c r="B676" s="892" t="s">
        <v>1152</v>
      </c>
      <c r="C676" s="904"/>
      <c r="D676" s="905"/>
      <c r="E676" s="906">
        <f>+E329</f>
        <v>49993.569999999367</v>
      </c>
    </row>
    <row r="677" spans="1:8" ht="15">
      <c r="A677" s="892" t="s">
        <v>1153</v>
      </c>
      <c r="B677" s="892" t="s">
        <v>1180</v>
      </c>
      <c r="C677" s="878"/>
      <c r="D677" s="879"/>
      <c r="E677" s="897">
        <f>+E672</f>
        <v>-49993.569999999832</v>
      </c>
      <c r="G677" s="907"/>
    </row>
    <row r="678" spans="1:8" ht="15.75" thickBot="1">
      <c r="A678" s="892" t="s">
        <v>1153</v>
      </c>
      <c r="B678" s="892" t="s">
        <v>1217</v>
      </c>
      <c r="C678" s="900"/>
      <c r="D678" s="901"/>
      <c r="E678" s="908">
        <f>SUM(E676:E677)</f>
        <v>-4.6566128730773926E-10</v>
      </c>
      <c r="F678" s="909"/>
      <c r="G678" s="909"/>
    </row>
    <row r="680" spans="1:8" ht="15.75" thickBot="1">
      <c r="B680" s="1773" t="s">
        <v>1218</v>
      </c>
      <c r="C680" s="1773"/>
      <c r="D680" s="1773"/>
      <c r="E680" s="1773"/>
      <c r="F680" s="1773"/>
      <c r="G680" s="1773"/>
      <c r="H680" s="1773"/>
    </row>
    <row r="681" spans="1:8">
      <c r="B681" s="892"/>
      <c r="C681" s="910" t="s">
        <v>675</v>
      </c>
      <c r="D681" s="911" t="s">
        <v>675</v>
      </c>
      <c r="E681" s="911" t="s">
        <v>675</v>
      </c>
      <c r="F681" s="911" t="s">
        <v>1219</v>
      </c>
      <c r="G681" s="911" t="s">
        <v>1219</v>
      </c>
      <c r="H681" s="912" t="s">
        <v>1219</v>
      </c>
    </row>
    <row r="682" spans="1:8" ht="15">
      <c r="B682" s="913" t="s">
        <v>1220</v>
      </c>
      <c r="C682" s="914" t="s">
        <v>822</v>
      </c>
      <c r="D682" s="915" t="s">
        <v>104</v>
      </c>
      <c r="E682" s="915" t="s">
        <v>1150</v>
      </c>
      <c r="F682" s="915" t="s">
        <v>822</v>
      </c>
      <c r="G682" s="915" t="s">
        <v>104</v>
      </c>
      <c r="H682" s="916" t="s">
        <v>1150</v>
      </c>
    </row>
    <row r="683" spans="1:8">
      <c r="B683" s="892"/>
      <c r="C683" s="878"/>
      <c r="D683" s="879"/>
      <c r="E683" s="879"/>
      <c r="F683" s="879"/>
      <c r="G683" s="879"/>
      <c r="H683" s="882"/>
    </row>
    <row r="684" spans="1:8">
      <c r="B684" s="892" t="s">
        <v>1221</v>
      </c>
      <c r="C684" s="878">
        <f>+'Input Schedule'!C7</f>
        <v>7362.4</v>
      </c>
      <c r="D684" s="879">
        <f>+'Input Schedule'!C10</f>
        <v>0</v>
      </c>
      <c r="E684" s="879">
        <f t="shared" ref="E684:E690" si="86">SUM(C684:D684)</f>
        <v>7362.4</v>
      </c>
      <c r="F684" s="917">
        <f>+C684/$E684</f>
        <v>1</v>
      </c>
      <c r="G684" s="917">
        <f>+D684/$E684</f>
        <v>0</v>
      </c>
      <c r="H684" s="918">
        <f t="shared" ref="H684:H690" si="87">SUM(F684:G684)</f>
        <v>1</v>
      </c>
    </row>
    <row r="685" spans="1:8">
      <c r="B685" s="892" t="s">
        <v>1222</v>
      </c>
      <c r="C685" s="878">
        <f>+C348</f>
        <v>-2292930.77</v>
      </c>
      <c r="D685" s="879">
        <f>+D348</f>
        <v>0</v>
      </c>
      <c r="E685" s="879">
        <f t="shared" si="86"/>
        <v>-2292930.77</v>
      </c>
      <c r="F685" s="917">
        <f t="shared" ref="F685:G690" si="88">+C685/$E685</f>
        <v>1</v>
      </c>
      <c r="G685" s="917">
        <f t="shared" si="88"/>
        <v>0</v>
      </c>
      <c r="H685" s="918">
        <f t="shared" si="87"/>
        <v>1</v>
      </c>
    </row>
    <row r="686" spans="1:8">
      <c r="B686" s="892" t="s">
        <v>1154</v>
      </c>
      <c r="C686" s="878">
        <f>+C69</f>
        <v>9281652.1099999994</v>
      </c>
      <c r="D686" s="879">
        <f>+D69</f>
        <v>28129.280000000002</v>
      </c>
      <c r="E686" s="879">
        <f t="shared" si="86"/>
        <v>9309781.3899999987</v>
      </c>
      <c r="F686" s="917">
        <f>+C686/$E686</f>
        <v>0.99697852411118759</v>
      </c>
      <c r="G686" s="917">
        <f t="shared" si="88"/>
        <v>3.0214758888124659E-3</v>
      </c>
      <c r="H686" s="918">
        <f t="shared" si="87"/>
        <v>1</v>
      </c>
    </row>
    <row r="687" spans="1:8">
      <c r="B687" s="892" t="s">
        <v>1223</v>
      </c>
      <c r="C687" s="878">
        <f>+C69+C161</f>
        <v>4788222.6000000006</v>
      </c>
      <c r="D687" s="879">
        <f>+D69+D161</f>
        <v>-488823.38999999996</v>
      </c>
      <c r="E687" s="879">
        <f t="shared" si="86"/>
        <v>4299399.2100000009</v>
      </c>
      <c r="F687" s="917">
        <f t="shared" si="88"/>
        <v>1.1136957435501784</v>
      </c>
      <c r="G687" s="917">
        <f t="shared" si="88"/>
        <v>-0.11369574355017846</v>
      </c>
      <c r="H687" s="918">
        <f t="shared" si="87"/>
        <v>1</v>
      </c>
    </row>
    <row r="688" spans="1:8">
      <c r="B688" s="892" t="s">
        <v>1224</v>
      </c>
      <c r="C688" s="878">
        <f>+F208+F223</f>
        <v>180065.93</v>
      </c>
      <c r="D688" s="879">
        <f>+G208+G223</f>
        <v>0</v>
      </c>
      <c r="E688" s="879">
        <f t="shared" si="86"/>
        <v>180065.93</v>
      </c>
      <c r="F688" s="917">
        <f t="shared" si="88"/>
        <v>1</v>
      </c>
      <c r="G688" s="917">
        <f t="shared" si="88"/>
        <v>0</v>
      </c>
      <c r="H688" s="918">
        <f t="shared" si="87"/>
        <v>1</v>
      </c>
    </row>
    <row r="689" spans="1:8">
      <c r="B689" s="892" t="s">
        <v>891</v>
      </c>
      <c r="C689" s="878">
        <f>+F250</f>
        <v>-165215.81</v>
      </c>
      <c r="D689" s="879">
        <f>+G250</f>
        <v>0</v>
      </c>
      <c r="E689" s="879">
        <f t="shared" si="86"/>
        <v>-165215.81</v>
      </c>
      <c r="F689" s="917">
        <f t="shared" si="88"/>
        <v>1</v>
      </c>
      <c r="G689" s="917">
        <f t="shared" si="88"/>
        <v>0</v>
      </c>
      <c r="H689" s="918">
        <f t="shared" si="87"/>
        <v>1</v>
      </c>
    </row>
    <row r="690" spans="1:8">
      <c r="A690" s="883"/>
      <c r="B690" s="892" t="s">
        <v>1225</v>
      </c>
      <c r="C690" s="878">
        <v>33123.9845027626</v>
      </c>
      <c r="D690" s="879">
        <v>562518.17549723748</v>
      </c>
      <c r="E690" s="879">
        <f t="shared" si="86"/>
        <v>595642.16</v>
      </c>
      <c r="F690" s="917">
        <f t="shared" si="88"/>
        <v>5.5610543925840639E-2</v>
      </c>
      <c r="G690" s="917">
        <f t="shared" si="88"/>
        <v>0.94438945607415947</v>
      </c>
      <c r="H690" s="918">
        <f t="shared" si="87"/>
        <v>1</v>
      </c>
    </row>
    <row r="691" spans="1:8" ht="13.5" thickBot="1">
      <c r="A691" s="883"/>
      <c r="B691" s="892"/>
      <c r="C691" s="900"/>
      <c r="D691" s="901"/>
      <c r="E691" s="901"/>
      <c r="F691" s="901"/>
      <c r="G691" s="901"/>
      <c r="H691" s="902"/>
    </row>
    <row r="692" spans="1:8">
      <c r="A692" s="883"/>
      <c r="B692" s="892"/>
      <c r="C692" s="879"/>
      <c r="D692" s="879"/>
      <c r="E692" s="879"/>
      <c r="F692" s="879"/>
      <c r="G692" s="879"/>
      <c r="H692" s="919"/>
    </row>
  </sheetData>
  <mergeCells count="6">
    <mergeCell ref="B680:H680"/>
    <mergeCell ref="A1:C1"/>
    <mergeCell ref="A2:C2"/>
    <mergeCell ref="A7:B7"/>
    <mergeCell ref="A331:B331"/>
    <mergeCell ref="A675:E675"/>
  </mergeCells>
  <pageMargins left="0.7" right="0.7" top="0.75" bottom="0.75" header="0.3" footer="0.3"/>
  <pageSetup scale="78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F0"/>
  </sheetPr>
  <dimension ref="A1:Q130"/>
  <sheetViews>
    <sheetView view="pageBreakPreview" topLeftCell="A85" zoomScaleNormal="100" zoomScaleSheetLayoutView="100" workbookViewId="0">
      <selection activeCell="C22" sqref="C22"/>
    </sheetView>
  </sheetViews>
  <sheetFormatPr defaultRowHeight="12.75"/>
  <cols>
    <col min="1" max="1" width="3.375" style="1581" customWidth="1"/>
    <col min="2" max="2" width="37.75" style="1525" customWidth="1"/>
    <col min="3" max="3" width="10.125" style="1525" bestFit="1" customWidth="1"/>
    <col min="4" max="4" width="4.375" style="1524" customWidth="1"/>
    <col min="5" max="5" width="4.5" style="1525" customWidth="1"/>
    <col min="6" max="6" width="7" style="1529" bestFit="1" customWidth="1"/>
    <col min="7" max="7" width="2.625" style="1524" customWidth="1"/>
    <col min="8" max="8" width="11.125" style="1527" customWidth="1"/>
    <col min="9" max="9" width="2.625" style="1524" customWidth="1"/>
    <col min="10" max="10" width="10.625" style="1525" customWidth="1"/>
    <col min="11" max="11" width="3.625" style="1524" customWidth="1"/>
    <col min="12" max="14" width="9" style="1525"/>
    <col min="15" max="15" width="9.125" style="1525" bestFit="1" customWidth="1"/>
    <col min="16" max="16384" width="9" style="1525"/>
  </cols>
  <sheetData>
    <row r="1" spans="1:17" ht="12.75" customHeight="1">
      <c r="A1" s="1796" t="str">
        <f>'Input Schedule'!G6</f>
        <v>WATER SERVICE CORPORATION OF KENTUCKY</v>
      </c>
      <c r="B1" s="1796"/>
      <c r="C1" s="1523"/>
      <c r="F1" s="1526"/>
      <c r="J1" s="1528" t="s">
        <v>2105</v>
      </c>
    </row>
    <row r="2" spans="1:17" ht="12.75" customHeight="1">
      <c r="A2" s="1797" t="s">
        <v>2046</v>
      </c>
      <c r="B2" s="1797"/>
    </row>
    <row r="3" spans="1:17" ht="12.75" customHeight="1">
      <c r="A3" s="1797" t="s">
        <v>2022</v>
      </c>
      <c r="B3" s="1797"/>
    </row>
    <row r="4" spans="1:17" ht="12.75" customHeight="1">
      <c r="A4" s="1794" t="s">
        <v>1963</v>
      </c>
      <c r="B4" s="1794"/>
      <c r="C4" s="1794"/>
    </row>
    <row r="5" spans="1:17" ht="12.75" customHeight="1">
      <c r="A5" s="1532"/>
    </row>
    <row r="6" spans="1:17" ht="12.75" customHeight="1">
      <c r="A6" s="1532"/>
    </row>
    <row r="7" spans="1:17" s="1537" customFormat="1" ht="45" customHeight="1">
      <c r="A7" s="1533" t="s">
        <v>2023</v>
      </c>
      <c r="B7" s="1533" t="s">
        <v>1732</v>
      </c>
      <c r="C7" s="1533" t="s">
        <v>2024</v>
      </c>
      <c r="D7" s="1534"/>
      <c r="E7" s="1533"/>
      <c r="F7" s="1535" t="s">
        <v>2025</v>
      </c>
      <c r="G7" s="1534"/>
      <c r="H7" s="1536" t="s">
        <v>2026</v>
      </c>
      <c r="I7" s="1534" t="s">
        <v>1283</v>
      </c>
      <c r="J7" s="1533" t="s">
        <v>2027</v>
      </c>
      <c r="K7" s="1534"/>
      <c r="L7" s="1533"/>
      <c r="P7" s="1533"/>
      <c r="Q7" s="1533"/>
    </row>
    <row r="8" spans="1:17" ht="12.75" customHeight="1">
      <c r="A8" s="1538"/>
      <c r="B8" s="1530"/>
      <c r="C8" s="1538" t="s">
        <v>2028</v>
      </c>
      <c r="D8" s="1534"/>
      <c r="E8" s="1538"/>
      <c r="F8" s="1539" t="s">
        <v>2029</v>
      </c>
      <c r="G8" s="1534"/>
      <c r="H8" s="1538" t="s">
        <v>2030</v>
      </c>
      <c r="I8" s="1534"/>
      <c r="J8" s="1538" t="s">
        <v>1733</v>
      </c>
      <c r="K8" s="1534"/>
      <c r="L8" s="1530"/>
      <c r="P8" s="1530"/>
      <c r="Q8" s="1530"/>
    </row>
    <row r="9" spans="1:17" ht="12.75" customHeight="1">
      <c r="A9" s="1538"/>
      <c r="B9" s="1530"/>
      <c r="C9" s="1530"/>
      <c r="D9" s="1534"/>
      <c r="E9" s="1530"/>
      <c r="F9" s="1539"/>
      <c r="G9" s="1534"/>
      <c r="H9" s="1540"/>
      <c r="I9" s="1534"/>
      <c r="J9" s="1530"/>
      <c r="K9" s="1534"/>
      <c r="L9" s="1530"/>
      <c r="P9" s="1530"/>
      <c r="Q9" s="1530"/>
    </row>
    <row r="10" spans="1:17" ht="12.75" customHeight="1">
      <c r="A10" s="1538"/>
      <c r="B10" s="1541" t="s">
        <v>2031</v>
      </c>
      <c r="C10" s="1530"/>
      <c r="D10" s="1534"/>
      <c r="E10" s="1530"/>
      <c r="F10" s="1539"/>
      <c r="G10" s="1534"/>
      <c r="H10" s="1540"/>
      <c r="I10" s="1534"/>
      <c r="J10" s="1530"/>
      <c r="K10" s="1534"/>
      <c r="L10" s="1530"/>
      <c r="P10" s="1530"/>
      <c r="Q10" s="1530"/>
    </row>
    <row r="11" spans="1:17" ht="12.75" customHeight="1">
      <c r="A11" s="1542">
        <v>1</v>
      </c>
      <c r="B11" s="1504" t="s">
        <v>2050</v>
      </c>
      <c r="C11" s="1543">
        <v>371501.92</v>
      </c>
      <c r="D11" s="1534" t="s">
        <v>1267</v>
      </c>
      <c r="E11" s="1530"/>
      <c r="F11" s="1539"/>
      <c r="G11" s="1534"/>
      <c r="H11" s="1544">
        <v>0</v>
      </c>
      <c r="I11" s="1534"/>
      <c r="J11" s="1545">
        <f>-C11</f>
        <v>-371501.92</v>
      </c>
      <c r="K11" s="1534"/>
      <c r="L11" s="1530"/>
      <c r="M11" s="1530"/>
      <c r="N11" s="1530"/>
      <c r="O11" s="1543"/>
      <c r="P11" s="1530"/>
      <c r="Q11" s="1530"/>
    </row>
    <row r="12" spans="1:17" ht="12.75" customHeight="1">
      <c r="A12" s="1542">
        <f>+A11+1</f>
        <v>2</v>
      </c>
      <c r="B12" s="1546">
        <v>2001</v>
      </c>
      <c r="C12" s="1543">
        <v>0</v>
      </c>
      <c r="D12" s="1534" t="s">
        <v>1267</v>
      </c>
      <c r="E12" s="1530"/>
      <c r="F12" s="1547">
        <v>12</v>
      </c>
      <c r="G12" s="1534"/>
      <c r="H12" s="1544">
        <v>0</v>
      </c>
      <c r="I12" s="1534"/>
      <c r="J12" s="1548">
        <f t="shared" ref="J12:J23" si="0">-IF(C12/$D$123*F12&gt;=C12,C12,C12/$D$123*F12)</f>
        <v>0</v>
      </c>
      <c r="K12" s="1534"/>
      <c r="L12" s="1530"/>
      <c r="M12" s="1530"/>
      <c r="N12" s="1530"/>
      <c r="O12" s="1543"/>
      <c r="P12" s="1530"/>
      <c r="Q12" s="1530"/>
    </row>
    <row r="13" spans="1:17" ht="12.75" customHeight="1">
      <c r="A13" s="1542">
        <f t="shared" ref="A13:A23" si="1">+A12+1</f>
        <v>3</v>
      </c>
      <c r="B13" s="1546">
        <v>2002</v>
      </c>
      <c r="C13" s="1543">
        <v>5583.4</v>
      </c>
      <c r="D13" s="1534" t="s">
        <v>1267</v>
      </c>
      <c r="E13" s="1530"/>
      <c r="F13" s="1547">
        <v>11</v>
      </c>
      <c r="G13" s="1534"/>
      <c r="H13" s="1544">
        <v>0</v>
      </c>
      <c r="I13" s="1534"/>
      <c r="J13" s="1548">
        <f t="shared" si="0"/>
        <v>-5583.4</v>
      </c>
      <c r="K13" s="1534"/>
      <c r="L13" s="1530"/>
      <c r="M13" s="1530"/>
      <c r="N13" s="1530"/>
      <c r="O13" s="1543"/>
      <c r="P13" s="1530"/>
      <c r="Q13" s="1530"/>
    </row>
    <row r="14" spans="1:17" ht="12.75" customHeight="1">
      <c r="A14" s="1542">
        <f t="shared" si="1"/>
        <v>4</v>
      </c>
      <c r="B14" s="1546">
        <v>2003</v>
      </c>
      <c r="C14" s="1543">
        <v>171679.56</v>
      </c>
      <c r="D14" s="1534" t="s">
        <v>1267</v>
      </c>
      <c r="E14" s="1530"/>
      <c r="F14" s="1547">
        <v>10</v>
      </c>
      <c r="G14" s="1534"/>
      <c r="H14" s="1544">
        <v>0</v>
      </c>
      <c r="I14" s="1534"/>
      <c r="J14" s="1548">
        <f t="shared" si="0"/>
        <v>-171679.56</v>
      </c>
      <c r="K14" s="1534"/>
      <c r="L14" s="1530"/>
      <c r="M14" s="1530"/>
      <c r="N14" s="1530"/>
      <c r="O14" s="1530"/>
      <c r="P14" s="1530"/>
      <c r="Q14" s="1530"/>
    </row>
    <row r="15" spans="1:17" ht="12.75" customHeight="1">
      <c r="A15" s="1542">
        <f t="shared" si="1"/>
        <v>5</v>
      </c>
      <c r="B15" s="1546">
        <v>2004</v>
      </c>
      <c r="C15" s="1543">
        <v>13640.17</v>
      </c>
      <c r="D15" s="1534" t="s">
        <v>1267</v>
      </c>
      <c r="E15" s="1530"/>
      <c r="F15" s="1547">
        <v>9</v>
      </c>
      <c r="G15" s="1534"/>
      <c r="H15" s="1544">
        <v>0</v>
      </c>
      <c r="I15" s="1534"/>
      <c r="J15" s="1548">
        <f t="shared" si="0"/>
        <v>-13640.17</v>
      </c>
      <c r="K15" s="1534"/>
      <c r="L15" s="1530"/>
      <c r="M15" s="1530"/>
      <c r="N15" s="1530"/>
      <c r="O15" s="1543"/>
      <c r="P15" s="1530"/>
      <c r="Q15" s="1530"/>
    </row>
    <row r="16" spans="1:17" ht="12.75" customHeight="1">
      <c r="A16" s="1542">
        <f t="shared" si="1"/>
        <v>6</v>
      </c>
      <c r="B16" s="1546">
        <v>2005</v>
      </c>
      <c r="C16" s="1543">
        <v>0</v>
      </c>
      <c r="D16" s="1534" t="s">
        <v>1267</v>
      </c>
      <c r="E16" s="1530"/>
      <c r="F16" s="1547">
        <v>8</v>
      </c>
      <c r="G16" s="1534"/>
      <c r="H16" s="1544">
        <v>0</v>
      </c>
      <c r="I16" s="1534"/>
      <c r="J16" s="1548">
        <f t="shared" si="0"/>
        <v>0</v>
      </c>
      <c r="K16" s="1534"/>
      <c r="L16" s="1530"/>
      <c r="M16" s="1530"/>
      <c r="N16" s="1530"/>
      <c r="O16" s="1543"/>
      <c r="P16" s="1530"/>
      <c r="Q16" s="1530"/>
    </row>
    <row r="17" spans="1:17" ht="12.75" customHeight="1">
      <c r="A17" s="1542">
        <f t="shared" si="1"/>
        <v>7</v>
      </c>
      <c r="B17" s="1546">
        <v>2006</v>
      </c>
      <c r="C17" s="1543">
        <v>2385</v>
      </c>
      <c r="D17" s="1534" t="s">
        <v>1267</v>
      </c>
      <c r="E17" s="1530"/>
      <c r="F17" s="1547">
        <v>7</v>
      </c>
      <c r="G17" s="1534"/>
      <c r="H17" s="1544">
        <v>0</v>
      </c>
      <c r="I17" s="1534"/>
      <c r="J17" s="1548">
        <f t="shared" si="0"/>
        <v>-2385</v>
      </c>
      <c r="K17" s="1534"/>
      <c r="L17" s="1530"/>
      <c r="M17" s="1530"/>
      <c r="N17" s="1530"/>
      <c r="O17" s="1543"/>
      <c r="P17" s="1530"/>
      <c r="Q17" s="1530"/>
    </row>
    <row r="18" spans="1:17" ht="12.75" customHeight="1">
      <c r="A18" s="1542">
        <f t="shared" si="1"/>
        <v>8</v>
      </c>
      <c r="B18" s="1546">
        <v>2007</v>
      </c>
      <c r="C18" s="1543">
        <v>0</v>
      </c>
      <c r="D18" s="1534" t="s">
        <v>1267</v>
      </c>
      <c r="E18" s="1530"/>
      <c r="F18" s="1547">
        <v>6</v>
      </c>
      <c r="G18" s="1534"/>
      <c r="H18" s="1544">
        <v>0</v>
      </c>
      <c r="I18" s="1534"/>
      <c r="J18" s="1548">
        <f t="shared" si="0"/>
        <v>0</v>
      </c>
      <c r="K18" s="1534"/>
      <c r="L18" s="1530"/>
      <c r="M18" s="1530"/>
      <c r="N18" s="1530"/>
      <c r="O18" s="1549"/>
      <c r="P18" s="1530"/>
      <c r="Q18" s="1530"/>
    </row>
    <row r="19" spans="1:17" ht="12.75" customHeight="1">
      <c r="A19" s="1542">
        <f t="shared" si="1"/>
        <v>9</v>
      </c>
      <c r="B19" s="1550">
        <v>2008</v>
      </c>
      <c r="C19" s="1543">
        <v>6476.37</v>
      </c>
      <c r="D19" s="1534" t="s">
        <v>1267</v>
      </c>
      <c r="E19" s="1530"/>
      <c r="F19" s="1547">
        <v>5</v>
      </c>
      <c r="G19" s="1534"/>
      <c r="H19" s="1544">
        <f>+C19/$D$123</f>
        <v>1295.2739999999999</v>
      </c>
      <c r="I19" s="1534"/>
      <c r="J19" s="1548">
        <f t="shared" si="0"/>
        <v>-6476.37</v>
      </c>
      <c r="K19" s="1534"/>
      <c r="L19" s="1551"/>
      <c r="M19" s="1530"/>
      <c r="N19" s="1530"/>
      <c r="O19" s="1530"/>
      <c r="P19" s="1530"/>
      <c r="Q19" s="1530"/>
    </row>
    <row r="20" spans="1:17" ht="12.75" customHeight="1">
      <c r="A20" s="1542">
        <f t="shared" si="1"/>
        <v>10</v>
      </c>
      <c r="B20" s="1550">
        <v>2009</v>
      </c>
      <c r="C20" s="1543">
        <v>0</v>
      </c>
      <c r="D20" s="1534" t="s">
        <v>1267</v>
      </c>
      <c r="E20" s="1530"/>
      <c r="F20" s="1547">
        <v>4</v>
      </c>
      <c r="G20" s="1534"/>
      <c r="H20" s="1544">
        <f>+C20/$D$123</f>
        <v>0</v>
      </c>
      <c r="I20" s="1534"/>
      <c r="J20" s="1548">
        <f t="shared" si="0"/>
        <v>0</v>
      </c>
      <c r="K20" s="1534"/>
      <c r="L20" s="1530"/>
      <c r="M20" s="1530"/>
      <c r="N20" s="1530"/>
      <c r="O20" s="1530"/>
      <c r="P20" s="1530"/>
      <c r="Q20" s="1530"/>
    </row>
    <row r="21" spans="1:17" ht="12.75" customHeight="1">
      <c r="A21" s="1542">
        <f t="shared" si="1"/>
        <v>11</v>
      </c>
      <c r="B21" s="1550">
        <v>2010</v>
      </c>
      <c r="C21" s="1543">
        <v>508722.1</v>
      </c>
      <c r="D21" s="1534" t="s">
        <v>1267</v>
      </c>
      <c r="E21" s="1530"/>
      <c r="F21" s="1547">
        <v>3</v>
      </c>
      <c r="G21" s="1534"/>
      <c r="H21" s="1544">
        <f>+C21/$D$123</f>
        <v>101744.42</v>
      </c>
      <c r="I21" s="1534"/>
      <c r="J21" s="1548">
        <f t="shared" si="0"/>
        <v>-305233.26</v>
      </c>
      <c r="K21" s="1534"/>
      <c r="L21" s="1530"/>
      <c r="M21" s="1530"/>
      <c r="N21" s="1530"/>
      <c r="O21" s="1530"/>
      <c r="P21" s="1530"/>
      <c r="Q21" s="1530"/>
    </row>
    <row r="22" spans="1:17" ht="12.75" customHeight="1">
      <c r="A22" s="1542">
        <f t="shared" si="1"/>
        <v>12</v>
      </c>
      <c r="B22" s="1550">
        <v>2011</v>
      </c>
      <c r="C22" s="1543">
        <v>6608.58</v>
      </c>
      <c r="D22" s="1534" t="s">
        <v>1267</v>
      </c>
      <c r="E22" s="1530"/>
      <c r="F22" s="1547">
        <v>2</v>
      </c>
      <c r="G22" s="1534"/>
      <c r="H22" s="1544">
        <f>+C22/$D$123</f>
        <v>1321.7159999999999</v>
      </c>
      <c r="I22" s="1534"/>
      <c r="J22" s="1548">
        <f t="shared" si="0"/>
        <v>-2643.4319999999998</v>
      </c>
      <c r="K22" s="1534"/>
      <c r="L22" s="1530"/>
      <c r="M22" s="1530"/>
      <c r="N22" s="1530"/>
      <c r="O22" s="1530"/>
      <c r="P22" s="1530"/>
      <c r="Q22" s="1530"/>
    </row>
    <row r="23" spans="1:17" ht="12.75" customHeight="1">
      <c r="A23" s="1542">
        <f t="shared" si="1"/>
        <v>13</v>
      </c>
      <c r="B23" s="1550">
        <v>2012</v>
      </c>
      <c r="C23" s="1543">
        <v>0</v>
      </c>
      <c r="D23" s="1534" t="s">
        <v>1267</v>
      </c>
      <c r="E23" s="1530"/>
      <c r="F23" s="1547">
        <v>1</v>
      </c>
      <c r="G23" s="1534"/>
      <c r="H23" s="1544">
        <f>+C23/$D$123</f>
        <v>0</v>
      </c>
      <c r="I23" s="1534"/>
      <c r="J23" s="1548">
        <f t="shared" si="0"/>
        <v>0</v>
      </c>
      <c r="K23" s="1534"/>
      <c r="L23" s="1530"/>
      <c r="M23" s="1530"/>
      <c r="N23" s="1530"/>
      <c r="O23" s="1530"/>
      <c r="P23" s="1530"/>
      <c r="Q23" s="1530"/>
    </row>
    <row r="24" spans="1:17" s="1557" customFormat="1" ht="3.95" customHeight="1">
      <c r="A24" s="1552"/>
      <c r="B24" s="1553"/>
      <c r="C24" s="1554">
        <v>0</v>
      </c>
      <c r="D24" s="1555"/>
      <c r="E24" s="1554"/>
      <c r="F24" s="1556"/>
      <c r="G24" s="1555"/>
      <c r="H24" s="1555">
        <v>0</v>
      </c>
      <c r="I24" s="1555"/>
      <c r="J24" s="1554">
        <v>0</v>
      </c>
      <c r="K24" s="1555"/>
      <c r="L24" s="1554"/>
      <c r="M24" s="1554"/>
      <c r="N24" s="1554"/>
      <c r="O24" s="1554"/>
      <c r="P24" s="1554"/>
      <c r="Q24" s="1554"/>
    </row>
    <row r="25" spans="1:17" ht="12.75" customHeight="1">
      <c r="A25" s="1542">
        <f>+A23+1</f>
        <v>14</v>
      </c>
      <c r="B25" s="1504" t="s">
        <v>2032</v>
      </c>
      <c r="C25" s="1543">
        <f>SUM(C10:C24)</f>
        <v>1086597.1000000001</v>
      </c>
      <c r="D25" s="1534"/>
      <c r="E25" s="1530"/>
      <c r="F25" s="1539"/>
      <c r="G25" s="1534"/>
      <c r="H25" s="1544">
        <f>SUM(H11:H24)</f>
        <v>104361.41</v>
      </c>
      <c r="I25" s="1534"/>
      <c r="J25" s="1543">
        <f>SUM(J11:J24)</f>
        <v>-879143.11200000008</v>
      </c>
      <c r="K25" s="1534"/>
      <c r="L25" s="1530"/>
      <c r="M25" s="1530"/>
      <c r="N25" s="1530"/>
      <c r="O25" s="1530"/>
      <c r="P25" s="1530"/>
      <c r="Q25" s="1530"/>
    </row>
    <row r="26" spans="1:17" ht="12.75" customHeight="1">
      <c r="A26" s="1542">
        <f t="shared" ref="A26" si="2">+A25+1</f>
        <v>15</v>
      </c>
      <c r="B26" s="1504" t="s">
        <v>2104</v>
      </c>
      <c r="C26" s="1558">
        <f>+'Input Schedule'!D17</f>
        <v>2.775347522522463E-2</v>
      </c>
      <c r="D26" s="1534"/>
      <c r="E26" s="1530"/>
      <c r="F26" s="1539"/>
      <c r="G26" s="1534"/>
      <c r="H26" s="1558">
        <f>C26</f>
        <v>2.775347522522463E-2</v>
      </c>
      <c r="I26" s="1534"/>
      <c r="J26" s="1558">
        <f>C26</f>
        <v>2.775347522522463E-2</v>
      </c>
      <c r="K26" s="1534"/>
      <c r="L26" s="1530"/>
      <c r="M26" s="1530"/>
      <c r="N26" s="1530"/>
      <c r="O26" s="1530"/>
      <c r="P26" s="1530"/>
      <c r="Q26" s="1530"/>
    </row>
    <row r="27" spans="1:17" s="1557" customFormat="1" ht="5.0999999999999996" customHeight="1">
      <c r="A27" s="1552"/>
      <c r="B27" s="1553"/>
      <c r="C27" s="1554">
        <v>0</v>
      </c>
      <c r="D27" s="1555"/>
      <c r="E27" s="1554"/>
      <c r="F27" s="1556"/>
      <c r="G27" s="1555"/>
      <c r="H27" s="1554">
        <v>0</v>
      </c>
      <c r="I27" s="1555"/>
      <c r="J27" s="1554">
        <v>0</v>
      </c>
      <c r="K27" s="1555"/>
      <c r="L27" s="1554"/>
      <c r="M27" s="1554"/>
      <c r="N27" s="1554"/>
      <c r="O27" s="1554"/>
      <c r="P27" s="1554"/>
      <c r="Q27" s="1554"/>
    </row>
    <row r="28" spans="1:17" ht="12.75" customHeight="1">
      <c r="A28" s="1542">
        <f>+A26+1</f>
        <v>16</v>
      </c>
      <c r="B28" s="1504" t="str">
        <f>" WSC Mainframe computers Allocation"</f>
        <v xml:space="preserve"> WSC Mainframe computers Allocation</v>
      </c>
      <c r="C28" s="1543">
        <f>+C25*C26</f>
        <v>30156.845694650932</v>
      </c>
      <c r="D28" s="1559"/>
      <c r="E28" s="1541"/>
      <c r="F28" s="1560"/>
      <c r="G28" s="1559"/>
      <c r="H28" s="1543">
        <f>+H25*H26</f>
        <v>2896.3918069045103</v>
      </c>
      <c r="I28" s="1559"/>
      <c r="J28" s="1543">
        <f>+J25*J26</f>
        <v>-24399.276578318884</v>
      </c>
      <c r="K28" s="1534"/>
      <c r="L28" s="1530"/>
      <c r="M28" s="1530"/>
      <c r="N28" s="1530"/>
      <c r="O28" s="1530"/>
      <c r="P28" s="1530"/>
      <c r="Q28" s="1530"/>
    </row>
    <row r="29" spans="1:17" ht="12.75" customHeight="1">
      <c r="A29" s="1542"/>
      <c r="B29" s="1504"/>
      <c r="C29" s="1561"/>
      <c r="D29" s="1534"/>
      <c r="E29" s="1530"/>
      <c r="F29" s="1539"/>
      <c r="G29" s="1534"/>
      <c r="H29" s="1540"/>
      <c r="I29" s="1534"/>
      <c r="J29" s="1562"/>
      <c r="K29" s="1534"/>
      <c r="L29" s="1530"/>
      <c r="M29" s="1530"/>
      <c r="N29" s="1530"/>
      <c r="O29" s="1530"/>
      <c r="P29" s="1530"/>
      <c r="Q29" s="1530"/>
    </row>
    <row r="30" spans="1:17" ht="12.75" customHeight="1">
      <c r="A30" s="1542">
        <f>+A28+1</f>
        <v>17</v>
      </c>
      <c r="B30" s="1504" t="s">
        <v>2033</v>
      </c>
      <c r="C30" s="1543">
        <f>C28*1</f>
        <v>30156.845694650932</v>
      </c>
      <c r="D30" s="1538" t="s">
        <v>1279</v>
      </c>
      <c r="E30" s="1530"/>
      <c r="F30" s="1539"/>
      <c r="G30" s="1534"/>
      <c r="H30" s="1543">
        <f>H28*1</f>
        <v>2896.3918069045103</v>
      </c>
      <c r="I30" s="1538" t="s">
        <v>1279</v>
      </c>
      <c r="J30" s="1543">
        <f>J28*1</f>
        <v>-24399.276578318884</v>
      </c>
      <c r="K30" s="1538" t="s">
        <v>1279</v>
      </c>
      <c r="L30" s="1530"/>
      <c r="M30" s="1530"/>
      <c r="N30" s="1530"/>
      <c r="O30" s="1530"/>
      <c r="P30" s="1530"/>
      <c r="Q30" s="1530"/>
    </row>
    <row r="31" spans="1:17" ht="12.75" customHeight="1">
      <c r="A31" s="1542">
        <f t="shared" ref="A31" si="3">+A30+1</f>
        <v>18</v>
      </c>
      <c r="B31" s="1504" t="s">
        <v>2034</v>
      </c>
      <c r="C31" s="1543">
        <f>C28*0</f>
        <v>0</v>
      </c>
      <c r="D31" s="1538" t="s">
        <v>1281</v>
      </c>
      <c r="E31" s="1530"/>
      <c r="F31" s="1539"/>
      <c r="G31" s="1534"/>
      <c r="H31" s="1543">
        <f>H28*0</f>
        <v>0</v>
      </c>
      <c r="I31" s="1538" t="s">
        <v>1281</v>
      </c>
      <c r="J31" s="1543">
        <f>J28*0</f>
        <v>0</v>
      </c>
      <c r="K31" s="1538" t="s">
        <v>1281</v>
      </c>
      <c r="L31" s="1530"/>
      <c r="M31" s="1530"/>
      <c r="N31" s="1530"/>
      <c r="O31" s="1530"/>
      <c r="P31" s="1530"/>
      <c r="Q31" s="1530"/>
    </row>
    <row r="32" spans="1:17" ht="12.75" customHeight="1">
      <c r="A32" s="1542"/>
      <c r="B32" s="1504"/>
      <c r="C32" s="1543"/>
      <c r="D32" s="1534"/>
      <c r="E32" s="1530"/>
      <c r="F32" s="1539"/>
      <c r="G32" s="1534"/>
      <c r="H32" s="1540"/>
      <c r="I32" s="1534"/>
      <c r="J32" s="1543"/>
      <c r="K32" s="1534"/>
      <c r="L32" s="1530"/>
      <c r="M32" s="1530"/>
      <c r="N32" s="1530"/>
      <c r="O32" s="1530"/>
      <c r="P32" s="1530"/>
      <c r="Q32" s="1530"/>
    </row>
    <row r="33" spans="1:17" ht="12.75" customHeight="1">
      <c r="A33" s="1542"/>
      <c r="B33" s="1563" t="s">
        <v>2035</v>
      </c>
      <c r="C33" s="1543"/>
      <c r="D33" s="1534"/>
      <c r="E33" s="1530"/>
      <c r="F33" s="1539"/>
      <c r="G33" s="1534"/>
      <c r="H33" s="1540"/>
      <c r="I33" s="1534"/>
      <c r="J33" s="1543"/>
      <c r="K33" s="1534"/>
      <c r="L33" s="1530"/>
      <c r="M33" s="1530"/>
      <c r="N33" s="1530"/>
      <c r="O33" s="1530"/>
      <c r="P33" s="1530"/>
      <c r="Q33" s="1530"/>
    </row>
    <row r="34" spans="1:17" ht="12.75" customHeight="1">
      <c r="A34" s="1542">
        <f>+A31+1</f>
        <v>19</v>
      </c>
      <c r="B34" s="1564" t="s">
        <v>2051</v>
      </c>
      <c r="C34" s="1565">
        <f>336703.35-74638.15-5422.29+21446.45+59267.49+43190.56+92778.78-10456.23+42112.09+26068.58-4786.54-3941.45</f>
        <v>522322.63999999984</v>
      </c>
      <c r="D34" s="1534" t="s">
        <v>1267</v>
      </c>
      <c r="E34" s="1530"/>
      <c r="F34" s="1539"/>
      <c r="G34" s="1534"/>
      <c r="H34" s="1544">
        <v>0</v>
      </c>
      <c r="I34" s="1534"/>
      <c r="J34" s="1543">
        <f t="shared" ref="J34" si="4">-C34</f>
        <v>-522322.63999999984</v>
      </c>
      <c r="K34" s="1534"/>
      <c r="L34" s="1530"/>
      <c r="M34" s="1530"/>
      <c r="N34" s="1530"/>
      <c r="O34" s="1543"/>
      <c r="P34" s="1530"/>
      <c r="Q34" s="1530"/>
    </row>
    <row r="35" spans="1:17" ht="12.75" customHeight="1">
      <c r="A35" s="1542">
        <f>+A34+1</f>
        <v>20</v>
      </c>
      <c r="B35" s="1566">
        <v>2001</v>
      </c>
      <c r="C35" s="1543">
        <v>24964.82</v>
      </c>
      <c r="D35" s="1534" t="s">
        <v>1267</v>
      </c>
      <c r="E35" s="1530"/>
      <c r="F35" s="1547">
        <v>12</v>
      </c>
      <c r="G35" s="1534"/>
      <c r="H35" s="1544">
        <v>0</v>
      </c>
      <c r="I35" s="1534"/>
      <c r="J35" s="1548">
        <f t="shared" ref="J35:J46" si="5">-IF(C35/$D$124*F35&gt;=C35,C35,C35/$D$124*F35)</f>
        <v>-24964.82</v>
      </c>
      <c r="K35" s="1534"/>
      <c r="L35" s="1530"/>
      <c r="M35" s="1530"/>
      <c r="N35" s="1530"/>
      <c r="O35" s="1543"/>
      <c r="P35" s="1530"/>
      <c r="Q35" s="1530"/>
    </row>
    <row r="36" spans="1:17" ht="12.75" customHeight="1">
      <c r="A36" s="1542">
        <f t="shared" ref="A36:A45" si="6">+A35+1</f>
        <v>21</v>
      </c>
      <c r="B36" s="1566">
        <v>2002</v>
      </c>
      <c r="C36" s="1543">
        <v>169303.75</v>
      </c>
      <c r="D36" s="1534" t="s">
        <v>1267</v>
      </c>
      <c r="E36" s="1530"/>
      <c r="F36" s="1547">
        <v>11</v>
      </c>
      <c r="G36" s="1534"/>
      <c r="H36" s="1544">
        <v>0</v>
      </c>
      <c r="I36" s="1534"/>
      <c r="J36" s="1548">
        <f t="shared" si="5"/>
        <v>-169303.75</v>
      </c>
      <c r="K36" s="1534"/>
      <c r="L36" s="1530"/>
      <c r="M36" s="1530"/>
      <c r="N36" s="1530"/>
      <c r="O36" s="1543"/>
      <c r="P36" s="1530"/>
      <c r="Q36" s="1530"/>
    </row>
    <row r="37" spans="1:17" ht="12.75" customHeight="1">
      <c r="A37" s="1542">
        <f t="shared" si="6"/>
        <v>22</v>
      </c>
      <c r="B37" s="1566">
        <v>2003</v>
      </c>
      <c r="C37" s="1543">
        <v>32992.83</v>
      </c>
      <c r="D37" s="1534" t="s">
        <v>1267</v>
      </c>
      <c r="E37" s="1530"/>
      <c r="F37" s="1547">
        <v>10</v>
      </c>
      <c r="G37" s="1534"/>
      <c r="H37" s="1544">
        <v>0</v>
      </c>
      <c r="I37" s="1534"/>
      <c r="J37" s="1548">
        <f t="shared" si="5"/>
        <v>-32992.83</v>
      </c>
      <c r="K37" s="1534"/>
      <c r="L37" s="1530"/>
      <c r="M37" s="1530"/>
      <c r="N37" s="1530"/>
      <c r="O37" s="1530"/>
      <c r="P37" s="1530"/>
      <c r="Q37" s="1530"/>
    </row>
    <row r="38" spans="1:17" ht="12.75" customHeight="1">
      <c r="A38" s="1542">
        <f t="shared" si="6"/>
        <v>23</v>
      </c>
      <c r="B38" s="1566">
        <v>2004</v>
      </c>
      <c r="C38" s="1543">
        <v>28300.37</v>
      </c>
      <c r="D38" s="1534" t="s">
        <v>1267</v>
      </c>
      <c r="E38" s="1530"/>
      <c r="F38" s="1547">
        <v>9</v>
      </c>
      <c r="G38" s="1534"/>
      <c r="H38" s="1544">
        <v>0</v>
      </c>
      <c r="I38" s="1534"/>
      <c r="J38" s="1548">
        <f t="shared" si="5"/>
        <v>-28300.37</v>
      </c>
      <c r="K38" s="1534"/>
      <c r="L38" s="1530"/>
      <c r="M38" s="1530"/>
      <c r="N38" s="1530"/>
      <c r="O38" s="1543"/>
      <c r="P38" s="1530"/>
      <c r="Q38" s="1530"/>
    </row>
    <row r="39" spans="1:17" ht="12.75" customHeight="1">
      <c r="A39" s="1542">
        <f t="shared" si="6"/>
        <v>24</v>
      </c>
      <c r="B39" s="1566">
        <v>2005</v>
      </c>
      <c r="C39" s="1543">
        <v>64443.01</v>
      </c>
      <c r="D39" s="1534" t="s">
        <v>1267</v>
      </c>
      <c r="E39" s="1530"/>
      <c r="F39" s="1547">
        <v>8</v>
      </c>
      <c r="G39" s="1534"/>
      <c r="H39" s="1544">
        <v>0</v>
      </c>
      <c r="I39" s="1534"/>
      <c r="J39" s="1548">
        <f t="shared" si="5"/>
        <v>-64443.01</v>
      </c>
      <c r="K39" s="1534"/>
      <c r="L39" s="1530"/>
      <c r="M39" s="1530"/>
      <c r="N39" s="1530"/>
      <c r="O39" s="1543"/>
      <c r="P39" s="1530"/>
      <c r="Q39" s="1530"/>
    </row>
    <row r="40" spans="1:17" ht="12.75" customHeight="1">
      <c r="A40" s="1542">
        <f t="shared" si="6"/>
        <v>25</v>
      </c>
      <c r="B40" s="1566">
        <v>2006</v>
      </c>
      <c r="C40" s="1567">
        <v>129917</v>
      </c>
      <c r="D40" s="1534" t="s">
        <v>1267</v>
      </c>
      <c r="E40" s="1530"/>
      <c r="F40" s="1547">
        <v>7</v>
      </c>
      <c r="G40" s="1534"/>
      <c r="H40" s="1544">
        <v>0</v>
      </c>
      <c r="I40" s="1534"/>
      <c r="J40" s="1548">
        <f t="shared" si="5"/>
        <v>-129917</v>
      </c>
      <c r="K40" s="1534"/>
      <c r="L40" s="1530"/>
      <c r="M40" s="1530"/>
      <c r="N40" s="1568"/>
      <c r="O40" s="1543"/>
      <c r="P40" s="1530"/>
      <c r="Q40" s="1530"/>
    </row>
    <row r="41" spans="1:17" ht="12.75" customHeight="1">
      <c r="A41" s="1542">
        <f t="shared" si="6"/>
        <v>26</v>
      </c>
      <c r="B41" s="1566">
        <v>2007</v>
      </c>
      <c r="C41" s="1567">
        <v>207293.74</v>
      </c>
      <c r="D41" s="1534" t="s">
        <v>1267</v>
      </c>
      <c r="E41" s="1530"/>
      <c r="F41" s="1547">
        <v>6</v>
      </c>
      <c r="G41" s="1534"/>
      <c r="H41" s="1544">
        <v>0</v>
      </c>
      <c r="I41" s="1534"/>
      <c r="J41" s="1548">
        <f t="shared" si="5"/>
        <v>-207293.74</v>
      </c>
      <c r="K41" s="1534"/>
      <c r="L41" s="1530"/>
      <c r="M41" s="1530"/>
      <c r="N41" s="1530"/>
      <c r="O41" s="1549"/>
      <c r="P41" s="1530"/>
      <c r="Q41" s="1530"/>
    </row>
    <row r="42" spans="1:17" ht="12.75" customHeight="1">
      <c r="A42" s="1542">
        <f t="shared" si="6"/>
        <v>27</v>
      </c>
      <c r="B42" s="1550">
        <v>2008</v>
      </c>
      <c r="C42" s="1567">
        <f>50144.23+20558</f>
        <v>70702.23000000001</v>
      </c>
      <c r="D42" s="1534" t="s">
        <v>1267</v>
      </c>
      <c r="E42" s="1530"/>
      <c r="F42" s="1547">
        <v>5</v>
      </c>
      <c r="G42" s="1534"/>
      <c r="H42" s="1544">
        <v>0</v>
      </c>
      <c r="I42" s="1534"/>
      <c r="J42" s="1548">
        <f t="shared" si="5"/>
        <v>-70702.23000000001</v>
      </c>
      <c r="K42" s="1534"/>
      <c r="L42" s="1530"/>
      <c r="M42" s="1530"/>
      <c r="N42" s="1530"/>
      <c r="O42" s="1530"/>
      <c r="P42" s="1530"/>
      <c r="Q42" s="1530"/>
    </row>
    <row r="43" spans="1:17" ht="12.75" customHeight="1">
      <c r="A43" s="1542">
        <f t="shared" si="6"/>
        <v>28</v>
      </c>
      <c r="B43" s="1550">
        <v>2009</v>
      </c>
      <c r="C43" s="1569">
        <v>58159.65</v>
      </c>
      <c r="D43" s="1534" t="s">
        <v>1267</v>
      </c>
      <c r="E43" s="1530"/>
      <c r="F43" s="1547">
        <v>4</v>
      </c>
      <c r="G43" s="1534"/>
      <c r="H43" s="1544">
        <v>0</v>
      </c>
      <c r="I43" s="1534"/>
      <c r="J43" s="1548">
        <f t="shared" si="5"/>
        <v>-58159.65</v>
      </c>
      <c r="K43" s="1534"/>
      <c r="L43" s="1530"/>
      <c r="M43" s="1530"/>
      <c r="N43" s="1530"/>
      <c r="O43" s="1530"/>
      <c r="P43" s="1530"/>
      <c r="Q43" s="1530"/>
    </row>
    <row r="44" spans="1:17" ht="12.75" customHeight="1">
      <c r="A44" s="1542">
        <f t="shared" si="6"/>
        <v>29</v>
      </c>
      <c r="B44" s="1550">
        <v>2010</v>
      </c>
      <c r="C44" s="1567">
        <v>93231.26</v>
      </c>
      <c r="D44" s="1534" t="s">
        <v>1267</v>
      </c>
      <c r="E44" s="1530"/>
      <c r="F44" s="1547">
        <v>3</v>
      </c>
      <c r="G44" s="1534"/>
      <c r="H44" s="1544">
        <f>+C44/$D$124</f>
        <v>31077.086666666666</v>
      </c>
      <c r="I44" s="1534"/>
      <c r="J44" s="1548">
        <f t="shared" si="5"/>
        <v>-93231.26</v>
      </c>
      <c r="K44" s="1534"/>
      <c r="L44" s="1551"/>
      <c r="M44" s="1530"/>
      <c r="N44" s="1530"/>
      <c r="O44" s="1530"/>
      <c r="P44" s="1530"/>
      <c r="Q44" s="1530"/>
    </row>
    <row r="45" spans="1:17" ht="12.75" customHeight="1">
      <c r="A45" s="1542">
        <f t="shared" si="6"/>
        <v>30</v>
      </c>
      <c r="B45" s="1550">
        <v>2011</v>
      </c>
      <c r="C45" s="1569">
        <v>175254.61</v>
      </c>
      <c r="D45" s="1534" t="s">
        <v>1267</v>
      </c>
      <c r="E45" s="1530"/>
      <c r="F45" s="1547">
        <v>2</v>
      </c>
      <c r="G45" s="1534"/>
      <c r="H45" s="1544">
        <f>+C45/$D$124</f>
        <v>58418.203333333331</v>
      </c>
      <c r="I45" s="1534"/>
      <c r="J45" s="1548">
        <f t="shared" si="5"/>
        <v>-116836.40666666666</v>
      </c>
      <c r="K45" s="1534"/>
      <c r="L45" s="1530"/>
      <c r="M45" s="1530"/>
      <c r="N45" s="1530"/>
      <c r="O45" s="1530"/>
      <c r="P45" s="1530"/>
      <c r="Q45" s="1530"/>
    </row>
    <row r="46" spans="1:17" ht="12.75" customHeight="1">
      <c r="A46" s="1542">
        <f>+A45+1</f>
        <v>31</v>
      </c>
      <c r="B46" s="1550">
        <v>2012</v>
      </c>
      <c r="C46" s="1569">
        <v>76063.22</v>
      </c>
      <c r="D46" s="1534" t="s">
        <v>1267</v>
      </c>
      <c r="E46" s="1530"/>
      <c r="F46" s="1547">
        <v>1</v>
      </c>
      <c r="G46" s="1534"/>
      <c r="H46" s="1544">
        <f>+C46/$D$124</f>
        <v>25354.406666666666</v>
      </c>
      <c r="I46" s="1534"/>
      <c r="J46" s="1548">
        <f t="shared" si="5"/>
        <v>-25354.406666666666</v>
      </c>
      <c r="K46" s="1534"/>
      <c r="L46" s="1530"/>
      <c r="M46" s="1530"/>
      <c r="N46" s="1530"/>
      <c r="O46" s="1530"/>
      <c r="P46" s="1530"/>
      <c r="Q46" s="1530"/>
    </row>
    <row r="47" spans="1:17" s="1557" customFormat="1" ht="5.0999999999999996" customHeight="1">
      <c r="A47" s="1552"/>
      <c r="B47" s="1553"/>
      <c r="C47" s="1554">
        <v>0</v>
      </c>
      <c r="D47" s="1555"/>
      <c r="E47" s="1554"/>
      <c r="F47" s="1556"/>
      <c r="G47" s="1555"/>
      <c r="H47" s="1570">
        <v>0</v>
      </c>
      <c r="I47" s="1555"/>
      <c r="J47" s="1554">
        <v>0</v>
      </c>
      <c r="K47" s="1555"/>
      <c r="L47" s="1554"/>
      <c r="M47" s="1554"/>
      <c r="N47" s="1554"/>
      <c r="O47" s="1554"/>
      <c r="P47" s="1554"/>
      <c r="Q47" s="1554"/>
    </row>
    <row r="48" spans="1:17" ht="12.75" customHeight="1">
      <c r="A48" s="1542">
        <f>+A46+1</f>
        <v>32</v>
      </c>
      <c r="B48" s="1504" t="s">
        <v>2036</v>
      </c>
      <c r="C48" s="1543">
        <f>SUM(C34:C47)</f>
        <v>1652949.1299999997</v>
      </c>
      <c r="D48" s="1534"/>
      <c r="E48" s="1530"/>
      <c r="F48" s="1547"/>
      <c r="G48" s="1534"/>
      <c r="H48" s="1544">
        <f>SUM(H34:H47)</f>
        <v>114849.69666666666</v>
      </c>
      <c r="I48" s="1534"/>
      <c r="J48" s="1543">
        <f>SUM(J34:J47)</f>
        <v>-1543822.1133333331</v>
      </c>
      <c r="K48" s="1534"/>
      <c r="L48" s="1530"/>
      <c r="M48" s="1530"/>
      <c r="N48" s="1530"/>
      <c r="O48" s="1530"/>
      <c r="P48" s="1530"/>
      <c r="Q48" s="1530"/>
    </row>
    <row r="49" spans="1:17" ht="12.75" customHeight="1">
      <c r="A49" s="1542">
        <f t="shared" ref="A49" si="7">+A48+1</f>
        <v>33</v>
      </c>
      <c r="B49" s="1504" t="str">
        <f>B26</f>
        <v>Percentage allocated to WSC of Kentucky</v>
      </c>
      <c r="C49" s="1558">
        <f>+C26</f>
        <v>2.775347522522463E-2</v>
      </c>
      <c r="D49" s="1534"/>
      <c r="E49" s="1530"/>
      <c r="F49" s="1547"/>
      <c r="G49" s="1534"/>
      <c r="H49" s="1558">
        <f>H26</f>
        <v>2.775347522522463E-2</v>
      </c>
      <c r="I49" s="1534"/>
      <c r="J49" s="1558">
        <f>+J26</f>
        <v>2.775347522522463E-2</v>
      </c>
      <c r="K49" s="1534"/>
      <c r="L49" s="1530"/>
      <c r="M49" s="1530"/>
      <c r="N49" s="1530"/>
      <c r="O49" s="1530"/>
      <c r="P49" s="1530"/>
      <c r="Q49" s="1530"/>
    </row>
    <row r="50" spans="1:17" s="1557" customFormat="1" ht="5.0999999999999996" customHeight="1">
      <c r="A50" s="1552"/>
      <c r="B50" s="1553"/>
      <c r="C50" s="1554">
        <v>0</v>
      </c>
      <c r="D50" s="1555"/>
      <c r="E50" s="1554"/>
      <c r="F50" s="1556"/>
      <c r="G50" s="1555"/>
      <c r="H50" s="1554">
        <v>0</v>
      </c>
      <c r="I50" s="1555"/>
      <c r="J50" s="1554">
        <v>0</v>
      </c>
      <c r="K50" s="1555"/>
      <c r="L50" s="1554"/>
      <c r="M50" s="1554"/>
      <c r="N50" s="1554"/>
      <c r="O50" s="1554"/>
      <c r="P50" s="1554"/>
      <c r="Q50" s="1554"/>
    </row>
    <row r="51" spans="1:17" ht="12.75" customHeight="1">
      <c r="A51" s="1542">
        <f>+A49+1</f>
        <v>34</v>
      </c>
      <c r="B51" s="1504" t="s">
        <v>2052</v>
      </c>
      <c r="C51" s="1543">
        <f>+C48*C49</f>
        <v>45875.082728011599</v>
      </c>
      <c r="D51" s="1534"/>
      <c r="E51" s="1530"/>
      <c r="F51" s="1539"/>
      <c r="G51" s="1534"/>
      <c r="H51" s="1543">
        <f>+H48*H49</f>
        <v>3187.4782110628967</v>
      </c>
      <c r="I51" s="1534"/>
      <c r="J51" s="1543">
        <f>+J48*J49</f>
        <v>-42846.428774550594</v>
      </c>
      <c r="K51" s="1534"/>
      <c r="L51" s="1530"/>
      <c r="M51" s="1530"/>
      <c r="N51" s="1530"/>
      <c r="O51" s="1530"/>
      <c r="P51" s="1530"/>
      <c r="Q51" s="1530"/>
    </row>
    <row r="52" spans="1:17" ht="12.75" customHeight="1">
      <c r="A52" s="1542"/>
      <c r="B52" s="1504"/>
      <c r="C52" s="1543"/>
      <c r="D52" s="1534"/>
      <c r="E52" s="1530"/>
      <c r="F52" s="1539"/>
      <c r="G52" s="1534"/>
      <c r="H52" s="1540"/>
      <c r="I52" s="1534"/>
      <c r="J52" s="1543"/>
      <c r="K52" s="1534"/>
      <c r="L52" s="1530"/>
      <c r="M52" s="1530"/>
      <c r="N52" s="1530"/>
      <c r="O52" s="1530"/>
      <c r="P52" s="1530"/>
      <c r="Q52" s="1530"/>
    </row>
    <row r="53" spans="1:17" ht="12.75" customHeight="1">
      <c r="A53" s="1542">
        <f>+A51+1</f>
        <v>35</v>
      </c>
      <c r="B53" s="1504" t="s">
        <v>2038</v>
      </c>
      <c r="C53" s="1543">
        <f>C51*1</f>
        <v>45875.082728011599</v>
      </c>
      <c r="D53" s="1538" t="s">
        <v>1279</v>
      </c>
      <c r="E53" s="1530"/>
      <c r="F53" s="1539"/>
      <c r="G53" s="1534"/>
      <c r="H53" s="1543">
        <f>H51*1</f>
        <v>3187.4782110628967</v>
      </c>
      <c r="I53" s="1538" t="s">
        <v>1279</v>
      </c>
      <c r="J53" s="1543">
        <f>J51*1</f>
        <v>-42846.428774550594</v>
      </c>
      <c r="K53" s="1538" t="s">
        <v>1279</v>
      </c>
      <c r="L53" s="1530"/>
      <c r="M53" s="1551"/>
      <c r="N53" s="1530"/>
      <c r="O53" s="1530"/>
      <c r="P53" s="1530"/>
      <c r="Q53" s="1530"/>
    </row>
    <row r="54" spans="1:17" ht="12.75" customHeight="1">
      <c r="A54" s="1542">
        <f t="shared" ref="A54" si="8">+A53+1</f>
        <v>36</v>
      </c>
      <c r="B54" s="1504" t="s">
        <v>2039</v>
      </c>
      <c r="C54" s="1543">
        <f>C51*0</f>
        <v>0</v>
      </c>
      <c r="D54" s="1538" t="s">
        <v>1281</v>
      </c>
      <c r="E54" s="1530"/>
      <c r="F54" s="1539"/>
      <c r="G54" s="1534"/>
      <c r="H54" s="1543">
        <f>H51*0</f>
        <v>0</v>
      </c>
      <c r="I54" s="1538" t="s">
        <v>1281</v>
      </c>
      <c r="J54" s="1543">
        <f>J51*0</f>
        <v>0</v>
      </c>
      <c r="K54" s="1538" t="s">
        <v>1281</v>
      </c>
      <c r="L54" s="1530"/>
      <c r="M54" s="1571"/>
      <c r="N54" s="1530"/>
      <c r="O54" s="1530"/>
      <c r="P54" s="1530"/>
      <c r="Q54" s="1530"/>
    </row>
    <row r="55" spans="1:17" ht="12.75" customHeight="1">
      <c r="A55" s="1542"/>
      <c r="B55" s="1504"/>
      <c r="C55" s="1543"/>
      <c r="D55" s="1538"/>
      <c r="E55" s="1530"/>
      <c r="F55" s="1539"/>
      <c r="G55" s="1534"/>
      <c r="H55" s="1540"/>
      <c r="I55" s="1534"/>
      <c r="J55" s="1543"/>
      <c r="K55" s="1538"/>
      <c r="L55" s="1530"/>
      <c r="M55" s="1571"/>
      <c r="N55" s="1530"/>
      <c r="O55" s="1530"/>
      <c r="P55" s="1530"/>
      <c r="Q55" s="1530"/>
    </row>
    <row r="56" spans="1:17" ht="12.75" customHeight="1">
      <c r="A56" s="1542"/>
      <c r="B56" s="1563" t="s">
        <v>2053</v>
      </c>
      <c r="C56" s="1543"/>
      <c r="D56" s="1534"/>
      <c r="E56" s="1530"/>
      <c r="F56" s="1539"/>
      <c r="G56" s="1534"/>
      <c r="H56" s="1540"/>
      <c r="I56" s="1534"/>
      <c r="J56" s="1543"/>
      <c r="K56" s="1534"/>
      <c r="L56" s="1530"/>
      <c r="M56" s="1571"/>
      <c r="N56" s="1530"/>
      <c r="O56" s="1530"/>
      <c r="P56" s="1530"/>
      <c r="Q56" s="1530"/>
    </row>
    <row r="57" spans="1:17" ht="12.75" customHeight="1">
      <c r="A57" s="1542">
        <f>+A54+1</f>
        <v>37</v>
      </c>
      <c r="B57" s="1564" t="s">
        <v>2051</v>
      </c>
      <c r="C57" s="1565">
        <v>771292.93</v>
      </c>
      <c r="D57" s="1534" t="s">
        <v>1267</v>
      </c>
      <c r="E57" s="1530"/>
      <c r="F57" s="1539"/>
      <c r="G57" s="1534"/>
      <c r="H57" s="1544">
        <v>0</v>
      </c>
      <c r="I57" s="1534"/>
      <c r="J57" s="1543">
        <f t="shared" ref="J57" si="9">-C57</f>
        <v>-771292.93</v>
      </c>
      <c r="K57" s="1534"/>
      <c r="L57" s="1530"/>
      <c r="M57" s="1530"/>
      <c r="N57" s="1530"/>
      <c r="O57" s="1543"/>
      <c r="P57" s="1530"/>
      <c r="Q57" s="1530"/>
    </row>
    <row r="58" spans="1:17" ht="12.75" customHeight="1">
      <c r="A58" s="1542">
        <f t="shared" ref="A58:A68" si="10">+A57+1</f>
        <v>38</v>
      </c>
      <c r="B58" s="1566">
        <v>2001</v>
      </c>
      <c r="C58" s="1543">
        <v>45542.34</v>
      </c>
      <c r="D58" s="1534" t="s">
        <v>1267</v>
      </c>
      <c r="E58" s="1530"/>
      <c r="F58" s="1547">
        <v>12</v>
      </c>
      <c r="G58" s="1534"/>
      <c r="H58" s="1544">
        <v>0</v>
      </c>
      <c r="I58" s="1534"/>
      <c r="J58" s="1548">
        <f t="shared" ref="J58:J69" si="11">-IF(C58/$D$125*F58&gt;=C58,C58,C58/$D$125*F58)</f>
        <v>-45542.34</v>
      </c>
      <c r="K58" s="1534"/>
      <c r="L58" s="1530"/>
      <c r="M58" s="1530"/>
      <c r="N58" s="1530"/>
      <c r="O58" s="1543"/>
      <c r="P58" s="1530"/>
      <c r="Q58" s="1530"/>
    </row>
    <row r="59" spans="1:17" ht="12.75" customHeight="1">
      <c r="A59" s="1542">
        <f t="shared" si="10"/>
        <v>39</v>
      </c>
      <c r="B59" s="1566">
        <v>2002</v>
      </c>
      <c r="C59" s="1543">
        <v>5912.31</v>
      </c>
      <c r="D59" s="1534" t="s">
        <v>1267</v>
      </c>
      <c r="E59" s="1530"/>
      <c r="F59" s="1547">
        <v>11</v>
      </c>
      <c r="G59" s="1534"/>
      <c r="H59" s="1544">
        <v>0</v>
      </c>
      <c r="I59" s="1534"/>
      <c r="J59" s="1548">
        <f t="shared" si="11"/>
        <v>-5912.31</v>
      </c>
      <c r="K59" s="1534"/>
      <c r="L59" s="1530"/>
      <c r="M59" s="1530"/>
      <c r="N59" s="1530"/>
      <c r="O59" s="1543"/>
      <c r="P59" s="1530"/>
      <c r="Q59" s="1530"/>
    </row>
    <row r="60" spans="1:17" ht="12.75" customHeight="1">
      <c r="A60" s="1542">
        <f t="shared" si="10"/>
        <v>40</v>
      </c>
      <c r="B60" s="1566">
        <v>2003</v>
      </c>
      <c r="C60" s="1543">
        <v>14240</v>
      </c>
      <c r="D60" s="1534" t="s">
        <v>1267</v>
      </c>
      <c r="E60" s="1530"/>
      <c r="F60" s="1547">
        <v>10</v>
      </c>
      <c r="G60" s="1534"/>
      <c r="H60" s="1544">
        <v>0</v>
      </c>
      <c r="I60" s="1534"/>
      <c r="J60" s="1548">
        <f t="shared" si="11"/>
        <v>-14240</v>
      </c>
      <c r="K60" s="1534"/>
      <c r="L60" s="1530"/>
      <c r="M60" s="1530"/>
      <c r="N60" s="1530"/>
      <c r="O60" s="1530"/>
      <c r="P60" s="1530"/>
      <c r="Q60" s="1530"/>
    </row>
    <row r="61" spans="1:17" ht="12.75" customHeight="1">
      <c r="A61" s="1542">
        <f t="shared" si="10"/>
        <v>41</v>
      </c>
      <c r="B61" s="1566">
        <v>2004</v>
      </c>
      <c r="C61" s="1543">
        <v>0</v>
      </c>
      <c r="D61" s="1534" t="s">
        <v>1267</v>
      </c>
      <c r="E61" s="1530"/>
      <c r="F61" s="1547">
        <v>9</v>
      </c>
      <c r="G61" s="1534"/>
      <c r="H61" s="1544">
        <v>0</v>
      </c>
      <c r="I61" s="1534"/>
      <c r="J61" s="1548">
        <f t="shared" si="11"/>
        <v>0</v>
      </c>
      <c r="K61" s="1534"/>
      <c r="L61" s="1530"/>
      <c r="M61" s="1530"/>
      <c r="N61" s="1530"/>
      <c r="O61" s="1543"/>
      <c r="P61" s="1530"/>
      <c r="Q61" s="1530"/>
    </row>
    <row r="62" spans="1:17" ht="12.75" customHeight="1">
      <c r="A62" s="1542">
        <f t="shared" si="10"/>
        <v>42</v>
      </c>
      <c r="B62" s="1566">
        <v>2005</v>
      </c>
      <c r="C62" s="1543">
        <v>0</v>
      </c>
      <c r="D62" s="1534" t="s">
        <v>1267</v>
      </c>
      <c r="E62" s="1530"/>
      <c r="F62" s="1547">
        <v>8</v>
      </c>
      <c r="G62" s="1534"/>
      <c r="H62" s="1544">
        <f t="shared" ref="H62:H69" si="12">+C62/$D$125</f>
        <v>0</v>
      </c>
      <c r="I62" s="1534"/>
      <c r="J62" s="1548">
        <f t="shared" si="11"/>
        <v>0</v>
      </c>
      <c r="K62" s="1534"/>
      <c r="L62" s="1530"/>
      <c r="M62" s="1530"/>
      <c r="N62" s="1530"/>
      <c r="O62" s="1543"/>
      <c r="P62" s="1530"/>
      <c r="Q62" s="1530"/>
    </row>
    <row r="63" spans="1:17" ht="12.75" customHeight="1">
      <c r="A63" s="1542">
        <f t="shared" si="10"/>
        <v>43</v>
      </c>
      <c r="B63" s="1566">
        <v>2006</v>
      </c>
      <c r="C63" s="1567">
        <v>0</v>
      </c>
      <c r="D63" s="1534" t="s">
        <v>1267</v>
      </c>
      <c r="E63" s="1530"/>
      <c r="F63" s="1547">
        <v>7</v>
      </c>
      <c r="G63" s="1534"/>
      <c r="H63" s="1544">
        <f t="shared" si="12"/>
        <v>0</v>
      </c>
      <c r="I63" s="1534"/>
      <c r="J63" s="1548">
        <f t="shared" si="11"/>
        <v>0</v>
      </c>
      <c r="K63" s="1534"/>
      <c r="L63" s="1530"/>
      <c r="M63" s="1530"/>
      <c r="N63" s="1530"/>
      <c r="O63" s="1543"/>
      <c r="P63" s="1530"/>
      <c r="Q63" s="1530"/>
    </row>
    <row r="64" spans="1:17" ht="12.75" customHeight="1">
      <c r="A64" s="1542">
        <f t="shared" si="10"/>
        <v>44</v>
      </c>
      <c r="B64" s="1566">
        <v>2007</v>
      </c>
      <c r="C64" s="1567">
        <v>0</v>
      </c>
      <c r="D64" s="1534" t="s">
        <v>1267</v>
      </c>
      <c r="E64" s="1530"/>
      <c r="F64" s="1547">
        <v>6</v>
      </c>
      <c r="G64" s="1534"/>
      <c r="H64" s="1544">
        <f t="shared" si="12"/>
        <v>0</v>
      </c>
      <c r="I64" s="1534"/>
      <c r="J64" s="1548">
        <f t="shared" si="11"/>
        <v>0</v>
      </c>
      <c r="K64" s="1534"/>
      <c r="L64" s="1530"/>
      <c r="M64" s="1530"/>
      <c r="N64" s="1530"/>
      <c r="O64" s="1549"/>
      <c r="P64" s="1530"/>
      <c r="Q64" s="1530"/>
    </row>
    <row r="65" spans="1:17" ht="12.75" customHeight="1">
      <c r="A65" s="1542">
        <f t="shared" si="10"/>
        <v>45</v>
      </c>
      <c r="B65" s="1550">
        <v>2008</v>
      </c>
      <c r="C65" s="1567">
        <f>20826256.86+795767</f>
        <v>21622023.859999999</v>
      </c>
      <c r="D65" s="1534" t="s">
        <v>1267</v>
      </c>
      <c r="E65" s="1530"/>
      <c r="F65" s="1547">
        <v>5</v>
      </c>
      <c r="G65" s="1534"/>
      <c r="H65" s="1544">
        <f t="shared" si="12"/>
        <v>2702752.9824999999</v>
      </c>
      <c r="I65" s="1534"/>
      <c r="J65" s="1548">
        <f t="shared" si="11"/>
        <v>-13513764.9125</v>
      </c>
      <c r="K65" s="1534"/>
      <c r="L65" s="1551"/>
      <c r="M65" s="1530"/>
      <c r="N65" s="1530"/>
      <c r="O65" s="1530"/>
      <c r="P65" s="1530"/>
      <c r="Q65" s="1530"/>
    </row>
    <row r="66" spans="1:17" ht="12.75" customHeight="1">
      <c r="A66" s="1542">
        <f t="shared" si="10"/>
        <v>46</v>
      </c>
      <c r="B66" s="1550">
        <v>2009</v>
      </c>
      <c r="C66" s="1567">
        <v>488372.76</v>
      </c>
      <c r="D66" s="1534" t="s">
        <v>1267</v>
      </c>
      <c r="E66" s="1530"/>
      <c r="F66" s="1547">
        <v>4</v>
      </c>
      <c r="G66" s="1534"/>
      <c r="H66" s="1544">
        <f t="shared" si="12"/>
        <v>61046.595000000001</v>
      </c>
      <c r="I66" s="1534"/>
      <c r="J66" s="1548">
        <f t="shared" si="11"/>
        <v>-244186.38</v>
      </c>
      <c r="K66" s="1534"/>
      <c r="L66" s="1551"/>
      <c r="M66" s="1530"/>
      <c r="N66" s="1530"/>
      <c r="O66" s="1530"/>
      <c r="P66" s="1530"/>
      <c r="Q66" s="1530"/>
    </row>
    <row r="67" spans="1:17" ht="12.75" customHeight="1">
      <c r="A67" s="1542">
        <f t="shared" si="10"/>
        <v>47</v>
      </c>
      <c r="B67" s="1550">
        <v>2010</v>
      </c>
      <c r="C67" s="1567">
        <v>-170056.34</v>
      </c>
      <c r="D67" s="1534" t="s">
        <v>1267</v>
      </c>
      <c r="E67" s="1530"/>
      <c r="F67" s="1547">
        <v>3</v>
      </c>
      <c r="G67" s="1534"/>
      <c r="H67" s="1544">
        <f t="shared" si="12"/>
        <v>-21257.0425</v>
      </c>
      <c r="I67" s="1534"/>
      <c r="J67" s="1548">
        <f t="shared" si="11"/>
        <v>170056.34</v>
      </c>
      <c r="K67" s="1534"/>
      <c r="L67" s="1530"/>
      <c r="M67" s="1530"/>
      <c r="N67" s="1530"/>
      <c r="O67" s="1530"/>
      <c r="P67" s="1530"/>
      <c r="Q67" s="1530"/>
    </row>
    <row r="68" spans="1:17" ht="13.5" customHeight="1">
      <c r="A68" s="1542">
        <f t="shared" si="10"/>
        <v>48</v>
      </c>
      <c r="B68" s="1550">
        <v>2011</v>
      </c>
      <c r="C68" s="1569">
        <v>95692.17</v>
      </c>
      <c r="D68" s="1534" t="s">
        <v>1267</v>
      </c>
      <c r="E68" s="1530"/>
      <c r="F68" s="1547">
        <v>2</v>
      </c>
      <c r="G68" s="1534"/>
      <c r="H68" s="1544">
        <f t="shared" si="12"/>
        <v>11961.52125</v>
      </c>
      <c r="I68" s="1534"/>
      <c r="J68" s="1548">
        <f t="shared" si="11"/>
        <v>-23923.0425</v>
      </c>
      <c r="K68" s="1534"/>
      <c r="L68" s="1530"/>
      <c r="M68" s="1530"/>
      <c r="N68" s="1530"/>
      <c r="O68" s="1530"/>
      <c r="P68" s="1530"/>
      <c r="Q68" s="1530"/>
    </row>
    <row r="69" spans="1:17" ht="13.5" customHeight="1">
      <c r="A69" s="1542">
        <f>+A68+1</f>
        <v>49</v>
      </c>
      <c r="B69" s="1550">
        <v>2012</v>
      </c>
      <c r="C69" s="1569">
        <v>68520.63</v>
      </c>
      <c r="D69" s="1534" t="s">
        <v>1267</v>
      </c>
      <c r="E69" s="1530"/>
      <c r="F69" s="1547">
        <v>1</v>
      </c>
      <c r="G69" s="1534"/>
      <c r="H69" s="1544">
        <f t="shared" si="12"/>
        <v>8565.0787500000006</v>
      </c>
      <c r="I69" s="1534"/>
      <c r="J69" s="1548">
        <f t="shared" si="11"/>
        <v>-8565.0787500000006</v>
      </c>
      <c r="K69" s="1534"/>
      <c r="L69" s="1530"/>
      <c r="M69" s="1530"/>
      <c r="N69" s="1530"/>
      <c r="O69" s="1530"/>
      <c r="P69" s="1530"/>
      <c r="Q69" s="1530"/>
    </row>
    <row r="70" spans="1:17" ht="5.0999999999999996" customHeight="1">
      <c r="A70" s="1542"/>
      <c r="B70" s="1550"/>
      <c r="C70" s="1554">
        <v>0</v>
      </c>
      <c r="D70" s="1534"/>
      <c r="E70" s="1530"/>
      <c r="F70" s="1547"/>
      <c r="G70" s="1534"/>
      <c r="H70" s="1570">
        <v>0</v>
      </c>
      <c r="I70" s="1534"/>
      <c r="J70" s="1554">
        <v>0</v>
      </c>
      <c r="K70" s="1534"/>
      <c r="L70" s="1530"/>
      <c r="M70" s="1530"/>
      <c r="N70" s="1530"/>
      <c r="O70" s="1530"/>
      <c r="P70" s="1530"/>
      <c r="Q70" s="1530"/>
    </row>
    <row r="71" spans="1:17" ht="12.75" customHeight="1">
      <c r="A71" s="1542">
        <f>+A69+1</f>
        <v>50</v>
      </c>
      <c r="B71" s="1504" t="s">
        <v>2054</v>
      </c>
      <c r="C71" s="1543">
        <f>SUM(C57:C70)</f>
        <v>22941540.66</v>
      </c>
      <c r="D71" s="1534"/>
      <c r="E71" s="1530"/>
      <c r="F71" s="1539"/>
      <c r="G71" s="1534"/>
      <c r="H71" s="1544">
        <f>SUM(H57:H70)</f>
        <v>2763069.1350000002</v>
      </c>
      <c r="I71" s="1534"/>
      <c r="J71" s="1543">
        <f>SUM(J57:J70)</f>
        <v>-14457370.653750001</v>
      </c>
      <c r="K71" s="1534"/>
      <c r="L71" s="1530"/>
      <c r="M71" s="1530"/>
      <c r="N71" s="1530"/>
      <c r="O71" s="1530"/>
      <c r="P71" s="1530"/>
      <c r="Q71" s="1530"/>
    </row>
    <row r="72" spans="1:17" ht="12.75" customHeight="1">
      <c r="A72" s="1542">
        <f t="shared" ref="A72" si="13">+A71+1</f>
        <v>51</v>
      </c>
      <c r="B72" s="1504" t="str">
        <f>B49</f>
        <v>Percentage allocated to WSC of Kentucky</v>
      </c>
      <c r="C72" s="1558">
        <f>+C49</f>
        <v>2.775347522522463E-2</v>
      </c>
      <c r="D72" s="1534"/>
      <c r="E72" s="1530"/>
      <c r="F72" s="1539"/>
      <c r="G72" s="1534"/>
      <c r="H72" s="1558">
        <f>H49</f>
        <v>2.775347522522463E-2</v>
      </c>
      <c r="I72" s="1534"/>
      <c r="J72" s="1558">
        <f>J49</f>
        <v>2.775347522522463E-2</v>
      </c>
      <c r="K72" s="1534"/>
      <c r="L72" s="1530"/>
      <c r="M72" s="1530"/>
      <c r="N72" s="1530"/>
      <c r="O72" s="1530"/>
      <c r="P72" s="1530"/>
      <c r="Q72" s="1530"/>
    </row>
    <row r="73" spans="1:17" ht="5.0999999999999996" customHeight="1">
      <c r="A73" s="1552"/>
      <c r="B73" s="1553"/>
      <c r="C73" s="1554">
        <v>0</v>
      </c>
      <c r="D73" s="1555"/>
      <c r="E73" s="1554"/>
      <c r="F73" s="1556"/>
      <c r="G73" s="1555"/>
      <c r="H73" s="1554">
        <v>0</v>
      </c>
      <c r="I73" s="1555"/>
      <c r="J73" s="1554">
        <v>0</v>
      </c>
      <c r="K73" s="1555"/>
      <c r="L73" s="1530"/>
      <c r="M73" s="1530"/>
      <c r="N73" s="1530"/>
      <c r="O73" s="1530"/>
      <c r="P73" s="1530"/>
      <c r="Q73" s="1530"/>
    </row>
    <row r="74" spans="1:17" ht="12.75" customHeight="1">
      <c r="A74" s="1542">
        <f>+A72+1</f>
        <v>52</v>
      </c>
      <c r="B74" s="1504" t="s">
        <v>2055</v>
      </c>
      <c r="C74" s="1543">
        <f>+C71*C72</f>
        <v>636707.48033579357</v>
      </c>
      <c r="D74" s="1534"/>
      <c r="E74" s="1530"/>
      <c r="F74" s="1539"/>
      <c r="G74" s="1534"/>
      <c r="H74" s="1543">
        <f>+H71*H72</f>
        <v>76684.770783805361</v>
      </c>
      <c r="I74" s="1534"/>
      <c r="J74" s="1543">
        <f>+J71*J72</f>
        <v>-401242.27826074028</v>
      </c>
      <c r="K74" s="1534"/>
      <c r="L74" s="1530"/>
      <c r="M74" s="1530"/>
      <c r="N74" s="1572"/>
      <c r="O74" s="1530"/>
      <c r="P74" s="1530"/>
      <c r="Q74" s="1530"/>
    </row>
    <row r="75" spans="1:17" ht="12.75" customHeight="1">
      <c r="A75" s="1542"/>
      <c r="B75" s="1504"/>
      <c r="C75" s="1543"/>
      <c r="D75" s="1534"/>
      <c r="E75" s="1530"/>
      <c r="F75" s="1539"/>
      <c r="G75" s="1534"/>
      <c r="H75" s="1540"/>
      <c r="I75" s="1534"/>
      <c r="J75" s="1543"/>
      <c r="K75" s="1534"/>
      <c r="L75" s="1530"/>
      <c r="M75" s="1530"/>
      <c r="N75" s="1530"/>
      <c r="O75" s="1530"/>
      <c r="P75" s="1530"/>
      <c r="Q75" s="1530"/>
    </row>
    <row r="76" spans="1:17" ht="12.75" customHeight="1">
      <c r="A76" s="1542">
        <f>+A74+1</f>
        <v>53</v>
      </c>
      <c r="B76" s="1504" t="s">
        <v>2056</v>
      </c>
      <c r="C76" s="1543">
        <f>C74*1</f>
        <v>636707.48033579357</v>
      </c>
      <c r="D76" s="1538" t="s">
        <v>1279</v>
      </c>
      <c r="E76" s="1530"/>
      <c r="F76" s="1539"/>
      <c r="G76" s="1534"/>
      <c r="H76" s="1543">
        <f>H74*1</f>
        <v>76684.770783805361</v>
      </c>
      <c r="I76" s="1538" t="s">
        <v>1279</v>
      </c>
      <c r="J76" s="1543">
        <f>J74*1</f>
        <v>-401242.27826074028</v>
      </c>
      <c r="K76" s="1538" t="s">
        <v>1279</v>
      </c>
      <c r="L76" s="1530"/>
      <c r="M76" s="1530"/>
      <c r="N76" s="1530"/>
      <c r="O76" s="1530"/>
      <c r="P76" s="1530"/>
      <c r="Q76" s="1530"/>
    </row>
    <row r="77" spans="1:17" ht="12.75" customHeight="1">
      <c r="A77" s="1542">
        <f t="shared" ref="A77" si="14">+A76+1</f>
        <v>54</v>
      </c>
      <c r="B77" s="1504" t="s">
        <v>2057</v>
      </c>
      <c r="C77" s="1543">
        <f>C74*0</f>
        <v>0</v>
      </c>
      <c r="D77" s="1538" t="s">
        <v>1281</v>
      </c>
      <c r="E77" s="1530"/>
      <c r="F77" s="1539"/>
      <c r="G77" s="1534"/>
      <c r="H77" s="1543">
        <f>H74*0</f>
        <v>0</v>
      </c>
      <c r="I77" s="1538" t="s">
        <v>1281</v>
      </c>
      <c r="J77" s="1543">
        <f>J74*0</f>
        <v>0</v>
      </c>
      <c r="K77" s="1538" t="s">
        <v>1281</v>
      </c>
      <c r="L77" s="1530"/>
      <c r="M77" s="1530"/>
      <c r="N77" s="1530"/>
      <c r="O77" s="1530"/>
      <c r="P77" s="1530"/>
      <c r="Q77" s="1530"/>
    </row>
    <row r="78" spans="1:17" ht="12.75" customHeight="1">
      <c r="A78" s="1542"/>
      <c r="B78" s="1504"/>
      <c r="C78" s="1543"/>
      <c r="D78" s="1538"/>
      <c r="E78" s="1530"/>
      <c r="F78" s="1539"/>
      <c r="G78" s="1534"/>
      <c r="H78" s="1540"/>
      <c r="I78" s="1534"/>
      <c r="J78" s="1543"/>
      <c r="K78" s="1538"/>
      <c r="L78" s="1530"/>
      <c r="M78" s="1530"/>
      <c r="N78" s="1530"/>
      <c r="O78" s="1530"/>
      <c r="P78" s="1530"/>
      <c r="Q78" s="1530"/>
    </row>
    <row r="79" spans="1:17" ht="12.75" customHeight="1">
      <c r="A79" s="1542"/>
      <c r="B79" s="1573" t="s">
        <v>2040</v>
      </c>
      <c r="C79" s="1543"/>
      <c r="D79" s="1534"/>
      <c r="E79" s="1530"/>
      <c r="F79" s="1539"/>
      <c r="G79" s="1534"/>
      <c r="H79" s="1540"/>
      <c r="I79" s="1534"/>
      <c r="J79" s="1543"/>
      <c r="K79" s="1534"/>
      <c r="L79" s="1530"/>
      <c r="M79" s="1530"/>
      <c r="N79" s="1530"/>
      <c r="O79" s="1530"/>
      <c r="P79" s="1530"/>
      <c r="Q79" s="1530"/>
    </row>
    <row r="80" spans="1:17" ht="12.75" customHeight="1">
      <c r="A80" s="1542">
        <f>+A77+1</f>
        <v>55</v>
      </c>
      <c r="B80" s="1574" t="s">
        <v>2058</v>
      </c>
      <c r="C80" s="1543">
        <v>89398.85</v>
      </c>
      <c r="D80" s="1534" t="s">
        <v>1267</v>
      </c>
      <c r="E80" s="1530"/>
      <c r="F80" s="1547"/>
      <c r="G80" s="1534"/>
      <c r="H80" s="1544">
        <v>0</v>
      </c>
      <c r="I80" s="1534"/>
      <c r="J80" s="1543">
        <f>-C80</f>
        <v>-89398.85</v>
      </c>
      <c r="K80" s="1534"/>
      <c r="L80" s="1530"/>
      <c r="M80" s="1530"/>
      <c r="N80" s="1530"/>
      <c r="O80" s="1543"/>
      <c r="P80" s="1530"/>
      <c r="Q80" s="1530"/>
    </row>
    <row r="81" spans="1:17" ht="12.75" customHeight="1">
      <c r="A81" s="1542">
        <f t="shared" ref="A81:A91" si="15">+A80+1</f>
        <v>56</v>
      </c>
      <c r="B81" s="1575">
        <v>2001</v>
      </c>
      <c r="C81" s="1543">
        <v>9222.02</v>
      </c>
      <c r="D81" s="1534" t="s">
        <v>1267</v>
      </c>
      <c r="E81" s="1530"/>
      <c r="F81" s="1547">
        <v>12</v>
      </c>
      <c r="G81" s="1534"/>
      <c r="H81" s="1544">
        <v>0</v>
      </c>
      <c r="I81" s="1534"/>
      <c r="J81" s="1548">
        <f t="shared" ref="J81:J92" si="16">-IF(C81/$D$126*F81&gt;=C81,C81,C81/$D$126*F81)</f>
        <v>-9222.02</v>
      </c>
      <c r="K81" s="1534"/>
      <c r="L81" s="1530"/>
      <c r="M81" s="1530"/>
      <c r="N81" s="1530"/>
      <c r="O81" s="1543"/>
      <c r="P81" s="1530"/>
      <c r="Q81" s="1530"/>
    </row>
    <row r="82" spans="1:17" ht="12.75" customHeight="1">
      <c r="A82" s="1542">
        <f t="shared" si="15"/>
        <v>57</v>
      </c>
      <c r="B82" s="1575">
        <v>2002</v>
      </c>
      <c r="C82" s="1543">
        <v>17117.28</v>
      </c>
      <c r="D82" s="1534" t="s">
        <v>1267</v>
      </c>
      <c r="E82" s="1530"/>
      <c r="F82" s="1547">
        <v>11</v>
      </c>
      <c r="G82" s="1534"/>
      <c r="H82" s="1544">
        <v>0</v>
      </c>
      <c r="I82" s="1534"/>
      <c r="J82" s="1548">
        <f t="shared" si="16"/>
        <v>-17117.28</v>
      </c>
      <c r="K82" s="1534"/>
      <c r="L82" s="1530"/>
      <c r="M82" s="1530"/>
      <c r="N82" s="1530"/>
      <c r="O82" s="1543"/>
      <c r="P82" s="1530"/>
      <c r="Q82" s="1530"/>
    </row>
    <row r="83" spans="1:17" ht="12.75" customHeight="1">
      <c r="A83" s="1542">
        <f t="shared" si="15"/>
        <v>58</v>
      </c>
      <c r="B83" s="1575">
        <v>2003</v>
      </c>
      <c r="C83" s="1543">
        <v>8312.1</v>
      </c>
      <c r="D83" s="1534" t="s">
        <v>1267</v>
      </c>
      <c r="E83" s="1530"/>
      <c r="F83" s="1547">
        <v>10</v>
      </c>
      <c r="G83" s="1534"/>
      <c r="H83" s="1544">
        <v>0</v>
      </c>
      <c r="I83" s="1534"/>
      <c r="J83" s="1548">
        <f t="shared" si="16"/>
        <v>-8312.1</v>
      </c>
      <c r="K83" s="1534"/>
      <c r="L83" s="1530"/>
      <c r="M83" s="1530"/>
      <c r="N83" s="1530"/>
      <c r="O83" s="1530"/>
      <c r="P83" s="1530"/>
      <c r="Q83" s="1530"/>
    </row>
    <row r="84" spans="1:17" ht="12.75" customHeight="1">
      <c r="A84" s="1542">
        <f t="shared" si="15"/>
        <v>59</v>
      </c>
      <c r="B84" s="1575">
        <v>2004</v>
      </c>
      <c r="C84" s="1543">
        <v>5069.38</v>
      </c>
      <c r="D84" s="1534" t="s">
        <v>1267</v>
      </c>
      <c r="E84" s="1530"/>
      <c r="F84" s="1547">
        <v>9</v>
      </c>
      <c r="G84" s="1534"/>
      <c r="H84" s="1544">
        <v>0</v>
      </c>
      <c r="I84" s="1534"/>
      <c r="J84" s="1548">
        <f t="shared" si="16"/>
        <v>-5069.38</v>
      </c>
      <c r="K84" s="1534"/>
      <c r="L84" s="1530"/>
      <c r="M84" s="1530"/>
      <c r="N84" s="1530"/>
      <c r="O84" s="1543"/>
      <c r="P84" s="1530"/>
      <c r="Q84" s="1530"/>
    </row>
    <row r="85" spans="1:17" ht="12.75" customHeight="1">
      <c r="A85" s="1542">
        <f t="shared" si="15"/>
        <v>60</v>
      </c>
      <c r="B85" s="1575">
        <v>2005</v>
      </c>
      <c r="C85" s="1543">
        <v>30905.93</v>
      </c>
      <c r="D85" s="1534" t="s">
        <v>1267</v>
      </c>
      <c r="E85" s="1530"/>
      <c r="F85" s="1547">
        <v>8</v>
      </c>
      <c r="G85" s="1534"/>
      <c r="H85" s="1544">
        <v>0</v>
      </c>
      <c r="I85" s="1534"/>
      <c r="J85" s="1548">
        <f t="shared" si="16"/>
        <v>-30905.93</v>
      </c>
      <c r="K85" s="1534"/>
      <c r="L85" s="1530"/>
      <c r="M85" s="1530"/>
      <c r="N85" s="1530"/>
      <c r="O85" s="1543"/>
      <c r="P85" s="1530"/>
      <c r="Q85" s="1530"/>
    </row>
    <row r="86" spans="1:17" ht="12.75" customHeight="1">
      <c r="A86" s="1542">
        <f t="shared" si="15"/>
        <v>61</v>
      </c>
      <c r="B86" s="1575">
        <v>2006</v>
      </c>
      <c r="C86" s="1505">
        <v>20309.55</v>
      </c>
      <c r="D86" s="1534" t="s">
        <v>1267</v>
      </c>
      <c r="E86" s="1530"/>
      <c r="F86" s="1547">
        <v>7</v>
      </c>
      <c r="G86" s="1534"/>
      <c r="H86" s="1544">
        <v>0</v>
      </c>
      <c r="I86" s="1534"/>
      <c r="J86" s="1548">
        <f t="shared" si="16"/>
        <v>-20309.55</v>
      </c>
      <c r="K86" s="1534"/>
      <c r="L86" s="1530"/>
      <c r="M86" s="1530"/>
      <c r="N86" s="1530"/>
      <c r="O86" s="1543"/>
      <c r="P86" s="1530"/>
      <c r="Q86" s="1530"/>
    </row>
    <row r="87" spans="1:17" ht="12.75" customHeight="1">
      <c r="A87" s="1542">
        <f t="shared" si="15"/>
        <v>62</v>
      </c>
      <c r="B87" s="1575">
        <v>2007</v>
      </c>
      <c r="C87" s="1505">
        <v>318624.71999999997</v>
      </c>
      <c r="D87" s="1534" t="s">
        <v>1267</v>
      </c>
      <c r="E87" s="1530"/>
      <c r="F87" s="1547">
        <v>6</v>
      </c>
      <c r="G87" s="1534"/>
      <c r="H87" s="1544">
        <v>0</v>
      </c>
      <c r="I87" s="1534"/>
      <c r="J87" s="1548">
        <f t="shared" si="16"/>
        <v>-318624.71999999997</v>
      </c>
      <c r="K87" s="1534"/>
      <c r="L87" s="1530"/>
      <c r="M87" s="1530"/>
      <c r="N87" s="1530"/>
      <c r="O87" s="1549"/>
      <c r="P87" s="1530"/>
      <c r="Q87" s="1530"/>
    </row>
    <row r="88" spans="1:17" ht="12.75" customHeight="1">
      <c r="A88" s="1542">
        <f t="shared" si="15"/>
        <v>63</v>
      </c>
      <c r="B88" s="1550">
        <v>2008</v>
      </c>
      <c r="C88" s="1505">
        <v>60603.839999999997</v>
      </c>
      <c r="D88" s="1534" t="s">
        <v>1267</v>
      </c>
      <c r="E88" s="1530"/>
      <c r="F88" s="1547">
        <v>5</v>
      </c>
      <c r="G88" s="1534"/>
      <c r="H88" s="1544">
        <v>0</v>
      </c>
      <c r="I88" s="1534"/>
      <c r="J88" s="1548">
        <f t="shared" si="16"/>
        <v>-60603.839999999997</v>
      </c>
      <c r="K88" s="1534"/>
      <c r="L88" s="1530"/>
      <c r="M88" s="1530"/>
      <c r="N88" s="1530"/>
      <c r="O88" s="1530"/>
      <c r="P88" s="1530"/>
      <c r="Q88" s="1530"/>
    </row>
    <row r="89" spans="1:17" ht="12.75" customHeight="1">
      <c r="A89" s="1542">
        <f t="shared" si="15"/>
        <v>64</v>
      </c>
      <c r="B89" s="1550">
        <v>2009</v>
      </c>
      <c r="C89" s="1505">
        <v>2762.01</v>
      </c>
      <c r="D89" s="1534" t="s">
        <v>1267</v>
      </c>
      <c r="E89" s="1530"/>
      <c r="F89" s="1547">
        <v>4</v>
      </c>
      <c r="G89" s="1534"/>
      <c r="H89" s="1544">
        <v>0</v>
      </c>
      <c r="I89" s="1534"/>
      <c r="J89" s="1548">
        <f t="shared" si="16"/>
        <v>-2762.01</v>
      </c>
      <c r="K89" s="1534"/>
      <c r="L89" s="1530"/>
      <c r="M89" s="1530"/>
      <c r="N89" s="1530"/>
      <c r="O89" s="1530"/>
      <c r="P89" s="1530"/>
      <c r="Q89" s="1530"/>
    </row>
    <row r="90" spans="1:17" ht="12.75" customHeight="1">
      <c r="A90" s="1542">
        <f t="shared" si="15"/>
        <v>65</v>
      </c>
      <c r="B90" s="1550">
        <v>2010</v>
      </c>
      <c r="C90" s="1505">
        <v>0</v>
      </c>
      <c r="D90" s="1534" t="s">
        <v>1267</v>
      </c>
      <c r="E90" s="1530"/>
      <c r="F90" s="1547">
        <v>3</v>
      </c>
      <c r="G90" s="1534"/>
      <c r="H90" s="1544">
        <f>+C90/$D$126</f>
        <v>0</v>
      </c>
      <c r="I90" s="1534"/>
      <c r="J90" s="1548">
        <f t="shared" si="16"/>
        <v>0</v>
      </c>
      <c r="K90" s="1534"/>
      <c r="L90" s="1530"/>
      <c r="M90" s="1530"/>
      <c r="N90" s="1530"/>
      <c r="O90" s="1530"/>
      <c r="P90" s="1530"/>
      <c r="Q90" s="1530"/>
    </row>
    <row r="91" spans="1:17" ht="12.75" customHeight="1">
      <c r="A91" s="1542">
        <f t="shared" si="15"/>
        <v>66</v>
      </c>
      <c r="B91" s="1550">
        <v>2011</v>
      </c>
      <c r="C91" s="1505">
        <v>0</v>
      </c>
      <c r="D91" s="1534" t="s">
        <v>1267</v>
      </c>
      <c r="E91" s="1530"/>
      <c r="F91" s="1547">
        <v>2</v>
      </c>
      <c r="G91" s="1534"/>
      <c r="H91" s="1544">
        <f>+C91/$D$126</f>
        <v>0</v>
      </c>
      <c r="I91" s="1534"/>
      <c r="J91" s="1548">
        <f t="shared" si="16"/>
        <v>0</v>
      </c>
      <c r="K91" s="1534"/>
      <c r="L91" s="1530"/>
      <c r="M91" s="1530"/>
      <c r="N91" s="1530"/>
      <c r="O91" s="1530"/>
      <c r="P91" s="1530"/>
      <c r="Q91" s="1530"/>
    </row>
    <row r="92" spans="1:17" ht="12.75" customHeight="1">
      <c r="A92" s="1542">
        <f>+A91+1</f>
        <v>67</v>
      </c>
      <c r="B92" s="1550">
        <v>2012</v>
      </c>
      <c r="C92" s="1505">
        <v>0</v>
      </c>
      <c r="D92" s="1534" t="s">
        <v>1267</v>
      </c>
      <c r="E92" s="1530"/>
      <c r="F92" s="1547">
        <v>1</v>
      </c>
      <c r="G92" s="1534"/>
      <c r="H92" s="1544">
        <f>+C92/$D$126</f>
        <v>0</v>
      </c>
      <c r="I92" s="1534"/>
      <c r="J92" s="1548">
        <f t="shared" si="16"/>
        <v>0</v>
      </c>
      <c r="K92" s="1534"/>
      <c r="L92" s="1530"/>
      <c r="M92" s="1530"/>
      <c r="N92" s="1530"/>
      <c r="O92" s="1530"/>
      <c r="P92" s="1530"/>
      <c r="Q92" s="1530"/>
    </row>
    <row r="93" spans="1:17" ht="5.0999999999999996" customHeight="1">
      <c r="A93" s="1542"/>
      <c r="B93" s="1576"/>
      <c r="C93" s="1577">
        <v>0</v>
      </c>
      <c r="D93" s="1530"/>
      <c r="E93" s="1530"/>
      <c r="F93" s="1539"/>
      <c r="G93" s="1534"/>
      <c r="H93" s="1555">
        <v>0</v>
      </c>
      <c r="I93" s="1534"/>
      <c r="J93" s="1554">
        <v>0</v>
      </c>
      <c r="K93" s="1534"/>
      <c r="L93" s="1530"/>
      <c r="M93" s="1530"/>
      <c r="N93" s="1530"/>
      <c r="O93" s="1530"/>
      <c r="P93" s="1530"/>
      <c r="Q93" s="1530"/>
    </row>
    <row r="94" spans="1:17" ht="12.75" customHeight="1">
      <c r="A94" s="1542">
        <f>+A92+1</f>
        <v>68</v>
      </c>
      <c r="B94" s="1576" t="s">
        <v>2041</v>
      </c>
      <c r="C94" s="1505">
        <f>SUM(C80:C93)</f>
        <v>562325.67999999993</v>
      </c>
      <c r="D94" s="1530"/>
      <c r="E94" s="1530"/>
      <c r="F94" s="1539"/>
      <c r="G94" s="1534"/>
      <c r="H94" s="1544">
        <f>SUM(H80:H93)</f>
        <v>0</v>
      </c>
      <c r="I94" s="1534"/>
      <c r="J94" s="1544">
        <f>SUM(J80:J93)</f>
        <v>-562325.67999999993</v>
      </c>
      <c r="K94" s="1534"/>
      <c r="L94" s="1530"/>
      <c r="M94" s="1530"/>
      <c r="N94" s="1530"/>
      <c r="O94" s="1543"/>
      <c r="P94" s="1530"/>
      <c r="Q94" s="1530"/>
    </row>
    <row r="95" spans="1:17" ht="12.75" customHeight="1">
      <c r="A95" s="1542">
        <f t="shared" ref="A95" si="17">+A94+1</f>
        <v>69</v>
      </c>
      <c r="B95" s="1576" t="str">
        <f>B26</f>
        <v>Percentage allocated to WSC of Kentucky</v>
      </c>
      <c r="C95" s="1558">
        <f>C72</f>
        <v>2.775347522522463E-2</v>
      </c>
      <c r="D95" s="1530"/>
      <c r="E95" s="1530"/>
      <c r="F95" s="1539"/>
      <c r="G95" s="1534"/>
      <c r="H95" s="1558">
        <f>H72</f>
        <v>2.775347522522463E-2</v>
      </c>
      <c r="I95" s="1534"/>
      <c r="J95" s="1558">
        <f>J72</f>
        <v>2.775347522522463E-2</v>
      </c>
      <c r="K95" s="1534"/>
      <c r="L95" s="1530"/>
      <c r="M95" s="1530"/>
      <c r="N95" s="1530"/>
      <c r="O95" s="1543"/>
      <c r="P95" s="1530"/>
      <c r="Q95" s="1530"/>
    </row>
    <row r="96" spans="1:17" ht="5.0999999999999996" customHeight="1">
      <c r="A96" s="1542"/>
      <c r="B96" s="1576"/>
      <c r="C96" s="1554">
        <v>0</v>
      </c>
      <c r="D96" s="1530"/>
      <c r="E96" s="1530"/>
      <c r="F96" s="1539"/>
      <c r="G96" s="1534"/>
      <c r="H96" s="1554">
        <v>0</v>
      </c>
      <c r="I96" s="1534"/>
      <c r="J96" s="1554">
        <v>0</v>
      </c>
      <c r="K96" s="1534"/>
      <c r="L96" s="1530"/>
      <c r="M96" s="1530"/>
      <c r="N96" s="1530"/>
      <c r="O96" s="1530"/>
      <c r="P96" s="1530"/>
      <c r="Q96" s="1530"/>
    </row>
    <row r="97" spans="1:17" ht="12.75" customHeight="1">
      <c r="A97" s="1542">
        <f>+A95+1</f>
        <v>70</v>
      </c>
      <c r="B97" s="1576" t="s">
        <v>2059</v>
      </c>
      <c r="C97" s="1505">
        <f>C94*C95</f>
        <v>15606.491828387592</v>
      </c>
      <c r="D97" s="1530"/>
      <c r="E97" s="1530"/>
      <c r="F97" s="1539"/>
      <c r="G97" s="1534"/>
      <c r="H97" s="1543">
        <f>+H94*H95</f>
        <v>0</v>
      </c>
      <c r="I97" s="1534"/>
      <c r="J97" s="1543">
        <f>J94*J95</f>
        <v>-15606.491828387592</v>
      </c>
      <c r="K97" s="1534"/>
      <c r="L97" s="1530"/>
      <c r="M97" s="1530"/>
      <c r="N97" s="1530"/>
      <c r="O97" s="1543"/>
      <c r="P97" s="1530"/>
      <c r="Q97" s="1530"/>
    </row>
    <row r="98" spans="1:17" ht="12.75" customHeight="1">
      <c r="A98" s="1542"/>
      <c r="B98" s="1576"/>
      <c r="C98" s="1578"/>
      <c r="D98" s="1530"/>
      <c r="E98" s="1530"/>
      <c r="F98" s="1539"/>
      <c r="G98" s="1534"/>
      <c r="H98" s="1540"/>
      <c r="I98" s="1534"/>
      <c r="J98" s="1543"/>
      <c r="K98" s="1534"/>
      <c r="L98" s="1530"/>
      <c r="M98" s="1530"/>
      <c r="N98" s="1530"/>
      <c r="O98" s="1558"/>
      <c r="P98" s="1530"/>
      <c r="Q98" s="1530"/>
    </row>
    <row r="99" spans="1:17" ht="12.75" customHeight="1">
      <c r="A99" s="1542">
        <f>+A97+1</f>
        <v>71</v>
      </c>
      <c r="B99" s="1504" t="s">
        <v>2060</v>
      </c>
      <c r="C99" s="1543">
        <f>C97*1</f>
        <v>15606.491828387592</v>
      </c>
      <c r="D99" s="1538" t="s">
        <v>1279</v>
      </c>
      <c r="E99" s="1530"/>
      <c r="F99" s="1539"/>
      <c r="G99" s="1534"/>
      <c r="H99" s="1543">
        <f>H97*1</f>
        <v>0</v>
      </c>
      <c r="I99" s="1538" t="s">
        <v>1279</v>
      </c>
      <c r="J99" s="1543">
        <f>J97*1</f>
        <v>-15606.491828387592</v>
      </c>
      <c r="K99" s="1538" t="s">
        <v>1279</v>
      </c>
      <c r="L99" s="1530"/>
      <c r="M99" s="1530"/>
      <c r="N99" s="1530"/>
      <c r="O99" s="1530"/>
      <c r="P99" s="1530"/>
      <c r="Q99" s="1530"/>
    </row>
    <row r="100" spans="1:17" ht="12.75" customHeight="1">
      <c r="A100" s="1542">
        <f t="shared" ref="A100" si="18">+A99+1</f>
        <v>72</v>
      </c>
      <c r="B100" s="1504" t="s">
        <v>2061</v>
      </c>
      <c r="C100" s="1543">
        <f>C97*0</f>
        <v>0</v>
      </c>
      <c r="D100" s="1538" t="s">
        <v>1281</v>
      </c>
      <c r="E100" s="1530"/>
      <c r="F100" s="1539"/>
      <c r="G100" s="1534"/>
      <c r="H100" s="1543">
        <f>H97*0</f>
        <v>0</v>
      </c>
      <c r="I100" s="1538" t="s">
        <v>1281</v>
      </c>
      <c r="J100" s="1543">
        <f>J97*0</f>
        <v>0</v>
      </c>
      <c r="K100" s="1538" t="s">
        <v>1281</v>
      </c>
      <c r="L100" s="1530"/>
      <c r="M100" s="1530"/>
      <c r="N100" s="1530"/>
      <c r="O100" s="1530"/>
      <c r="P100" s="1530"/>
      <c r="Q100" s="1530"/>
    </row>
    <row r="101" spans="1:17" ht="12.75" customHeight="1">
      <c r="A101" s="1542"/>
      <c r="B101" s="1576"/>
      <c r="C101" s="1578"/>
      <c r="D101" s="1530"/>
      <c r="E101" s="1530"/>
      <c r="F101" s="1539"/>
      <c r="G101" s="1534"/>
      <c r="H101" s="1540"/>
      <c r="I101" s="1534"/>
      <c r="J101" s="1543"/>
      <c r="K101" s="1534"/>
      <c r="L101" s="1530"/>
      <c r="M101" s="1530"/>
      <c r="N101" s="1530"/>
      <c r="O101" s="1530"/>
      <c r="P101" s="1530"/>
      <c r="Q101" s="1530"/>
    </row>
    <row r="102" spans="1:17" ht="14.25">
      <c r="A102" s="1542"/>
      <c r="B102" s="1563" t="s">
        <v>2110</v>
      </c>
      <c r="C102" s="1543"/>
      <c r="D102" s="1534"/>
      <c r="E102" s="1530"/>
      <c r="F102" s="1539"/>
      <c r="G102" s="1534"/>
      <c r="H102" s="1540"/>
      <c r="I102" s="1534"/>
      <c r="J102" s="1543"/>
      <c r="K102" s="1534"/>
      <c r="L102" s="1530"/>
      <c r="M102" s="1530"/>
      <c r="N102" s="1530"/>
      <c r="O102" s="1530"/>
      <c r="P102" s="1530"/>
      <c r="Q102" s="1530"/>
    </row>
    <row r="103" spans="1:17" ht="12.75" customHeight="1">
      <c r="A103" s="1542">
        <f>+A100+1</f>
        <v>73</v>
      </c>
      <c r="B103" s="1504" t="s">
        <v>2113</v>
      </c>
      <c r="C103" s="1543">
        <f>+C30+C53+C99+C76</f>
        <v>728345.90058684372</v>
      </c>
      <c r="D103" s="1534"/>
      <c r="E103" s="1530"/>
      <c r="F103" s="1539"/>
      <c r="G103" s="1534"/>
      <c r="H103" s="1543">
        <f>+H30+H53+H99+H76</f>
        <v>82768.640801772766</v>
      </c>
      <c r="I103" s="1534"/>
      <c r="J103" s="1543">
        <f>+J30+J53+J99+J76</f>
        <v>-484094.47544199735</v>
      </c>
      <c r="K103" s="1534"/>
      <c r="L103" s="1530"/>
      <c r="M103" s="1530"/>
      <c r="N103" s="1530"/>
      <c r="O103" s="1530"/>
      <c r="P103" s="1530"/>
      <c r="Q103" s="1530"/>
    </row>
    <row r="104" spans="1:17" ht="12.75" customHeight="1">
      <c r="A104" s="1542">
        <f t="shared" ref="A104" si="19">+A103+1</f>
        <v>74</v>
      </c>
      <c r="B104" s="1504" t="s">
        <v>2114</v>
      </c>
      <c r="C104" s="1543">
        <f>+C31+C54+C100+C77</f>
        <v>0</v>
      </c>
      <c r="D104" s="1534"/>
      <c r="E104" s="1530"/>
      <c r="F104" s="1539"/>
      <c r="G104" s="1534"/>
      <c r="H104" s="1543">
        <f>+H31+H54+H100+H77</f>
        <v>0</v>
      </c>
      <c r="I104" s="1534"/>
      <c r="J104" s="1543">
        <f>+J31+J54+J100+J77</f>
        <v>0</v>
      </c>
      <c r="K104" s="1534"/>
      <c r="L104" s="1530"/>
      <c r="M104" s="1530"/>
      <c r="N104" s="1530"/>
      <c r="O104" s="1530"/>
      <c r="P104" s="1530"/>
      <c r="Q104" s="1530"/>
    </row>
    <row r="105" spans="1:17" ht="12.75" customHeight="1">
      <c r="A105" s="1542"/>
      <c r="B105" s="1504"/>
      <c r="C105" s="1530"/>
      <c r="D105" s="1534"/>
      <c r="E105" s="1530"/>
      <c r="F105" s="1539"/>
      <c r="G105" s="1534"/>
      <c r="H105" s="1540"/>
      <c r="I105" s="1534"/>
      <c r="J105" s="1530"/>
      <c r="K105" s="1534"/>
      <c r="L105" s="1530"/>
      <c r="M105" s="1530"/>
      <c r="N105" s="1530"/>
      <c r="O105" s="1530"/>
      <c r="P105" s="1530"/>
      <c r="Q105" s="1530"/>
    </row>
    <row r="106" spans="1:17" ht="12.75" customHeight="1">
      <c r="A106" s="1542"/>
      <c r="B106" s="1504"/>
      <c r="C106" s="1530"/>
      <c r="D106" s="1534"/>
      <c r="E106" s="1530"/>
      <c r="F106" s="1539"/>
      <c r="G106" s="1534"/>
      <c r="H106" s="1540"/>
      <c r="I106" s="1534"/>
      <c r="J106" s="1530"/>
      <c r="K106" s="1534"/>
      <c r="L106" s="1530"/>
      <c r="M106" s="1530"/>
      <c r="N106" s="1530"/>
      <c r="O106" s="1530"/>
      <c r="P106" s="1530"/>
      <c r="Q106" s="1530"/>
    </row>
    <row r="107" spans="1:17" ht="12.75" customHeight="1">
      <c r="A107" s="1542"/>
      <c r="B107" s="1563" t="s">
        <v>2043</v>
      </c>
      <c r="C107" s="1530"/>
      <c r="D107" s="1534"/>
      <c r="E107" s="1530"/>
      <c r="F107" s="1539"/>
      <c r="G107" s="1534"/>
      <c r="H107" s="1540"/>
      <c r="I107" s="1534"/>
      <c r="J107" s="1530"/>
      <c r="K107" s="1534"/>
      <c r="L107" s="1530"/>
      <c r="M107" s="1530"/>
      <c r="N107" s="1530"/>
      <c r="O107" s="1530"/>
      <c r="P107" s="1530"/>
      <c r="Q107" s="1530"/>
    </row>
    <row r="108" spans="1:17">
      <c r="A108" s="1542">
        <f>+A104+1</f>
        <v>75</v>
      </c>
      <c r="B108" s="1574" t="str">
        <f>+B10</f>
        <v>Mainframe computers</v>
      </c>
      <c r="C108" s="1579">
        <f>SUM(C11:C19)</f>
        <v>571266.42000000004</v>
      </c>
      <c r="D108" s="1534"/>
      <c r="E108" s="1530"/>
      <c r="F108" s="1539"/>
      <c r="G108" s="1534"/>
      <c r="H108" s="1540"/>
      <c r="I108" s="1534"/>
      <c r="J108" s="1530"/>
      <c r="K108" s="1534"/>
      <c r="L108" s="1530"/>
      <c r="M108" s="1530"/>
      <c r="N108" s="1530"/>
      <c r="O108" s="1530"/>
      <c r="P108" s="1530"/>
      <c r="Q108" s="1530"/>
    </row>
    <row r="109" spans="1:17">
      <c r="A109" s="1542">
        <f>+A108+1</f>
        <v>76</v>
      </c>
      <c r="B109" s="1574" t="str">
        <f>+B33</f>
        <v>Mini-computers</v>
      </c>
      <c r="C109" s="1579">
        <f>SUM(C34:C43)</f>
        <v>1308400.0399999996</v>
      </c>
      <c r="D109" s="1534"/>
      <c r="E109" s="1530"/>
      <c r="F109" s="1539"/>
      <c r="G109" s="1534"/>
      <c r="H109" s="1540"/>
      <c r="I109" s="1534"/>
      <c r="J109" s="1530"/>
      <c r="K109" s="1534"/>
      <c r="L109" s="1530"/>
      <c r="M109" s="1530"/>
      <c r="N109" s="1530"/>
      <c r="O109" s="1530"/>
      <c r="P109" s="1530"/>
      <c r="Q109" s="1530"/>
    </row>
    <row r="110" spans="1:17" s="1557" customFormat="1" ht="15">
      <c r="A110" s="1542">
        <f t="shared" ref="A110:A111" si="20">+A109+1</f>
        <v>77</v>
      </c>
      <c r="B110" s="1504" t="s">
        <v>2053</v>
      </c>
      <c r="C110" s="1580">
        <f>SUM(C57:C64)</f>
        <v>836987.58000000007</v>
      </c>
      <c r="D110" s="1534"/>
      <c r="E110" s="1530"/>
      <c r="F110" s="1539"/>
      <c r="G110" s="1534"/>
      <c r="H110" s="1540"/>
      <c r="I110" s="1534"/>
      <c r="J110" s="1530"/>
      <c r="K110" s="1534"/>
      <c r="L110" s="1530"/>
      <c r="M110" s="1530"/>
      <c r="N110" s="1530"/>
      <c r="O110" s="1530"/>
      <c r="P110" s="1530"/>
      <c r="Q110" s="1530"/>
    </row>
    <row r="111" spans="1:17" ht="12.75" customHeight="1">
      <c r="A111" s="1542">
        <f t="shared" si="20"/>
        <v>78</v>
      </c>
      <c r="B111" s="1574" t="str">
        <f>B79</f>
        <v>Software Amortization</v>
      </c>
      <c r="C111" s="1579">
        <f>SUM(C80:C89)</f>
        <v>562325.67999999993</v>
      </c>
      <c r="D111" s="1534"/>
      <c r="E111" s="1530"/>
      <c r="F111" s="1539"/>
      <c r="G111" s="1534"/>
      <c r="H111" s="1540"/>
      <c r="I111" s="1534"/>
      <c r="J111" s="1530"/>
      <c r="K111" s="1534"/>
      <c r="L111" s="1530"/>
      <c r="M111" s="1530"/>
      <c r="N111" s="1530"/>
      <c r="O111" s="1530"/>
      <c r="P111" s="1530"/>
      <c r="Q111" s="1530"/>
    </row>
    <row r="112" spans="1:17" ht="5.0999999999999996" customHeight="1">
      <c r="A112" s="1552"/>
      <c r="B112" s="1553"/>
      <c r="C112" s="1554">
        <v>0</v>
      </c>
      <c r="D112" s="1555"/>
      <c r="E112" s="1554"/>
      <c r="F112" s="1556"/>
      <c r="G112" s="1555"/>
      <c r="H112" s="1555"/>
      <c r="I112" s="1555"/>
      <c r="J112" s="1554"/>
      <c r="K112" s="1555"/>
      <c r="L112" s="1554"/>
      <c r="M112" s="1554"/>
      <c r="N112" s="1554"/>
      <c r="O112" s="1554"/>
      <c r="P112" s="1554"/>
      <c r="Q112" s="1554"/>
    </row>
    <row r="113" spans="1:17" s="1557" customFormat="1" ht="15">
      <c r="A113" s="1542">
        <f>+A111+1</f>
        <v>79</v>
      </c>
      <c r="B113" s="1504" t="s">
        <v>2044</v>
      </c>
      <c r="C113" s="1543">
        <f>SUM(C108:C112)</f>
        <v>3278979.7199999997</v>
      </c>
      <c r="D113" s="1534"/>
      <c r="E113" s="1530"/>
      <c r="F113" s="1539"/>
      <c r="G113" s="1534"/>
      <c r="H113" s="1540"/>
      <c r="I113" s="1534"/>
      <c r="J113" s="1543"/>
      <c r="K113" s="1534"/>
      <c r="L113" s="1530"/>
      <c r="M113" s="1530"/>
      <c r="N113" s="1530"/>
      <c r="O113" s="1530"/>
      <c r="P113" s="1530"/>
      <c r="Q113" s="1530"/>
    </row>
    <row r="114" spans="1:17" ht="12.75" customHeight="1">
      <c r="A114" s="1542">
        <f>+A113+1</f>
        <v>80</v>
      </c>
      <c r="B114" s="1574" t="str">
        <f>+B49</f>
        <v>Percentage allocated to WSC of Kentucky</v>
      </c>
      <c r="C114" s="1558">
        <f>+C49</f>
        <v>2.775347522522463E-2</v>
      </c>
      <c r="D114" s="1534"/>
      <c r="E114" s="1530"/>
      <c r="F114" s="1539"/>
      <c r="G114" s="1534"/>
      <c r="H114" s="1540"/>
      <c r="I114" s="1534"/>
      <c r="J114" s="1530"/>
      <c r="K114" s="1534"/>
      <c r="L114" s="1530"/>
      <c r="M114" s="1530"/>
      <c r="N114" s="1530"/>
      <c r="O114" s="1530"/>
      <c r="P114" s="1530"/>
      <c r="Q114" s="1530"/>
    </row>
    <row r="115" spans="1:17" ht="5.0999999999999996" customHeight="1">
      <c r="A115" s="1552"/>
      <c r="B115" s="1553"/>
      <c r="C115" s="1554">
        <v>0</v>
      </c>
      <c r="D115" s="1555"/>
      <c r="E115" s="1554"/>
      <c r="F115" s="1556"/>
      <c r="G115" s="1555"/>
      <c r="H115" s="1555"/>
      <c r="I115" s="1555"/>
      <c r="J115" s="1554"/>
      <c r="K115" s="1555"/>
      <c r="L115" s="1554"/>
      <c r="M115" s="1554"/>
      <c r="N115" s="1554"/>
      <c r="O115" s="1554"/>
      <c r="P115" s="1554"/>
      <c r="Q115" s="1554"/>
    </row>
    <row r="116" spans="1:17" ht="12.75" customHeight="1">
      <c r="A116" s="1542">
        <f>+A114+1</f>
        <v>81</v>
      </c>
      <c r="B116" s="1504" t="s">
        <v>2044</v>
      </c>
      <c r="C116" s="1543">
        <f>+C113*C114</f>
        <v>91003.082423033993</v>
      </c>
      <c r="D116" s="1534"/>
      <c r="E116" s="1530"/>
      <c r="F116" s="1539"/>
      <c r="G116" s="1534"/>
      <c r="H116" s="1540"/>
      <c r="I116" s="1534"/>
      <c r="J116" s="1543"/>
      <c r="K116" s="1534"/>
      <c r="L116" s="1530"/>
      <c r="M116" s="1530"/>
      <c r="N116" s="1530"/>
      <c r="O116" s="1530"/>
      <c r="P116" s="1530"/>
      <c r="Q116" s="1530"/>
    </row>
    <row r="117" spans="1:17" ht="12.75" customHeight="1">
      <c r="A117" s="1538"/>
      <c r="B117" s="1530"/>
      <c r="C117" s="1530"/>
      <c r="D117" s="1534"/>
      <c r="E117" s="1530"/>
      <c r="F117" s="1539"/>
      <c r="G117" s="1534"/>
      <c r="H117" s="1540"/>
      <c r="I117" s="1534"/>
      <c r="J117" s="1530"/>
      <c r="K117" s="1534"/>
      <c r="L117" s="1530"/>
      <c r="M117" s="1530"/>
      <c r="N117" s="1530"/>
      <c r="O117" s="1530"/>
      <c r="P117" s="1530"/>
      <c r="Q117" s="1530"/>
    </row>
    <row r="118" spans="1:17" ht="12.75" customHeight="1">
      <c r="A118" s="1538"/>
      <c r="B118" s="1504"/>
      <c r="C118" s="1530"/>
      <c r="D118" s="1534"/>
      <c r="E118" s="1530"/>
      <c r="F118" s="1539"/>
      <c r="G118" s="1534"/>
      <c r="H118" s="1540"/>
      <c r="I118" s="1534"/>
      <c r="J118" s="1530"/>
      <c r="K118" s="1534"/>
      <c r="L118" s="1530"/>
      <c r="M118" s="1530"/>
      <c r="N118" s="1530"/>
      <c r="O118" s="1530"/>
      <c r="P118" s="1530"/>
      <c r="Q118" s="1530"/>
    </row>
    <row r="119" spans="1:17" ht="12.75" customHeight="1">
      <c r="A119" s="1538" t="s">
        <v>1279</v>
      </c>
      <c r="B119" s="1504" t="str">
        <f>"Water allocation based on customer ratio of "&amp;TEXT('Input Schedule'!D7,"##.#0%")</f>
        <v>Water allocation based on customer ratio of 100.0%</v>
      </c>
      <c r="C119" s="1558"/>
      <c r="D119" s="1534"/>
      <c r="E119" s="1530"/>
      <c r="F119" s="1539"/>
      <c r="G119" s="1534"/>
      <c r="H119" s="1540"/>
      <c r="I119" s="1534"/>
      <c r="J119" s="1530"/>
      <c r="K119" s="1534"/>
      <c r="L119" s="1530"/>
      <c r="M119" s="1530"/>
      <c r="N119" s="1530"/>
      <c r="O119" s="1530"/>
      <c r="P119" s="1530"/>
      <c r="Q119" s="1530"/>
    </row>
    <row r="120" spans="1:17" ht="12.75" customHeight="1">
      <c r="A120" s="1538" t="s">
        <v>1281</v>
      </c>
      <c r="B120" s="1504" t="str">
        <f>"Sewer allocation based on customer ratio of "&amp;TEXT('Input Schedule'!D8,"##.#0%")</f>
        <v>Sewer allocation based on customer ratio of .0%</v>
      </c>
      <c r="C120" s="1558"/>
      <c r="D120" s="1534"/>
      <c r="E120" s="1530"/>
      <c r="F120" s="1539"/>
      <c r="G120" s="1534"/>
      <c r="H120" s="1540"/>
      <c r="I120" s="1534"/>
      <c r="J120" s="1530"/>
      <c r="K120" s="1534"/>
      <c r="L120" s="1530"/>
      <c r="M120" s="1530"/>
      <c r="N120" s="1530"/>
      <c r="O120" s="1530"/>
      <c r="P120" s="1530"/>
      <c r="Q120" s="1530"/>
    </row>
    <row r="121" spans="1:17" ht="12.75" customHeight="1">
      <c r="A121" s="1538" t="s">
        <v>1283</v>
      </c>
      <c r="B121" s="1504" t="s">
        <v>2108</v>
      </c>
      <c r="C121" s="1558"/>
      <c r="D121" s="1534"/>
      <c r="E121" s="1530"/>
      <c r="F121" s="1539"/>
      <c r="G121" s="1534"/>
      <c r="H121" s="1540"/>
      <c r="I121" s="1534"/>
      <c r="J121" s="1530"/>
      <c r="K121" s="1534"/>
      <c r="L121" s="1530"/>
      <c r="M121" s="1530"/>
      <c r="N121" s="1530"/>
      <c r="O121" s="1530"/>
      <c r="P121" s="1530"/>
      <c r="Q121" s="1530"/>
    </row>
    <row r="122" spans="1:17" ht="12.75" customHeight="1">
      <c r="A122" s="1538"/>
      <c r="C122" s="1538" t="s">
        <v>2106</v>
      </c>
      <c r="D122" s="1538" t="s">
        <v>2107</v>
      </c>
      <c r="E122" s="1538" t="s">
        <v>569</v>
      </c>
      <c r="F122" s="1539"/>
      <c r="G122" s="1534"/>
      <c r="H122" s="1540"/>
      <c r="I122" s="1534"/>
      <c r="J122" s="1530"/>
      <c r="K122" s="1534"/>
      <c r="L122" s="1530"/>
      <c r="M122" s="1530"/>
      <c r="N122" s="1530"/>
      <c r="O122" s="1530"/>
      <c r="P122" s="1530"/>
      <c r="Q122" s="1530"/>
    </row>
    <row r="123" spans="1:17" ht="12.75" customHeight="1">
      <c r="A123" s="1538"/>
      <c r="B123" s="1667" t="s">
        <v>2045</v>
      </c>
      <c r="C123" s="1531">
        <v>60</v>
      </c>
      <c r="D123" s="1531">
        <v>5</v>
      </c>
      <c r="E123" s="1668">
        <f>1/D123</f>
        <v>0.2</v>
      </c>
      <c r="F123" s="1539"/>
      <c r="G123" s="1534"/>
      <c r="H123" s="1540"/>
      <c r="I123" s="1534"/>
      <c r="J123" s="1530"/>
      <c r="K123" s="1534"/>
      <c r="L123" s="1530"/>
      <c r="M123" s="1530"/>
      <c r="N123" s="1530"/>
      <c r="O123" s="1530"/>
      <c r="P123" s="1530"/>
      <c r="Q123" s="1530"/>
    </row>
    <row r="124" spans="1:17" ht="12.75" customHeight="1">
      <c r="A124" s="1538"/>
      <c r="B124" s="1667" t="s">
        <v>2047</v>
      </c>
      <c r="C124" s="1531">
        <v>36</v>
      </c>
      <c r="D124" s="1531">
        <v>3</v>
      </c>
      <c r="E124" s="1668">
        <f t="shared" ref="E124:E126" si="21">1/D124</f>
        <v>0.33333333333333331</v>
      </c>
      <c r="F124" s="1539"/>
      <c r="G124" s="1534"/>
      <c r="H124" s="1540"/>
      <c r="I124" s="1534"/>
      <c r="J124" s="1530"/>
      <c r="K124" s="1534"/>
      <c r="L124" s="1530"/>
      <c r="M124" s="1530"/>
      <c r="N124" s="1530"/>
      <c r="O124" s="1530"/>
      <c r="P124" s="1530"/>
      <c r="Q124" s="1530"/>
    </row>
    <row r="125" spans="1:17" ht="12.75" customHeight="1">
      <c r="A125" s="1538"/>
      <c r="B125" s="1667" t="s">
        <v>2048</v>
      </c>
      <c r="C125" s="1531">
        <v>96</v>
      </c>
      <c r="D125" s="1531">
        <v>8</v>
      </c>
      <c r="E125" s="1668">
        <f t="shared" si="21"/>
        <v>0.125</v>
      </c>
      <c r="F125" s="1539"/>
      <c r="G125" s="1534"/>
      <c r="H125" s="1540"/>
      <c r="I125" s="1534"/>
      <c r="J125" s="1530"/>
      <c r="K125" s="1534"/>
      <c r="L125" s="1530"/>
      <c r="M125" s="1530"/>
      <c r="N125" s="1530"/>
      <c r="O125" s="1530"/>
      <c r="P125" s="1530"/>
      <c r="Q125" s="1530"/>
    </row>
    <row r="126" spans="1:17" ht="12.75" customHeight="1">
      <c r="A126" s="1538"/>
      <c r="B126" s="1667" t="s">
        <v>2049</v>
      </c>
      <c r="C126" s="1531">
        <v>36</v>
      </c>
      <c r="D126" s="1531">
        <v>3</v>
      </c>
      <c r="E126" s="1668">
        <f t="shared" si="21"/>
        <v>0.33333333333333331</v>
      </c>
      <c r="F126" s="1539"/>
      <c r="G126" s="1534"/>
      <c r="H126" s="1540"/>
      <c r="I126" s="1534"/>
      <c r="J126" s="1530"/>
      <c r="K126" s="1534"/>
      <c r="L126" s="1530"/>
      <c r="M126" s="1530"/>
      <c r="N126" s="1530"/>
      <c r="O126" s="1530"/>
      <c r="P126" s="1530"/>
      <c r="Q126" s="1530"/>
    </row>
    <row r="127" spans="1:17" ht="12.75" customHeight="1">
      <c r="A127" s="1538" t="s">
        <v>1267</v>
      </c>
      <c r="B127" s="1530" t="s">
        <v>2062</v>
      </c>
      <c r="C127" s="1530"/>
      <c r="D127" s="1534"/>
      <c r="E127" s="1530"/>
      <c r="F127" s="1539"/>
      <c r="G127" s="1534"/>
      <c r="H127" s="1540"/>
      <c r="I127" s="1534"/>
      <c r="J127" s="1530"/>
      <c r="K127" s="1534"/>
      <c r="L127" s="1530"/>
      <c r="M127" s="1530"/>
      <c r="N127" s="1530"/>
      <c r="O127" s="1530"/>
      <c r="P127" s="1530"/>
      <c r="Q127" s="1530"/>
    </row>
    <row r="128" spans="1:17" ht="12.75" customHeight="1">
      <c r="A128" s="1538"/>
      <c r="B128" s="1530"/>
      <c r="C128" s="1530"/>
      <c r="D128" s="1534"/>
      <c r="E128" s="1530"/>
      <c r="F128" s="1539"/>
      <c r="G128" s="1534"/>
      <c r="H128" s="1540"/>
      <c r="I128" s="1534"/>
      <c r="J128" s="1530"/>
      <c r="K128" s="1534"/>
      <c r="L128" s="1530"/>
      <c r="M128" s="1530"/>
      <c r="N128" s="1530"/>
      <c r="O128" s="1530"/>
      <c r="P128" s="1530"/>
      <c r="Q128" s="1530"/>
    </row>
    <row r="129" spans="1:17" ht="12.75" customHeight="1">
      <c r="A129" s="1538"/>
      <c r="B129" s="1530"/>
      <c r="C129" s="1530"/>
      <c r="D129" s="1534"/>
      <c r="E129" s="1530"/>
      <c r="F129" s="1539"/>
      <c r="G129" s="1534"/>
      <c r="H129" s="1540"/>
      <c r="I129" s="1534"/>
      <c r="J129" s="1530"/>
      <c r="K129" s="1534"/>
      <c r="L129" s="1530"/>
      <c r="M129" s="1530"/>
      <c r="N129" s="1530"/>
      <c r="O129" s="1530"/>
      <c r="P129" s="1530"/>
      <c r="Q129" s="1530"/>
    </row>
    <row r="130" spans="1:17" ht="12.75" customHeight="1">
      <c r="A130" s="1538"/>
      <c r="B130" s="1530"/>
      <c r="C130" s="1530"/>
      <c r="D130" s="1534"/>
      <c r="E130" s="1530"/>
      <c r="F130" s="1539"/>
      <c r="G130" s="1534"/>
      <c r="H130" s="1540"/>
      <c r="I130" s="1534"/>
      <c r="J130" s="1530"/>
      <c r="K130" s="1534"/>
      <c r="L130" s="1530"/>
      <c r="M130" s="1530"/>
      <c r="N130" s="1530"/>
      <c r="O130" s="1530"/>
      <c r="P130" s="1530"/>
      <c r="Q130" s="1530"/>
    </row>
  </sheetData>
  <mergeCells count="4">
    <mergeCell ref="A1:B1"/>
    <mergeCell ref="A2:B2"/>
    <mergeCell ref="A3:B3"/>
    <mergeCell ref="A4:C4"/>
  </mergeCells>
  <pageMargins left="1.5" right="0.7" top="0.75" bottom="0.75" header="0.3" footer="0.3"/>
  <pageSetup scale="66" orientation="portrait" r:id="rId1"/>
  <headerFooter alignWithMargins="0"/>
  <rowBreaks count="1" manualBreakCount="1">
    <brk id="77" max="10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9"/>
  <sheetViews>
    <sheetView view="pageBreakPreview" zoomScale="85" zoomScaleNormal="85" zoomScaleSheetLayoutView="85" workbookViewId="0">
      <pane xSplit="3" ySplit="5" topLeftCell="D6" activePane="bottomRight" state="frozen"/>
      <selection activeCell="I25" sqref="I25"/>
      <selection pane="topRight" activeCell="I25" sqref="I25"/>
      <selection pane="bottomLeft" activeCell="I25" sqref="I25"/>
      <selection pane="bottomRight" activeCell="I25" sqref="I25"/>
    </sheetView>
  </sheetViews>
  <sheetFormatPr defaultRowHeight="12.75"/>
  <cols>
    <col min="1" max="2" width="9" style="1746"/>
    <col min="3" max="3" width="31.5" style="1729" bestFit="1" customWidth="1"/>
    <col min="4" max="4" width="13" style="1729" bestFit="1" customWidth="1"/>
    <col min="5" max="5" width="11.125" style="1729" customWidth="1"/>
    <col min="6" max="6" width="12.625" style="1729" bestFit="1" customWidth="1"/>
    <col min="7" max="7" width="1" style="1729" customWidth="1"/>
    <col min="8" max="8" width="12.25" style="1729" customWidth="1"/>
    <col min="9" max="9" width="11.5" style="1729" customWidth="1"/>
    <col min="10" max="10" width="9.625" style="1729" bestFit="1" customWidth="1"/>
    <col min="11" max="11" width="9.875" style="1729" bestFit="1" customWidth="1"/>
    <col min="12" max="12" width="3.25" style="1730" customWidth="1"/>
    <col min="13" max="13" width="11.75" style="1729" customWidth="1"/>
    <col min="14" max="14" width="11.125" style="1729" bestFit="1" customWidth="1"/>
    <col min="15" max="15" width="1.25" style="1729" customWidth="1"/>
    <col min="16" max="16" width="11.375" style="1729" bestFit="1" customWidth="1"/>
    <col min="17" max="17" width="10.75" style="1729" bestFit="1" customWidth="1"/>
    <col min="18" max="19" width="10.375" style="1729" bestFit="1" customWidth="1"/>
    <col min="20" max="16384" width="9" style="1729"/>
  </cols>
  <sheetData>
    <row r="1" spans="1:19" ht="14.25">
      <c r="A1" s="1728" t="s">
        <v>350</v>
      </c>
      <c r="B1" s="1728"/>
      <c r="S1" s="783" t="s">
        <v>2148</v>
      </c>
    </row>
    <row r="2" spans="1:19">
      <c r="A2" s="1728" t="s">
        <v>2153</v>
      </c>
      <c r="B2" s="1731"/>
    </row>
    <row r="3" spans="1:19">
      <c r="A3" s="1731"/>
      <c r="B3" s="1731"/>
    </row>
    <row r="5" spans="1:19" ht="38.25">
      <c r="A5" s="1732" t="s">
        <v>2154</v>
      </c>
      <c r="B5" s="1732" t="s">
        <v>2155</v>
      </c>
      <c r="C5" s="1733" t="s">
        <v>2156</v>
      </c>
      <c r="D5" s="1734" t="s">
        <v>2157</v>
      </c>
      <c r="E5" s="1735" t="s">
        <v>2158</v>
      </c>
      <c r="F5" s="1735" t="s">
        <v>2159</v>
      </c>
      <c r="G5" s="1736"/>
      <c r="H5" s="1735" t="s">
        <v>2160</v>
      </c>
      <c r="I5" s="1736" t="s">
        <v>2161</v>
      </c>
      <c r="J5" s="1736" t="s">
        <v>2162</v>
      </c>
      <c r="K5" s="1736" t="s">
        <v>2163</v>
      </c>
      <c r="M5" s="1735" t="s">
        <v>2158</v>
      </c>
      <c r="N5" s="1735" t="s">
        <v>2159</v>
      </c>
      <c r="O5" s="1736"/>
      <c r="P5" s="1735" t="s">
        <v>2160</v>
      </c>
      <c r="Q5" s="1736" t="s">
        <v>2161</v>
      </c>
      <c r="R5" s="1736" t="s">
        <v>2162</v>
      </c>
      <c r="S5" s="1736" t="s">
        <v>2163</v>
      </c>
    </row>
    <row r="6" spans="1:19">
      <c r="A6" s="1737"/>
      <c r="B6" s="1737"/>
      <c r="C6" s="1733"/>
    </row>
    <row r="7" spans="1:19">
      <c r="A7" s="1798" t="s">
        <v>368</v>
      </c>
      <c r="B7" s="1799"/>
      <c r="C7" s="1800"/>
    </row>
    <row r="8" spans="1:19">
      <c r="A8" s="1738">
        <v>1020</v>
      </c>
      <c r="B8" s="1738">
        <v>1835</v>
      </c>
      <c r="C8" s="1739" t="s">
        <v>1309</v>
      </c>
      <c r="D8" s="1733" t="s">
        <v>592</v>
      </c>
      <c r="E8" s="1729">
        <f>+F8-H8</f>
        <v>36282.690000000031</v>
      </c>
      <c r="F8" s="1729">
        <f>SUMIF('wp-p5a-restatement (audit)'!$B:$B,'wp-p5 Recon Summary'!$D8,'wp-p5a-restatement (audit)'!$H:$H)</f>
        <v>164394.10000000003</v>
      </c>
      <c r="H8" s="1729">
        <f>SUM(I8:K8)</f>
        <v>128111.41</v>
      </c>
      <c r="I8" s="1729">
        <v>128111.41</v>
      </c>
      <c r="J8" s="1729">
        <v>0</v>
      </c>
      <c r="K8" s="1729">
        <v>0</v>
      </c>
      <c r="M8" s="1729">
        <f>N8-P8</f>
        <v>8869.52</v>
      </c>
      <c r="N8" s="1729">
        <f>SUMIF('wp-p5a-restatement (audit)'!$B$9:$B$126,'wp-p5 Recon Summary'!$D8,'wp-p5a-restatement (audit)'!$N$9:$N$126)</f>
        <v>0</v>
      </c>
      <c r="P8" s="1729">
        <f>SUM(Q8:S8)</f>
        <v>-8869.52</v>
      </c>
      <c r="Q8" s="1729">
        <v>-8869.52</v>
      </c>
      <c r="S8" s="1729">
        <v>0</v>
      </c>
    </row>
    <row r="9" spans="1:19">
      <c r="A9" s="1738">
        <v>1025</v>
      </c>
      <c r="B9" s="1738">
        <v>1840</v>
      </c>
      <c r="C9" s="1739" t="s">
        <v>1310</v>
      </c>
      <c r="H9" s="1729">
        <f t="shared" ref="H9:H37" si="0">SUM(I9:K9)</f>
        <v>0</v>
      </c>
      <c r="I9" s="1729">
        <v>0</v>
      </c>
      <c r="J9" s="1729">
        <v>0</v>
      </c>
      <c r="K9" s="1729">
        <v>0</v>
      </c>
      <c r="P9" s="1729">
        <f t="shared" ref="P9:P37" si="1">SUM(Q9:S9)</f>
        <v>0</v>
      </c>
      <c r="Q9" s="1729">
        <v>0</v>
      </c>
      <c r="S9" s="1729">
        <v>0</v>
      </c>
    </row>
    <row r="10" spans="1:19">
      <c r="A10" s="1738">
        <v>1040</v>
      </c>
      <c r="B10" s="1738">
        <v>0</v>
      </c>
      <c r="C10" s="1739" t="s">
        <v>1311</v>
      </c>
      <c r="D10" s="1733" t="s">
        <v>640</v>
      </c>
      <c r="E10" s="1729">
        <f>+F10-H11</f>
        <v>-1861.9999999999964</v>
      </c>
      <c r="F10" s="1729">
        <f>SUMIF('wp-p5a-restatement (audit)'!$B:$B,'wp-p5 Recon Summary'!$D10,'wp-p5a-restatement (audit)'!$H:$H)</f>
        <v>20677.280000000002</v>
      </c>
      <c r="H10" s="1729">
        <f t="shared" si="0"/>
        <v>0</v>
      </c>
      <c r="I10" s="1729">
        <v>0</v>
      </c>
      <c r="J10" s="1729">
        <v>0</v>
      </c>
      <c r="K10" s="1729">
        <v>0</v>
      </c>
      <c r="N10" s="1729">
        <f>SUMIF('wp-p5a-restatement (audit)'!$B$9:$B$126,'wp-p5 Recon Summary'!$D10,'wp-p5a-restatement (audit)'!$N$9:$N$126)</f>
        <v>0</v>
      </c>
      <c r="P10" s="1729">
        <f t="shared" si="1"/>
        <v>0</v>
      </c>
      <c r="Q10" s="1729">
        <v>0</v>
      </c>
      <c r="S10" s="1729">
        <v>0</v>
      </c>
    </row>
    <row r="11" spans="1:19">
      <c r="A11" s="1738">
        <v>1045</v>
      </c>
      <c r="B11" s="1738">
        <v>0</v>
      </c>
      <c r="C11" s="1739" t="s">
        <v>1312</v>
      </c>
      <c r="H11" s="1729">
        <f t="shared" si="0"/>
        <v>22539.279999999999</v>
      </c>
      <c r="I11" s="1729">
        <v>20044.05</v>
      </c>
      <c r="J11" s="1729">
        <v>0</v>
      </c>
      <c r="K11" s="1729">
        <v>2495.23</v>
      </c>
      <c r="P11" s="1729">
        <f t="shared" si="1"/>
        <v>0</v>
      </c>
      <c r="Q11" s="1729">
        <v>0</v>
      </c>
      <c r="S11" s="1729">
        <v>0</v>
      </c>
    </row>
    <row r="12" spans="1:19">
      <c r="A12" s="1738">
        <v>1050</v>
      </c>
      <c r="B12" s="1738">
        <v>1845</v>
      </c>
      <c r="C12" s="1739" t="s">
        <v>1313</v>
      </c>
      <c r="D12" s="1740" t="s">
        <v>369</v>
      </c>
      <c r="E12" s="1729">
        <f>+F12-SUM(H12:H37)</f>
        <v>1861.9999999981374</v>
      </c>
      <c r="F12" s="1729">
        <f>SUMIF('wp-p5a-restatement (audit)'!$B9:$B126,'wp-p5 Recon Summary'!$D12,'wp-p5a-restatement (audit)'!$H9:$H126)</f>
        <v>8663903.9999999981</v>
      </c>
      <c r="H12" s="1729">
        <f t="shared" si="0"/>
        <v>113002.11</v>
      </c>
      <c r="I12" s="1729">
        <v>113002.11</v>
      </c>
      <c r="J12" s="1729">
        <v>0</v>
      </c>
      <c r="K12" s="1729">
        <v>0</v>
      </c>
      <c r="M12" s="1729">
        <f>N12-SUM(P12:P37)</f>
        <v>513864.10309999948</v>
      </c>
      <c r="N12" s="1729">
        <f>-SUMIF('wp-p5a-restatement (audit)'!$B$9:$B$126,'wp-p5 Recon Summary'!$D12,'wp-p5a-restatement (audit)'!$N$9:$N$126)</f>
        <v>-3093365.2669000006</v>
      </c>
      <c r="P12" s="1729">
        <f t="shared" si="1"/>
        <v>-23242.47</v>
      </c>
      <c r="Q12" s="1729">
        <v>-23242.47</v>
      </c>
      <c r="S12" s="1729">
        <v>0</v>
      </c>
    </row>
    <row r="13" spans="1:19">
      <c r="A13" s="1738">
        <v>1055</v>
      </c>
      <c r="B13" s="1738">
        <v>1850</v>
      </c>
      <c r="C13" s="1739" t="s">
        <v>1314</v>
      </c>
      <c r="H13" s="1729">
        <f t="shared" si="0"/>
        <v>452039.98</v>
      </c>
      <c r="I13" s="1729">
        <v>452039.98</v>
      </c>
      <c r="J13" s="1729">
        <v>0</v>
      </c>
      <c r="K13" s="1729">
        <v>0</v>
      </c>
      <c r="P13" s="1729">
        <f t="shared" si="1"/>
        <v>-149986.76</v>
      </c>
      <c r="Q13" s="1729">
        <v>-149986.76</v>
      </c>
      <c r="S13" s="1729">
        <v>0</v>
      </c>
    </row>
    <row r="14" spans="1:19">
      <c r="A14" s="1738">
        <v>1060</v>
      </c>
      <c r="B14" s="1738">
        <v>1855</v>
      </c>
      <c r="C14" s="1739" t="s">
        <v>1315</v>
      </c>
      <c r="H14" s="1729">
        <f t="shared" si="0"/>
        <v>0</v>
      </c>
      <c r="I14" s="1729">
        <v>0</v>
      </c>
      <c r="J14" s="1729">
        <v>0</v>
      </c>
      <c r="K14" s="1729">
        <v>0</v>
      </c>
      <c r="P14" s="1729">
        <f t="shared" si="1"/>
        <v>0</v>
      </c>
      <c r="Q14" s="1729">
        <v>0</v>
      </c>
      <c r="S14" s="1729">
        <v>0</v>
      </c>
    </row>
    <row r="15" spans="1:19">
      <c r="A15" s="1738">
        <v>1065</v>
      </c>
      <c r="B15" s="1738">
        <v>1860</v>
      </c>
      <c r="C15" s="1739" t="s">
        <v>1316</v>
      </c>
      <c r="H15" s="1729">
        <f t="shared" si="0"/>
        <v>129602.66</v>
      </c>
      <c r="I15" s="1729">
        <v>129602.66</v>
      </c>
      <c r="J15" s="1729">
        <v>0</v>
      </c>
      <c r="K15" s="1729">
        <v>0</v>
      </c>
      <c r="P15" s="1729">
        <f t="shared" si="1"/>
        <v>-7348.15</v>
      </c>
      <c r="Q15" s="1729">
        <v>-7348.15</v>
      </c>
      <c r="S15" s="1729">
        <v>0</v>
      </c>
    </row>
    <row r="16" spans="1:19">
      <c r="A16" s="1738">
        <v>1080</v>
      </c>
      <c r="B16" s="1738">
        <v>1875</v>
      </c>
      <c r="C16" s="1739" t="s">
        <v>1317</v>
      </c>
      <c r="H16" s="1729">
        <f t="shared" si="0"/>
        <v>475035.13</v>
      </c>
      <c r="I16" s="1729">
        <v>475035.13</v>
      </c>
      <c r="J16" s="1729">
        <v>0</v>
      </c>
      <c r="K16" s="1729">
        <v>0</v>
      </c>
      <c r="P16" s="1729">
        <f t="shared" si="1"/>
        <v>-68495.210000000006</v>
      </c>
      <c r="Q16" s="1729">
        <v>-68495.210000000006</v>
      </c>
      <c r="S16" s="1729">
        <v>0</v>
      </c>
    </row>
    <row r="17" spans="1:19">
      <c r="A17" s="1738">
        <v>1090</v>
      </c>
      <c r="B17" s="1738">
        <v>1885</v>
      </c>
      <c r="C17" s="1739" t="s">
        <v>1318</v>
      </c>
      <c r="H17" s="1729">
        <f t="shared" si="0"/>
        <v>8822.06</v>
      </c>
      <c r="I17" s="1729">
        <v>8822.06</v>
      </c>
      <c r="J17" s="1729">
        <v>0</v>
      </c>
      <c r="K17" s="1729">
        <v>0</v>
      </c>
      <c r="P17" s="1729">
        <f t="shared" si="1"/>
        <v>-248.83</v>
      </c>
      <c r="Q17" s="1729">
        <v>-248.83</v>
      </c>
      <c r="S17" s="1729">
        <v>0</v>
      </c>
    </row>
    <row r="18" spans="1:19">
      <c r="A18" s="1738">
        <v>1105</v>
      </c>
      <c r="B18" s="1738">
        <v>1900</v>
      </c>
      <c r="C18" s="1739" t="s">
        <v>1319</v>
      </c>
      <c r="H18" s="1729">
        <f t="shared" si="0"/>
        <v>595958.72</v>
      </c>
      <c r="I18" s="1729">
        <v>595958.72</v>
      </c>
      <c r="J18" s="1729">
        <v>0</v>
      </c>
      <c r="K18" s="1729">
        <v>0</v>
      </c>
      <c r="P18" s="1729">
        <f t="shared" si="1"/>
        <v>-86792.35</v>
      </c>
      <c r="Q18" s="1729">
        <v>-86792.35</v>
      </c>
      <c r="S18" s="1729">
        <v>0</v>
      </c>
    </row>
    <row r="19" spans="1:19">
      <c r="A19" s="1738">
        <v>1110</v>
      </c>
      <c r="B19" s="1738">
        <v>1905</v>
      </c>
      <c r="C19" s="1739" t="s">
        <v>1320</v>
      </c>
      <c r="H19" s="1729">
        <f t="shared" si="0"/>
        <v>5577.38</v>
      </c>
      <c r="I19" s="1729">
        <v>5577.38</v>
      </c>
      <c r="J19" s="1729">
        <v>0</v>
      </c>
      <c r="K19" s="1729">
        <v>0</v>
      </c>
      <c r="P19" s="1729">
        <f t="shared" si="1"/>
        <v>-296.17</v>
      </c>
      <c r="Q19" s="1729">
        <v>-296.17</v>
      </c>
      <c r="S19" s="1729">
        <v>0</v>
      </c>
    </row>
    <row r="20" spans="1:19">
      <c r="A20" s="1738">
        <v>1115</v>
      </c>
      <c r="B20" s="1738">
        <v>1910</v>
      </c>
      <c r="C20" s="1739" t="s">
        <v>1321</v>
      </c>
      <c r="H20" s="1729">
        <f t="shared" si="0"/>
        <v>574202.65</v>
      </c>
      <c r="I20" s="1729">
        <v>574202.65</v>
      </c>
      <c r="J20" s="1729">
        <v>0</v>
      </c>
      <c r="K20" s="1729">
        <v>0</v>
      </c>
      <c r="P20" s="1729">
        <f t="shared" si="1"/>
        <v>-199093.02</v>
      </c>
      <c r="Q20" s="1729">
        <v>-199093.02</v>
      </c>
      <c r="S20" s="1729">
        <v>0</v>
      </c>
    </row>
    <row r="21" spans="1:19">
      <c r="A21" s="1738">
        <v>1120</v>
      </c>
      <c r="B21" s="1738">
        <v>1915</v>
      </c>
      <c r="C21" s="1739" t="s">
        <v>1322</v>
      </c>
      <c r="H21" s="1729">
        <f t="shared" si="0"/>
        <v>522964.63</v>
      </c>
      <c r="I21" s="1729">
        <v>522964.63</v>
      </c>
      <c r="J21" s="1729">
        <v>0</v>
      </c>
      <c r="K21" s="1729">
        <v>0</v>
      </c>
      <c r="P21" s="1729">
        <f t="shared" si="1"/>
        <v>-228855.22</v>
      </c>
      <c r="Q21" s="1729">
        <v>-228855.22</v>
      </c>
      <c r="S21" s="1729">
        <v>0</v>
      </c>
    </row>
    <row r="22" spans="1:19">
      <c r="A22" s="1738">
        <v>1125</v>
      </c>
      <c r="B22" s="1738">
        <v>1920</v>
      </c>
      <c r="C22" s="1739" t="s">
        <v>1323</v>
      </c>
      <c r="H22" s="1729">
        <f t="shared" si="0"/>
        <v>2975975.97</v>
      </c>
      <c r="I22" s="1729">
        <v>2975975.97</v>
      </c>
      <c r="J22" s="1729">
        <v>0</v>
      </c>
      <c r="K22" s="1729">
        <v>0</v>
      </c>
      <c r="P22" s="1729">
        <f t="shared" si="1"/>
        <v>-1312250.2</v>
      </c>
      <c r="Q22" s="1729">
        <v>-1312250.2</v>
      </c>
      <c r="S22" s="1729">
        <v>0</v>
      </c>
    </row>
    <row r="23" spans="1:19">
      <c r="A23" s="1738">
        <v>1130</v>
      </c>
      <c r="B23" s="1738">
        <v>1925</v>
      </c>
      <c r="C23" s="1739" t="s">
        <v>1324</v>
      </c>
      <c r="H23" s="1729">
        <f t="shared" si="0"/>
        <v>682894.04</v>
      </c>
      <c r="I23" s="1729">
        <v>682894.04</v>
      </c>
      <c r="J23" s="1729">
        <v>0</v>
      </c>
      <c r="K23" s="1729">
        <v>0</v>
      </c>
      <c r="P23" s="1729">
        <f t="shared" si="1"/>
        <v>-566222.02</v>
      </c>
      <c r="Q23" s="1729">
        <v>-566222.02</v>
      </c>
      <c r="S23" s="1729">
        <v>0</v>
      </c>
    </row>
    <row r="24" spans="1:19">
      <c r="A24" s="1738">
        <v>1135</v>
      </c>
      <c r="B24" s="1738">
        <v>1930</v>
      </c>
      <c r="C24" s="1739" t="s">
        <v>1325</v>
      </c>
      <c r="H24" s="1729">
        <f t="shared" si="0"/>
        <v>708803.19</v>
      </c>
      <c r="I24" s="1729">
        <v>708803.19</v>
      </c>
      <c r="J24" s="1729">
        <v>0</v>
      </c>
      <c r="K24" s="1729">
        <v>0</v>
      </c>
      <c r="P24" s="1729">
        <f t="shared" si="1"/>
        <v>-417350.63</v>
      </c>
      <c r="Q24" s="1729">
        <v>-417350.63</v>
      </c>
      <c r="S24" s="1729">
        <v>0</v>
      </c>
    </row>
    <row r="25" spans="1:19">
      <c r="A25" s="1738">
        <v>1140</v>
      </c>
      <c r="B25" s="1738">
        <v>1935</v>
      </c>
      <c r="C25" s="1739" t="s">
        <v>1326</v>
      </c>
      <c r="H25" s="1729">
        <f t="shared" si="0"/>
        <v>349788.43</v>
      </c>
      <c r="I25" s="1729">
        <v>349788.43</v>
      </c>
      <c r="J25" s="1729">
        <v>0</v>
      </c>
      <c r="K25" s="1729">
        <v>0</v>
      </c>
      <c r="P25" s="1729">
        <f t="shared" si="1"/>
        <v>-169467.15</v>
      </c>
      <c r="Q25" s="1729">
        <v>-169467.15</v>
      </c>
      <c r="S25" s="1729">
        <v>0</v>
      </c>
    </row>
    <row r="26" spans="1:19">
      <c r="A26" s="1738">
        <v>1145</v>
      </c>
      <c r="B26" s="1738">
        <v>1940</v>
      </c>
      <c r="C26" s="1739" t="s">
        <v>1327</v>
      </c>
      <c r="H26" s="1729">
        <f t="shared" si="0"/>
        <v>382078.73</v>
      </c>
      <c r="I26" s="1729">
        <v>382078.73</v>
      </c>
      <c r="J26" s="1729">
        <v>0</v>
      </c>
      <c r="K26" s="1729">
        <v>0</v>
      </c>
      <c r="P26" s="1729">
        <f t="shared" si="1"/>
        <v>-47695.73</v>
      </c>
      <c r="Q26" s="1729">
        <v>-47695.73</v>
      </c>
      <c r="S26" s="1729">
        <v>0</v>
      </c>
    </row>
    <row r="27" spans="1:19">
      <c r="A27" s="1738">
        <v>1150</v>
      </c>
      <c r="B27" s="1738">
        <v>1945</v>
      </c>
      <c r="C27" s="1739" t="s">
        <v>1328</v>
      </c>
      <c r="H27" s="1729">
        <f t="shared" si="0"/>
        <v>0</v>
      </c>
      <c r="I27" s="1729">
        <v>0</v>
      </c>
      <c r="J27" s="1729">
        <v>0</v>
      </c>
      <c r="K27" s="1729">
        <v>0</v>
      </c>
      <c r="P27" s="1729">
        <f t="shared" si="1"/>
        <v>0</v>
      </c>
      <c r="Q27" s="1729">
        <v>0</v>
      </c>
      <c r="S27" s="1729">
        <v>0</v>
      </c>
    </row>
    <row r="28" spans="1:19">
      <c r="A28" s="1738">
        <v>1170</v>
      </c>
      <c r="B28" s="1738">
        <v>1965</v>
      </c>
      <c r="C28" s="1739" t="s">
        <v>1329</v>
      </c>
      <c r="H28" s="1729">
        <f t="shared" si="0"/>
        <v>0</v>
      </c>
      <c r="I28" s="1729">
        <v>0</v>
      </c>
      <c r="J28" s="1729">
        <v>0</v>
      </c>
      <c r="K28" s="1729">
        <v>0</v>
      </c>
      <c r="P28" s="1729">
        <f t="shared" si="1"/>
        <v>0</v>
      </c>
      <c r="Q28" s="1729">
        <v>0</v>
      </c>
      <c r="S28" s="1729">
        <v>0</v>
      </c>
    </row>
    <row r="29" spans="1:19">
      <c r="A29" s="1738">
        <v>1175</v>
      </c>
      <c r="B29" s="1738">
        <v>1970</v>
      </c>
      <c r="C29" s="1739" t="s">
        <v>1330</v>
      </c>
      <c r="H29" s="1729">
        <f t="shared" si="0"/>
        <v>144932.96000000002</v>
      </c>
      <c r="I29" s="1729">
        <v>72362.27</v>
      </c>
      <c r="J29" s="1729">
        <v>0</v>
      </c>
      <c r="K29" s="1729">
        <v>72570.69</v>
      </c>
      <c r="P29" s="1729">
        <f t="shared" si="1"/>
        <v>-49639.05</v>
      </c>
      <c r="Q29" s="1729">
        <v>-14395.82</v>
      </c>
      <c r="S29" s="1729">
        <v>-35243.230000000003</v>
      </c>
    </row>
    <row r="30" spans="1:19">
      <c r="A30" s="1738">
        <v>1180</v>
      </c>
      <c r="B30" s="1738">
        <v>1975</v>
      </c>
      <c r="C30" s="1739" t="s">
        <v>1331</v>
      </c>
      <c r="H30" s="1729">
        <f t="shared" si="0"/>
        <v>99304.56</v>
      </c>
      <c r="I30" s="1729">
        <v>63057.98</v>
      </c>
      <c r="J30" s="1729">
        <v>0</v>
      </c>
      <c r="K30" s="1729">
        <v>36246.58</v>
      </c>
      <c r="P30" s="1729">
        <f t="shared" si="1"/>
        <v>-81625.66</v>
      </c>
      <c r="Q30" s="1729">
        <v>-51820.29</v>
      </c>
      <c r="S30" s="1729">
        <v>-29805.37</v>
      </c>
    </row>
    <row r="31" spans="1:19">
      <c r="A31" s="1738">
        <v>1190</v>
      </c>
      <c r="B31" s="1738">
        <v>1985</v>
      </c>
      <c r="C31" s="1739" t="s">
        <v>1332</v>
      </c>
      <c r="H31" s="1729">
        <f t="shared" si="0"/>
        <v>259536.56</v>
      </c>
      <c r="I31" s="1729">
        <v>258985.34</v>
      </c>
      <c r="J31" s="1729">
        <v>0</v>
      </c>
      <c r="K31" s="1729">
        <v>551.22</v>
      </c>
      <c r="P31" s="1729">
        <f t="shared" si="1"/>
        <v>-115780.56</v>
      </c>
      <c r="Q31" s="1729">
        <v>-115223.02</v>
      </c>
      <c r="S31" s="1729">
        <v>-557.54</v>
      </c>
    </row>
    <row r="32" spans="1:19">
      <c r="A32" s="1738">
        <v>1195</v>
      </c>
      <c r="B32" s="1738">
        <v>1990</v>
      </c>
      <c r="C32" s="1739" t="s">
        <v>1333</v>
      </c>
      <c r="H32" s="1729">
        <f t="shared" si="0"/>
        <v>45181.53</v>
      </c>
      <c r="I32" s="1729">
        <v>45181.53</v>
      </c>
      <c r="J32" s="1729">
        <v>0</v>
      </c>
      <c r="K32" s="1729">
        <v>0</v>
      </c>
      <c r="P32" s="1729">
        <f t="shared" si="1"/>
        <v>-27358.7</v>
      </c>
      <c r="Q32" s="1729">
        <v>-27358.7</v>
      </c>
      <c r="S32" s="1729">
        <v>0</v>
      </c>
    </row>
    <row r="33" spans="1:19">
      <c r="A33" s="1738">
        <v>1205</v>
      </c>
      <c r="B33" s="1738">
        <v>2000</v>
      </c>
      <c r="C33" s="1739" t="s">
        <v>1334</v>
      </c>
      <c r="H33" s="1729">
        <f t="shared" si="0"/>
        <v>64260.229999999996</v>
      </c>
      <c r="I33" s="1729">
        <v>44155.86</v>
      </c>
      <c r="J33" s="1729">
        <v>0</v>
      </c>
      <c r="K33" s="1729">
        <v>20104.37</v>
      </c>
      <c r="P33" s="1729">
        <f t="shared" si="1"/>
        <v>-46684.24</v>
      </c>
      <c r="Q33" s="1729">
        <v>-36105.03</v>
      </c>
      <c r="S33" s="1729">
        <v>-10579.21</v>
      </c>
    </row>
    <row r="34" spans="1:19">
      <c r="A34" s="1738">
        <v>1210</v>
      </c>
      <c r="B34" s="1738">
        <v>2005</v>
      </c>
      <c r="C34" s="1739" t="s">
        <v>1335</v>
      </c>
      <c r="H34" s="1729">
        <f t="shared" si="0"/>
        <v>0</v>
      </c>
      <c r="I34" s="1729">
        <v>0</v>
      </c>
      <c r="J34" s="1729">
        <v>0</v>
      </c>
      <c r="K34" s="1729">
        <v>0</v>
      </c>
      <c r="P34" s="1729">
        <f t="shared" si="1"/>
        <v>0</v>
      </c>
      <c r="Q34" s="1729">
        <v>0</v>
      </c>
      <c r="S34" s="1729">
        <v>0</v>
      </c>
    </row>
    <row r="35" spans="1:19">
      <c r="A35" s="1738">
        <v>1215</v>
      </c>
      <c r="B35" s="1738">
        <v>0</v>
      </c>
      <c r="C35" s="1739" t="s">
        <v>1336</v>
      </c>
      <c r="H35" s="1729">
        <f t="shared" si="0"/>
        <v>69976</v>
      </c>
      <c r="I35" s="1729">
        <v>69976</v>
      </c>
      <c r="J35" s="1729">
        <v>0</v>
      </c>
      <c r="K35" s="1729">
        <v>0</v>
      </c>
      <c r="P35" s="1729">
        <f t="shared" si="1"/>
        <v>0</v>
      </c>
      <c r="Q35" s="1729">
        <v>0</v>
      </c>
      <c r="S35" s="1729">
        <v>0</v>
      </c>
    </row>
    <row r="36" spans="1:19">
      <c r="A36" s="1741">
        <v>1220</v>
      </c>
      <c r="B36" s="1738">
        <v>2010</v>
      </c>
      <c r="C36" s="1739" t="s">
        <v>1337</v>
      </c>
      <c r="H36" s="1729">
        <f t="shared" si="0"/>
        <v>0</v>
      </c>
      <c r="I36" s="1729">
        <v>0</v>
      </c>
      <c r="J36" s="1729">
        <v>0</v>
      </c>
      <c r="K36" s="1729">
        <v>0</v>
      </c>
      <c r="P36" s="1729">
        <f t="shared" si="1"/>
        <v>-8744.59</v>
      </c>
      <c r="Q36" s="1729">
        <v>-8744.59</v>
      </c>
      <c r="S36" s="1729">
        <v>0</v>
      </c>
    </row>
    <row r="37" spans="1:19">
      <c r="A37" s="1741"/>
      <c r="B37" s="1738"/>
      <c r="C37" s="1739" t="s">
        <v>104</v>
      </c>
      <c r="H37" s="1729">
        <f t="shared" si="0"/>
        <v>2104.48</v>
      </c>
      <c r="I37" s="1729">
        <v>2104.48</v>
      </c>
      <c r="J37" s="1729">
        <v>0</v>
      </c>
      <c r="K37" s="1729">
        <v>0</v>
      </c>
      <c r="P37" s="1729">
        <f t="shared" si="1"/>
        <v>-52.66</v>
      </c>
      <c r="Q37" s="1729">
        <v>-52.66</v>
      </c>
      <c r="S37" s="1729">
        <v>0</v>
      </c>
    </row>
    <row r="38" spans="1:19" ht="13.5" thickBot="1">
      <c r="A38" s="1742"/>
      <c r="B38" s="1742"/>
      <c r="C38" s="1743"/>
      <c r="D38" s="1744"/>
      <c r="E38" s="1745"/>
      <c r="F38" s="1744"/>
      <c r="G38" s="1744"/>
      <c r="H38" s="1744"/>
      <c r="I38" s="1744"/>
      <c r="J38" s="1744"/>
      <c r="K38" s="1744"/>
      <c r="M38" s="1744"/>
      <c r="N38" s="1744"/>
      <c r="O38" s="1744"/>
      <c r="P38" s="1744"/>
      <c r="Q38" s="1744"/>
      <c r="R38" s="1744"/>
      <c r="S38" s="1744"/>
    </row>
    <row r="39" spans="1:19" ht="13.5" thickBot="1">
      <c r="C39" s="1733" t="s">
        <v>589</v>
      </c>
      <c r="E39" s="1747">
        <f>SUM(E8:E38)</f>
        <v>36282.689999998169</v>
      </c>
      <c r="F39" s="1729">
        <f>SUM(F8:F38)</f>
        <v>8848975.379999999</v>
      </c>
      <c r="H39" s="1729">
        <f>SUM(H8:H38)</f>
        <v>8812692.6900000013</v>
      </c>
      <c r="I39" s="1729">
        <f>SUM(I8:I38)</f>
        <v>8680724.5999999996</v>
      </c>
      <c r="J39" s="1729">
        <f>SUM(J8:J38)</f>
        <v>0</v>
      </c>
      <c r="K39" s="1729">
        <f>SUM(K8:K38)</f>
        <v>131968.09</v>
      </c>
      <c r="M39" s="1747">
        <f t="shared" ref="M39:S39" si="2">SUM(M8:M38)</f>
        <v>522733.6230999995</v>
      </c>
      <c r="N39" s="1729">
        <f t="shared" si="2"/>
        <v>-3093365.2669000006</v>
      </c>
      <c r="O39" s="1729">
        <f t="shared" si="2"/>
        <v>0</v>
      </c>
      <c r="P39" s="1729">
        <f t="shared" si="2"/>
        <v>-3616098.89</v>
      </c>
      <c r="Q39" s="1729">
        <f t="shared" si="2"/>
        <v>-3539913.5399999996</v>
      </c>
      <c r="R39" s="1729">
        <f t="shared" si="2"/>
        <v>0</v>
      </c>
      <c r="S39" s="1729">
        <f t="shared" si="2"/>
        <v>-76185.350000000006</v>
      </c>
    </row>
    <row r="40" spans="1:19">
      <c r="C40" s="1733"/>
    </row>
    <row r="41" spans="1:19">
      <c r="C41" s="1733" t="s">
        <v>2164</v>
      </c>
      <c r="F41" s="1729">
        <f>SUM('wp-p5a-restatement (audit)'!H9:H62,'wp-p5a-restatement (audit)'!H69,'wp-p5a-restatement (audit)'!H73:H75,'wp-p5a-restatement (audit)'!H78,'wp-p5a-restatement (audit)'!H81,'wp-p5a-restatement (audit)'!H82,'wp-p5a-restatement (audit)'!H85:H86,'wp-p5a-restatement (audit)'!H89:H90,'wp-p5a-restatement (audit)'!H93,'wp-p5a-restatement (audit)'!H99,'wp-p5a-restatement (audit)'!H102:H103,'wp-p5a-restatement (audit)'!H107,'wp-p5a-restatement (audit)'!H110:H111,'wp-p5a-restatement (audit)'!H115,'wp-p5a-restatement (audit)'!H118:H119)</f>
        <v>8848975.3799999971</v>
      </c>
      <c r="H41" s="1729">
        <f>SUM(I41:K41)</f>
        <v>8812692.6899999995</v>
      </c>
      <c r="I41" s="1729">
        <v>8680724.5999999996</v>
      </c>
      <c r="K41" s="1729">
        <v>131968.09</v>
      </c>
      <c r="M41" s="1729">
        <f>+N41-P41</f>
        <v>522733.62310000043</v>
      </c>
      <c r="N41" s="1729">
        <f>-SUM('wp-p5a-restatement (audit)'!N118:N119,'wp-p5a-restatement (audit)'!N115,'wp-p5a-restatement (audit)'!N110:N111,'wp-p5a-restatement (audit)'!N107,'wp-p5a-restatement (audit)'!N102:N103,'wp-p5a-restatement (audit)'!N99,'wp-p5a-restatement (audit)'!N93,'wp-p5a-restatement (audit)'!N89:N90,'wp-p5a-restatement (audit)'!N85:N86,'wp-p5a-restatement (audit)'!N81:N82,'wp-p5a-restatement (audit)'!N78,'wp-p5a-restatement (audit)'!N73:N75,'wp-p5a-restatement (audit)'!N69,'wp-p5a-restatement (audit)'!N9:N62)</f>
        <v>-3093365.2668999997</v>
      </c>
      <c r="P41" s="1729">
        <f>SUM(Q41:S41)</f>
        <v>-3616098.89</v>
      </c>
      <c r="Q41" s="1729">
        <v>-3539913.54</v>
      </c>
      <c r="S41" s="1729">
        <v>-76185.350000000006</v>
      </c>
    </row>
    <row r="42" spans="1:19">
      <c r="F42" s="1729">
        <f>+F39-F41</f>
        <v>0</v>
      </c>
      <c r="H42" s="1729">
        <f>+H39-H41</f>
        <v>0</v>
      </c>
      <c r="I42" s="1729">
        <f>+I39-I41</f>
        <v>0</v>
      </c>
      <c r="K42" s="1729">
        <f>+K39-K41</f>
        <v>0</v>
      </c>
      <c r="N42" s="1729">
        <f>+N39-N41</f>
        <v>0</v>
      </c>
      <c r="P42" s="1729">
        <f>+P39-P41</f>
        <v>0</v>
      </c>
      <c r="Q42" s="1729">
        <f>+Q39-Q41</f>
        <v>0</v>
      </c>
      <c r="S42" s="1729">
        <f>+S39-S41</f>
        <v>0</v>
      </c>
    </row>
    <row r="44" spans="1:19">
      <c r="A44" s="1748">
        <v>1555</v>
      </c>
      <c r="B44" s="1738">
        <v>2300</v>
      </c>
      <c r="C44" s="1739" t="s">
        <v>1362</v>
      </c>
      <c r="D44" s="1733" t="s">
        <v>370</v>
      </c>
      <c r="E44" s="1729">
        <f>+F44-H44</f>
        <v>0</v>
      </c>
      <c r="F44" s="1729">
        <f>SUMIF('wp-p5a-restatement (audit)'!$B:$B,'wp-p5 Recon Summary'!$D44,'wp-p5a-restatement (audit)'!$H:$H)</f>
        <v>489812.83</v>
      </c>
      <c r="H44" s="1729">
        <f t="shared" ref="H44" si="3">SUM(I44:K44)</f>
        <v>489812.82999999996</v>
      </c>
      <c r="I44" s="1729">
        <v>42210.03</v>
      </c>
      <c r="J44" s="1729">
        <v>0</v>
      </c>
      <c r="K44" s="1729">
        <v>447602.8</v>
      </c>
      <c r="M44" s="1729">
        <f>N44-P44</f>
        <v>-44282.304999999993</v>
      </c>
      <c r="N44" s="1729">
        <f>-SUMIF('wp-p5a-restatement (audit)'!$B$9:$B$126,'wp-p5 Recon Summary'!$D44,'wp-p5a-restatement (audit)'!$N$9:$N$126)</f>
        <v>-481305.27500000002</v>
      </c>
      <c r="P44" s="1729">
        <f t="shared" ref="P44" si="4">SUM(Q44:S44)</f>
        <v>-437022.97000000003</v>
      </c>
      <c r="Q44" s="1729">
        <v>-25663.69</v>
      </c>
      <c r="S44" s="1729">
        <v>-411359.28</v>
      </c>
    </row>
    <row r="45" spans="1:19">
      <c r="E45" s="1744"/>
      <c r="F45" s="1744"/>
      <c r="G45" s="1744"/>
      <c r="H45" s="1744"/>
      <c r="I45" s="1744"/>
      <c r="J45" s="1744"/>
      <c r="K45" s="1744"/>
      <c r="M45" s="1744"/>
      <c r="N45" s="1744"/>
      <c r="O45" s="1744"/>
      <c r="P45" s="1744"/>
      <c r="Q45" s="1744"/>
      <c r="R45" s="1744"/>
      <c r="S45" s="1744"/>
    </row>
    <row r="46" spans="1:19">
      <c r="C46" s="1733" t="s">
        <v>2165</v>
      </c>
      <c r="F46" s="1729">
        <f>SUM(F44:F45)</f>
        <v>489812.83</v>
      </c>
      <c r="H46" s="1729">
        <f t="shared" ref="H46:K46" si="5">SUM(H44:H45)</f>
        <v>489812.82999999996</v>
      </c>
      <c r="I46" s="1729">
        <f t="shared" si="5"/>
        <v>42210.03</v>
      </c>
      <c r="J46" s="1729">
        <f t="shared" si="5"/>
        <v>0</v>
      </c>
      <c r="K46" s="1729">
        <f t="shared" si="5"/>
        <v>447602.8</v>
      </c>
      <c r="M46" s="1729">
        <f t="shared" ref="M46:S46" si="6">SUM(M44:M45)</f>
        <v>-44282.304999999993</v>
      </c>
      <c r="N46" s="1729">
        <f t="shared" si="6"/>
        <v>-481305.27500000002</v>
      </c>
      <c r="O46" s="1729">
        <f t="shared" si="6"/>
        <v>0</v>
      </c>
      <c r="P46" s="1729">
        <f t="shared" si="6"/>
        <v>-437022.97000000003</v>
      </c>
      <c r="Q46" s="1729">
        <f t="shared" si="6"/>
        <v>-25663.69</v>
      </c>
      <c r="R46" s="1729">
        <f t="shared" si="6"/>
        <v>0</v>
      </c>
      <c r="S46" s="1729">
        <f t="shared" si="6"/>
        <v>-411359.28</v>
      </c>
    </row>
    <row r="47" spans="1:19">
      <c r="C47" s="1733"/>
    </row>
    <row r="48" spans="1:19">
      <c r="C48" s="1733" t="s">
        <v>2166</v>
      </c>
      <c r="F48" s="1729">
        <f>SUM('wp-p5a-restatement (audit)'!H63:H68,'wp-p5a-restatement (audit)'!H70:H72,'wp-p5a-restatement (audit)'!H77,'wp-p5a-restatement (audit)'!H80,'wp-p5a-restatement (audit)'!H84,'wp-p5a-restatement (audit)'!H88,'wp-p5a-restatement (audit)'!H92,'wp-p5a-restatement (audit)'!H95,'wp-p5a-restatement (audit)'!H101,'wp-p5a-restatement (audit)'!H109,'wp-p5a-restatement (audit)'!H117)</f>
        <v>489812.83</v>
      </c>
      <c r="H48" s="1729">
        <f>SUM(I48:K48)</f>
        <v>489812.82999999996</v>
      </c>
      <c r="I48" s="1729">
        <v>42210.03</v>
      </c>
      <c r="K48" s="1729">
        <v>447602.8</v>
      </c>
      <c r="M48" s="1729">
        <f>+N48-P48</f>
        <v>-44282.304999999993</v>
      </c>
      <c r="N48" s="1729">
        <f>-SUM('wp-p5a-restatement (audit)'!N63:N68,'wp-p5a-restatement (audit)'!N70:N72,'wp-p5a-restatement (audit)'!N77,'wp-p5a-restatement (audit)'!N80,'wp-p5a-restatement (audit)'!N84,'wp-p5a-restatement (audit)'!N88,'wp-p5a-restatement (audit)'!N92,'wp-p5a-restatement (audit)'!N95,'wp-p5a-restatement (audit)'!N101,'wp-p5a-restatement (audit)'!N109,'wp-p5a-restatement (audit)'!N117)</f>
        <v>-481305.27500000002</v>
      </c>
      <c r="P48" s="1729">
        <f>SUM(Q48:S48)</f>
        <v>-437022.97000000003</v>
      </c>
      <c r="Q48" s="1729">
        <v>-25663.69</v>
      </c>
      <c r="S48" s="1729">
        <v>-411359.28</v>
      </c>
    </row>
    <row r="49" spans="1:19">
      <c r="F49" s="1729">
        <f>+F46-F48</f>
        <v>0</v>
      </c>
      <c r="H49" s="1729">
        <f>+H46-H48</f>
        <v>0</v>
      </c>
      <c r="I49" s="1729">
        <f>+I46-I48</f>
        <v>0</v>
      </c>
      <c r="K49" s="1729">
        <f>+K46-K48</f>
        <v>0</v>
      </c>
    </row>
    <row r="51" spans="1:19">
      <c r="A51" s="1737">
        <v>1580</v>
      </c>
      <c r="B51" s="1738">
        <v>2320</v>
      </c>
      <c r="C51" s="1733" t="s">
        <v>1363</v>
      </c>
      <c r="D51" s="1733" t="s">
        <v>101</v>
      </c>
      <c r="E51" s="1729">
        <f>F51-SUM(H51:H55)</f>
        <v>0</v>
      </c>
      <c r="F51" s="1729">
        <f>SUMIF('wp-p5a-restatement (audit)'!$B:$B,'wp-p5 Recon Summary'!$D51,'wp-p5a-restatement (audit)'!$H:$H)</f>
        <v>720843.45000000007</v>
      </c>
      <c r="H51" s="1729">
        <f t="shared" ref="H51:H54" si="7">SUM(I51:K51)</f>
        <v>28366.57</v>
      </c>
      <c r="I51" s="1729">
        <v>0</v>
      </c>
      <c r="J51" s="1729">
        <v>0</v>
      </c>
      <c r="K51" s="1729">
        <v>28366.57</v>
      </c>
      <c r="M51" s="1729">
        <f>N51-SUM(P51:P55)</f>
        <v>46758.321562499972</v>
      </c>
      <c r="N51" s="1729">
        <f>-SUMIF('wp-p5a-restatement (audit)'!$B$9:$B$126,'wp-p5 Recon Summary'!$D51,'wp-p5a-restatement (audit)'!$N$9:$N$126)</f>
        <v>-266857.56843750004</v>
      </c>
      <c r="P51" s="1729">
        <f t="shared" ref="P51:P54" si="8">SUM(Q51:S51)</f>
        <v>-17202.8</v>
      </c>
      <c r="Q51" s="1729">
        <v>0</v>
      </c>
      <c r="S51" s="1729">
        <v>-17202.8</v>
      </c>
    </row>
    <row r="52" spans="1:19">
      <c r="A52" s="1737">
        <v>1585</v>
      </c>
      <c r="B52" s="1738">
        <v>2325</v>
      </c>
      <c r="C52" s="1733" t="s">
        <v>1364</v>
      </c>
      <c r="H52" s="1729">
        <f t="shared" si="7"/>
        <v>79041.820000000007</v>
      </c>
      <c r="I52" s="1729">
        <v>0</v>
      </c>
      <c r="J52" s="1729">
        <v>0</v>
      </c>
      <c r="K52" s="1729">
        <v>79041.820000000007</v>
      </c>
      <c r="P52" s="1729">
        <f t="shared" si="8"/>
        <v>-68258.820000000007</v>
      </c>
      <c r="Q52" s="1729">
        <v>0</v>
      </c>
      <c r="S52" s="1729">
        <v>-68258.820000000007</v>
      </c>
    </row>
    <row r="53" spans="1:19">
      <c r="A53" s="1737">
        <v>1590</v>
      </c>
      <c r="B53" s="1738">
        <v>2330</v>
      </c>
      <c r="C53" s="1733" t="s">
        <v>1365</v>
      </c>
      <c r="H53" s="1729">
        <f t="shared" si="7"/>
        <v>595427.74</v>
      </c>
      <c r="I53" s="1729">
        <v>0</v>
      </c>
      <c r="J53" s="1729">
        <v>0</v>
      </c>
      <c r="K53" s="1729">
        <v>595427.74</v>
      </c>
      <c r="P53" s="1729">
        <f t="shared" si="8"/>
        <v>-210379.39</v>
      </c>
      <c r="Q53" s="1729">
        <v>0</v>
      </c>
      <c r="S53" s="1729">
        <v>-210379.39</v>
      </c>
    </row>
    <row r="54" spans="1:19">
      <c r="A54" s="1737">
        <v>1595</v>
      </c>
      <c r="B54" s="1738">
        <v>2335</v>
      </c>
      <c r="C54" s="1733" t="s">
        <v>1366</v>
      </c>
      <c r="H54" s="1729">
        <f t="shared" si="7"/>
        <v>18007.32</v>
      </c>
      <c r="I54" s="1729">
        <v>0</v>
      </c>
      <c r="J54" s="1729">
        <v>0</v>
      </c>
      <c r="K54" s="1729">
        <v>18007.32</v>
      </c>
      <c r="P54" s="1729">
        <f t="shared" si="8"/>
        <v>-17774.88</v>
      </c>
      <c r="Q54" s="1729">
        <v>0</v>
      </c>
      <c r="S54" s="1729">
        <v>-17774.88</v>
      </c>
    </row>
    <row r="55" spans="1:19">
      <c r="E55" s="1744"/>
      <c r="F55" s="1744"/>
      <c r="G55" s="1744"/>
      <c r="H55" s="1744"/>
      <c r="I55" s="1744"/>
      <c r="J55" s="1744"/>
      <c r="K55" s="1744"/>
      <c r="M55" s="1744"/>
      <c r="N55" s="1744"/>
      <c r="O55" s="1744"/>
      <c r="P55" s="1744"/>
      <c r="Q55" s="1744"/>
      <c r="R55" s="1744"/>
      <c r="S55" s="1744"/>
    </row>
    <row r="56" spans="1:19">
      <c r="C56" s="1733" t="s">
        <v>2167</v>
      </c>
      <c r="F56" s="1729">
        <f>SUM(F51:F55)</f>
        <v>720843.45000000007</v>
      </c>
      <c r="H56" s="1729">
        <f>SUM(H51:H55)</f>
        <v>720843.45</v>
      </c>
      <c r="I56" s="1729">
        <f>SUM(I51:I55)</f>
        <v>0</v>
      </c>
      <c r="J56" s="1729">
        <f>SUM(J51:J55)</f>
        <v>0</v>
      </c>
      <c r="K56" s="1729">
        <f>SUM(K51:K55)</f>
        <v>720843.45</v>
      </c>
      <c r="M56" s="1729">
        <f t="shared" ref="M56:S56" si="9">SUM(M51:M55)</f>
        <v>46758.321562499972</v>
      </c>
      <c r="N56" s="1729">
        <f t="shared" si="9"/>
        <v>-266857.56843750004</v>
      </c>
      <c r="O56" s="1729">
        <f t="shared" si="9"/>
        <v>0</v>
      </c>
      <c r="P56" s="1729">
        <f t="shared" si="9"/>
        <v>-313615.89</v>
      </c>
      <c r="Q56" s="1729">
        <f t="shared" si="9"/>
        <v>0</v>
      </c>
      <c r="R56" s="1729">
        <f t="shared" si="9"/>
        <v>0</v>
      </c>
      <c r="S56" s="1729">
        <f t="shared" si="9"/>
        <v>-313615.89</v>
      </c>
    </row>
    <row r="57" spans="1:19">
      <c r="C57" s="1733"/>
    </row>
    <row r="58" spans="1:19">
      <c r="C58" s="1733" t="s">
        <v>2168</v>
      </c>
      <c r="F58" s="1729">
        <f>SUM('wp-p5a-restatement (audit)'!H116,'wp-p5a-restatement (audit)'!H108,'wp-p5a-restatement (audit)'!H100,'wp-p5a-restatement (audit)'!H94,'wp-p5a-restatement (audit)'!H91,'wp-p5a-restatement (audit)'!H87,'wp-p5a-restatement (audit)'!H83,'wp-p5a-restatement (audit)'!H79,'wp-p5a-restatement (audit)'!H76)</f>
        <v>720843.45</v>
      </c>
      <c r="H58" s="1729">
        <f>SUM(I58:K58)</f>
        <v>720843.45</v>
      </c>
      <c r="I58" s="1729">
        <v>0</v>
      </c>
      <c r="J58" s="1729">
        <v>0</v>
      </c>
      <c r="K58" s="1729">
        <v>720843.45</v>
      </c>
      <c r="M58" s="1729">
        <f>+N58-P58</f>
        <v>46758.321562499972</v>
      </c>
      <c r="N58" s="1729">
        <f>-SUM('wp-p5a-restatement (audit)'!N116,'wp-p5a-restatement (audit)'!N108,'wp-p5a-restatement (audit)'!N100,'wp-p5a-restatement (audit)'!N94,'wp-p5a-restatement (audit)'!N91,'wp-p5a-restatement (audit)'!N87,'wp-p5a-restatement (audit)'!N83,'wp-p5a-restatement (audit)'!N79,'wp-p5a-restatement (audit)'!N76)</f>
        <v>-266857.56843750004</v>
      </c>
      <c r="P58" s="1729">
        <f>SUM(Q58:S58)</f>
        <v>-313615.89</v>
      </c>
      <c r="S58" s="1729">
        <v>-313615.89</v>
      </c>
    </row>
    <row r="59" spans="1:19">
      <c r="F59" s="1729">
        <f>+F56-F58</f>
        <v>0</v>
      </c>
      <c r="H59" s="1729">
        <f>+H56-H58</f>
        <v>0</v>
      </c>
      <c r="I59" s="1729">
        <f>+I56-I58</f>
        <v>0</v>
      </c>
      <c r="J59" s="1729">
        <f>+J56-J58</f>
        <v>0</v>
      </c>
      <c r="K59" s="1729">
        <f>+K56-K58</f>
        <v>0</v>
      </c>
    </row>
    <row r="61" spans="1:19" ht="13.5" thickBot="1">
      <c r="C61" s="1733" t="s">
        <v>589</v>
      </c>
      <c r="E61" s="1749"/>
      <c r="F61" s="1749">
        <f>+F39+F46+F56</f>
        <v>10059631.659999998</v>
      </c>
      <c r="G61" s="1749"/>
      <c r="H61" s="1749">
        <f t="shared" ref="H61:S61" si="10">+H39+H46+H56</f>
        <v>10023348.970000001</v>
      </c>
      <c r="I61" s="1749">
        <f t="shared" si="10"/>
        <v>8722934.629999999</v>
      </c>
      <c r="J61" s="1749">
        <f t="shared" si="10"/>
        <v>0</v>
      </c>
      <c r="K61" s="1749">
        <f t="shared" si="10"/>
        <v>1300414.3399999999</v>
      </c>
      <c r="M61" s="1749">
        <f t="shared" si="10"/>
        <v>525209.63966249954</v>
      </c>
      <c r="N61" s="1749">
        <f t="shared" si="10"/>
        <v>-3841528.1103375005</v>
      </c>
      <c r="O61" s="1749">
        <f t="shared" si="10"/>
        <v>0</v>
      </c>
      <c r="P61" s="1749">
        <f t="shared" si="10"/>
        <v>-4366737.75</v>
      </c>
      <c r="Q61" s="1749">
        <f t="shared" si="10"/>
        <v>-3565577.2299999995</v>
      </c>
      <c r="R61" s="1749">
        <f t="shared" si="10"/>
        <v>0</v>
      </c>
      <c r="S61" s="1749">
        <f t="shared" si="10"/>
        <v>-801160.52</v>
      </c>
    </row>
    <row r="62" spans="1:19" ht="13.5" thickTop="1">
      <c r="C62" s="1733"/>
    </row>
    <row r="63" spans="1:19">
      <c r="C63" s="1733" t="s">
        <v>2169</v>
      </c>
      <c r="F63" s="1729">
        <f>+'wp-p5a-restatement (audit)'!H122</f>
        <v>10059631.660000002</v>
      </c>
      <c r="H63" s="1729">
        <f>SUM(I63:K63)</f>
        <v>10021244.489999998</v>
      </c>
      <c r="I63" s="1729">
        <v>8720830.1499999985</v>
      </c>
      <c r="J63" s="1729">
        <v>0</v>
      </c>
      <c r="K63" s="1729">
        <v>1300414.3399999999</v>
      </c>
      <c r="M63" s="1729">
        <f>+N63-P63</f>
        <v>525156.97966249892</v>
      </c>
      <c r="N63" s="1729">
        <f>-'wp-p5a-restatement (audit)'!N122</f>
        <v>-3841528.1103375009</v>
      </c>
      <c r="P63" s="1729">
        <f>SUM(Q63:S63)</f>
        <v>-4366685.09</v>
      </c>
      <c r="Q63" s="1729">
        <v>-3565524.57</v>
      </c>
      <c r="S63" s="1729">
        <v>-801160.52</v>
      </c>
    </row>
    <row r="64" spans="1:19">
      <c r="F64" s="1729">
        <f>+F61-F63</f>
        <v>0</v>
      </c>
      <c r="H64" s="1729">
        <f t="shared" ref="H64:K64" si="11">+H61-H63</f>
        <v>2104.4800000023097</v>
      </c>
      <c r="I64" s="1729">
        <f t="shared" si="11"/>
        <v>2104.480000000447</v>
      </c>
      <c r="J64" s="1729">
        <f t="shared" si="11"/>
        <v>0</v>
      </c>
      <c r="K64" s="1729">
        <f t="shared" si="11"/>
        <v>0</v>
      </c>
    </row>
    <row r="66" spans="1:19">
      <c r="A66" s="1798" t="s">
        <v>891</v>
      </c>
      <c r="B66" s="1799"/>
      <c r="C66" s="1800"/>
    </row>
    <row r="68" spans="1:19">
      <c r="A68" s="1737">
        <v>3430</v>
      </c>
      <c r="B68" s="1738">
        <v>3975</v>
      </c>
      <c r="C68" s="1739" t="s">
        <v>1453</v>
      </c>
      <c r="D68" s="1733" t="s">
        <v>369</v>
      </c>
      <c r="E68" s="1729">
        <f>F68-SUM(H68:H69)</f>
        <v>-29790.759999999995</v>
      </c>
      <c r="F68" s="1729">
        <f>-SUMIF('wp-p5a-restatement (audit)'!B146:B185,'wp-p5 Recon Summary'!D68,'wp-p5a-restatement (audit)'!H146:H185)</f>
        <v>-110834.98</v>
      </c>
      <c r="H68" s="1729">
        <f t="shared" ref="H68:H69" si="12">SUM(I68:K68)</f>
        <v>-74377.97</v>
      </c>
      <c r="I68" s="1729">
        <v>-74377.97</v>
      </c>
      <c r="J68" s="1729">
        <v>0</v>
      </c>
      <c r="K68" s="1729">
        <v>0</v>
      </c>
      <c r="M68" s="1729">
        <f>N68-SUM(P68:P69)</f>
        <v>22685.932900000007</v>
      </c>
      <c r="N68" s="1729">
        <f>SUMIF('wp-p5a-restatement (audit)'!B146:B185,'wp-p5 Recon Summary'!D68,'wp-p5a-restatement (audit)'!N146:N185)</f>
        <v>35028.102900000005</v>
      </c>
      <c r="P68" s="1729">
        <f t="shared" ref="P68:P69" si="13">SUM(Q68:S68)</f>
        <v>12279.59</v>
      </c>
      <c r="Q68" s="1729">
        <v>12279.59</v>
      </c>
      <c r="S68" s="1729">
        <v>0</v>
      </c>
    </row>
    <row r="69" spans="1:19">
      <c r="A69" s="1737">
        <v>3435</v>
      </c>
      <c r="B69" s="1738">
        <v>3980</v>
      </c>
      <c r="C69" s="1739" t="s">
        <v>1454</v>
      </c>
      <c r="H69" s="1729">
        <f t="shared" si="12"/>
        <v>-6666.25</v>
      </c>
      <c r="I69" s="1729">
        <v>-6666.25</v>
      </c>
      <c r="J69" s="1729">
        <v>0</v>
      </c>
      <c r="K69" s="1729">
        <v>0</v>
      </c>
      <c r="P69" s="1729">
        <f t="shared" si="13"/>
        <v>62.58</v>
      </c>
      <c r="Q69" s="1729">
        <v>62.58</v>
      </c>
      <c r="S69" s="1729">
        <v>0</v>
      </c>
    </row>
    <row r="70" spans="1:19">
      <c r="E70" s="1744"/>
      <c r="F70" s="1744"/>
      <c r="G70" s="1744"/>
      <c r="H70" s="1744"/>
      <c r="I70" s="1744"/>
      <c r="J70" s="1744"/>
      <c r="K70" s="1744"/>
      <c r="L70" s="1750"/>
      <c r="M70" s="1744"/>
      <c r="N70" s="1744"/>
      <c r="O70" s="1744"/>
      <c r="P70" s="1744"/>
      <c r="Q70" s="1744"/>
      <c r="R70" s="1744"/>
      <c r="S70" s="1744"/>
    </row>
    <row r="71" spans="1:19">
      <c r="E71" s="1729">
        <f>SUM(E68:E70)</f>
        <v>-29790.759999999995</v>
      </c>
      <c r="F71" s="1729">
        <f>SUM(F68:F70)</f>
        <v>-110834.98</v>
      </c>
      <c r="H71" s="1729">
        <f>SUM(H68:H70)</f>
        <v>-81044.22</v>
      </c>
      <c r="I71" s="1729">
        <f>SUM(I68:I70)</f>
        <v>-81044.22</v>
      </c>
      <c r="J71" s="1729">
        <f>SUM(J68:J70)</f>
        <v>0</v>
      </c>
      <c r="K71" s="1729">
        <f>SUM(K68:K70)</f>
        <v>0</v>
      </c>
      <c r="M71" s="1729">
        <f>SUM(M68:M70)</f>
        <v>22685.932900000007</v>
      </c>
      <c r="N71" s="1729">
        <f>SUM(N68:N70)</f>
        <v>35028.102900000005</v>
      </c>
      <c r="P71" s="1729">
        <f t="shared" ref="P71:S71" si="14">SUM(P68:P70)</f>
        <v>12342.17</v>
      </c>
      <c r="Q71" s="1729">
        <f t="shared" si="14"/>
        <v>12342.17</v>
      </c>
      <c r="R71" s="1729">
        <f t="shared" si="14"/>
        <v>0</v>
      </c>
      <c r="S71" s="1729">
        <f t="shared" si="14"/>
        <v>0</v>
      </c>
    </row>
    <row r="73" spans="1:19">
      <c r="A73" s="1798" t="s">
        <v>1134</v>
      </c>
      <c r="B73" s="1799"/>
      <c r="C73" s="1800"/>
    </row>
    <row r="75" spans="1:19">
      <c r="A75" s="1737">
        <v>3225</v>
      </c>
      <c r="B75" s="1737"/>
      <c r="C75" s="1737" t="s">
        <v>1452</v>
      </c>
      <c r="D75" s="1733" t="s">
        <v>369</v>
      </c>
      <c r="E75" s="1751">
        <f>+F75-H75</f>
        <v>0</v>
      </c>
      <c r="F75" s="1744">
        <f>-'wp-p5a-restatement (audit)'!H140</f>
        <v>-113080.52999999998</v>
      </c>
      <c r="G75" s="1744"/>
      <c r="H75" s="1744">
        <f t="shared" ref="H75" si="15">SUM(I75:K75)</f>
        <v>-113080.53</v>
      </c>
      <c r="I75" s="1744">
        <v>-113080.53</v>
      </c>
      <c r="J75" s="1744">
        <v>0</v>
      </c>
      <c r="K75" s="1744">
        <v>0</v>
      </c>
      <c r="M75" s="1744">
        <f>+N75-P75</f>
        <v>32354.543550000002</v>
      </c>
      <c r="N75" s="1744">
        <f>+'wp-p5a-restatement (audit)'!N142</f>
        <v>32354.543550000002</v>
      </c>
      <c r="O75" s="1744"/>
      <c r="P75" s="1744">
        <f t="shared" ref="P75" si="16">SUM(Q75:S75)</f>
        <v>0</v>
      </c>
      <c r="Q75" s="1744">
        <v>0</v>
      </c>
      <c r="R75" s="1744"/>
      <c r="S75" s="1744">
        <v>0</v>
      </c>
    </row>
    <row r="78" spans="1:19" ht="13.5" thickBot="1"/>
    <row r="79" spans="1:19" ht="13.5" thickBot="1">
      <c r="C79" s="1729" t="s">
        <v>391</v>
      </c>
      <c r="E79" s="1747">
        <f>E39+E71+E75</f>
        <v>6491.929999998174</v>
      </c>
      <c r="M79" s="1747">
        <f>M39+M71+M75</f>
        <v>577774.09954999946</v>
      </c>
    </row>
  </sheetData>
  <mergeCells count="3">
    <mergeCell ref="A7:C7"/>
    <mergeCell ref="A66:C66"/>
    <mergeCell ref="A73:C73"/>
  </mergeCells>
  <pageMargins left="0.7" right="0.7" top="0.75" bottom="0.75" header="0.3" footer="0.3"/>
  <pageSetup scale="55" orientation="landscape" r:id="rId1"/>
  <rowBreaks count="1" manualBreakCount="1">
    <brk id="43" max="18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186"/>
  <sheetViews>
    <sheetView view="pageBreakPreview" zoomScale="75" zoomScaleNormal="100" zoomScaleSheetLayoutView="75" workbookViewId="0">
      <pane xSplit="3" ySplit="6" topLeftCell="D8" activePane="bottomRight" state="frozen"/>
      <selection activeCell="I25" sqref="I25"/>
      <selection pane="topRight" activeCell="I25" sqref="I25"/>
      <selection pane="bottomLeft" activeCell="I25" sqref="I25"/>
      <selection pane="bottomRight" activeCell="V48" sqref="V47:V48"/>
    </sheetView>
  </sheetViews>
  <sheetFormatPr defaultColWidth="8.875" defaultRowHeight="15"/>
  <cols>
    <col min="1" max="1" width="4.125" style="780" customWidth="1"/>
    <col min="2" max="2" width="13.375" style="780" customWidth="1"/>
    <col min="3" max="3" width="13.5" style="780" customWidth="1"/>
    <col min="4" max="4" width="12.125" style="781" customWidth="1"/>
    <col min="5" max="5" width="1.625" style="780" customWidth="1"/>
    <col min="6" max="6" width="10.125" style="781" bestFit="1" customWidth="1"/>
    <col min="7" max="7" width="1.625" style="780" customWidth="1"/>
    <col min="8" max="8" width="23.125" style="720" bestFit="1" customWidth="1"/>
    <col min="9" max="9" width="2.625" style="720" customWidth="1"/>
    <col min="10" max="10" width="11.375" style="780" bestFit="1" customWidth="1"/>
    <col min="11" max="11" width="1.625" style="780" customWidth="1"/>
    <col min="12" max="12" width="10.5" style="780" bestFit="1" customWidth="1"/>
    <col min="13" max="13" width="1.625" style="780" customWidth="1"/>
    <col min="14" max="14" width="13.125" style="780" bestFit="1" customWidth="1"/>
    <col min="15" max="15" width="1.625" style="782" customWidth="1"/>
    <col min="16" max="16" width="13.125" style="780" bestFit="1" customWidth="1"/>
    <col min="17" max="17" width="1.625" style="780" customWidth="1"/>
    <col min="18" max="18" width="12.75" style="780" bestFit="1" customWidth="1"/>
    <col min="19" max="19" width="1.625" style="780" customWidth="1"/>
    <col min="20" max="20" width="13.125" style="780" bestFit="1" customWidth="1"/>
    <col min="21" max="21" width="12.125" style="780" customWidth="1"/>
    <col min="22" max="22" width="13.625" style="780" bestFit="1" customWidth="1"/>
    <col min="23" max="23" width="1.625" style="780" customWidth="1"/>
    <col min="24" max="24" width="13" style="780" bestFit="1" customWidth="1"/>
    <col min="25" max="25" width="1.625" style="780" customWidth="1"/>
    <col min="26" max="26" width="8.875" style="780" customWidth="1"/>
    <col min="27" max="27" width="1.625" style="780" customWidth="1"/>
    <col min="28" max="28" width="11.5" style="780" bestFit="1" customWidth="1"/>
    <col min="29" max="29" width="1.625" style="780" customWidth="1"/>
    <col min="30" max="16384" width="8.875" style="780"/>
  </cols>
  <sheetData>
    <row r="1" spans="1:22">
      <c r="A1" s="779" t="s">
        <v>350</v>
      </c>
      <c r="R1" s="783" t="s">
        <v>2181</v>
      </c>
    </row>
    <row r="2" spans="1:22">
      <c r="A2" s="779" t="str">
        <f>'Sch.A-B.S'!F2</f>
        <v>Case No. 2013 - 00237</v>
      </c>
      <c r="R2" s="783"/>
    </row>
    <row r="3" spans="1:22">
      <c r="A3" s="779" t="s">
        <v>2189</v>
      </c>
    </row>
    <row r="4" spans="1:22">
      <c r="A4" s="779" t="s">
        <v>2190</v>
      </c>
    </row>
    <row r="5" spans="1:22">
      <c r="H5" s="784"/>
      <c r="I5" s="784"/>
      <c r="L5" s="785"/>
      <c r="M5" s="785"/>
      <c r="N5" s="786"/>
      <c r="O5" s="787"/>
    </row>
    <row r="6" spans="1:22" s="788" customFormat="1" ht="34.5" customHeight="1">
      <c r="D6" s="789" t="s">
        <v>777</v>
      </c>
      <c r="F6" s="789" t="s">
        <v>778</v>
      </c>
      <c r="H6" s="790" t="s">
        <v>1776</v>
      </c>
      <c r="I6" s="791"/>
      <c r="J6" s="789" t="s">
        <v>779</v>
      </c>
      <c r="L6" s="789" t="s">
        <v>363</v>
      </c>
      <c r="N6" s="789" t="s">
        <v>364</v>
      </c>
      <c r="O6" s="792"/>
      <c r="P6" s="789" t="s">
        <v>880</v>
      </c>
      <c r="R6" s="789" t="s">
        <v>365</v>
      </c>
      <c r="T6" s="370"/>
    </row>
    <row r="7" spans="1:22" s="794" customFormat="1">
      <c r="A7" s="793"/>
      <c r="C7" s="793"/>
      <c r="D7" s="781"/>
      <c r="E7" s="793"/>
      <c r="H7" s="795"/>
      <c r="I7" s="795"/>
      <c r="O7" s="796"/>
      <c r="T7" s="797" t="s">
        <v>366</v>
      </c>
      <c r="U7" s="798" t="s">
        <v>569</v>
      </c>
      <c r="V7" s="798" t="s">
        <v>367</v>
      </c>
    </row>
    <row r="8" spans="1:22" s="794" customFormat="1">
      <c r="A8" s="793" t="s">
        <v>373</v>
      </c>
      <c r="C8" s="793"/>
      <c r="D8" s="781"/>
      <c r="E8" s="793"/>
      <c r="H8" s="795"/>
      <c r="I8" s="795"/>
      <c r="O8" s="796"/>
      <c r="T8" s="797"/>
      <c r="U8" s="798"/>
      <c r="V8" s="798"/>
    </row>
    <row r="9" spans="1:22">
      <c r="B9" s="780" t="s">
        <v>640</v>
      </c>
      <c r="D9" s="370">
        <v>1981</v>
      </c>
      <c r="F9" s="799">
        <v>29587</v>
      </c>
      <c r="G9" s="800"/>
      <c r="H9" s="335">
        <v>3257.48</v>
      </c>
      <c r="J9" s="801">
        <f>VLOOKUP(D9,$T$17:$V$48,2,FALSE)</f>
        <v>29.75</v>
      </c>
      <c r="K9" s="801"/>
      <c r="L9" s="785">
        <f t="shared" ref="L9:L72" si="0">VLOOKUP(B9,$T$9:$U$13,2,FALSE)</f>
        <v>0</v>
      </c>
      <c r="M9" s="785"/>
      <c r="N9" s="803">
        <f t="shared" ref="N9:N72" si="1">IF(L9*J9*H9&gt;H9,H9,L9*J9*H9)</f>
        <v>0</v>
      </c>
      <c r="O9" s="803"/>
      <c r="P9" s="803">
        <f t="shared" ref="P9:P72" si="2">H9-N9</f>
        <v>3257.48</v>
      </c>
      <c r="Q9" s="802"/>
      <c r="R9" s="804" t="str">
        <f t="shared" ref="R9:R72" si="3">IF(N9=H9,"Yes","No")</f>
        <v>No</v>
      </c>
      <c r="S9" s="804"/>
      <c r="T9" s="780" t="s">
        <v>369</v>
      </c>
      <c r="U9" s="50">
        <v>0.02</v>
      </c>
      <c r="V9" s="781">
        <v>50</v>
      </c>
    </row>
    <row r="10" spans="1:22">
      <c r="B10" s="780" t="s">
        <v>640</v>
      </c>
      <c r="D10" s="370">
        <v>1981</v>
      </c>
      <c r="F10" s="799">
        <v>29587</v>
      </c>
      <c r="G10" s="800"/>
      <c r="H10" s="335">
        <v>596</v>
      </c>
      <c r="I10" s="335"/>
      <c r="J10" s="801">
        <f t="shared" ref="J10:J73" si="4">VLOOKUP(D10,$T$17:$V$48,2,FALSE)</f>
        <v>29.75</v>
      </c>
      <c r="K10" s="801"/>
      <c r="L10" s="785">
        <f t="shared" si="0"/>
        <v>0</v>
      </c>
      <c r="M10" s="785"/>
      <c r="N10" s="803">
        <f t="shared" si="1"/>
        <v>0</v>
      </c>
      <c r="O10" s="803"/>
      <c r="P10" s="803">
        <f t="shared" si="2"/>
        <v>596</v>
      </c>
      <c r="Q10" s="802"/>
      <c r="R10" s="804" t="str">
        <f t="shared" si="3"/>
        <v>No</v>
      </c>
      <c r="S10" s="804"/>
      <c r="T10" s="780" t="s">
        <v>370</v>
      </c>
      <c r="U10" s="50">
        <f>ROUND(1/V10,3)</f>
        <v>0.25</v>
      </c>
      <c r="V10" s="781">
        <v>4</v>
      </c>
    </row>
    <row r="11" spans="1:22">
      <c r="B11" s="780" t="s">
        <v>640</v>
      </c>
      <c r="D11" s="370">
        <v>1981</v>
      </c>
      <c r="F11" s="799">
        <v>29587</v>
      </c>
      <c r="G11" s="800"/>
      <c r="H11" s="335">
        <v>1234.5</v>
      </c>
      <c r="J11" s="801">
        <f t="shared" si="4"/>
        <v>29.75</v>
      </c>
      <c r="K11" s="801"/>
      <c r="L11" s="785">
        <f t="shared" si="0"/>
        <v>0</v>
      </c>
      <c r="M11" s="785"/>
      <c r="N11" s="803">
        <f t="shared" si="1"/>
        <v>0</v>
      </c>
      <c r="O11" s="803"/>
      <c r="P11" s="803">
        <f t="shared" si="2"/>
        <v>1234.5</v>
      </c>
      <c r="Q11" s="802"/>
      <c r="R11" s="804" t="str">
        <f t="shared" si="3"/>
        <v>No</v>
      </c>
      <c r="S11" s="804"/>
      <c r="T11" s="780" t="s">
        <v>101</v>
      </c>
      <c r="U11" s="50">
        <v>0.125</v>
      </c>
      <c r="V11" s="781">
        <v>4</v>
      </c>
    </row>
    <row r="12" spans="1:22">
      <c r="B12" s="780" t="s">
        <v>369</v>
      </c>
      <c r="D12" s="370">
        <v>1985</v>
      </c>
      <c r="F12" s="799">
        <v>31372</v>
      </c>
      <c r="G12" s="800"/>
      <c r="H12" s="335">
        <v>13478.2</v>
      </c>
      <c r="J12" s="801">
        <f t="shared" si="4"/>
        <v>25.75</v>
      </c>
      <c r="K12" s="801"/>
      <c r="L12" s="785">
        <f t="shared" si="0"/>
        <v>0.02</v>
      </c>
      <c r="M12" s="785"/>
      <c r="N12" s="803">
        <f>IF(L12*J12*H12&gt;H12,H12,L12*J12*H12)</f>
        <v>6941.2730000000001</v>
      </c>
      <c r="O12" s="803"/>
      <c r="P12" s="803">
        <f t="shared" si="2"/>
        <v>6536.9270000000006</v>
      </c>
      <c r="Q12" s="802"/>
      <c r="R12" s="804" t="str">
        <f t="shared" si="3"/>
        <v>No</v>
      </c>
      <c r="S12" s="804"/>
      <c r="T12" s="780" t="s">
        <v>640</v>
      </c>
      <c r="U12" s="50">
        <v>0</v>
      </c>
      <c r="V12" s="781">
        <v>0</v>
      </c>
    </row>
    <row r="13" spans="1:22">
      <c r="B13" s="780" t="s">
        <v>369</v>
      </c>
      <c r="D13" s="370">
        <v>1985</v>
      </c>
      <c r="F13" s="799">
        <v>31372</v>
      </c>
      <c r="G13" s="800"/>
      <c r="H13" s="335">
        <v>185476.3</v>
      </c>
      <c r="J13" s="801">
        <f t="shared" si="4"/>
        <v>25.75</v>
      </c>
      <c r="K13" s="801"/>
      <c r="L13" s="785">
        <f t="shared" si="0"/>
        <v>0.02</v>
      </c>
      <c r="M13" s="785"/>
      <c r="N13" s="803">
        <f t="shared" si="1"/>
        <v>95520.294500000004</v>
      </c>
      <c r="O13" s="803"/>
      <c r="P13" s="803">
        <f t="shared" si="2"/>
        <v>89956.005499999985</v>
      </c>
      <c r="Q13" s="802"/>
      <c r="R13" s="804" t="str">
        <f t="shared" si="3"/>
        <v>No</v>
      </c>
      <c r="S13" s="804"/>
      <c r="T13" s="780" t="s">
        <v>592</v>
      </c>
      <c r="U13" s="50">
        <v>0</v>
      </c>
      <c r="V13" s="781">
        <v>0</v>
      </c>
    </row>
    <row r="14" spans="1:22">
      <c r="B14" s="780" t="s">
        <v>369</v>
      </c>
      <c r="D14" s="370">
        <v>1985</v>
      </c>
      <c r="F14" s="799">
        <v>31372</v>
      </c>
      <c r="G14" s="800"/>
      <c r="H14" s="335">
        <v>2641.38</v>
      </c>
      <c r="J14" s="801">
        <f t="shared" si="4"/>
        <v>25.75</v>
      </c>
      <c r="K14" s="801"/>
      <c r="L14" s="785">
        <f t="shared" si="0"/>
        <v>0.02</v>
      </c>
      <c r="M14" s="785"/>
      <c r="N14" s="803">
        <f t="shared" si="1"/>
        <v>1360.3107</v>
      </c>
      <c r="O14" s="803"/>
      <c r="P14" s="803">
        <f t="shared" si="2"/>
        <v>1281.0693000000001</v>
      </c>
      <c r="Q14" s="802"/>
      <c r="R14" s="804" t="str">
        <f t="shared" si="3"/>
        <v>No</v>
      </c>
      <c r="S14" s="804"/>
      <c r="T14" s="780" t="s">
        <v>371</v>
      </c>
      <c r="U14" s="805"/>
    </row>
    <row r="15" spans="1:22">
      <c r="B15" s="780" t="s">
        <v>369</v>
      </c>
      <c r="D15" s="370">
        <v>1985</v>
      </c>
      <c r="F15" s="799">
        <v>31372</v>
      </c>
      <c r="G15" s="800"/>
      <c r="H15" s="335">
        <v>6336.72</v>
      </c>
      <c r="J15" s="801">
        <f t="shared" si="4"/>
        <v>25.75</v>
      </c>
      <c r="K15" s="801"/>
      <c r="L15" s="785">
        <f t="shared" si="0"/>
        <v>0.02</v>
      </c>
      <c r="M15" s="785"/>
      <c r="N15" s="803">
        <f t="shared" si="1"/>
        <v>3263.4108000000001</v>
      </c>
      <c r="O15" s="803"/>
      <c r="P15" s="803">
        <f t="shared" si="2"/>
        <v>3073.3092000000001</v>
      </c>
      <c r="Q15" s="802"/>
      <c r="R15" s="804" t="str">
        <f t="shared" si="3"/>
        <v>No</v>
      </c>
      <c r="S15" s="804"/>
    </row>
    <row r="16" spans="1:22">
      <c r="B16" s="780" t="s">
        <v>369</v>
      </c>
      <c r="D16" s="370">
        <v>1985</v>
      </c>
      <c r="F16" s="799">
        <v>31372</v>
      </c>
      <c r="G16" s="800"/>
      <c r="H16" s="335">
        <v>30123.53</v>
      </c>
      <c r="J16" s="801">
        <f t="shared" si="4"/>
        <v>25.75</v>
      </c>
      <c r="K16" s="801"/>
      <c r="L16" s="785">
        <f t="shared" si="0"/>
        <v>0.02</v>
      </c>
      <c r="M16" s="785"/>
      <c r="N16" s="803">
        <f t="shared" si="1"/>
        <v>15513.61795</v>
      </c>
      <c r="O16" s="803"/>
      <c r="P16" s="803">
        <f t="shared" si="2"/>
        <v>14609.912049999999</v>
      </c>
      <c r="Q16" s="802"/>
      <c r="R16" s="804" t="str">
        <f t="shared" si="3"/>
        <v>No</v>
      </c>
      <c r="S16" s="804"/>
      <c r="U16" s="806">
        <v>40451</v>
      </c>
      <c r="V16" s="800"/>
    </row>
    <row r="17" spans="2:21">
      <c r="B17" s="780" t="s">
        <v>369</v>
      </c>
      <c r="D17" s="370">
        <v>1985</v>
      </c>
      <c r="F17" s="799">
        <v>31372</v>
      </c>
      <c r="G17" s="800"/>
      <c r="H17" s="335">
        <v>194242.01</v>
      </c>
      <c r="J17" s="801">
        <f t="shared" si="4"/>
        <v>25.75</v>
      </c>
      <c r="K17" s="801"/>
      <c r="L17" s="785">
        <f t="shared" si="0"/>
        <v>0.02</v>
      </c>
      <c r="M17" s="785"/>
      <c r="N17" s="803">
        <f t="shared" si="1"/>
        <v>100034.63515</v>
      </c>
      <c r="O17" s="803"/>
      <c r="P17" s="803">
        <f t="shared" si="2"/>
        <v>94207.374850000007</v>
      </c>
      <c r="Q17" s="802"/>
      <c r="R17" s="804" t="str">
        <f t="shared" si="3"/>
        <v>No</v>
      </c>
      <c r="S17" s="804"/>
      <c r="T17" s="370">
        <v>1974</v>
      </c>
      <c r="U17" s="780">
        <f>2010.75-T17</f>
        <v>36.75</v>
      </c>
    </row>
    <row r="18" spans="2:21">
      <c r="B18" s="780" t="s">
        <v>369</v>
      </c>
      <c r="D18" s="370">
        <v>1985</v>
      </c>
      <c r="F18" s="799">
        <v>31372</v>
      </c>
      <c r="H18" s="335">
        <v>25622.799999999999</v>
      </c>
      <c r="J18" s="801">
        <f t="shared" si="4"/>
        <v>25.75</v>
      </c>
      <c r="K18" s="801"/>
      <c r="L18" s="785">
        <f t="shared" si="0"/>
        <v>0.02</v>
      </c>
      <c r="M18" s="785"/>
      <c r="N18" s="803">
        <f t="shared" si="1"/>
        <v>13195.742</v>
      </c>
      <c r="O18" s="803"/>
      <c r="P18" s="803">
        <f t="shared" si="2"/>
        <v>12427.057999999999</v>
      </c>
      <c r="Q18" s="802"/>
      <c r="R18" s="804" t="str">
        <f t="shared" si="3"/>
        <v>No</v>
      </c>
      <c r="S18" s="804"/>
      <c r="T18" s="370">
        <v>1975</v>
      </c>
      <c r="U18" s="780">
        <f t="shared" ref="U18:U52" si="5">2010.75-T18</f>
        <v>35.75</v>
      </c>
    </row>
    <row r="19" spans="2:21">
      <c r="B19" s="780" t="s">
        <v>369</v>
      </c>
      <c r="D19" s="370">
        <v>1985</v>
      </c>
      <c r="F19" s="799">
        <v>31372</v>
      </c>
      <c r="H19" s="335">
        <v>334189.62</v>
      </c>
      <c r="J19" s="801">
        <f t="shared" si="4"/>
        <v>25.75</v>
      </c>
      <c r="K19" s="801"/>
      <c r="L19" s="785">
        <f t="shared" si="0"/>
        <v>0.02</v>
      </c>
      <c r="M19" s="785"/>
      <c r="N19" s="803">
        <f t="shared" si="1"/>
        <v>172107.65429999999</v>
      </c>
      <c r="O19" s="803"/>
      <c r="P19" s="803">
        <f t="shared" si="2"/>
        <v>162081.9657</v>
      </c>
      <c r="Q19" s="802"/>
      <c r="R19" s="804" t="str">
        <f t="shared" si="3"/>
        <v>No</v>
      </c>
      <c r="S19" s="804"/>
      <c r="T19" s="370">
        <v>1976</v>
      </c>
      <c r="U19" s="780">
        <f t="shared" si="5"/>
        <v>34.75</v>
      </c>
    </row>
    <row r="20" spans="2:21">
      <c r="B20" s="780" t="s">
        <v>369</v>
      </c>
      <c r="D20" s="370">
        <v>1985</v>
      </c>
      <c r="F20" s="799">
        <v>31372</v>
      </c>
      <c r="H20" s="335">
        <v>13680.34</v>
      </c>
      <c r="J20" s="801">
        <f t="shared" si="4"/>
        <v>25.75</v>
      </c>
      <c r="K20" s="801"/>
      <c r="L20" s="785">
        <f t="shared" si="0"/>
        <v>0.02</v>
      </c>
      <c r="M20" s="785"/>
      <c r="N20" s="803">
        <f t="shared" si="1"/>
        <v>7045.3751000000002</v>
      </c>
      <c r="O20" s="803"/>
      <c r="P20" s="803">
        <f t="shared" si="2"/>
        <v>6634.9648999999999</v>
      </c>
      <c r="Q20" s="802"/>
      <c r="R20" s="804" t="str">
        <f t="shared" si="3"/>
        <v>No</v>
      </c>
      <c r="S20" s="804"/>
      <c r="T20" s="370">
        <v>1977</v>
      </c>
      <c r="U20" s="780">
        <f t="shared" si="5"/>
        <v>33.75</v>
      </c>
    </row>
    <row r="21" spans="2:21">
      <c r="B21" s="780" t="s">
        <v>369</v>
      </c>
      <c r="D21" s="370">
        <v>1985</v>
      </c>
      <c r="F21" s="799">
        <v>31372</v>
      </c>
      <c r="H21" s="335">
        <v>10164.719999999999</v>
      </c>
      <c r="J21" s="801">
        <f t="shared" si="4"/>
        <v>25.75</v>
      </c>
      <c r="K21" s="801"/>
      <c r="L21" s="785">
        <f t="shared" si="0"/>
        <v>0.02</v>
      </c>
      <c r="M21" s="785"/>
      <c r="N21" s="803">
        <f t="shared" si="1"/>
        <v>5234.8307999999997</v>
      </c>
      <c r="O21" s="803"/>
      <c r="P21" s="803">
        <f t="shared" si="2"/>
        <v>4929.8891999999996</v>
      </c>
      <c r="Q21" s="802"/>
      <c r="R21" s="804" t="str">
        <f t="shared" si="3"/>
        <v>No</v>
      </c>
      <c r="S21" s="804"/>
      <c r="T21" s="370">
        <v>1978</v>
      </c>
      <c r="U21" s="780">
        <f t="shared" si="5"/>
        <v>32.75</v>
      </c>
    </row>
    <row r="22" spans="2:21">
      <c r="B22" s="780" t="s">
        <v>369</v>
      </c>
      <c r="D22" s="370">
        <v>1985</v>
      </c>
      <c r="F22" s="799">
        <v>31372</v>
      </c>
      <c r="H22" s="335">
        <v>312686.93</v>
      </c>
      <c r="J22" s="801">
        <f t="shared" si="4"/>
        <v>25.75</v>
      </c>
      <c r="K22" s="801"/>
      <c r="L22" s="785">
        <f t="shared" si="0"/>
        <v>0.02</v>
      </c>
      <c r="M22" s="785"/>
      <c r="N22" s="803">
        <f t="shared" si="1"/>
        <v>161033.76895</v>
      </c>
      <c r="O22" s="803"/>
      <c r="P22" s="803">
        <f t="shared" si="2"/>
        <v>151653.16105</v>
      </c>
      <c r="Q22" s="802"/>
      <c r="R22" s="804" t="str">
        <f t="shared" si="3"/>
        <v>No</v>
      </c>
      <c r="S22" s="804"/>
      <c r="T22" s="370">
        <v>1979</v>
      </c>
      <c r="U22" s="780">
        <f t="shared" si="5"/>
        <v>31.75</v>
      </c>
    </row>
    <row r="23" spans="2:21">
      <c r="B23" s="780" t="s">
        <v>369</v>
      </c>
      <c r="D23" s="370">
        <v>1985</v>
      </c>
      <c r="F23" s="799">
        <v>31372</v>
      </c>
      <c r="H23" s="335">
        <v>125585.14</v>
      </c>
      <c r="J23" s="801">
        <f t="shared" si="4"/>
        <v>25.75</v>
      </c>
      <c r="K23" s="801"/>
      <c r="L23" s="785">
        <f t="shared" si="0"/>
        <v>0.02</v>
      </c>
      <c r="M23" s="785"/>
      <c r="N23" s="803">
        <f t="shared" si="1"/>
        <v>64676.347099999999</v>
      </c>
      <c r="O23" s="803"/>
      <c r="P23" s="803">
        <f t="shared" si="2"/>
        <v>60908.7929</v>
      </c>
      <c r="Q23" s="802"/>
      <c r="R23" s="804" t="str">
        <f t="shared" si="3"/>
        <v>No</v>
      </c>
      <c r="S23" s="804"/>
      <c r="T23" s="370">
        <v>1980</v>
      </c>
      <c r="U23" s="780">
        <f t="shared" si="5"/>
        <v>30.75</v>
      </c>
    </row>
    <row r="24" spans="2:21">
      <c r="B24" s="780" t="s">
        <v>369</v>
      </c>
      <c r="D24" s="370">
        <v>1985</v>
      </c>
      <c r="F24" s="799">
        <v>31372</v>
      </c>
      <c r="H24" s="335">
        <v>2264076.4700000002</v>
      </c>
      <c r="J24" s="801">
        <f t="shared" si="4"/>
        <v>25.75</v>
      </c>
      <c r="K24" s="801"/>
      <c r="L24" s="785">
        <f t="shared" si="0"/>
        <v>0.02</v>
      </c>
      <c r="M24" s="785"/>
      <c r="N24" s="803">
        <f t="shared" si="1"/>
        <v>1165999.3820500001</v>
      </c>
      <c r="O24" s="803"/>
      <c r="P24" s="803">
        <f t="shared" si="2"/>
        <v>1098077.0879500001</v>
      </c>
      <c r="Q24" s="802"/>
      <c r="R24" s="804" t="str">
        <f t="shared" si="3"/>
        <v>No</v>
      </c>
      <c r="S24" s="804"/>
      <c r="T24" s="370">
        <v>1981</v>
      </c>
      <c r="U24" s="780">
        <f t="shared" si="5"/>
        <v>29.75</v>
      </c>
    </row>
    <row r="25" spans="2:21">
      <c r="B25" s="780" t="s">
        <v>369</v>
      </c>
      <c r="C25" s="782"/>
      <c r="D25" s="370">
        <v>1985</v>
      </c>
      <c r="E25" s="782"/>
      <c r="F25" s="799">
        <v>31372</v>
      </c>
      <c r="G25" s="782"/>
      <c r="H25" s="335">
        <v>283658.51</v>
      </c>
      <c r="J25" s="801">
        <f t="shared" si="4"/>
        <v>25.75</v>
      </c>
      <c r="K25" s="801"/>
      <c r="L25" s="785">
        <f t="shared" si="0"/>
        <v>0.02</v>
      </c>
      <c r="M25" s="785"/>
      <c r="N25" s="803">
        <f t="shared" si="1"/>
        <v>146084.13265000001</v>
      </c>
      <c r="O25" s="803"/>
      <c r="P25" s="803">
        <f t="shared" si="2"/>
        <v>137574.37735</v>
      </c>
      <c r="Q25" s="802"/>
      <c r="R25" s="804" t="str">
        <f t="shared" si="3"/>
        <v>No</v>
      </c>
      <c r="S25" s="804"/>
      <c r="T25" s="370">
        <v>1982</v>
      </c>
      <c r="U25" s="780">
        <f t="shared" si="5"/>
        <v>28.75</v>
      </c>
    </row>
    <row r="26" spans="2:21">
      <c r="B26" s="780" t="s">
        <v>369</v>
      </c>
      <c r="C26" s="782"/>
      <c r="D26" s="370">
        <v>1985</v>
      </c>
      <c r="E26" s="782"/>
      <c r="F26" s="799">
        <v>31372</v>
      </c>
      <c r="G26" s="807"/>
      <c r="H26" s="335">
        <v>40452.800000000003</v>
      </c>
      <c r="J26" s="801">
        <f t="shared" si="4"/>
        <v>25.75</v>
      </c>
      <c r="K26" s="801"/>
      <c r="L26" s="785">
        <f t="shared" si="0"/>
        <v>0.02</v>
      </c>
      <c r="M26" s="785"/>
      <c r="N26" s="803">
        <f t="shared" si="1"/>
        <v>20833.192000000003</v>
      </c>
      <c r="O26" s="803"/>
      <c r="P26" s="803">
        <f t="shared" si="2"/>
        <v>19619.608</v>
      </c>
      <c r="Q26" s="802"/>
      <c r="R26" s="804" t="str">
        <f t="shared" si="3"/>
        <v>No</v>
      </c>
      <c r="S26" s="804"/>
      <c r="T26" s="370">
        <v>1983</v>
      </c>
      <c r="U26" s="780">
        <f t="shared" si="5"/>
        <v>27.75</v>
      </c>
    </row>
    <row r="27" spans="2:21">
      <c r="B27" s="780" t="s">
        <v>369</v>
      </c>
      <c r="C27" s="782"/>
      <c r="D27" s="370">
        <v>1985</v>
      </c>
      <c r="E27" s="782"/>
      <c r="F27" s="799">
        <v>31372</v>
      </c>
      <c r="G27" s="807"/>
      <c r="H27" s="335">
        <v>515437.63</v>
      </c>
      <c r="J27" s="801">
        <f t="shared" si="4"/>
        <v>25.75</v>
      </c>
      <c r="K27" s="801"/>
      <c r="L27" s="785">
        <f t="shared" si="0"/>
        <v>0.02</v>
      </c>
      <c r="M27" s="785"/>
      <c r="N27" s="803">
        <f t="shared" si="1"/>
        <v>265450.37945000001</v>
      </c>
      <c r="O27" s="803"/>
      <c r="P27" s="803">
        <f t="shared" si="2"/>
        <v>249987.25055</v>
      </c>
      <c r="Q27" s="802"/>
      <c r="R27" s="804" t="str">
        <f t="shared" si="3"/>
        <v>No</v>
      </c>
      <c r="S27" s="804"/>
      <c r="T27" s="370">
        <v>1984</v>
      </c>
      <c r="U27" s="780">
        <f t="shared" si="5"/>
        <v>26.75</v>
      </c>
    </row>
    <row r="28" spans="2:21">
      <c r="B28" s="780" t="s">
        <v>369</v>
      </c>
      <c r="C28" s="782"/>
      <c r="D28" s="370">
        <v>1985</v>
      </c>
      <c r="E28" s="782"/>
      <c r="F28" s="799">
        <v>31372</v>
      </c>
      <c r="G28" s="807"/>
      <c r="H28" s="335">
        <v>78560.820000000007</v>
      </c>
      <c r="J28" s="801">
        <f t="shared" si="4"/>
        <v>25.75</v>
      </c>
      <c r="K28" s="801"/>
      <c r="L28" s="785">
        <f t="shared" si="0"/>
        <v>0.02</v>
      </c>
      <c r="M28" s="785"/>
      <c r="N28" s="803">
        <f t="shared" si="1"/>
        <v>40458.822300000007</v>
      </c>
      <c r="O28" s="803"/>
      <c r="P28" s="803">
        <f t="shared" si="2"/>
        <v>38101.9977</v>
      </c>
      <c r="Q28" s="802"/>
      <c r="R28" s="804" t="str">
        <f t="shared" si="3"/>
        <v>No</v>
      </c>
      <c r="S28" s="804"/>
      <c r="T28" s="370">
        <v>1985</v>
      </c>
      <c r="U28" s="780">
        <f t="shared" si="5"/>
        <v>25.75</v>
      </c>
    </row>
    <row r="29" spans="2:21">
      <c r="B29" s="780" t="s">
        <v>369</v>
      </c>
      <c r="C29" s="782"/>
      <c r="D29" s="370">
        <v>1985</v>
      </c>
      <c r="E29" s="782"/>
      <c r="F29" s="799">
        <v>31372</v>
      </c>
      <c r="G29" s="807"/>
      <c r="H29" s="335">
        <v>370692.25</v>
      </c>
      <c r="J29" s="801">
        <f t="shared" si="4"/>
        <v>25.75</v>
      </c>
      <c r="K29" s="801"/>
      <c r="L29" s="785">
        <f t="shared" si="0"/>
        <v>0.02</v>
      </c>
      <c r="M29" s="785"/>
      <c r="N29" s="803">
        <f t="shared" si="1"/>
        <v>190906.50875000001</v>
      </c>
      <c r="O29" s="803"/>
      <c r="P29" s="803">
        <f t="shared" si="2"/>
        <v>179785.74124999999</v>
      </c>
      <c r="Q29" s="802"/>
      <c r="R29" s="804" t="str">
        <f t="shared" si="3"/>
        <v>No</v>
      </c>
      <c r="S29" s="804"/>
      <c r="T29" s="370">
        <v>1986</v>
      </c>
      <c r="U29" s="780">
        <f t="shared" si="5"/>
        <v>24.75</v>
      </c>
    </row>
    <row r="30" spans="2:21">
      <c r="B30" s="780" t="s">
        <v>369</v>
      </c>
      <c r="C30" s="782"/>
      <c r="D30" s="370">
        <v>1985</v>
      </c>
      <c r="E30" s="782"/>
      <c r="F30" s="799">
        <v>31372</v>
      </c>
      <c r="G30" s="807"/>
      <c r="H30" s="335">
        <v>70195.28</v>
      </c>
      <c r="J30" s="801">
        <f t="shared" si="4"/>
        <v>25.75</v>
      </c>
      <c r="K30" s="801"/>
      <c r="L30" s="785">
        <f t="shared" si="0"/>
        <v>0.02</v>
      </c>
      <c r="M30" s="785"/>
      <c r="N30" s="803">
        <f t="shared" si="1"/>
        <v>36150.569199999998</v>
      </c>
      <c r="O30" s="803"/>
      <c r="P30" s="803">
        <f t="shared" si="2"/>
        <v>34044.710800000001</v>
      </c>
      <c r="Q30" s="802"/>
      <c r="R30" s="804" t="str">
        <f t="shared" si="3"/>
        <v>No</v>
      </c>
      <c r="S30" s="804"/>
      <c r="T30" s="370">
        <v>1987</v>
      </c>
      <c r="U30" s="780">
        <f t="shared" si="5"/>
        <v>23.75</v>
      </c>
    </row>
    <row r="31" spans="2:21">
      <c r="B31" s="780" t="s">
        <v>369</v>
      </c>
      <c r="C31" s="782"/>
      <c r="D31" s="370">
        <v>1985</v>
      </c>
      <c r="E31" s="782"/>
      <c r="F31" s="799">
        <v>31372</v>
      </c>
      <c r="G31" s="807"/>
      <c r="H31" s="335">
        <v>145967.76</v>
      </c>
      <c r="J31" s="801">
        <f t="shared" si="4"/>
        <v>25.75</v>
      </c>
      <c r="K31" s="801"/>
      <c r="L31" s="785">
        <f t="shared" si="0"/>
        <v>0.02</v>
      </c>
      <c r="M31" s="785"/>
      <c r="N31" s="803">
        <f t="shared" si="1"/>
        <v>75173.396400000012</v>
      </c>
      <c r="O31" s="803"/>
      <c r="P31" s="803">
        <f t="shared" si="2"/>
        <v>70794.363599999997</v>
      </c>
      <c r="Q31" s="802"/>
      <c r="R31" s="804" t="str">
        <f t="shared" si="3"/>
        <v>No</v>
      </c>
      <c r="S31" s="804"/>
      <c r="T31" s="370">
        <v>1988</v>
      </c>
      <c r="U31" s="780">
        <f t="shared" si="5"/>
        <v>22.75</v>
      </c>
    </row>
    <row r="32" spans="2:21">
      <c r="B32" s="780" t="s">
        <v>369</v>
      </c>
      <c r="C32" s="782"/>
      <c r="D32" s="370">
        <v>1985</v>
      </c>
      <c r="E32" s="782"/>
      <c r="F32" s="799">
        <v>31372</v>
      </c>
      <c r="G32" s="807"/>
      <c r="H32" s="335">
        <v>19188.32</v>
      </c>
      <c r="J32" s="801">
        <f t="shared" si="4"/>
        <v>25.75</v>
      </c>
      <c r="K32" s="801"/>
      <c r="L32" s="785">
        <f t="shared" si="0"/>
        <v>0.02</v>
      </c>
      <c r="M32" s="785"/>
      <c r="N32" s="803">
        <f t="shared" si="1"/>
        <v>9881.9848000000002</v>
      </c>
      <c r="O32" s="803"/>
      <c r="P32" s="803">
        <f t="shared" si="2"/>
        <v>9306.3351999999995</v>
      </c>
      <c r="Q32" s="802"/>
      <c r="R32" s="804" t="str">
        <f t="shared" si="3"/>
        <v>No</v>
      </c>
      <c r="S32" s="804"/>
      <c r="T32" s="370">
        <v>1989</v>
      </c>
      <c r="U32" s="780">
        <f t="shared" si="5"/>
        <v>21.75</v>
      </c>
    </row>
    <row r="33" spans="1:21">
      <c r="B33" s="780" t="s">
        <v>369</v>
      </c>
      <c r="C33" s="782"/>
      <c r="D33" s="370">
        <v>1985</v>
      </c>
      <c r="E33" s="782"/>
      <c r="F33" s="799">
        <v>31372</v>
      </c>
      <c r="G33" s="807"/>
      <c r="H33" s="335">
        <v>129343.47</v>
      </c>
      <c r="J33" s="801">
        <f t="shared" si="4"/>
        <v>25.75</v>
      </c>
      <c r="K33" s="801"/>
      <c r="L33" s="785">
        <f t="shared" si="0"/>
        <v>0.02</v>
      </c>
      <c r="M33" s="785"/>
      <c r="N33" s="803">
        <f t="shared" si="1"/>
        <v>66611.887050000005</v>
      </c>
      <c r="O33" s="803"/>
      <c r="P33" s="803">
        <f t="shared" si="2"/>
        <v>62731.582949999996</v>
      </c>
      <c r="Q33" s="802"/>
      <c r="R33" s="804" t="str">
        <f t="shared" si="3"/>
        <v>No</v>
      </c>
      <c r="S33" s="804"/>
      <c r="T33" s="370">
        <v>1990</v>
      </c>
      <c r="U33" s="780">
        <f t="shared" si="5"/>
        <v>20.75</v>
      </c>
    </row>
    <row r="34" spans="1:21">
      <c r="B34" s="780" t="s">
        <v>369</v>
      </c>
      <c r="C34" s="782"/>
      <c r="D34" s="370">
        <v>1985</v>
      </c>
      <c r="E34" s="782"/>
      <c r="F34" s="799">
        <v>31372</v>
      </c>
      <c r="G34" s="807"/>
      <c r="H34" s="335">
        <v>21885.34</v>
      </c>
      <c r="J34" s="801">
        <f t="shared" si="4"/>
        <v>25.75</v>
      </c>
      <c r="K34" s="801"/>
      <c r="L34" s="785">
        <f t="shared" si="0"/>
        <v>0.02</v>
      </c>
      <c r="M34" s="785"/>
      <c r="N34" s="803">
        <f t="shared" si="1"/>
        <v>11270.9501</v>
      </c>
      <c r="O34" s="803"/>
      <c r="P34" s="803">
        <f t="shared" si="2"/>
        <v>10614.3899</v>
      </c>
      <c r="Q34" s="802"/>
      <c r="R34" s="804" t="str">
        <f t="shared" si="3"/>
        <v>No</v>
      </c>
      <c r="S34" s="804"/>
      <c r="T34" s="370">
        <v>1991</v>
      </c>
      <c r="U34" s="780">
        <f t="shared" si="5"/>
        <v>19.75</v>
      </c>
    </row>
    <row r="35" spans="1:21">
      <c r="B35" s="780" t="s">
        <v>369</v>
      </c>
      <c r="D35" s="370">
        <v>1997</v>
      </c>
      <c r="F35" s="808">
        <v>35642</v>
      </c>
      <c r="G35" s="809"/>
      <c r="H35" s="335">
        <v>6000.81</v>
      </c>
      <c r="J35" s="801">
        <f t="shared" si="4"/>
        <v>13.75</v>
      </c>
      <c r="K35" s="801"/>
      <c r="L35" s="785">
        <f t="shared" si="0"/>
        <v>0.02</v>
      </c>
      <c r="M35" s="785"/>
      <c r="N35" s="803">
        <f t="shared" si="1"/>
        <v>1650.2227500000001</v>
      </c>
      <c r="O35" s="803"/>
      <c r="P35" s="803">
        <f t="shared" si="2"/>
        <v>4350.5872500000005</v>
      </c>
      <c r="Q35" s="802"/>
      <c r="R35" s="804" t="str">
        <f t="shared" si="3"/>
        <v>No</v>
      </c>
      <c r="S35" s="804"/>
      <c r="T35" s="370">
        <v>1992</v>
      </c>
      <c r="U35" s="780">
        <f t="shared" si="5"/>
        <v>18.75</v>
      </c>
    </row>
    <row r="36" spans="1:21">
      <c r="B36" s="780" t="s">
        <v>369</v>
      </c>
      <c r="D36" s="370">
        <v>1997</v>
      </c>
      <c r="F36" s="808">
        <v>35642</v>
      </c>
      <c r="G36" s="800"/>
      <c r="H36" s="335">
        <v>677.84</v>
      </c>
      <c r="J36" s="801">
        <f t="shared" si="4"/>
        <v>13.75</v>
      </c>
      <c r="K36" s="801"/>
      <c r="L36" s="785">
        <f t="shared" si="0"/>
        <v>0.02</v>
      </c>
      <c r="M36" s="785"/>
      <c r="N36" s="803">
        <f t="shared" si="1"/>
        <v>186.40600000000003</v>
      </c>
      <c r="O36" s="803"/>
      <c r="P36" s="803">
        <f t="shared" si="2"/>
        <v>491.43399999999997</v>
      </c>
      <c r="Q36" s="802"/>
      <c r="R36" s="804" t="str">
        <f t="shared" si="3"/>
        <v>No</v>
      </c>
      <c r="S36" s="804"/>
      <c r="T36" s="370">
        <v>1993</v>
      </c>
      <c r="U36" s="780">
        <f t="shared" si="5"/>
        <v>17.75</v>
      </c>
    </row>
    <row r="37" spans="1:21">
      <c r="B37" s="780" t="s">
        <v>369</v>
      </c>
      <c r="D37" s="370">
        <v>1997</v>
      </c>
      <c r="F37" s="808">
        <v>35642</v>
      </c>
      <c r="G37" s="800"/>
      <c r="H37" s="335">
        <v>39951.21</v>
      </c>
      <c r="J37" s="801">
        <f t="shared" si="4"/>
        <v>13.75</v>
      </c>
      <c r="K37" s="801"/>
      <c r="L37" s="785">
        <f t="shared" si="0"/>
        <v>0.02</v>
      </c>
      <c r="M37" s="785"/>
      <c r="N37" s="803">
        <f t="shared" si="1"/>
        <v>10986.582750000001</v>
      </c>
      <c r="O37" s="803"/>
      <c r="P37" s="803">
        <f t="shared" si="2"/>
        <v>28964.627249999998</v>
      </c>
      <c r="Q37" s="802"/>
      <c r="R37" s="804" t="str">
        <f t="shared" si="3"/>
        <v>No</v>
      </c>
      <c r="S37" s="804"/>
      <c r="T37" s="370">
        <v>1994</v>
      </c>
      <c r="U37" s="780">
        <f t="shared" si="5"/>
        <v>16.75</v>
      </c>
    </row>
    <row r="38" spans="1:21">
      <c r="B38" s="780" t="s">
        <v>369</v>
      </c>
      <c r="D38" s="370">
        <v>1997</v>
      </c>
      <c r="F38" s="808">
        <v>35642</v>
      </c>
      <c r="G38" s="807"/>
      <c r="H38" s="335">
        <v>18022.240000000002</v>
      </c>
      <c r="J38" s="801">
        <f t="shared" si="4"/>
        <v>13.75</v>
      </c>
      <c r="K38" s="801"/>
      <c r="L38" s="785">
        <f t="shared" si="0"/>
        <v>0.02</v>
      </c>
      <c r="M38" s="785"/>
      <c r="N38" s="803">
        <f t="shared" si="1"/>
        <v>4956.1160000000009</v>
      </c>
      <c r="O38" s="803"/>
      <c r="P38" s="803">
        <f t="shared" si="2"/>
        <v>13066.124</v>
      </c>
      <c r="Q38" s="802"/>
      <c r="R38" s="804" t="str">
        <f t="shared" si="3"/>
        <v>No</v>
      </c>
      <c r="S38" s="804"/>
      <c r="T38" s="370">
        <v>1995</v>
      </c>
      <c r="U38" s="780">
        <f t="shared" si="5"/>
        <v>15.75</v>
      </c>
    </row>
    <row r="39" spans="1:21">
      <c r="B39" s="780" t="s">
        <v>369</v>
      </c>
      <c r="D39" s="370">
        <v>1997</v>
      </c>
      <c r="F39" s="799">
        <v>35642</v>
      </c>
      <c r="G39" s="800"/>
      <c r="H39" s="335">
        <v>29151.79</v>
      </c>
      <c r="I39" s="335"/>
      <c r="J39" s="801">
        <f t="shared" si="4"/>
        <v>13.75</v>
      </c>
      <c r="K39" s="810"/>
      <c r="L39" s="811">
        <f t="shared" si="0"/>
        <v>0.02</v>
      </c>
      <c r="M39" s="811"/>
      <c r="N39" s="803">
        <f t="shared" si="1"/>
        <v>8016.7422500000011</v>
      </c>
      <c r="O39" s="803"/>
      <c r="P39" s="803">
        <f t="shared" si="2"/>
        <v>21135.047749999998</v>
      </c>
      <c r="Q39" s="803"/>
      <c r="R39" s="812" t="str">
        <f t="shared" si="3"/>
        <v>No</v>
      </c>
      <c r="S39" s="804"/>
      <c r="T39" s="370">
        <v>1996</v>
      </c>
      <c r="U39" s="780">
        <f t="shared" si="5"/>
        <v>14.75</v>
      </c>
    </row>
    <row r="40" spans="1:21">
      <c r="B40" s="780" t="s">
        <v>369</v>
      </c>
      <c r="D40" s="370">
        <v>1997</v>
      </c>
      <c r="F40" s="799">
        <v>35642</v>
      </c>
      <c r="G40" s="800"/>
      <c r="H40" s="335">
        <v>34478.839999999997</v>
      </c>
      <c r="J40" s="801">
        <f t="shared" si="4"/>
        <v>13.75</v>
      </c>
      <c r="K40" s="810"/>
      <c r="L40" s="811">
        <f t="shared" si="0"/>
        <v>0.02</v>
      </c>
      <c r="M40" s="811"/>
      <c r="N40" s="803">
        <f t="shared" si="1"/>
        <v>9481.6810000000005</v>
      </c>
      <c r="O40" s="803"/>
      <c r="P40" s="803">
        <f t="shared" si="2"/>
        <v>24997.158999999996</v>
      </c>
      <c r="Q40" s="803"/>
      <c r="R40" s="812" t="str">
        <f t="shared" si="3"/>
        <v>No</v>
      </c>
      <c r="S40" s="720"/>
      <c r="T40" s="370">
        <v>1997</v>
      </c>
      <c r="U40" s="780">
        <f t="shared" si="5"/>
        <v>13.75</v>
      </c>
    </row>
    <row r="41" spans="1:21">
      <c r="B41" s="780" t="s">
        <v>369</v>
      </c>
      <c r="D41" s="370">
        <v>1997</v>
      </c>
      <c r="F41" s="799">
        <v>35642</v>
      </c>
      <c r="G41" s="800"/>
      <c r="H41" s="335">
        <v>682.5</v>
      </c>
      <c r="J41" s="801">
        <f t="shared" si="4"/>
        <v>13.75</v>
      </c>
      <c r="K41" s="810"/>
      <c r="L41" s="811">
        <f t="shared" si="0"/>
        <v>0.02</v>
      </c>
      <c r="M41" s="811"/>
      <c r="N41" s="803">
        <f t="shared" si="1"/>
        <v>187.68750000000003</v>
      </c>
      <c r="O41" s="803"/>
      <c r="P41" s="803">
        <f t="shared" si="2"/>
        <v>494.8125</v>
      </c>
      <c r="Q41" s="803"/>
      <c r="R41" s="812" t="str">
        <f t="shared" si="3"/>
        <v>No</v>
      </c>
      <c r="T41" s="370">
        <v>1998</v>
      </c>
      <c r="U41" s="780">
        <f t="shared" si="5"/>
        <v>12.75</v>
      </c>
    </row>
    <row r="42" spans="1:21">
      <c r="B42" s="780" t="s">
        <v>369</v>
      </c>
      <c r="D42" s="370">
        <v>1997</v>
      </c>
      <c r="F42" s="799">
        <v>35642</v>
      </c>
      <c r="G42" s="800"/>
      <c r="H42" s="335">
        <v>33053.68</v>
      </c>
      <c r="J42" s="801">
        <f t="shared" si="4"/>
        <v>13.75</v>
      </c>
      <c r="K42" s="810"/>
      <c r="L42" s="811">
        <f t="shared" si="0"/>
        <v>0.02</v>
      </c>
      <c r="M42" s="811"/>
      <c r="N42" s="803">
        <f t="shared" si="1"/>
        <v>9089.7620000000006</v>
      </c>
      <c r="O42" s="803"/>
      <c r="P42" s="803">
        <f t="shared" si="2"/>
        <v>23963.917999999998</v>
      </c>
      <c r="Q42" s="803"/>
      <c r="R42" s="812" t="str">
        <f t="shared" si="3"/>
        <v>No</v>
      </c>
      <c r="T42" s="370">
        <v>1999</v>
      </c>
      <c r="U42" s="780">
        <f t="shared" si="5"/>
        <v>11.75</v>
      </c>
    </row>
    <row r="43" spans="1:21">
      <c r="B43" s="780" t="s">
        <v>369</v>
      </c>
      <c r="D43" s="370">
        <v>1997</v>
      </c>
      <c r="F43" s="799">
        <v>35642</v>
      </c>
      <c r="G43" s="800"/>
      <c r="H43" s="335">
        <v>6843.71</v>
      </c>
      <c r="J43" s="801">
        <f t="shared" si="4"/>
        <v>13.75</v>
      </c>
      <c r="K43" s="810"/>
      <c r="L43" s="811">
        <f t="shared" si="0"/>
        <v>0.02</v>
      </c>
      <c r="M43" s="811"/>
      <c r="N43" s="803">
        <f t="shared" si="1"/>
        <v>1882.0202500000003</v>
      </c>
      <c r="O43" s="803"/>
      <c r="P43" s="803">
        <f t="shared" si="2"/>
        <v>4961.6897499999995</v>
      </c>
      <c r="Q43" s="803"/>
      <c r="R43" s="812" t="str">
        <f t="shared" si="3"/>
        <v>No</v>
      </c>
      <c r="T43" s="370">
        <v>2000</v>
      </c>
      <c r="U43" s="780">
        <f t="shared" si="5"/>
        <v>10.75</v>
      </c>
    </row>
    <row r="44" spans="1:21">
      <c r="B44" s="780" t="s">
        <v>369</v>
      </c>
      <c r="D44" s="370">
        <v>1997</v>
      </c>
      <c r="F44" s="799">
        <v>35642</v>
      </c>
      <c r="G44" s="800"/>
      <c r="H44" s="335">
        <v>12226.94</v>
      </c>
      <c r="J44" s="801">
        <f t="shared" si="4"/>
        <v>13.75</v>
      </c>
      <c r="K44" s="810"/>
      <c r="L44" s="811">
        <f t="shared" si="0"/>
        <v>0.02</v>
      </c>
      <c r="M44" s="811"/>
      <c r="N44" s="803">
        <f t="shared" si="1"/>
        <v>3362.4085000000005</v>
      </c>
      <c r="O44" s="803"/>
      <c r="P44" s="803">
        <f t="shared" si="2"/>
        <v>8864.531500000001</v>
      </c>
      <c r="Q44" s="803"/>
      <c r="R44" s="812" t="str">
        <f t="shared" si="3"/>
        <v>No</v>
      </c>
      <c r="T44" s="370">
        <v>2001</v>
      </c>
      <c r="U44" s="780">
        <f t="shared" si="5"/>
        <v>9.75</v>
      </c>
    </row>
    <row r="45" spans="1:21">
      <c r="B45" s="780" t="s">
        <v>369</v>
      </c>
      <c r="D45" s="370">
        <v>1997</v>
      </c>
      <c r="F45" s="799">
        <v>35642</v>
      </c>
      <c r="G45" s="800"/>
      <c r="H45" s="335">
        <v>337.29</v>
      </c>
      <c r="J45" s="801">
        <f t="shared" si="4"/>
        <v>13.75</v>
      </c>
      <c r="K45" s="810"/>
      <c r="L45" s="811">
        <f t="shared" si="0"/>
        <v>0.02</v>
      </c>
      <c r="M45" s="811"/>
      <c r="N45" s="803">
        <f t="shared" si="1"/>
        <v>92.754750000000016</v>
      </c>
      <c r="O45" s="803"/>
      <c r="P45" s="803">
        <f t="shared" si="2"/>
        <v>244.53525000000002</v>
      </c>
      <c r="Q45" s="803"/>
      <c r="R45" s="812" t="str">
        <f t="shared" si="3"/>
        <v>No</v>
      </c>
      <c r="T45" s="370">
        <v>2002</v>
      </c>
      <c r="U45" s="780">
        <f t="shared" si="5"/>
        <v>8.75</v>
      </c>
    </row>
    <row r="46" spans="1:21">
      <c r="B46" s="780" t="s">
        <v>369</v>
      </c>
      <c r="D46" s="370">
        <v>1997</v>
      </c>
      <c r="F46" s="799">
        <v>35642</v>
      </c>
      <c r="G46" s="800"/>
      <c r="H46" s="335">
        <v>25347.95</v>
      </c>
      <c r="J46" s="801">
        <f t="shared" si="4"/>
        <v>13.75</v>
      </c>
      <c r="K46" s="810"/>
      <c r="L46" s="811">
        <f t="shared" si="0"/>
        <v>0.02</v>
      </c>
      <c r="M46" s="811"/>
      <c r="N46" s="803">
        <f t="shared" si="1"/>
        <v>6970.6862500000007</v>
      </c>
      <c r="O46" s="803"/>
      <c r="P46" s="803">
        <f t="shared" si="2"/>
        <v>18377.263749999998</v>
      </c>
      <c r="Q46" s="803"/>
      <c r="R46" s="812" t="str">
        <f t="shared" si="3"/>
        <v>No</v>
      </c>
      <c r="T46" s="370">
        <v>2003</v>
      </c>
      <c r="U46" s="780">
        <f t="shared" si="5"/>
        <v>7.75</v>
      </c>
    </row>
    <row r="47" spans="1:21">
      <c r="A47" s="813"/>
      <c r="B47" s="780" t="s">
        <v>369</v>
      </c>
      <c r="D47" s="370">
        <v>1997</v>
      </c>
      <c r="F47" s="799">
        <v>35642</v>
      </c>
      <c r="G47" s="800"/>
      <c r="H47" s="335">
        <v>7520.74</v>
      </c>
      <c r="J47" s="801">
        <f t="shared" si="4"/>
        <v>13.75</v>
      </c>
      <c r="K47" s="810"/>
      <c r="L47" s="811">
        <f t="shared" si="0"/>
        <v>0.02</v>
      </c>
      <c r="M47" s="811"/>
      <c r="N47" s="803">
        <f t="shared" si="1"/>
        <v>2068.2035000000001</v>
      </c>
      <c r="O47" s="803"/>
      <c r="P47" s="803">
        <f t="shared" si="2"/>
        <v>5452.5365000000002</v>
      </c>
      <c r="Q47" s="803"/>
      <c r="R47" s="812" t="str">
        <f t="shared" si="3"/>
        <v>No</v>
      </c>
      <c r="T47" s="370">
        <v>2004</v>
      </c>
      <c r="U47" s="780">
        <f t="shared" si="5"/>
        <v>6.75</v>
      </c>
    </row>
    <row r="48" spans="1:21">
      <c r="B48" s="780" t="s">
        <v>369</v>
      </c>
      <c r="D48" s="370">
        <v>1997</v>
      </c>
      <c r="F48" s="799">
        <v>35642</v>
      </c>
      <c r="G48" s="800"/>
      <c r="H48" s="335">
        <v>20637.8</v>
      </c>
      <c r="J48" s="801">
        <f t="shared" si="4"/>
        <v>13.75</v>
      </c>
      <c r="K48" s="810"/>
      <c r="L48" s="811">
        <f t="shared" si="0"/>
        <v>0.02</v>
      </c>
      <c r="M48" s="811"/>
      <c r="N48" s="803">
        <f t="shared" si="1"/>
        <v>5675.3950000000004</v>
      </c>
      <c r="O48" s="803"/>
      <c r="P48" s="803">
        <f t="shared" si="2"/>
        <v>14962.404999999999</v>
      </c>
      <c r="Q48" s="803"/>
      <c r="R48" s="812" t="str">
        <f t="shared" si="3"/>
        <v>No</v>
      </c>
      <c r="S48" s="804"/>
      <c r="T48" s="370">
        <v>2005</v>
      </c>
      <c r="U48" s="780">
        <f t="shared" si="5"/>
        <v>5.75</v>
      </c>
    </row>
    <row r="49" spans="2:21">
      <c r="B49" s="780" t="s">
        <v>369</v>
      </c>
      <c r="D49" s="370">
        <v>1997</v>
      </c>
      <c r="F49" s="799">
        <v>35642</v>
      </c>
      <c r="G49" s="800"/>
      <c r="H49" s="335">
        <v>3041</v>
      </c>
      <c r="J49" s="801">
        <f t="shared" si="4"/>
        <v>13.75</v>
      </c>
      <c r="K49" s="810"/>
      <c r="L49" s="811">
        <f t="shared" si="0"/>
        <v>0.02</v>
      </c>
      <c r="M49" s="811"/>
      <c r="N49" s="803">
        <f t="shared" si="1"/>
        <v>836.27500000000009</v>
      </c>
      <c r="O49" s="803"/>
      <c r="P49" s="803">
        <f t="shared" si="2"/>
        <v>2204.7249999999999</v>
      </c>
      <c r="Q49" s="803"/>
      <c r="R49" s="812" t="str">
        <f t="shared" si="3"/>
        <v>No</v>
      </c>
      <c r="S49" s="804"/>
      <c r="T49" s="781">
        <v>2006</v>
      </c>
      <c r="U49" s="780">
        <f t="shared" si="5"/>
        <v>4.75</v>
      </c>
    </row>
    <row r="50" spans="2:21">
      <c r="B50" s="780" t="s">
        <v>369</v>
      </c>
      <c r="D50" s="370">
        <v>1997</v>
      </c>
      <c r="F50" s="799">
        <v>35642</v>
      </c>
      <c r="G50" s="800"/>
      <c r="H50" s="335">
        <v>854.21</v>
      </c>
      <c r="J50" s="801">
        <f t="shared" si="4"/>
        <v>13.75</v>
      </c>
      <c r="K50" s="810"/>
      <c r="L50" s="811">
        <f t="shared" si="0"/>
        <v>0.02</v>
      </c>
      <c r="M50" s="811"/>
      <c r="N50" s="803">
        <f t="shared" si="1"/>
        <v>234.90775000000002</v>
      </c>
      <c r="O50" s="803"/>
      <c r="P50" s="803">
        <f t="shared" si="2"/>
        <v>619.30224999999996</v>
      </c>
      <c r="Q50" s="803"/>
      <c r="R50" s="812" t="str">
        <f t="shared" si="3"/>
        <v>No</v>
      </c>
      <c r="S50" s="804"/>
      <c r="T50" s="781">
        <v>2007</v>
      </c>
      <c r="U50" s="780">
        <f t="shared" si="5"/>
        <v>3.75</v>
      </c>
    </row>
    <row r="51" spans="2:21">
      <c r="B51" s="780" t="s">
        <v>369</v>
      </c>
      <c r="C51" s="782"/>
      <c r="D51" s="814">
        <v>1997</v>
      </c>
      <c r="E51" s="782"/>
      <c r="F51" s="815">
        <v>35642</v>
      </c>
      <c r="G51" s="807"/>
      <c r="H51" s="335">
        <v>8920.93</v>
      </c>
      <c r="J51" s="801">
        <f t="shared" si="4"/>
        <v>13.75</v>
      </c>
      <c r="K51" s="810"/>
      <c r="L51" s="811">
        <f t="shared" si="0"/>
        <v>0.02</v>
      </c>
      <c r="M51" s="811"/>
      <c r="N51" s="803">
        <f t="shared" si="1"/>
        <v>2453.2557500000003</v>
      </c>
      <c r="O51" s="803"/>
      <c r="P51" s="803">
        <f t="shared" si="2"/>
        <v>6467.67425</v>
      </c>
      <c r="Q51" s="803"/>
      <c r="R51" s="812" t="str">
        <f t="shared" si="3"/>
        <v>No</v>
      </c>
      <c r="S51" s="804"/>
      <c r="T51" s="816">
        <v>2008</v>
      </c>
      <c r="U51" s="780">
        <f t="shared" si="5"/>
        <v>2.75</v>
      </c>
    </row>
    <row r="52" spans="2:21">
      <c r="B52" s="780" t="s">
        <v>369</v>
      </c>
      <c r="C52" s="782"/>
      <c r="D52" s="814">
        <v>1997</v>
      </c>
      <c r="E52" s="782"/>
      <c r="F52" s="815">
        <v>35642</v>
      </c>
      <c r="G52" s="807"/>
      <c r="H52" s="335">
        <v>18713.8</v>
      </c>
      <c r="J52" s="801">
        <f t="shared" si="4"/>
        <v>13.75</v>
      </c>
      <c r="K52" s="810"/>
      <c r="L52" s="811">
        <f t="shared" si="0"/>
        <v>0.02</v>
      </c>
      <c r="M52" s="811"/>
      <c r="N52" s="803">
        <f t="shared" si="1"/>
        <v>5146.2950000000001</v>
      </c>
      <c r="O52" s="803"/>
      <c r="P52" s="803">
        <f t="shared" si="2"/>
        <v>13567.504999999999</v>
      </c>
      <c r="Q52" s="803"/>
      <c r="R52" s="812" t="str">
        <f t="shared" si="3"/>
        <v>No</v>
      </c>
      <c r="S52" s="804"/>
      <c r="T52" s="780">
        <v>2009</v>
      </c>
      <c r="U52" s="780">
        <f t="shared" si="5"/>
        <v>1.75</v>
      </c>
    </row>
    <row r="53" spans="2:21">
      <c r="B53" s="780" t="s">
        <v>369</v>
      </c>
      <c r="C53" s="782"/>
      <c r="D53" s="814">
        <v>1997</v>
      </c>
      <c r="E53" s="782"/>
      <c r="F53" s="815">
        <v>35642</v>
      </c>
      <c r="G53" s="807"/>
      <c r="H53" s="335">
        <v>42319.97</v>
      </c>
      <c r="J53" s="801">
        <f t="shared" si="4"/>
        <v>13.75</v>
      </c>
      <c r="K53" s="810"/>
      <c r="L53" s="811">
        <f t="shared" si="0"/>
        <v>0.02</v>
      </c>
      <c r="M53" s="811"/>
      <c r="N53" s="803">
        <f t="shared" si="1"/>
        <v>11637.991750000001</v>
      </c>
      <c r="O53" s="803"/>
      <c r="P53" s="803">
        <f t="shared" si="2"/>
        <v>30681.97825</v>
      </c>
      <c r="Q53" s="803"/>
      <c r="R53" s="812" t="str">
        <f t="shared" si="3"/>
        <v>No</v>
      </c>
      <c r="S53" s="804"/>
      <c r="T53" s="780">
        <v>2010</v>
      </c>
      <c r="U53" s="780">
        <v>1</v>
      </c>
    </row>
    <row r="54" spans="2:21">
      <c r="B54" s="780" t="s">
        <v>369</v>
      </c>
      <c r="C54" s="782"/>
      <c r="D54" s="814">
        <v>1997</v>
      </c>
      <c r="E54" s="782"/>
      <c r="F54" s="815">
        <v>35642</v>
      </c>
      <c r="G54" s="807"/>
      <c r="H54" s="335">
        <v>117894.63</v>
      </c>
      <c r="J54" s="801">
        <f t="shared" si="4"/>
        <v>13.75</v>
      </c>
      <c r="K54" s="810"/>
      <c r="L54" s="811">
        <f t="shared" si="0"/>
        <v>0.02</v>
      </c>
      <c r="M54" s="811"/>
      <c r="N54" s="803">
        <f t="shared" si="1"/>
        <v>32421.023250000006</v>
      </c>
      <c r="O54" s="803"/>
      <c r="P54" s="803">
        <f t="shared" si="2"/>
        <v>85473.606750000006</v>
      </c>
      <c r="Q54" s="803"/>
      <c r="R54" s="812" t="str">
        <f t="shared" si="3"/>
        <v>No</v>
      </c>
      <c r="S54" s="804"/>
    </row>
    <row r="55" spans="2:21">
      <c r="B55" s="780" t="s">
        <v>369</v>
      </c>
      <c r="C55" s="782"/>
      <c r="D55" s="814">
        <v>1997</v>
      </c>
      <c r="E55" s="782"/>
      <c r="F55" s="815">
        <v>35642</v>
      </c>
      <c r="G55" s="807"/>
      <c r="H55" s="335">
        <v>2383</v>
      </c>
      <c r="J55" s="801">
        <f t="shared" si="4"/>
        <v>13.75</v>
      </c>
      <c r="K55" s="810"/>
      <c r="L55" s="811">
        <f t="shared" si="0"/>
        <v>0.02</v>
      </c>
      <c r="M55" s="811"/>
      <c r="N55" s="803">
        <f t="shared" si="1"/>
        <v>655.32500000000005</v>
      </c>
      <c r="O55" s="803"/>
      <c r="P55" s="803">
        <f t="shared" si="2"/>
        <v>1727.675</v>
      </c>
      <c r="Q55" s="803"/>
      <c r="R55" s="812" t="str">
        <f t="shared" si="3"/>
        <v>No</v>
      </c>
      <c r="S55" s="804"/>
    </row>
    <row r="56" spans="2:21">
      <c r="B56" s="780" t="s">
        <v>369</v>
      </c>
      <c r="C56" s="782"/>
      <c r="D56" s="814">
        <v>1997</v>
      </c>
      <c r="E56" s="782"/>
      <c r="F56" s="815">
        <v>35642</v>
      </c>
      <c r="G56" s="807"/>
      <c r="H56" s="335">
        <v>454</v>
      </c>
      <c r="J56" s="801">
        <f t="shared" si="4"/>
        <v>13.75</v>
      </c>
      <c r="K56" s="810"/>
      <c r="L56" s="811">
        <f t="shared" si="0"/>
        <v>0.02</v>
      </c>
      <c r="M56" s="811"/>
      <c r="N56" s="803">
        <f t="shared" si="1"/>
        <v>124.85000000000001</v>
      </c>
      <c r="O56" s="803"/>
      <c r="P56" s="803">
        <f t="shared" si="2"/>
        <v>329.15</v>
      </c>
      <c r="Q56" s="803"/>
      <c r="R56" s="812" t="str">
        <f t="shared" si="3"/>
        <v>No</v>
      </c>
      <c r="S56" s="804"/>
    </row>
    <row r="57" spans="2:21">
      <c r="B57" s="780" t="s">
        <v>640</v>
      </c>
      <c r="D57" s="370">
        <v>1997</v>
      </c>
      <c r="F57" s="799">
        <v>35642</v>
      </c>
      <c r="G57" s="800"/>
      <c r="H57" s="335">
        <v>840.8</v>
      </c>
      <c r="J57" s="801">
        <f t="shared" si="4"/>
        <v>13.75</v>
      </c>
      <c r="K57" s="810"/>
      <c r="L57" s="811">
        <f t="shared" si="0"/>
        <v>0</v>
      </c>
      <c r="M57" s="811"/>
      <c r="N57" s="803">
        <f t="shared" si="1"/>
        <v>0</v>
      </c>
      <c r="O57" s="803"/>
      <c r="P57" s="803">
        <f t="shared" si="2"/>
        <v>840.8</v>
      </c>
      <c r="Q57" s="803"/>
      <c r="R57" s="812" t="str">
        <f t="shared" si="3"/>
        <v>No</v>
      </c>
      <c r="S57" s="804"/>
    </row>
    <row r="58" spans="2:21">
      <c r="B58" s="780" t="s">
        <v>640</v>
      </c>
      <c r="D58" s="370">
        <v>1997</v>
      </c>
      <c r="F58" s="799">
        <v>35642</v>
      </c>
      <c r="G58" s="800"/>
      <c r="H58" s="335">
        <v>6853</v>
      </c>
      <c r="J58" s="801">
        <f t="shared" si="4"/>
        <v>13.75</v>
      </c>
      <c r="K58" s="810"/>
      <c r="L58" s="811">
        <f t="shared" si="0"/>
        <v>0</v>
      </c>
      <c r="M58" s="811"/>
      <c r="N58" s="803">
        <f t="shared" si="1"/>
        <v>0</v>
      </c>
      <c r="O58" s="803"/>
      <c r="P58" s="803">
        <f t="shared" si="2"/>
        <v>6853</v>
      </c>
      <c r="Q58" s="803"/>
      <c r="R58" s="812" t="str">
        <f t="shared" si="3"/>
        <v>No</v>
      </c>
      <c r="S58" s="804"/>
    </row>
    <row r="59" spans="2:21">
      <c r="B59" s="780" t="s">
        <v>640</v>
      </c>
      <c r="D59" s="370">
        <v>1997</v>
      </c>
      <c r="F59" s="799">
        <v>35642</v>
      </c>
      <c r="G59" s="800"/>
      <c r="H59" s="335">
        <v>628.83000000000004</v>
      </c>
      <c r="J59" s="801">
        <f t="shared" si="4"/>
        <v>13.75</v>
      </c>
      <c r="K59" s="810"/>
      <c r="L59" s="811">
        <f t="shared" si="0"/>
        <v>0</v>
      </c>
      <c r="M59" s="811"/>
      <c r="N59" s="803">
        <f t="shared" si="1"/>
        <v>0</v>
      </c>
      <c r="O59" s="803"/>
      <c r="P59" s="803">
        <f t="shared" si="2"/>
        <v>628.83000000000004</v>
      </c>
      <c r="Q59" s="803"/>
      <c r="R59" s="812" t="str">
        <f t="shared" si="3"/>
        <v>No</v>
      </c>
      <c r="S59" s="804"/>
    </row>
    <row r="60" spans="2:21">
      <c r="B60" s="780" t="s">
        <v>640</v>
      </c>
      <c r="D60" s="370">
        <v>1997</v>
      </c>
      <c r="F60" s="799">
        <v>35642</v>
      </c>
      <c r="G60" s="800"/>
      <c r="H60" s="335">
        <v>1025.44</v>
      </c>
      <c r="J60" s="801">
        <f t="shared" si="4"/>
        <v>13.75</v>
      </c>
      <c r="K60" s="810"/>
      <c r="L60" s="811">
        <f t="shared" si="0"/>
        <v>0</v>
      </c>
      <c r="M60" s="811"/>
      <c r="N60" s="803">
        <f t="shared" si="1"/>
        <v>0</v>
      </c>
      <c r="O60" s="803"/>
      <c r="P60" s="803">
        <f t="shared" si="2"/>
        <v>1025.44</v>
      </c>
      <c r="Q60" s="803"/>
      <c r="R60" s="812" t="str">
        <f t="shared" si="3"/>
        <v>No</v>
      </c>
      <c r="S60" s="804"/>
    </row>
    <row r="61" spans="2:21">
      <c r="B61" s="780" t="s">
        <v>640</v>
      </c>
      <c r="D61" s="370">
        <v>1997</v>
      </c>
      <c r="F61" s="799">
        <v>35642</v>
      </c>
      <c r="G61" s="800"/>
      <c r="H61" s="335">
        <v>5496</v>
      </c>
      <c r="J61" s="801">
        <f t="shared" si="4"/>
        <v>13.75</v>
      </c>
      <c r="K61" s="810"/>
      <c r="L61" s="811">
        <f t="shared" si="0"/>
        <v>0</v>
      </c>
      <c r="M61" s="811"/>
      <c r="N61" s="803">
        <f t="shared" si="1"/>
        <v>0</v>
      </c>
      <c r="O61" s="803"/>
      <c r="P61" s="803">
        <f t="shared" si="2"/>
        <v>5496</v>
      </c>
      <c r="Q61" s="803"/>
      <c r="R61" s="812" t="str">
        <f t="shared" si="3"/>
        <v>No</v>
      </c>
      <c r="S61" s="804"/>
    </row>
    <row r="62" spans="2:21">
      <c r="B62" s="780" t="s">
        <v>640</v>
      </c>
      <c r="D62" s="370">
        <v>1997</v>
      </c>
      <c r="F62" s="799">
        <v>35642</v>
      </c>
      <c r="G62" s="800"/>
      <c r="H62" s="335">
        <v>112</v>
      </c>
      <c r="J62" s="801">
        <f t="shared" si="4"/>
        <v>13.75</v>
      </c>
      <c r="K62" s="810"/>
      <c r="L62" s="811">
        <f t="shared" si="0"/>
        <v>0</v>
      </c>
      <c r="M62" s="811"/>
      <c r="N62" s="803">
        <f t="shared" si="1"/>
        <v>0</v>
      </c>
      <c r="O62" s="803"/>
      <c r="P62" s="803">
        <f t="shared" si="2"/>
        <v>112</v>
      </c>
      <c r="Q62" s="803"/>
      <c r="R62" s="812" t="str">
        <f t="shared" si="3"/>
        <v>No</v>
      </c>
      <c r="S62" s="804"/>
    </row>
    <row r="63" spans="2:21">
      <c r="B63" s="782" t="s">
        <v>370</v>
      </c>
      <c r="C63" s="782"/>
      <c r="D63" s="814">
        <v>1997</v>
      </c>
      <c r="E63" s="782"/>
      <c r="F63" s="815">
        <v>35642</v>
      </c>
      <c r="G63" s="807"/>
      <c r="H63" s="335">
        <v>91200.55</v>
      </c>
      <c r="J63" s="801">
        <f t="shared" si="4"/>
        <v>13.75</v>
      </c>
      <c r="K63" s="810"/>
      <c r="L63" s="811">
        <f t="shared" si="0"/>
        <v>0.25</v>
      </c>
      <c r="M63" s="811"/>
      <c r="N63" s="803">
        <f t="shared" si="1"/>
        <v>91200.55</v>
      </c>
      <c r="O63" s="803"/>
      <c r="P63" s="803">
        <f t="shared" si="2"/>
        <v>0</v>
      </c>
      <c r="Q63" s="803"/>
      <c r="R63" s="812" t="str">
        <f t="shared" si="3"/>
        <v>Yes</v>
      </c>
      <c r="S63" s="804"/>
    </row>
    <row r="64" spans="2:21">
      <c r="B64" s="782" t="s">
        <v>370</v>
      </c>
      <c r="C64" s="782"/>
      <c r="D64" s="814">
        <v>1997</v>
      </c>
      <c r="E64" s="782"/>
      <c r="F64" s="815">
        <v>35642</v>
      </c>
      <c r="G64" s="807"/>
      <c r="H64" s="335">
        <v>23193.71</v>
      </c>
      <c r="J64" s="801">
        <f t="shared" si="4"/>
        <v>13.75</v>
      </c>
      <c r="K64" s="810"/>
      <c r="L64" s="811">
        <f t="shared" si="0"/>
        <v>0.25</v>
      </c>
      <c r="M64" s="811"/>
      <c r="N64" s="803">
        <f t="shared" si="1"/>
        <v>23193.71</v>
      </c>
      <c r="O64" s="803"/>
      <c r="P64" s="803">
        <f t="shared" si="2"/>
        <v>0</v>
      </c>
      <c r="Q64" s="803"/>
      <c r="R64" s="812" t="str">
        <f t="shared" si="3"/>
        <v>Yes</v>
      </c>
      <c r="S64" s="804"/>
    </row>
    <row r="65" spans="2:34">
      <c r="B65" s="782" t="s">
        <v>370</v>
      </c>
      <c r="C65" s="782"/>
      <c r="D65" s="814">
        <v>1997</v>
      </c>
      <c r="E65" s="782"/>
      <c r="F65" s="815">
        <v>35642</v>
      </c>
      <c r="G65" s="807"/>
      <c r="H65" s="335">
        <v>30641.95</v>
      </c>
      <c r="J65" s="801">
        <f t="shared" si="4"/>
        <v>13.75</v>
      </c>
      <c r="K65" s="810"/>
      <c r="L65" s="811">
        <f t="shared" si="0"/>
        <v>0.25</v>
      </c>
      <c r="M65" s="811"/>
      <c r="N65" s="803">
        <f t="shared" si="1"/>
        <v>30641.95</v>
      </c>
      <c r="O65" s="803"/>
      <c r="P65" s="803">
        <f t="shared" si="2"/>
        <v>0</v>
      </c>
      <c r="Q65" s="803"/>
      <c r="R65" s="812" t="str">
        <f t="shared" si="3"/>
        <v>Yes</v>
      </c>
      <c r="S65" s="804"/>
    </row>
    <row r="66" spans="2:34">
      <c r="B66" s="782" t="s">
        <v>370</v>
      </c>
      <c r="C66" s="782"/>
      <c r="D66" s="814">
        <v>1997</v>
      </c>
      <c r="E66" s="782"/>
      <c r="F66" s="815">
        <v>35642</v>
      </c>
      <c r="G66" s="807"/>
      <c r="H66" s="335">
        <v>3289</v>
      </c>
      <c r="J66" s="801">
        <f t="shared" si="4"/>
        <v>13.75</v>
      </c>
      <c r="K66" s="810"/>
      <c r="L66" s="811">
        <f t="shared" si="0"/>
        <v>0.25</v>
      </c>
      <c r="M66" s="811"/>
      <c r="N66" s="803">
        <f t="shared" si="1"/>
        <v>3289</v>
      </c>
      <c r="O66" s="803"/>
      <c r="P66" s="803">
        <f t="shared" si="2"/>
        <v>0</v>
      </c>
      <c r="Q66" s="803"/>
      <c r="R66" s="812" t="str">
        <f t="shared" si="3"/>
        <v>Yes</v>
      </c>
      <c r="S66" s="804"/>
    </row>
    <row r="67" spans="2:34">
      <c r="B67" s="782" t="s">
        <v>370</v>
      </c>
      <c r="C67" s="782"/>
      <c r="D67" s="814">
        <v>1997</v>
      </c>
      <c r="E67" s="782"/>
      <c r="F67" s="815">
        <v>35642</v>
      </c>
      <c r="G67" s="807"/>
      <c r="H67" s="335">
        <v>626</v>
      </c>
      <c r="J67" s="801">
        <f t="shared" si="4"/>
        <v>13.75</v>
      </c>
      <c r="K67" s="810"/>
      <c r="L67" s="811">
        <f t="shared" si="0"/>
        <v>0.25</v>
      </c>
      <c r="M67" s="811"/>
      <c r="N67" s="803">
        <f t="shared" si="1"/>
        <v>626</v>
      </c>
      <c r="O67" s="803"/>
      <c r="P67" s="803">
        <f t="shared" si="2"/>
        <v>0</v>
      </c>
      <c r="Q67" s="803"/>
      <c r="R67" s="812" t="str">
        <f t="shared" si="3"/>
        <v>Yes</v>
      </c>
      <c r="S67" s="804"/>
    </row>
    <row r="68" spans="2:34">
      <c r="B68" s="782" t="s">
        <v>370</v>
      </c>
      <c r="C68" s="782"/>
      <c r="D68" s="814">
        <v>1999</v>
      </c>
      <c r="E68" s="782"/>
      <c r="F68" s="815">
        <v>36342</v>
      </c>
      <c r="G68" s="807"/>
      <c r="H68" s="335">
        <v>23723</v>
      </c>
      <c r="J68" s="801">
        <f t="shared" si="4"/>
        <v>11.75</v>
      </c>
      <c r="K68" s="810"/>
      <c r="L68" s="811">
        <f t="shared" si="0"/>
        <v>0.25</v>
      </c>
      <c r="M68" s="811"/>
      <c r="N68" s="803">
        <f t="shared" si="1"/>
        <v>23723</v>
      </c>
      <c r="O68" s="803"/>
      <c r="P68" s="803">
        <f t="shared" si="2"/>
        <v>0</v>
      </c>
      <c r="Q68" s="803"/>
      <c r="R68" s="812" t="str">
        <f t="shared" si="3"/>
        <v>Yes</v>
      </c>
      <c r="S68" s="804"/>
    </row>
    <row r="69" spans="2:34">
      <c r="B69" s="780" t="s">
        <v>369</v>
      </c>
      <c r="C69" s="782"/>
      <c r="D69" s="814">
        <v>2000</v>
      </c>
      <c r="E69" s="782"/>
      <c r="F69" s="815">
        <v>36861</v>
      </c>
      <c r="G69" s="807"/>
      <c r="H69" s="335">
        <v>69976</v>
      </c>
      <c r="J69" s="801">
        <f t="shared" si="4"/>
        <v>10.75</v>
      </c>
      <c r="K69" s="810"/>
      <c r="L69" s="811">
        <f t="shared" si="0"/>
        <v>0.02</v>
      </c>
      <c r="M69" s="811"/>
      <c r="N69" s="803">
        <f t="shared" si="1"/>
        <v>15044.84</v>
      </c>
      <c r="O69" s="803"/>
      <c r="P69" s="803">
        <f t="shared" si="2"/>
        <v>54931.16</v>
      </c>
      <c r="Q69" s="803"/>
      <c r="R69" s="812" t="str">
        <f t="shared" si="3"/>
        <v>No</v>
      </c>
      <c r="S69" s="804"/>
    </row>
    <row r="70" spans="2:34">
      <c r="B70" s="782" t="s">
        <v>370</v>
      </c>
      <c r="C70" s="782"/>
      <c r="D70" s="814">
        <v>2000</v>
      </c>
      <c r="E70" s="782"/>
      <c r="F70" s="815">
        <v>36526</v>
      </c>
      <c r="G70" s="807"/>
      <c r="H70" s="335">
        <v>21601</v>
      </c>
      <c r="J70" s="801">
        <f t="shared" si="4"/>
        <v>10.75</v>
      </c>
      <c r="K70" s="810"/>
      <c r="L70" s="811">
        <f t="shared" si="0"/>
        <v>0.25</v>
      </c>
      <c r="M70" s="811"/>
      <c r="N70" s="803">
        <f t="shared" si="1"/>
        <v>21601</v>
      </c>
      <c r="O70" s="803"/>
      <c r="P70" s="803">
        <f t="shared" si="2"/>
        <v>0</v>
      </c>
      <c r="Q70" s="803"/>
      <c r="R70" s="812" t="str">
        <f t="shared" si="3"/>
        <v>Yes</v>
      </c>
      <c r="S70" s="804"/>
    </row>
    <row r="71" spans="2:34">
      <c r="B71" s="782" t="s">
        <v>370</v>
      </c>
      <c r="C71" s="782"/>
      <c r="D71" s="814">
        <v>2000</v>
      </c>
      <c r="E71" s="782"/>
      <c r="F71" s="815">
        <v>36586</v>
      </c>
      <c r="G71" s="807"/>
      <c r="H71" s="335">
        <v>24098</v>
      </c>
      <c r="I71" s="335"/>
      <c r="J71" s="801">
        <f t="shared" si="4"/>
        <v>10.75</v>
      </c>
      <c r="K71" s="810"/>
      <c r="L71" s="811">
        <f t="shared" si="0"/>
        <v>0.25</v>
      </c>
      <c r="M71" s="811"/>
      <c r="N71" s="803">
        <f t="shared" si="1"/>
        <v>24098</v>
      </c>
      <c r="O71" s="803"/>
      <c r="P71" s="803">
        <f t="shared" si="2"/>
        <v>0</v>
      </c>
      <c r="Q71" s="803"/>
      <c r="R71" s="812" t="str">
        <f t="shared" si="3"/>
        <v>Yes</v>
      </c>
      <c r="S71" s="804"/>
    </row>
    <row r="72" spans="2:34">
      <c r="B72" s="782" t="s">
        <v>370</v>
      </c>
      <c r="C72" s="782"/>
      <c r="D72" s="814">
        <v>2001</v>
      </c>
      <c r="E72" s="782"/>
      <c r="F72" s="815">
        <v>36951</v>
      </c>
      <c r="G72" s="807"/>
      <c r="H72" s="335">
        <v>32326</v>
      </c>
      <c r="I72" s="335"/>
      <c r="J72" s="801">
        <f t="shared" si="4"/>
        <v>9.75</v>
      </c>
      <c r="K72" s="810"/>
      <c r="L72" s="811">
        <f t="shared" si="0"/>
        <v>0.25</v>
      </c>
      <c r="M72" s="811"/>
      <c r="N72" s="803">
        <f t="shared" si="1"/>
        <v>32326</v>
      </c>
      <c r="O72" s="803"/>
      <c r="P72" s="803">
        <f t="shared" si="2"/>
        <v>0</v>
      </c>
      <c r="Q72" s="803"/>
      <c r="R72" s="812" t="str">
        <f t="shared" si="3"/>
        <v>Yes</v>
      </c>
      <c r="S72" s="804"/>
    </row>
    <row r="73" spans="2:34" s="782" customFormat="1">
      <c r="B73" s="782" t="s">
        <v>592</v>
      </c>
      <c r="D73" s="814">
        <v>2002</v>
      </c>
      <c r="F73" s="815"/>
      <c r="G73" s="807"/>
      <c r="H73" s="335">
        <v>102864.3</v>
      </c>
      <c r="I73" s="335"/>
      <c r="J73" s="801">
        <f t="shared" si="4"/>
        <v>8.75</v>
      </c>
      <c r="K73" s="810"/>
      <c r="L73" s="811">
        <f t="shared" ref="L73:L77" si="6">VLOOKUP(B73,$T$9:$U$13,2,FALSE)</f>
        <v>0</v>
      </c>
      <c r="M73" s="811"/>
      <c r="N73" s="803">
        <f t="shared" ref="N73:N95" si="7">IF(L73*J73*H73&gt;H73,H73,L73*J73*H73)</f>
        <v>0</v>
      </c>
      <c r="O73" s="803"/>
      <c r="P73" s="803">
        <f t="shared" ref="P73:P95" si="8">H73-N73</f>
        <v>102864.3</v>
      </c>
      <c r="Q73" s="803"/>
      <c r="R73" s="812" t="str">
        <f t="shared" ref="R73:R95" si="9">IF(N73=H73,"Yes","No")</f>
        <v>No</v>
      </c>
      <c r="S73" s="812"/>
    </row>
    <row r="74" spans="2:34" s="782" customFormat="1">
      <c r="B74" s="782" t="s">
        <v>592</v>
      </c>
      <c r="D74" s="814">
        <v>2002</v>
      </c>
      <c r="F74" s="815"/>
      <c r="G74" s="807"/>
      <c r="H74" s="335">
        <v>36282.69</v>
      </c>
      <c r="I74" s="335"/>
      <c r="J74" s="801">
        <f t="shared" ref="J74:J89" si="10">VLOOKUP(D74,$T$17:$V$48,2,FALSE)</f>
        <v>8.75</v>
      </c>
      <c r="K74" s="810"/>
      <c r="L74" s="811">
        <f t="shared" si="6"/>
        <v>0</v>
      </c>
      <c r="M74" s="811"/>
      <c r="N74" s="803">
        <f t="shared" si="7"/>
        <v>0</v>
      </c>
      <c r="O74" s="803"/>
      <c r="P74" s="803">
        <f t="shared" si="8"/>
        <v>36282.69</v>
      </c>
      <c r="Q74" s="803"/>
      <c r="R74" s="812" t="str">
        <f t="shared" si="9"/>
        <v>No</v>
      </c>
      <c r="S74" s="812"/>
    </row>
    <row r="75" spans="2:34" s="782" customFormat="1">
      <c r="B75" s="782" t="s">
        <v>369</v>
      </c>
      <c r="D75" s="814">
        <v>2002</v>
      </c>
      <c r="F75" s="815"/>
      <c r="G75" s="807"/>
      <c r="H75" s="335">
        <f>1346.14+366.2+173.49+197.97+464+1363+33.65+767.77+876.23+324+1440-360+304.5+161.53+1624+95.5+43.83+41.59+65.53+405.01+31.1+999.95+314.76+20.35+942.64+202.5+73.18+4413.36+957+337.36+819.4+89.72+181.45+884.16+299+3500+7000+1206.7+27.18+30.75-55.15+73.74+28.41+24.11+48.65+163.78+524.7+4384.93+42.54+478.34+465.27</f>
        <v>38243.82</v>
      </c>
      <c r="I75" s="335"/>
      <c r="J75" s="801">
        <f t="shared" si="10"/>
        <v>8.75</v>
      </c>
      <c r="K75" s="810"/>
      <c r="L75" s="811">
        <f t="shared" si="6"/>
        <v>0.02</v>
      </c>
      <c r="M75" s="811"/>
      <c r="N75" s="803">
        <f t="shared" si="7"/>
        <v>6692.6685000000007</v>
      </c>
      <c r="O75" s="803"/>
      <c r="P75" s="803">
        <f t="shared" si="8"/>
        <v>31551.1515</v>
      </c>
      <c r="Q75" s="803"/>
      <c r="R75" s="812" t="str">
        <f t="shared" si="9"/>
        <v>No</v>
      </c>
      <c r="S75" s="812"/>
    </row>
    <row r="76" spans="2:34" s="782" customFormat="1">
      <c r="B76" s="782" t="s">
        <v>101</v>
      </c>
      <c r="D76" s="814">
        <v>2002</v>
      </c>
      <c r="F76" s="815"/>
      <c r="G76" s="807"/>
      <c r="H76" s="335">
        <f>3671.16+2108.99</f>
        <v>5780.15</v>
      </c>
      <c r="I76" s="335"/>
      <c r="J76" s="801">
        <f t="shared" si="10"/>
        <v>8.75</v>
      </c>
      <c r="K76" s="810"/>
      <c r="L76" s="811">
        <f t="shared" si="6"/>
        <v>0.125</v>
      </c>
      <c r="M76" s="811"/>
      <c r="N76" s="803">
        <f t="shared" si="7"/>
        <v>5780.15</v>
      </c>
      <c r="O76" s="803"/>
      <c r="P76" s="803">
        <f t="shared" si="8"/>
        <v>0</v>
      </c>
      <c r="Q76" s="803"/>
      <c r="R76" s="812" t="str">
        <f t="shared" si="9"/>
        <v>Yes</v>
      </c>
      <c r="S76" s="812"/>
    </row>
    <row r="77" spans="2:34" s="782" customFormat="1">
      <c r="B77" s="782" t="s">
        <v>370</v>
      </c>
      <c r="D77" s="814">
        <v>2002</v>
      </c>
      <c r="F77" s="815"/>
      <c r="G77" s="807"/>
      <c r="H77" s="335">
        <v>25878.91</v>
      </c>
      <c r="I77" s="335"/>
      <c r="J77" s="801">
        <f t="shared" si="10"/>
        <v>8.75</v>
      </c>
      <c r="K77" s="810"/>
      <c r="L77" s="811">
        <f t="shared" si="6"/>
        <v>0.25</v>
      </c>
      <c r="M77" s="811"/>
      <c r="N77" s="803">
        <f t="shared" si="7"/>
        <v>25878.91</v>
      </c>
      <c r="O77" s="803"/>
      <c r="P77" s="803">
        <f t="shared" si="8"/>
        <v>0</v>
      </c>
      <c r="Q77" s="803"/>
      <c r="R77" s="812" t="str">
        <f t="shared" si="9"/>
        <v>Yes</v>
      </c>
      <c r="S77" s="812"/>
    </row>
    <row r="78" spans="2:34">
      <c r="B78" s="780" t="s">
        <v>369</v>
      </c>
      <c r="D78" s="370">
        <v>2003</v>
      </c>
      <c r="F78" s="799"/>
      <c r="G78" s="800"/>
      <c r="H78" s="335">
        <f>303778.27-H79-H80-H81</f>
        <v>210574.95</v>
      </c>
      <c r="J78" s="801">
        <f t="shared" si="10"/>
        <v>7.75</v>
      </c>
      <c r="K78" s="801"/>
      <c r="L78" s="785">
        <f>VLOOKUP(B78,$T$9:$U$13,2,FALSE)</f>
        <v>0.02</v>
      </c>
      <c r="M78" s="785"/>
      <c r="N78" s="803">
        <f t="shared" si="7"/>
        <v>32639.117250000003</v>
      </c>
      <c r="O78" s="803"/>
      <c r="P78" s="803">
        <f t="shared" si="8"/>
        <v>177935.83275</v>
      </c>
      <c r="Q78" s="802"/>
      <c r="R78" s="804" t="str">
        <f t="shared" si="9"/>
        <v>No</v>
      </c>
      <c r="T78" s="806"/>
      <c r="U78" s="817"/>
      <c r="V78" s="806"/>
      <c r="W78" s="720"/>
      <c r="Y78" s="720"/>
      <c r="Z78" s="720"/>
      <c r="AA78" s="720"/>
      <c r="AB78" s="720"/>
      <c r="AC78" s="720"/>
      <c r="AD78" s="720"/>
      <c r="AE78" s="720"/>
      <c r="AF78" s="720"/>
      <c r="AG78" s="720"/>
      <c r="AH78" s="720"/>
    </row>
    <row r="79" spans="2:34">
      <c r="B79" s="780" t="s">
        <v>101</v>
      </c>
      <c r="D79" s="370">
        <v>2003</v>
      </c>
      <c r="F79" s="799"/>
      <c r="G79" s="800"/>
      <c r="H79" s="335">
        <f>3592.2</f>
        <v>3592.2</v>
      </c>
      <c r="J79" s="801">
        <f t="shared" si="10"/>
        <v>7.75</v>
      </c>
      <c r="K79" s="801"/>
      <c r="L79" s="785">
        <v>0.125</v>
      </c>
      <c r="M79" s="785"/>
      <c r="N79" s="803">
        <f t="shared" si="7"/>
        <v>3479.9437499999999</v>
      </c>
      <c r="O79" s="803"/>
      <c r="P79" s="803">
        <f t="shared" si="8"/>
        <v>112.25624999999991</v>
      </c>
      <c r="Q79" s="802"/>
      <c r="R79" s="804" t="str">
        <f t="shared" si="9"/>
        <v>No</v>
      </c>
      <c r="T79" s="720"/>
      <c r="U79" s="720"/>
      <c r="V79" s="720"/>
      <c r="W79" s="720"/>
      <c r="X79" s="720"/>
      <c r="Y79" s="720"/>
      <c r="Z79" s="720"/>
      <c r="AA79" s="720"/>
      <c r="AB79" s="720"/>
      <c r="AC79" s="720"/>
      <c r="AD79" s="720"/>
      <c r="AE79" s="720"/>
      <c r="AF79" s="720"/>
      <c r="AG79" s="720"/>
      <c r="AH79" s="720"/>
    </row>
    <row r="80" spans="2:34">
      <c r="B80" s="780" t="s">
        <v>370</v>
      </c>
      <c r="D80" s="370">
        <v>2003</v>
      </c>
      <c r="F80" s="799"/>
      <c r="G80" s="800"/>
      <c r="H80" s="335">
        <v>66712.73</v>
      </c>
      <c r="J80" s="801">
        <f t="shared" si="10"/>
        <v>7.75</v>
      </c>
      <c r="K80" s="801"/>
      <c r="L80" s="785">
        <f>VLOOKUP(B80,$T$9:$U$13,2,FALSE)</f>
        <v>0.25</v>
      </c>
      <c r="M80" s="785"/>
      <c r="N80" s="803">
        <f t="shared" si="7"/>
        <v>66712.73</v>
      </c>
      <c r="O80" s="803"/>
      <c r="P80" s="803">
        <f t="shared" si="8"/>
        <v>0</v>
      </c>
      <c r="Q80" s="802"/>
      <c r="R80" s="804" t="str">
        <f t="shared" si="9"/>
        <v>Yes</v>
      </c>
      <c r="T80" s="720"/>
      <c r="U80" s="720"/>
      <c r="V80" s="720"/>
      <c r="W80" s="720"/>
      <c r="X80" s="720"/>
      <c r="Y80" s="720"/>
      <c r="Z80" s="720"/>
      <c r="AA80" s="720"/>
      <c r="AB80" s="720"/>
      <c r="AC80" s="720"/>
      <c r="AD80" s="720"/>
      <c r="AE80" s="720"/>
      <c r="AF80" s="720"/>
      <c r="AG80" s="720"/>
      <c r="AH80" s="720"/>
    </row>
    <row r="81" spans="2:34">
      <c r="B81" s="780" t="s">
        <v>592</v>
      </c>
      <c r="D81" s="370">
        <v>2003</v>
      </c>
      <c r="F81" s="799"/>
      <c r="G81" s="800"/>
      <c r="H81" s="335">
        <v>22898.39</v>
      </c>
      <c r="I81" s="335"/>
      <c r="J81" s="801">
        <f t="shared" si="10"/>
        <v>7.75</v>
      </c>
      <c r="K81" s="801"/>
      <c r="L81" s="785">
        <f>VLOOKUP(B81,$T$9:$U$13,2,FALSE)</f>
        <v>0</v>
      </c>
      <c r="M81" s="785"/>
      <c r="N81" s="803">
        <f t="shared" si="7"/>
        <v>0</v>
      </c>
      <c r="O81" s="803"/>
      <c r="P81" s="803">
        <f t="shared" si="8"/>
        <v>22898.39</v>
      </c>
      <c r="Q81" s="803"/>
      <c r="R81" s="804" t="str">
        <f t="shared" si="9"/>
        <v>No</v>
      </c>
      <c r="T81" s="720"/>
      <c r="U81" s="720"/>
      <c r="V81" s="720"/>
      <c r="W81" s="720"/>
      <c r="X81" s="720"/>
      <c r="Y81" s="720"/>
      <c r="Z81" s="720"/>
      <c r="AA81" s="720"/>
      <c r="AB81" s="720"/>
      <c r="AC81" s="720"/>
      <c r="AD81" s="720"/>
      <c r="AE81" s="720"/>
      <c r="AF81" s="720"/>
      <c r="AG81" s="720"/>
      <c r="AH81" s="720"/>
    </row>
    <row r="82" spans="2:34">
      <c r="B82" s="780" t="s">
        <v>369</v>
      </c>
      <c r="D82" s="370">
        <v>2004</v>
      </c>
      <c r="F82" s="799"/>
      <c r="G82" s="800"/>
      <c r="H82" s="335">
        <f>517659.51-H83-H84-H85</f>
        <v>456980.02999999997</v>
      </c>
      <c r="J82" s="801">
        <f t="shared" si="10"/>
        <v>6.75</v>
      </c>
      <c r="K82" s="801"/>
      <c r="L82" s="785">
        <f>VLOOKUP(B82,$T$9:$U$13,2,FALSE)</f>
        <v>0.02</v>
      </c>
      <c r="M82" s="785"/>
      <c r="N82" s="803">
        <f t="shared" si="7"/>
        <v>61692.304049999999</v>
      </c>
      <c r="O82" s="803"/>
      <c r="P82" s="803">
        <f t="shared" si="8"/>
        <v>395287.72594999999</v>
      </c>
      <c r="Q82" s="802"/>
      <c r="R82" s="804" t="str">
        <f t="shared" si="9"/>
        <v>No</v>
      </c>
      <c r="U82" s="720"/>
      <c r="V82" s="720"/>
      <c r="W82" s="720"/>
      <c r="X82" s="720"/>
      <c r="Y82" s="720"/>
      <c r="Z82" s="720"/>
      <c r="AA82" s="720"/>
      <c r="AB82" s="720"/>
      <c r="AC82" s="720"/>
      <c r="AD82" s="720"/>
      <c r="AE82" s="720"/>
      <c r="AF82" s="720"/>
      <c r="AG82" s="720"/>
      <c r="AH82" s="720"/>
    </row>
    <row r="83" spans="2:34">
      <c r="B83" s="780" t="s">
        <v>101</v>
      </c>
      <c r="D83" s="370">
        <v>2004</v>
      </c>
      <c r="F83" s="799"/>
      <c r="G83" s="800"/>
      <c r="H83" s="335">
        <f>2282.04+619.92</f>
        <v>2901.96</v>
      </c>
      <c r="J83" s="801">
        <f t="shared" si="10"/>
        <v>6.75</v>
      </c>
      <c r="K83" s="801"/>
      <c r="L83" s="785">
        <v>0.125</v>
      </c>
      <c r="M83" s="785"/>
      <c r="N83" s="803">
        <f t="shared" si="7"/>
        <v>2448.5287499999999</v>
      </c>
      <c r="O83" s="803"/>
      <c r="P83" s="803">
        <f t="shared" si="8"/>
        <v>453.43125000000009</v>
      </c>
      <c r="Q83" s="802"/>
      <c r="R83" s="804" t="str">
        <f t="shared" si="9"/>
        <v>No</v>
      </c>
      <c r="T83" s="720"/>
      <c r="U83" s="720"/>
      <c r="V83" s="720"/>
      <c r="W83" s="720"/>
      <c r="X83" s="720"/>
      <c r="Y83" s="720"/>
      <c r="Z83" s="720"/>
      <c r="AA83" s="720"/>
      <c r="AB83" s="720"/>
      <c r="AC83" s="720"/>
      <c r="AD83" s="720"/>
      <c r="AE83" s="720"/>
      <c r="AF83" s="720"/>
      <c r="AG83" s="720"/>
      <c r="AH83" s="720"/>
    </row>
    <row r="84" spans="2:34">
      <c r="B84" s="780" t="s">
        <v>370</v>
      </c>
      <c r="D84" s="370">
        <v>2004</v>
      </c>
      <c r="F84" s="799"/>
      <c r="G84" s="800"/>
      <c r="H84" s="335">
        <v>55831.7</v>
      </c>
      <c r="J84" s="801">
        <f t="shared" si="10"/>
        <v>6.75</v>
      </c>
      <c r="K84" s="801"/>
      <c r="L84" s="785">
        <f>VLOOKUP(B84,$T$9:$U$13,2,FALSE)</f>
        <v>0.25</v>
      </c>
      <c r="M84" s="785"/>
      <c r="N84" s="803">
        <f t="shared" si="7"/>
        <v>55831.7</v>
      </c>
      <c r="O84" s="803"/>
      <c r="P84" s="803">
        <f t="shared" si="8"/>
        <v>0</v>
      </c>
      <c r="Q84" s="802"/>
      <c r="R84" s="804" t="str">
        <f t="shared" si="9"/>
        <v>Yes</v>
      </c>
      <c r="T84" s="720"/>
      <c r="U84" s="720"/>
      <c r="V84" s="720"/>
      <c r="W84" s="720"/>
      <c r="X84" s="720"/>
      <c r="Y84" s="720"/>
      <c r="Z84" s="720"/>
      <c r="AA84" s="720"/>
      <c r="AB84" s="720"/>
      <c r="AC84" s="720"/>
      <c r="AD84" s="720"/>
      <c r="AE84" s="720"/>
      <c r="AF84" s="720"/>
      <c r="AG84" s="720"/>
      <c r="AH84" s="720"/>
    </row>
    <row r="85" spans="2:34">
      <c r="B85" s="780" t="s">
        <v>592</v>
      </c>
      <c r="D85" s="370">
        <v>2004</v>
      </c>
      <c r="F85" s="799"/>
      <c r="G85" s="800"/>
      <c r="H85" s="335">
        <v>1945.82</v>
      </c>
      <c r="I85" s="335"/>
      <c r="J85" s="801">
        <f t="shared" si="10"/>
        <v>6.75</v>
      </c>
      <c r="K85" s="801"/>
      <c r="L85" s="785">
        <f>VLOOKUP(B85,$T$9:$U$13,2,FALSE)</f>
        <v>0</v>
      </c>
      <c r="M85" s="785"/>
      <c r="N85" s="803">
        <f t="shared" si="7"/>
        <v>0</v>
      </c>
      <c r="O85" s="803"/>
      <c r="P85" s="803">
        <f t="shared" si="8"/>
        <v>1945.82</v>
      </c>
      <c r="Q85" s="803"/>
      <c r="R85" s="804" t="str">
        <f t="shared" si="9"/>
        <v>No</v>
      </c>
      <c r="T85" s="720"/>
      <c r="U85" s="720"/>
      <c r="V85" s="720"/>
      <c r="W85" s="720"/>
      <c r="X85" s="720"/>
      <c r="Y85" s="720"/>
      <c r="Z85" s="720"/>
      <c r="AA85" s="720"/>
      <c r="AB85" s="720"/>
      <c r="AC85" s="720"/>
      <c r="AD85" s="720"/>
      <c r="AE85" s="720"/>
      <c r="AF85" s="720"/>
      <c r="AG85" s="720"/>
      <c r="AH85" s="720"/>
    </row>
    <row r="86" spans="2:34">
      <c r="B86" s="780" t="s">
        <v>369</v>
      </c>
      <c r="D86" s="370">
        <v>2005</v>
      </c>
      <c r="F86" s="799"/>
      <c r="G86" s="800"/>
      <c r="H86" s="335">
        <f>7256830.51-6546728.58-H89</f>
        <v>709699.02999999968</v>
      </c>
      <c r="J86" s="801">
        <f t="shared" si="10"/>
        <v>5.75</v>
      </c>
      <c r="K86" s="801"/>
      <c r="L86" s="785">
        <f>VLOOKUP(B86,$T$9:$U$13,2,FALSE)</f>
        <v>0.02</v>
      </c>
      <c r="M86" s="785"/>
      <c r="N86" s="803">
        <f t="shared" si="7"/>
        <v>81615.388449999969</v>
      </c>
      <c r="O86" s="803"/>
      <c r="P86" s="803">
        <f t="shared" si="8"/>
        <v>628083.64154999971</v>
      </c>
      <c r="Q86" s="802"/>
      <c r="R86" s="804" t="str">
        <f t="shared" si="9"/>
        <v>No</v>
      </c>
      <c r="U86" s="720"/>
      <c r="V86" s="720"/>
      <c r="W86" s="720"/>
      <c r="X86" s="720"/>
      <c r="Y86" s="720"/>
      <c r="Z86" s="720"/>
      <c r="AA86" s="720"/>
      <c r="AB86" s="720"/>
      <c r="AC86" s="720"/>
      <c r="AD86" s="720"/>
      <c r="AE86" s="720"/>
      <c r="AF86" s="720"/>
      <c r="AG86" s="720"/>
      <c r="AH86" s="720"/>
    </row>
    <row r="87" spans="2:34">
      <c r="B87" s="780" t="s">
        <v>101</v>
      </c>
      <c r="D87" s="370">
        <v>2005</v>
      </c>
      <c r="F87" s="799"/>
      <c r="G87" s="800"/>
      <c r="H87" s="335">
        <f>16432.23-12274.31</f>
        <v>4157.92</v>
      </c>
      <c r="J87" s="801">
        <f t="shared" si="10"/>
        <v>5.75</v>
      </c>
      <c r="K87" s="801"/>
      <c r="L87" s="785">
        <v>0.125</v>
      </c>
      <c r="M87" s="785"/>
      <c r="N87" s="803">
        <f t="shared" si="7"/>
        <v>2988.5050000000001</v>
      </c>
      <c r="O87" s="803"/>
      <c r="P87" s="803">
        <f t="shared" si="8"/>
        <v>1169.415</v>
      </c>
      <c r="Q87" s="802"/>
      <c r="R87" s="804" t="str">
        <f t="shared" si="9"/>
        <v>No</v>
      </c>
      <c r="T87" s="720"/>
      <c r="U87" s="720"/>
      <c r="V87" s="720"/>
      <c r="W87" s="720"/>
      <c r="X87" s="720"/>
      <c r="Y87" s="720"/>
      <c r="Z87" s="720"/>
      <c r="AA87" s="720"/>
      <c r="AB87" s="720"/>
      <c r="AC87" s="720"/>
      <c r="AD87" s="720"/>
      <c r="AE87" s="720"/>
      <c r="AF87" s="720"/>
      <c r="AG87" s="720"/>
      <c r="AH87" s="720"/>
    </row>
    <row r="88" spans="2:34">
      <c r="B88" s="780" t="s">
        <v>370</v>
      </c>
      <c r="D88" s="370">
        <v>2005</v>
      </c>
      <c r="F88" s="799"/>
      <c r="G88" s="800"/>
      <c r="H88" s="335">
        <f>419015.19-399122.55</f>
        <v>19892.640000000014</v>
      </c>
      <c r="J88" s="801">
        <f t="shared" si="10"/>
        <v>5.75</v>
      </c>
      <c r="K88" s="801"/>
      <c r="L88" s="785">
        <f>VLOOKUP(B88,$T$9:$U$13,2,FALSE)</f>
        <v>0.25</v>
      </c>
      <c r="M88" s="785"/>
      <c r="N88" s="803">
        <f t="shared" si="7"/>
        <v>19892.640000000014</v>
      </c>
      <c r="O88" s="803"/>
      <c r="P88" s="803">
        <f t="shared" si="8"/>
        <v>0</v>
      </c>
      <c r="Q88" s="802"/>
      <c r="R88" s="804" t="str">
        <f t="shared" si="9"/>
        <v>Yes</v>
      </c>
      <c r="T88" s="720"/>
      <c r="U88" s="720"/>
      <c r="V88" s="720"/>
      <c r="W88" s="720"/>
      <c r="X88" s="720"/>
      <c r="Y88" s="720"/>
      <c r="Z88" s="720"/>
      <c r="AA88" s="720"/>
      <c r="AB88" s="720"/>
      <c r="AC88" s="720"/>
      <c r="AD88" s="720"/>
      <c r="AE88" s="720"/>
      <c r="AF88" s="720"/>
      <c r="AG88" s="720"/>
      <c r="AH88" s="720"/>
    </row>
    <row r="89" spans="2:34">
      <c r="B89" s="780" t="s">
        <v>592</v>
      </c>
      <c r="D89" s="370">
        <v>2005</v>
      </c>
      <c r="F89" s="799"/>
      <c r="G89" s="800"/>
      <c r="H89" s="335">
        <f>128111.41-127708.51</f>
        <v>402.90000000000873</v>
      </c>
      <c r="I89" s="335"/>
      <c r="J89" s="801">
        <f t="shared" si="10"/>
        <v>5.75</v>
      </c>
      <c r="K89" s="801"/>
      <c r="L89" s="785">
        <f>VLOOKUP(B89,$T$9:$U$13,2,FALSE)</f>
        <v>0</v>
      </c>
      <c r="M89" s="785"/>
      <c r="N89" s="803">
        <f t="shared" si="7"/>
        <v>0</v>
      </c>
      <c r="O89" s="803"/>
      <c r="P89" s="803">
        <f t="shared" si="8"/>
        <v>402.90000000000873</v>
      </c>
      <c r="Q89" s="803"/>
      <c r="R89" s="804" t="str">
        <f t="shared" si="9"/>
        <v>No</v>
      </c>
      <c r="T89" s="720"/>
      <c r="U89" s="720"/>
      <c r="V89" s="720"/>
      <c r="W89" s="720"/>
      <c r="X89" s="720"/>
      <c r="Y89" s="720"/>
      <c r="Z89" s="720"/>
      <c r="AA89" s="720"/>
      <c r="AB89" s="720"/>
      <c r="AC89" s="720"/>
      <c r="AD89" s="720"/>
      <c r="AE89" s="720"/>
      <c r="AF89" s="720"/>
      <c r="AG89" s="720"/>
      <c r="AH89" s="720"/>
    </row>
    <row r="90" spans="2:34">
      <c r="B90" s="780" t="s">
        <v>369</v>
      </c>
      <c r="D90" s="370">
        <v>2006</v>
      </c>
      <c r="F90" s="799"/>
      <c r="G90" s="800"/>
      <c r="H90" s="335">
        <f>7730565.26-7256830.51</f>
        <v>473734.75</v>
      </c>
      <c r="J90" s="801">
        <f t="shared" ref="J90:J95" si="11">VLOOKUP(D90,$T$20:$V$51,2,FALSE)</f>
        <v>4.75</v>
      </c>
      <c r="K90" s="801"/>
      <c r="L90" s="785">
        <f>VLOOKUP(B90,$T$9:$U$13,2,FALSE)</f>
        <v>0.02</v>
      </c>
      <c r="M90" s="785"/>
      <c r="N90" s="803">
        <f t="shared" si="7"/>
        <v>45004.801250000004</v>
      </c>
      <c r="O90" s="803"/>
      <c r="P90" s="803">
        <f t="shared" si="8"/>
        <v>428729.94874999998</v>
      </c>
      <c r="Q90" s="802"/>
      <c r="R90" s="804" t="str">
        <f t="shared" si="9"/>
        <v>No</v>
      </c>
      <c r="U90" s="720"/>
      <c r="V90" s="720"/>
      <c r="W90" s="720"/>
      <c r="X90" s="720"/>
      <c r="Y90" s="720"/>
      <c r="Z90" s="720"/>
      <c r="AA90" s="720"/>
      <c r="AB90" s="720"/>
      <c r="AC90" s="720"/>
      <c r="AD90" s="720"/>
      <c r="AE90" s="720"/>
      <c r="AF90" s="720"/>
      <c r="AG90" s="720"/>
      <c r="AH90" s="720"/>
    </row>
    <row r="91" spans="2:34">
      <c r="B91" s="780" t="s">
        <v>101</v>
      </c>
      <c r="D91" s="370">
        <v>2006</v>
      </c>
      <c r="F91" s="799"/>
      <c r="G91" s="800"/>
      <c r="H91" s="335">
        <f>18544.52-16432.23</f>
        <v>2112.2900000000009</v>
      </c>
      <c r="J91" s="801">
        <f t="shared" si="11"/>
        <v>4.75</v>
      </c>
      <c r="K91" s="801"/>
      <c r="L91" s="785">
        <v>0.125</v>
      </c>
      <c r="M91" s="785"/>
      <c r="N91" s="803">
        <f t="shared" si="7"/>
        <v>1254.1721875000005</v>
      </c>
      <c r="O91" s="803"/>
      <c r="P91" s="803">
        <f t="shared" si="8"/>
        <v>858.11781250000035</v>
      </c>
      <c r="Q91" s="802"/>
      <c r="R91" s="804" t="str">
        <f t="shared" si="9"/>
        <v>No</v>
      </c>
      <c r="T91" s="720"/>
      <c r="U91" s="720"/>
      <c r="V91" s="720"/>
      <c r="W91" s="720"/>
      <c r="X91" s="720"/>
      <c r="Y91" s="720"/>
      <c r="Z91" s="720"/>
      <c r="AA91" s="720"/>
      <c r="AB91" s="720"/>
      <c r="AC91" s="720"/>
      <c r="AD91" s="720"/>
      <c r="AE91" s="720"/>
      <c r="AF91" s="720"/>
      <c r="AG91" s="720"/>
      <c r="AH91" s="720"/>
    </row>
    <row r="92" spans="2:34">
      <c r="B92" s="780" t="s">
        <v>370</v>
      </c>
      <c r="D92" s="370">
        <v>2006</v>
      </c>
      <c r="F92" s="799"/>
      <c r="G92" s="800"/>
      <c r="H92" s="335">
        <f>434621.09-419015.19</f>
        <v>15605.900000000023</v>
      </c>
      <c r="J92" s="801">
        <f t="shared" si="11"/>
        <v>4.75</v>
      </c>
      <c r="K92" s="801"/>
      <c r="L92" s="785">
        <f>VLOOKUP(B92,$T$9:$U$13,2,FALSE)</f>
        <v>0.25</v>
      </c>
      <c r="M92" s="785"/>
      <c r="N92" s="803">
        <f t="shared" si="7"/>
        <v>15605.900000000023</v>
      </c>
      <c r="O92" s="803"/>
      <c r="P92" s="803">
        <f t="shared" si="8"/>
        <v>0</v>
      </c>
      <c r="Q92" s="802"/>
      <c r="R92" s="804" t="str">
        <f t="shared" si="9"/>
        <v>Yes</v>
      </c>
      <c r="T92" s="720"/>
      <c r="U92" s="720"/>
      <c r="V92" s="720"/>
      <c r="W92" s="720"/>
      <c r="X92" s="720"/>
      <c r="Y92" s="720"/>
      <c r="Z92" s="720"/>
      <c r="AA92" s="720"/>
      <c r="AB92" s="720"/>
      <c r="AC92" s="720"/>
      <c r="AD92" s="720"/>
      <c r="AE92" s="720"/>
      <c r="AF92" s="720"/>
      <c r="AG92" s="720"/>
      <c r="AH92" s="720"/>
    </row>
    <row r="93" spans="2:34">
      <c r="B93" s="780" t="s">
        <v>369</v>
      </c>
      <c r="D93" s="781">
        <v>2007</v>
      </c>
      <c r="H93" s="335">
        <f>7955405.05-7730565.26+334.96</f>
        <v>225174.75000000003</v>
      </c>
      <c r="J93" s="801">
        <f t="shared" si="11"/>
        <v>3.75</v>
      </c>
      <c r="K93" s="801"/>
      <c r="L93" s="785">
        <f>VLOOKUP(B93,$T$9:$U$13,2,FALSE)</f>
        <v>0.02</v>
      </c>
      <c r="N93" s="803">
        <f t="shared" si="7"/>
        <v>16888.106250000001</v>
      </c>
      <c r="P93" s="803">
        <f t="shared" si="8"/>
        <v>208286.64375000002</v>
      </c>
      <c r="R93" s="804" t="str">
        <f t="shared" si="9"/>
        <v>No</v>
      </c>
      <c r="T93" s="720"/>
      <c r="U93" s="720"/>
      <c r="V93" s="720"/>
      <c r="W93" s="720"/>
      <c r="X93" s="720"/>
      <c r="Y93" s="720"/>
      <c r="Z93" s="720"/>
      <c r="AA93" s="720"/>
      <c r="AB93" s="720"/>
      <c r="AC93" s="720"/>
      <c r="AD93" s="720"/>
      <c r="AE93" s="720"/>
      <c r="AF93" s="720"/>
      <c r="AG93" s="720"/>
      <c r="AH93" s="720"/>
    </row>
    <row r="94" spans="2:34">
      <c r="B94" s="780" t="s">
        <v>101</v>
      </c>
      <c r="D94" s="781">
        <v>2007</v>
      </c>
      <c r="H94" s="335">
        <f>157170.13-(15307.04+3237.48)</f>
        <v>138625.61000000002</v>
      </c>
      <c r="J94" s="801">
        <f t="shared" si="11"/>
        <v>3.75</v>
      </c>
      <c r="K94" s="801"/>
      <c r="L94" s="785">
        <v>0.125</v>
      </c>
      <c r="N94" s="803">
        <f t="shared" si="7"/>
        <v>64980.754687500004</v>
      </c>
      <c r="P94" s="803">
        <f t="shared" si="8"/>
        <v>73644.855312500003</v>
      </c>
      <c r="R94" s="804" t="str">
        <f t="shared" si="9"/>
        <v>No</v>
      </c>
      <c r="T94" s="720"/>
      <c r="U94" s="720"/>
      <c r="V94" s="720"/>
      <c r="W94" s="720"/>
      <c r="X94" s="720"/>
      <c r="Y94" s="720"/>
      <c r="Z94" s="720"/>
      <c r="AA94" s="720"/>
      <c r="AB94" s="720"/>
      <c r="AC94" s="720"/>
      <c r="AD94" s="720"/>
      <c r="AE94" s="720"/>
      <c r="AF94" s="720"/>
      <c r="AG94" s="720"/>
      <c r="AH94" s="720"/>
    </row>
    <row r="95" spans="2:34">
      <c r="B95" s="780" t="s">
        <v>370</v>
      </c>
      <c r="D95" s="781">
        <v>2007</v>
      </c>
      <c r="H95" s="818">
        <f>467157.6-434621.09</f>
        <v>32536.509999999951</v>
      </c>
      <c r="J95" s="801">
        <f t="shared" si="11"/>
        <v>3.75</v>
      </c>
      <c r="K95" s="801"/>
      <c r="L95" s="785">
        <f>VLOOKUP(B95,$T$9:$U$13,2,FALSE)</f>
        <v>0.25</v>
      </c>
      <c r="N95" s="819">
        <f t="shared" si="7"/>
        <v>30502.978124999954</v>
      </c>
      <c r="P95" s="819">
        <f t="shared" si="8"/>
        <v>2033.5318749999969</v>
      </c>
      <c r="R95" s="804" t="str">
        <f t="shared" si="9"/>
        <v>No</v>
      </c>
      <c r="T95" s="720"/>
      <c r="U95" s="720"/>
      <c r="V95" s="720"/>
      <c r="W95" s="720"/>
      <c r="X95" s="720"/>
      <c r="Y95" s="720"/>
      <c r="Z95" s="720"/>
      <c r="AA95" s="720"/>
      <c r="AB95" s="720"/>
      <c r="AC95" s="720"/>
      <c r="AD95" s="720"/>
      <c r="AE95" s="720"/>
      <c r="AF95" s="720"/>
      <c r="AG95" s="720"/>
      <c r="AH95" s="720"/>
    </row>
    <row r="96" spans="2:34">
      <c r="F96" s="781" t="s">
        <v>374</v>
      </c>
      <c r="H96" s="720">
        <f>SUM(H9:H95)</f>
        <v>8616350.4300000016</v>
      </c>
      <c r="N96" s="720">
        <f>SUM(N9:N95)</f>
        <v>3598498.4053500011</v>
      </c>
      <c r="P96" s="720">
        <f>SUM(P9:P95)</f>
        <v>5017852.0246499991</v>
      </c>
      <c r="T96" s="720"/>
      <c r="U96" s="720"/>
      <c r="V96" s="720"/>
      <c r="W96" s="720"/>
      <c r="X96" s="720"/>
      <c r="Y96" s="720"/>
      <c r="Z96" s="720"/>
      <c r="AA96" s="720"/>
      <c r="AB96" s="720"/>
      <c r="AC96" s="720"/>
      <c r="AD96" s="720"/>
      <c r="AE96" s="720"/>
      <c r="AF96" s="720"/>
      <c r="AG96" s="720"/>
      <c r="AH96" s="720"/>
    </row>
    <row r="97" spans="1:34">
      <c r="T97" s="720"/>
      <c r="U97" s="720"/>
      <c r="V97" s="720"/>
      <c r="W97" s="720"/>
      <c r="X97" s="720"/>
      <c r="Y97" s="720"/>
      <c r="Z97" s="720"/>
      <c r="AA97" s="720"/>
      <c r="AB97" s="720"/>
      <c r="AC97" s="720"/>
      <c r="AD97" s="720"/>
      <c r="AE97" s="720"/>
      <c r="AF97" s="720"/>
      <c r="AG97" s="720"/>
      <c r="AH97" s="720"/>
    </row>
    <row r="98" spans="1:34">
      <c r="A98" s="813" t="s">
        <v>1548</v>
      </c>
      <c r="T98" s="720"/>
      <c r="U98" s="720"/>
      <c r="V98" s="720"/>
      <c r="W98" s="720"/>
      <c r="X98" s="720"/>
      <c r="Y98" s="720"/>
      <c r="Z98" s="720"/>
      <c r="AA98" s="720"/>
      <c r="AB98" s="720"/>
      <c r="AC98" s="720"/>
      <c r="AD98" s="720"/>
      <c r="AE98" s="720"/>
      <c r="AF98" s="720"/>
      <c r="AG98" s="720"/>
      <c r="AH98" s="720"/>
    </row>
    <row r="99" spans="1:34">
      <c r="B99" s="780" t="s">
        <v>369</v>
      </c>
      <c r="D99" s="781">
        <v>2008</v>
      </c>
      <c r="H99" s="720">
        <v>625518.99</v>
      </c>
      <c r="J99" s="801">
        <f>VLOOKUP(D99,$T$20:$V$53,2,FALSE)</f>
        <v>2.75</v>
      </c>
      <c r="L99" s="785">
        <f>VLOOKUP(B99,$T$9:$U$13,2,FALSE)</f>
        <v>0.02</v>
      </c>
      <c r="N99" s="802">
        <f>IF(L99*J99*H99&gt;H99,H99,L99*J99*H99)</f>
        <v>34403.544450000001</v>
      </c>
      <c r="P99" s="802">
        <f>H99-N99</f>
        <v>591115.44554999995</v>
      </c>
      <c r="R99" s="804" t="str">
        <f>IF(N99=H99,"Yes","No")</f>
        <v>No</v>
      </c>
      <c r="T99" s="720"/>
      <c r="U99" s="720"/>
      <c r="V99" s="720"/>
      <c r="W99" s="720"/>
      <c r="X99" s="720"/>
      <c r="Y99" s="720"/>
      <c r="Z99" s="720"/>
      <c r="AA99" s="720"/>
      <c r="AB99" s="720"/>
      <c r="AC99" s="720"/>
      <c r="AD99" s="720"/>
      <c r="AE99" s="720"/>
      <c r="AF99" s="720"/>
      <c r="AG99" s="720"/>
      <c r="AH99" s="720"/>
    </row>
    <row r="100" spans="1:34">
      <c r="B100" s="780" t="s">
        <v>101</v>
      </c>
      <c r="D100" s="781">
        <v>2008</v>
      </c>
      <c r="H100" s="720">
        <v>502208</v>
      </c>
      <c r="J100" s="801">
        <f>VLOOKUP(D100,$T$20:$V$51,2,FALSE)</f>
        <v>2.75</v>
      </c>
      <c r="L100" s="785">
        <v>0.125</v>
      </c>
      <c r="N100" s="802">
        <f>IF(L100*J100*H100&gt;H100,H100,L100*J100*H100)</f>
        <v>172634</v>
      </c>
      <c r="P100" s="802">
        <f>H100-N100</f>
        <v>329574</v>
      </c>
      <c r="R100" s="804" t="str">
        <f>IF(N100=H100,"Yes","No")</f>
        <v>No</v>
      </c>
      <c r="T100" s="720"/>
      <c r="U100" s="720"/>
      <c r="V100" s="720"/>
      <c r="W100" s="720"/>
      <c r="X100" s="720"/>
      <c r="Y100" s="720"/>
      <c r="Z100" s="720"/>
      <c r="AA100" s="720"/>
      <c r="AB100" s="720"/>
      <c r="AC100" s="720"/>
      <c r="AD100" s="720"/>
      <c r="AE100" s="720"/>
      <c r="AF100" s="720"/>
      <c r="AG100" s="720"/>
      <c r="AH100" s="720"/>
    </row>
    <row r="101" spans="1:34">
      <c r="B101" s="780" t="s">
        <v>370</v>
      </c>
      <c r="D101" s="781">
        <v>2008</v>
      </c>
      <c r="H101" s="720">
        <v>24039.77</v>
      </c>
      <c r="J101" s="801">
        <f>VLOOKUP(D101,$T$20:$V$51,2,FALSE)</f>
        <v>2.75</v>
      </c>
      <c r="L101" s="785">
        <f>VLOOKUP(B101,$T$9:$U$13,2,FALSE)</f>
        <v>0.25</v>
      </c>
      <c r="N101" s="802">
        <f>IF(L101*J101*H101&gt;H101,H101,L101*J101*H101)</f>
        <v>16527.341875000002</v>
      </c>
      <c r="P101" s="802">
        <f>H101-N101</f>
        <v>7512.4281249999985</v>
      </c>
      <c r="R101" s="804" t="str">
        <f>IF(N101=H101,"Yes","No")</f>
        <v>No</v>
      </c>
      <c r="T101" s="720"/>
      <c r="U101" s="720"/>
      <c r="V101" s="720"/>
      <c r="W101" s="720"/>
      <c r="X101" s="720"/>
      <c r="Y101" s="720"/>
      <c r="Z101" s="720"/>
      <c r="AA101" s="720"/>
      <c r="AB101" s="720"/>
      <c r="AC101" s="720"/>
      <c r="AD101" s="720"/>
      <c r="AE101" s="720"/>
      <c r="AF101" s="720"/>
      <c r="AG101" s="720"/>
      <c r="AH101" s="720"/>
    </row>
    <row r="102" spans="1:34">
      <c r="B102" s="780" t="s">
        <v>640</v>
      </c>
      <c r="D102" s="781">
        <v>2008</v>
      </c>
      <c r="H102" s="720">
        <v>484.54</v>
      </c>
      <c r="J102" s="801">
        <f>VLOOKUP(D102,$T$20:$V$51,2,FALSE)</f>
        <v>2.75</v>
      </c>
      <c r="L102" s="785">
        <f>VLOOKUP(B102,$T$9:$U$13,2,FALSE)</f>
        <v>0</v>
      </c>
      <c r="N102" s="802">
        <f>IF(L102*J102*H102&gt;H102,H102,L102*J102*H102)</f>
        <v>0</v>
      </c>
      <c r="P102" s="802">
        <f>H102-N102</f>
        <v>484.54</v>
      </c>
      <c r="R102" s="804" t="str">
        <f>IF(N102=H102,"Yes","No")</f>
        <v>No</v>
      </c>
      <c r="T102" s="720"/>
      <c r="U102" s="720"/>
      <c r="V102" s="720"/>
      <c r="W102" s="720"/>
      <c r="X102" s="720"/>
      <c r="Y102" s="720"/>
      <c r="Z102" s="720"/>
      <c r="AA102" s="720"/>
      <c r="AB102" s="720"/>
      <c r="AC102" s="720"/>
      <c r="AD102" s="720"/>
      <c r="AE102" s="720"/>
      <c r="AF102" s="720"/>
      <c r="AG102" s="720"/>
      <c r="AH102" s="720"/>
    </row>
    <row r="103" spans="1:34">
      <c r="B103" s="780" t="s">
        <v>592</v>
      </c>
      <c r="D103" s="781">
        <v>2008</v>
      </c>
      <c r="H103" s="818">
        <v>0</v>
      </c>
      <c r="J103" s="801">
        <f>VLOOKUP(D103,$T$20:$V$51,2,FALSE)</f>
        <v>2.75</v>
      </c>
      <c r="L103" s="785">
        <f>VLOOKUP(B103,$T$9:$U$13,2,FALSE)</f>
        <v>0</v>
      </c>
      <c r="N103" s="819">
        <f>IF(L103*J103*H103&gt;H103,H103,L103*J103*H103)</f>
        <v>0</v>
      </c>
      <c r="P103" s="819">
        <f>H103-N103</f>
        <v>0</v>
      </c>
      <c r="R103" s="804" t="str">
        <f>IF(N103=H103,"Yes","No")</f>
        <v>Yes</v>
      </c>
      <c r="T103" s="720"/>
      <c r="U103" s="720"/>
      <c r="V103" s="720"/>
      <c r="W103" s="720"/>
      <c r="X103" s="720"/>
      <c r="Y103" s="720"/>
      <c r="Z103" s="720"/>
      <c r="AA103" s="720"/>
      <c r="AB103" s="720"/>
      <c r="AC103" s="720"/>
      <c r="AD103" s="720"/>
      <c r="AE103" s="720"/>
      <c r="AF103" s="720"/>
      <c r="AG103" s="720"/>
      <c r="AH103" s="720"/>
    </row>
    <row r="104" spans="1:34">
      <c r="F104" s="781" t="s">
        <v>374</v>
      </c>
      <c r="H104" s="802">
        <f>SUM(H99:H103)</f>
        <v>1152251.3</v>
      </c>
      <c r="N104" s="802">
        <f>SUM(N99:N103)</f>
        <v>223564.886325</v>
      </c>
      <c r="P104" s="802">
        <f>SUM(P99:P103)</f>
        <v>928686.41367499996</v>
      </c>
      <c r="T104" s="720"/>
      <c r="U104" s="720"/>
      <c r="V104" s="720"/>
      <c r="W104" s="720"/>
      <c r="X104" s="720"/>
      <c r="Y104" s="720"/>
      <c r="Z104" s="720"/>
      <c r="AA104" s="720"/>
      <c r="AB104" s="720"/>
      <c r="AC104" s="720"/>
      <c r="AD104" s="720"/>
      <c r="AE104" s="720"/>
      <c r="AF104" s="720"/>
      <c r="AG104" s="720"/>
      <c r="AH104" s="720"/>
    </row>
    <row r="105" spans="1:34">
      <c r="H105" s="802"/>
      <c r="J105" s="478"/>
      <c r="L105" s="802"/>
      <c r="N105" s="802"/>
      <c r="P105" s="802"/>
      <c r="T105" s="720"/>
      <c r="U105" s="720"/>
      <c r="V105" s="720"/>
      <c r="W105" s="720"/>
      <c r="X105" s="720"/>
      <c r="Y105" s="720"/>
      <c r="Z105" s="720"/>
      <c r="AA105" s="720"/>
      <c r="AB105" s="720"/>
      <c r="AC105" s="720"/>
      <c r="AD105" s="720"/>
      <c r="AE105" s="720"/>
      <c r="AF105" s="720"/>
      <c r="AG105" s="720"/>
      <c r="AH105" s="720"/>
    </row>
    <row r="106" spans="1:34">
      <c r="A106" s="813" t="s">
        <v>1549</v>
      </c>
      <c r="H106" s="802"/>
      <c r="N106" s="802"/>
      <c r="P106" s="802"/>
      <c r="T106" s="720"/>
      <c r="U106" s="720"/>
      <c r="V106" s="720"/>
      <c r="W106" s="720"/>
      <c r="X106" s="720"/>
      <c r="Y106" s="720"/>
      <c r="Z106" s="720"/>
      <c r="AA106" s="720"/>
      <c r="AB106" s="720"/>
      <c r="AC106" s="720"/>
      <c r="AD106" s="720"/>
      <c r="AE106" s="720"/>
      <c r="AF106" s="720"/>
      <c r="AG106" s="720"/>
      <c r="AH106" s="720"/>
    </row>
    <row r="107" spans="1:34">
      <c r="B107" s="780" t="s">
        <v>369</v>
      </c>
      <c r="D107" s="781">
        <v>2009</v>
      </c>
      <c r="H107" s="802">
        <v>126895.36</v>
      </c>
      <c r="J107" s="801">
        <f>VLOOKUP(D107,$T$20:$V$53,2,FALSE)</f>
        <v>1.75</v>
      </c>
      <c r="L107" s="785">
        <f>VLOOKUP(B107,$T$9:$U$13,2,FALSE)</f>
        <v>0.02</v>
      </c>
      <c r="N107" s="802">
        <f>IF(L107*J107*H107&gt;H107,H107,L107*J107*H107)</f>
        <v>4441.3376000000007</v>
      </c>
      <c r="P107" s="802">
        <f>H107-N107</f>
        <v>122454.0224</v>
      </c>
      <c r="R107" s="804" t="str">
        <f>IF(N107=H107,"Yes","No")</f>
        <v>No</v>
      </c>
      <c r="T107" s="720"/>
      <c r="U107" s="720"/>
      <c r="V107" s="720"/>
      <c r="W107" s="720"/>
      <c r="X107" s="720"/>
      <c r="Y107" s="720"/>
      <c r="Z107" s="720"/>
      <c r="AA107" s="720"/>
      <c r="AB107" s="720"/>
      <c r="AC107" s="720"/>
      <c r="AD107" s="720"/>
      <c r="AE107" s="720"/>
      <c r="AF107" s="720"/>
      <c r="AG107" s="720"/>
      <c r="AH107" s="720"/>
    </row>
    <row r="108" spans="1:34">
      <c r="B108" s="780" t="s">
        <v>101</v>
      </c>
      <c r="D108" s="781">
        <v>2009</v>
      </c>
      <c r="H108" s="802">
        <v>59822.39</v>
      </c>
      <c r="J108" s="801">
        <f>VLOOKUP(D108,$T$20:$V$53,2,FALSE)</f>
        <v>1.75</v>
      </c>
      <c r="L108" s="785">
        <v>0.125</v>
      </c>
      <c r="N108" s="802">
        <f>IF(L108*J108*H108&gt;H108,H108,L108*J108*H108)</f>
        <v>13086.147812499999</v>
      </c>
      <c r="P108" s="802">
        <f>H108-N108</f>
        <v>46736.2421875</v>
      </c>
      <c r="R108" s="804" t="str">
        <f>IF(N108=H108,"Yes","No")</f>
        <v>No</v>
      </c>
      <c r="T108" s="720"/>
      <c r="U108" s="720"/>
      <c r="V108" s="720"/>
      <c r="W108" s="720"/>
      <c r="X108" s="720"/>
      <c r="Y108" s="720"/>
      <c r="Z108" s="720"/>
      <c r="AA108" s="720"/>
      <c r="AB108" s="720"/>
      <c r="AC108" s="720"/>
      <c r="AD108" s="720"/>
      <c r="AE108" s="720"/>
      <c r="AF108" s="720"/>
      <c r="AG108" s="720"/>
      <c r="AH108" s="720"/>
    </row>
    <row r="109" spans="1:34">
      <c r="B109" s="780" t="s">
        <v>370</v>
      </c>
      <c r="D109" s="781">
        <v>2009</v>
      </c>
      <c r="H109" s="802">
        <v>-1334.63</v>
      </c>
      <c r="J109" s="801">
        <f>VLOOKUP(D109,$T$20:$V$53,2,FALSE)</f>
        <v>1.75</v>
      </c>
      <c r="L109" s="785">
        <f>VLOOKUP(B109,$T$9:$U$13,2,FALSE)</f>
        <v>0.25</v>
      </c>
      <c r="N109" s="802">
        <f>H109*L109</f>
        <v>-333.65750000000003</v>
      </c>
      <c r="P109" s="802">
        <f>H109-N109</f>
        <v>-1000.9725000000001</v>
      </c>
      <c r="R109" s="804" t="str">
        <f>IF(N109=H109,"Yes","No")</f>
        <v>No</v>
      </c>
      <c r="T109" s="720"/>
      <c r="U109" s="720"/>
      <c r="V109" s="720"/>
      <c r="W109" s="720"/>
      <c r="X109" s="720"/>
      <c r="Y109" s="720"/>
      <c r="Z109" s="720"/>
      <c r="AA109" s="720"/>
      <c r="AB109" s="720"/>
      <c r="AC109" s="720"/>
      <c r="AD109" s="720"/>
      <c r="AE109" s="720"/>
      <c r="AF109" s="720"/>
      <c r="AG109" s="720"/>
      <c r="AH109" s="720"/>
    </row>
    <row r="110" spans="1:34">
      <c r="B110" s="780" t="s">
        <v>640</v>
      </c>
      <c r="D110" s="781">
        <v>2009</v>
      </c>
      <c r="H110" s="802">
        <v>173.08</v>
      </c>
      <c r="J110" s="801">
        <f>VLOOKUP(D110,$T$20:$V$53,2,FALSE)</f>
        <v>1.75</v>
      </c>
      <c r="L110" s="785">
        <f>VLOOKUP(B110,$T$9:$U$13,2,FALSE)</f>
        <v>0</v>
      </c>
      <c r="N110" s="802">
        <f>IF(L110*J110*H110&gt;H110,H110,L110*J110*H110)</f>
        <v>0</v>
      </c>
      <c r="P110" s="802">
        <f>H110-N110</f>
        <v>173.08</v>
      </c>
      <c r="R110" s="804" t="str">
        <f>IF(N110=H110,"Yes","No")</f>
        <v>No</v>
      </c>
      <c r="T110" s="720"/>
      <c r="U110" s="720"/>
      <c r="V110" s="720"/>
      <c r="W110" s="720"/>
      <c r="X110" s="720"/>
      <c r="Y110" s="720"/>
      <c r="Z110" s="720"/>
      <c r="AA110" s="720"/>
      <c r="AB110" s="720"/>
      <c r="AC110" s="720"/>
      <c r="AD110" s="720"/>
      <c r="AE110" s="720"/>
      <c r="AF110" s="720"/>
      <c r="AG110" s="720"/>
      <c r="AH110" s="720"/>
    </row>
    <row r="111" spans="1:34">
      <c r="B111" s="780" t="s">
        <v>592</v>
      </c>
      <c r="D111" s="781">
        <v>2009</v>
      </c>
      <c r="H111" s="819"/>
      <c r="J111" s="801">
        <f>VLOOKUP(D111,$T$20:$V$53,2,FALSE)</f>
        <v>1.75</v>
      </c>
      <c r="L111" s="785">
        <f>VLOOKUP(B111,$T$9:$U$13,2,FALSE)</f>
        <v>0</v>
      </c>
      <c r="N111" s="819">
        <f>IF(L111*J111*H111&gt;H111,H111,L111*J111*H111)</f>
        <v>0</v>
      </c>
      <c r="P111" s="819">
        <f>H111-N111</f>
        <v>0</v>
      </c>
      <c r="R111" s="804" t="str">
        <f>IF(N111=H111,"Yes","No")</f>
        <v>Yes</v>
      </c>
      <c r="T111" s="720"/>
      <c r="U111" s="720"/>
      <c r="V111" s="720"/>
      <c r="W111" s="720"/>
      <c r="X111" s="720"/>
      <c r="Y111" s="720"/>
      <c r="Z111" s="720"/>
      <c r="AA111" s="720"/>
      <c r="AB111" s="720"/>
      <c r="AC111" s="720"/>
      <c r="AD111" s="720"/>
      <c r="AE111" s="720"/>
      <c r="AF111" s="720"/>
      <c r="AG111" s="720"/>
      <c r="AH111" s="720"/>
    </row>
    <row r="112" spans="1:34">
      <c r="F112" s="781" t="s">
        <v>374</v>
      </c>
      <c r="H112" s="802">
        <f>SUM(H107:H111)</f>
        <v>185556.19999999998</v>
      </c>
      <c r="N112" s="802">
        <f>SUM(N107:N111)</f>
        <v>17193.827912499997</v>
      </c>
      <c r="P112" s="802">
        <f>SUM(P107:P111)</f>
        <v>168362.3720875</v>
      </c>
      <c r="R112" s="804"/>
      <c r="T112" s="720"/>
      <c r="U112" s="720"/>
      <c r="V112" s="720"/>
      <c r="W112" s="720"/>
      <c r="X112" s="720"/>
      <c r="Y112" s="720"/>
      <c r="Z112" s="720"/>
      <c r="AA112" s="720"/>
      <c r="AB112" s="720"/>
      <c r="AC112" s="720"/>
      <c r="AD112" s="720"/>
      <c r="AE112" s="720"/>
      <c r="AF112" s="720"/>
      <c r="AG112" s="720"/>
      <c r="AH112" s="720"/>
    </row>
    <row r="113" spans="1:34">
      <c r="H113" s="802"/>
      <c r="J113" s="801"/>
      <c r="L113" s="785"/>
      <c r="N113" s="803"/>
      <c r="P113" s="803"/>
      <c r="R113" s="804"/>
      <c r="T113" s="720"/>
      <c r="U113" s="720"/>
      <c r="V113" s="720"/>
      <c r="W113" s="720"/>
      <c r="X113" s="720"/>
      <c r="Y113" s="720"/>
      <c r="Z113" s="720"/>
      <c r="AA113" s="720"/>
      <c r="AB113" s="720"/>
      <c r="AC113" s="720"/>
      <c r="AD113" s="720"/>
      <c r="AE113" s="720"/>
      <c r="AF113" s="720"/>
      <c r="AG113" s="720"/>
      <c r="AH113" s="720"/>
    </row>
    <row r="114" spans="1:34">
      <c r="A114" s="813" t="s">
        <v>1550</v>
      </c>
      <c r="H114" s="802"/>
      <c r="N114" s="802"/>
      <c r="P114" s="802"/>
      <c r="T114" s="720"/>
      <c r="U114" s="720"/>
      <c r="V114" s="720"/>
      <c r="W114" s="720"/>
      <c r="X114" s="720"/>
      <c r="Y114" s="720"/>
      <c r="Z114" s="720"/>
      <c r="AA114" s="720"/>
      <c r="AB114" s="720"/>
      <c r="AC114" s="720"/>
      <c r="AD114" s="720"/>
      <c r="AE114" s="720"/>
      <c r="AF114" s="720"/>
      <c r="AG114" s="720"/>
      <c r="AH114" s="720"/>
    </row>
    <row r="115" spans="1:34">
      <c r="B115" s="780" t="s">
        <v>369</v>
      </c>
      <c r="D115" s="781">
        <v>2010</v>
      </c>
      <c r="H115" s="802">
        <v>103905.1</v>
      </c>
      <c r="J115" s="801">
        <f>VLOOKUP(D115,$T$20:$V$53,2,FALSE)</f>
        <v>1</v>
      </c>
      <c r="L115" s="785">
        <f>VLOOKUP(B115,$T$9:$U$13,2,FALSE)</f>
        <v>0.02</v>
      </c>
      <c r="N115" s="802">
        <f>IF(L115*J115*H115&gt;H115,H115,L115*J115*H115)</f>
        <v>2078.1020000000003</v>
      </c>
      <c r="P115" s="802">
        <f>H115-N115</f>
        <v>101826.99800000001</v>
      </c>
      <c r="R115" s="804" t="str">
        <f>IF(N115=H115,"Yes","No")</f>
        <v>No</v>
      </c>
      <c r="T115" s="720"/>
      <c r="U115" s="720"/>
      <c r="V115" s="720"/>
      <c r="W115" s="720"/>
      <c r="X115" s="720"/>
      <c r="Y115" s="720"/>
      <c r="Z115" s="720"/>
      <c r="AA115" s="720"/>
      <c r="AB115" s="720"/>
      <c r="AC115" s="720"/>
      <c r="AD115" s="720"/>
      <c r="AE115" s="720"/>
      <c r="AF115" s="720"/>
      <c r="AG115" s="720"/>
      <c r="AH115" s="720"/>
    </row>
    <row r="116" spans="1:34">
      <c r="B116" s="780" t="s">
        <v>101</v>
      </c>
      <c r="D116" s="781">
        <v>2010</v>
      </c>
      <c r="H116" s="802">
        <v>1642.93</v>
      </c>
      <c r="J116" s="801">
        <f>VLOOKUP(D116,$T$20:$V$53,2,FALSE)</f>
        <v>1</v>
      </c>
      <c r="L116" s="785">
        <v>0.125</v>
      </c>
      <c r="N116" s="802">
        <f>IF(L116*J116*H116&gt;H116,H116,L116*J116*H116)</f>
        <v>205.36625000000001</v>
      </c>
      <c r="P116" s="802">
        <f>H116-N116</f>
        <v>1437.56375</v>
      </c>
      <c r="R116" s="804" t="str">
        <f>IF(N116=H116,"Yes","No")</f>
        <v>No</v>
      </c>
      <c r="T116" s="720"/>
      <c r="U116" s="720"/>
      <c r="V116" s="720"/>
      <c r="W116" s="720"/>
      <c r="X116" s="720"/>
      <c r="Y116" s="720"/>
      <c r="Z116" s="720"/>
      <c r="AA116" s="720"/>
      <c r="AB116" s="720"/>
      <c r="AC116" s="720"/>
      <c r="AD116" s="720"/>
      <c r="AE116" s="720"/>
      <c r="AF116" s="720"/>
      <c r="AG116" s="720"/>
      <c r="AH116" s="720"/>
    </row>
    <row r="117" spans="1:34">
      <c r="B117" s="780" t="s">
        <v>370</v>
      </c>
      <c r="D117" s="781">
        <v>2010</v>
      </c>
      <c r="H117" s="802">
        <v>-49.91</v>
      </c>
      <c r="J117" s="801">
        <f>VLOOKUP(D117,$T$20:$V$53,2,FALSE)</f>
        <v>1</v>
      </c>
      <c r="L117" s="785">
        <f>VLOOKUP(B117,$T$9:$U$13,2,FALSE)</f>
        <v>0.25</v>
      </c>
      <c r="N117" s="802">
        <f>H117*L117</f>
        <v>-12.477499999999999</v>
      </c>
      <c r="P117" s="802">
        <f>H117+N117</f>
        <v>-62.387499999999996</v>
      </c>
      <c r="R117" s="804" t="str">
        <f>IF(N117=H117,"Yes","No")</f>
        <v>No</v>
      </c>
      <c r="T117" s="720"/>
      <c r="U117" s="720"/>
      <c r="V117" s="720"/>
      <c r="W117" s="720"/>
      <c r="X117" s="720"/>
      <c r="Y117" s="720"/>
      <c r="Z117" s="720"/>
      <c r="AA117" s="720"/>
      <c r="AB117" s="720"/>
      <c r="AC117" s="720"/>
      <c r="AD117" s="720"/>
      <c r="AE117" s="720"/>
      <c r="AF117" s="720"/>
      <c r="AG117" s="720"/>
      <c r="AH117" s="720"/>
    </row>
    <row r="118" spans="1:34">
      <c r="B118" s="780" t="s">
        <v>640</v>
      </c>
      <c r="D118" s="781">
        <v>2010</v>
      </c>
      <c r="H118" s="802">
        <v>-24.39</v>
      </c>
      <c r="J118" s="801">
        <f>VLOOKUP(D118,$T$20:$V$53,2,FALSE)</f>
        <v>1</v>
      </c>
      <c r="L118" s="785">
        <f>VLOOKUP(B118,$T$9:$U$13,2,FALSE)</f>
        <v>0</v>
      </c>
      <c r="N118" s="802">
        <v>0</v>
      </c>
      <c r="P118" s="802">
        <f>H118-N118</f>
        <v>-24.39</v>
      </c>
      <c r="R118" s="804" t="str">
        <f>IF(N118=H118,"Yes","No")</f>
        <v>No</v>
      </c>
      <c r="T118" s="720"/>
      <c r="U118" s="720"/>
      <c r="V118" s="720"/>
      <c r="W118" s="720"/>
      <c r="X118" s="720"/>
      <c r="Y118" s="720"/>
      <c r="Z118" s="720"/>
      <c r="AA118" s="720"/>
      <c r="AB118" s="720"/>
      <c r="AC118" s="720"/>
      <c r="AD118" s="720"/>
      <c r="AE118" s="720"/>
      <c r="AF118" s="720"/>
      <c r="AG118" s="720"/>
      <c r="AH118" s="720"/>
    </row>
    <row r="119" spans="1:34">
      <c r="B119" s="780" t="s">
        <v>592</v>
      </c>
      <c r="D119" s="781">
        <v>2010</v>
      </c>
      <c r="H119" s="819"/>
      <c r="J119" s="801">
        <f>VLOOKUP(D119,$T$20:$V$53,2,FALSE)</f>
        <v>1</v>
      </c>
      <c r="L119" s="785">
        <f>VLOOKUP(B119,$T$9:$U$13,2,FALSE)</f>
        <v>0</v>
      </c>
      <c r="N119" s="819">
        <f>IF(L119*J119*H119&gt;H119,H119,L119*J119*H119)</f>
        <v>0</v>
      </c>
      <c r="P119" s="819">
        <f>H119-N119</f>
        <v>0</v>
      </c>
      <c r="R119" s="804" t="str">
        <f>IF(N119=H119,"Yes","No")</f>
        <v>Yes</v>
      </c>
      <c r="T119" s="720"/>
      <c r="U119" s="720"/>
      <c r="V119" s="720"/>
      <c r="W119" s="720"/>
      <c r="X119" s="720"/>
      <c r="Y119" s="720"/>
      <c r="Z119" s="720"/>
      <c r="AA119" s="720"/>
      <c r="AB119" s="720"/>
      <c r="AC119" s="720"/>
      <c r="AD119" s="720"/>
      <c r="AE119" s="720"/>
      <c r="AF119" s="720"/>
      <c r="AG119" s="720"/>
      <c r="AH119" s="720"/>
    </row>
    <row r="120" spans="1:34">
      <c r="F120" s="781" t="s">
        <v>374</v>
      </c>
      <c r="H120" s="802">
        <f>SUM(H115:H119)</f>
        <v>105473.73</v>
      </c>
      <c r="N120" s="802">
        <f>SUM(N115:N119)</f>
        <v>2270.9907500000004</v>
      </c>
      <c r="P120" s="802">
        <f>SUM(P115:P119)</f>
        <v>103177.78425000001</v>
      </c>
      <c r="T120" s="720"/>
      <c r="U120" s="720"/>
      <c r="V120" s="720"/>
      <c r="W120" s="720"/>
      <c r="X120" s="720"/>
      <c r="Y120" s="720"/>
      <c r="Z120" s="720"/>
      <c r="AA120" s="720"/>
      <c r="AB120" s="720"/>
      <c r="AC120" s="720"/>
      <c r="AD120" s="720"/>
      <c r="AE120" s="720"/>
      <c r="AF120" s="720"/>
      <c r="AG120" s="720"/>
      <c r="AH120" s="720"/>
    </row>
    <row r="121" spans="1:34">
      <c r="T121" s="720"/>
      <c r="U121" s="720"/>
      <c r="V121" s="720"/>
      <c r="W121" s="720"/>
      <c r="X121" s="720"/>
      <c r="Y121" s="720"/>
      <c r="Z121" s="720"/>
      <c r="AA121" s="720"/>
      <c r="AB121" s="720"/>
      <c r="AC121" s="720"/>
      <c r="AD121" s="720"/>
      <c r="AE121" s="720"/>
      <c r="AF121" s="720"/>
      <c r="AG121" s="720"/>
      <c r="AH121" s="720"/>
    </row>
    <row r="122" spans="1:34" ht="15.75" thickBot="1">
      <c r="F122" s="781" t="s">
        <v>391</v>
      </c>
      <c r="H122" s="820">
        <f>+H104+H96+H112+H120</f>
        <v>10059631.660000002</v>
      </c>
      <c r="L122" s="802"/>
      <c r="N122" s="820">
        <f>+N104+N96+N112+N120</f>
        <v>3841528.1103375009</v>
      </c>
      <c r="P122" s="820">
        <f>+P104+P96+P112+P120</f>
        <v>6218078.5946624987</v>
      </c>
      <c r="Q122" s="720"/>
    </row>
    <row r="123" spans="1:34" ht="15.75" thickTop="1">
      <c r="H123" s="335"/>
      <c r="L123" s="802"/>
      <c r="N123" s="335"/>
      <c r="P123" s="335"/>
      <c r="Q123" s="720"/>
    </row>
    <row r="124" spans="1:34">
      <c r="H124" s="335"/>
      <c r="N124" s="335"/>
      <c r="P124" s="335"/>
      <c r="Q124" s="720"/>
    </row>
    <row r="125" spans="1:34">
      <c r="H125" s="335"/>
      <c r="N125" s="335"/>
      <c r="P125" s="335"/>
      <c r="Q125" s="720"/>
    </row>
    <row r="128" spans="1:34">
      <c r="A128" s="821" t="s">
        <v>787</v>
      </c>
      <c r="B128" s="782"/>
      <c r="C128" s="782"/>
      <c r="D128" s="814"/>
    </row>
    <row r="129" spans="1:18">
      <c r="A129" s="782"/>
      <c r="B129" s="782" t="s">
        <v>369</v>
      </c>
      <c r="C129" s="782"/>
      <c r="D129" s="814">
        <v>1991</v>
      </c>
      <c r="F129" s="815">
        <v>33434</v>
      </c>
      <c r="G129" s="807"/>
      <c r="H129" s="335">
        <v>11611.3</v>
      </c>
      <c r="J129" s="801">
        <f t="shared" ref="J129:J139" si="12">VLOOKUP(D129,$T$17:$V$48,2,FALSE)</f>
        <v>19.75</v>
      </c>
      <c r="K129" s="801"/>
      <c r="L129" s="785">
        <f t="shared" ref="L129:L139" si="13">VLOOKUP(B129,$T$9:$U$13,2,FALSE)</f>
        <v>0.02</v>
      </c>
      <c r="M129" s="785"/>
      <c r="N129" s="802">
        <f t="shared" ref="N129:N139" si="14">IF(L129*J129*H129&gt;H129,H129,L129*J129*H129)</f>
        <v>4586.4634999999998</v>
      </c>
      <c r="O129" s="803"/>
      <c r="P129" s="802">
        <f t="shared" ref="P129:P139" si="15">H129-N129</f>
        <v>7024.8364999999994</v>
      </c>
      <c r="Q129" s="802"/>
      <c r="R129" s="804" t="str">
        <f t="shared" ref="R129:R139" si="16">IF(N129=H129,"Yes","No")</f>
        <v>No</v>
      </c>
    </row>
    <row r="130" spans="1:18">
      <c r="A130" s="782"/>
      <c r="B130" s="782" t="s">
        <v>369</v>
      </c>
      <c r="C130" s="782"/>
      <c r="D130" s="814">
        <v>1993</v>
      </c>
      <c r="F130" s="815">
        <v>34318</v>
      </c>
      <c r="G130" s="807"/>
      <c r="H130" s="335">
        <v>1938.5</v>
      </c>
      <c r="J130" s="801">
        <f t="shared" si="12"/>
        <v>17.75</v>
      </c>
      <c r="K130" s="801"/>
      <c r="L130" s="785">
        <f t="shared" si="13"/>
        <v>0.02</v>
      </c>
      <c r="M130" s="785"/>
      <c r="N130" s="802">
        <f t="shared" si="14"/>
        <v>688.16750000000002</v>
      </c>
      <c r="O130" s="803"/>
      <c r="P130" s="802">
        <f t="shared" si="15"/>
        <v>1250.3325</v>
      </c>
      <c r="Q130" s="802"/>
      <c r="R130" s="804" t="str">
        <f t="shared" si="16"/>
        <v>No</v>
      </c>
    </row>
    <row r="131" spans="1:18">
      <c r="A131" s="782"/>
      <c r="B131" s="782" t="s">
        <v>369</v>
      </c>
      <c r="C131" s="782"/>
      <c r="D131" s="814">
        <v>1995</v>
      </c>
      <c r="F131" s="815">
        <v>34710</v>
      </c>
      <c r="G131" s="807"/>
      <c r="H131" s="335">
        <v>5579.76</v>
      </c>
      <c r="J131" s="801">
        <f t="shared" si="12"/>
        <v>15.75</v>
      </c>
      <c r="K131" s="801"/>
      <c r="L131" s="785">
        <f t="shared" si="13"/>
        <v>0.02</v>
      </c>
      <c r="M131" s="785"/>
      <c r="N131" s="802">
        <f t="shared" si="14"/>
        <v>1757.6244000000002</v>
      </c>
      <c r="O131" s="803"/>
      <c r="P131" s="802">
        <f t="shared" si="15"/>
        <v>3822.1356000000001</v>
      </c>
      <c r="Q131" s="802"/>
      <c r="R131" s="804" t="str">
        <f t="shared" si="16"/>
        <v>No</v>
      </c>
    </row>
    <row r="132" spans="1:18">
      <c r="A132" s="782"/>
      <c r="B132" s="782" t="s">
        <v>369</v>
      </c>
      <c r="C132" s="782"/>
      <c r="D132" s="814">
        <v>1995</v>
      </c>
      <c r="F132" s="815">
        <v>34773</v>
      </c>
      <c r="G132" s="807"/>
      <c r="H132" s="335">
        <v>22218.75</v>
      </c>
      <c r="J132" s="801">
        <f t="shared" si="12"/>
        <v>15.75</v>
      </c>
      <c r="K132" s="801"/>
      <c r="L132" s="785">
        <f t="shared" si="13"/>
        <v>0.02</v>
      </c>
      <c r="M132" s="785"/>
      <c r="N132" s="802">
        <f t="shared" si="14"/>
        <v>6998.90625</v>
      </c>
      <c r="O132" s="803"/>
      <c r="P132" s="802">
        <f t="shared" si="15"/>
        <v>15219.84375</v>
      </c>
      <c r="Q132" s="802"/>
      <c r="R132" s="804" t="str">
        <f t="shared" si="16"/>
        <v>No</v>
      </c>
    </row>
    <row r="133" spans="1:18">
      <c r="A133" s="782"/>
      <c r="B133" s="782" t="s">
        <v>369</v>
      </c>
      <c r="C133" s="782"/>
      <c r="D133" s="814">
        <v>1995</v>
      </c>
      <c r="F133" s="815">
        <v>34773</v>
      </c>
      <c r="G133" s="807"/>
      <c r="H133" s="335">
        <v>7500</v>
      </c>
      <c r="J133" s="801">
        <f t="shared" si="12"/>
        <v>15.75</v>
      </c>
      <c r="K133" s="801"/>
      <c r="L133" s="785">
        <f t="shared" si="13"/>
        <v>0.02</v>
      </c>
      <c r="M133" s="785"/>
      <c r="N133" s="802">
        <f t="shared" si="14"/>
        <v>2362.5</v>
      </c>
      <c r="O133" s="803"/>
      <c r="P133" s="802">
        <f t="shared" si="15"/>
        <v>5137.5</v>
      </c>
      <c r="Q133" s="802"/>
      <c r="R133" s="804" t="str">
        <f t="shared" si="16"/>
        <v>No</v>
      </c>
    </row>
    <row r="134" spans="1:18">
      <c r="A134" s="782"/>
      <c r="B134" s="780" t="s">
        <v>369</v>
      </c>
      <c r="C134" s="782"/>
      <c r="D134" s="814">
        <v>1997</v>
      </c>
      <c r="F134" s="815">
        <v>35625</v>
      </c>
      <c r="G134" s="807"/>
      <c r="H134" s="335">
        <v>8730.5</v>
      </c>
      <c r="J134" s="801">
        <f t="shared" si="12"/>
        <v>13.75</v>
      </c>
      <c r="K134" s="801"/>
      <c r="L134" s="785">
        <f t="shared" si="13"/>
        <v>0.02</v>
      </c>
      <c r="M134" s="785"/>
      <c r="N134" s="802">
        <f t="shared" si="14"/>
        <v>2400.8875000000003</v>
      </c>
      <c r="O134" s="803"/>
      <c r="P134" s="802">
        <f t="shared" si="15"/>
        <v>6329.6124999999993</v>
      </c>
      <c r="Q134" s="802"/>
      <c r="R134" s="804" t="str">
        <f t="shared" si="16"/>
        <v>No</v>
      </c>
    </row>
    <row r="135" spans="1:18">
      <c r="A135" s="782"/>
      <c r="B135" s="782" t="s">
        <v>369</v>
      </c>
      <c r="C135" s="782"/>
      <c r="D135" s="814">
        <v>1997</v>
      </c>
      <c r="F135" s="815">
        <v>35611</v>
      </c>
      <c r="G135" s="807"/>
      <c r="H135" s="335">
        <v>23736.03</v>
      </c>
      <c r="J135" s="801">
        <f t="shared" si="12"/>
        <v>13.75</v>
      </c>
      <c r="K135" s="801"/>
      <c r="L135" s="785">
        <f t="shared" si="13"/>
        <v>0.02</v>
      </c>
      <c r="M135" s="785"/>
      <c r="N135" s="802">
        <f t="shared" si="14"/>
        <v>6527.4082500000004</v>
      </c>
      <c r="O135" s="803"/>
      <c r="P135" s="802">
        <f t="shared" si="15"/>
        <v>17208.621749999998</v>
      </c>
      <c r="Q135" s="802"/>
      <c r="R135" s="804" t="str">
        <f t="shared" si="16"/>
        <v>No</v>
      </c>
    </row>
    <row r="136" spans="1:18">
      <c r="A136" s="782"/>
      <c r="B136" s="782" t="s">
        <v>369</v>
      </c>
      <c r="C136" s="782"/>
      <c r="D136" s="814">
        <v>1999</v>
      </c>
      <c r="F136" s="815">
        <v>36397</v>
      </c>
      <c r="G136" s="807"/>
      <c r="H136" s="335">
        <v>10148.14</v>
      </c>
      <c r="J136" s="801">
        <f t="shared" si="12"/>
        <v>11.75</v>
      </c>
      <c r="K136" s="801"/>
      <c r="L136" s="785">
        <f t="shared" si="13"/>
        <v>0.02</v>
      </c>
      <c r="M136" s="785"/>
      <c r="N136" s="802">
        <f t="shared" si="14"/>
        <v>2384.8128999999999</v>
      </c>
      <c r="O136" s="803"/>
      <c r="P136" s="802">
        <f t="shared" si="15"/>
        <v>7763.3270999999995</v>
      </c>
      <c r="Q136" s="802"/>
      <c r="R136" s="804" t="str">
        <f t="shared" si="16"/>
        <v>No</v>
      </c>
    </row>
    <row r="137" spans="1:18">
      <c r="A137" s="782"/>
      <c r="B137" s="782" t="s">
        <v>369</v>
      </c>
      <c r="C137" s="782"/>
      <c r="D137" s="814">
        <v>2000</v>
      </c>
      <c r="F137" s="815">
        <v>36801</v>
      </c>
      <c r="G137" s="807"/>
      <c r="H137" s="335">
        <v>1866.2</v>
      </c>
      <c r="J137" s="801">
        <f t="shared" si="12"/>
        <v>10.75</v>
      </c>
      <c r="K137" s="801"/>
      <c r="L137" s="785">
        <f t="shared" si="13"/>
        <v>0.02</v>
      </c>
      <c r="M137" s="785"/>
      <c r="N137" s="802">
        <f t="shared" si="14"/>
        <v>401.233</v>
      </c>
      <c r="O137" s="803"/>
      <c r="P137" s="802">
        <f t="shared" si="15"/>
        <v>1464.9670000000001</v>
      </c>
      <c r="Q137" s="802"/>
      <c r="R137" s="804" t="str">
        <f t="shared" si="16"/>
        <v>No</v>
      </c>
    </row>
    <row r="138" spans="1:18">
      <c r="A138" s="782"/>
      <c r="B138" s="782" t="s">
        <v>369</v>
      </c>
      <c r="C138" s="782"/>
      <c r="D138" s="814">
        <v>2000</v>
      </c>
      <c r="F138" s="815">
        <v>36633</v>
      </c>
      <c r="G138" s="807"/>
      <c r="H138" s="335">
        <v>11617.18</v>
      </c>
      <c r="J138" s="801">
        <f t="shared" si="12"/>
        <v>10.75</v>
      </c>
      <c r="K138" s="801"/>
      <c r="L138" s="785">
        <f t="shared" si="13"/>
        <v>0.02</v>
      </c>
      <c r="M138" s="785"/>
      <c r="N138" s="802">
        <f t="shared" si="14"/>
        <v>2497.6936999999998</v>
      </c>
      <c r="O138" s="803"/>
      <c r="P138" s="802">
        <f t="shared" si="15"/>
        <v>9119.4863000000005</v>
      </c>
      <c r="Q138" s="802"/>
      <c r="R138" s="804" t="str">
        <f t="shared" si="16"/>
        <v>No</v>
      </c>
    </row>
    <row r="139" spans="1:18">
      <c r="A139" s="782"/>
      <c r="B139" s="782" t="s">
        <v>369</v>
      </c>
      <c r="C139" s="782"/>
      <c r="D139" s="814">
        <v>2000</v>
      </c>
      <c r="F139" s="815">
        <v>36572</v>
      </c>
      <c r="G139" s="807"/>
      <c r="H139" s="335">
        <v>8134.17</v>
      </c>
      <c r="J139" s="801">
        <f t="shared" si="12"/>
        <v>10.75</v>
      </c>
      <c r="K139" s="801"/>
      <c r="L139" s="785">
        <f t="shared" si="13"/>
        <v>0.02</v>
      </c>
      <c r="M139" s="785"/>
      <c r="N139" s="802">
        <f t="shared" si="14"/>
        <v>1748.84655</v>
      </c>
      <c r="O139" s="803"/>
      <c r="P139" s="802">
        <f t="shared" si="15"/>
        <v>6385.3234499999999</v>
      </c>
      <c r="Q139" s="802"/>
      <c r="R139" s="804" t="str">
        <f t="shared" si="16"/>
        <v>No</v>
      </c>
    </row>
    <row r="140" spans="1:18">
      <c r="F140" s="781" t="s">
        <v>374</v>
      </c>
      <c r="H140" s="382">
        <f>SUM(H129:H139)</f>
        <v>113080.52999999998</v>
      </c>
      <c r="J140" s="1003"/>
      <c r="N140" s="822">
        <f>SUM(N129:N139)</f>
        <v>32354.543550000002</v>
      </c>
      <c r="P140" s="822">
        <f>SUM(P129:P139)</f>
        <v>80725.986449999997</v>
      </c>
    </row>
    <row r="141" spans="1:18">
      <c r="J141" s="1003"/>
    </row>
    <row r="142" spans="1:18" ht="15.75" thickBot="1">
      <c r="F142" s="781" t="s">
        <v>391</v>
      </c>
      <c r="H142" s="820">
        <f>H140</f>
        <v>113080.52999999998</v>
      </c>
      <c r="J142" s="1003"/>
      <c r="N142" s="820">
        <f>N140</f>
        <v>32354.543550000002</v>
      </c>
      <c r="P142" s="820">
        <f>P140</f>
        <v>80725.986449999997</v>
      </c>
    </row>
    <row r="143" spans="1:18" ht="15.75" thickTop="1">
      <c r="J143" s="1003"/>
      <c r="N143" s="720"/>
      <c r="P143" s="720"/>
    </row>
    <row r="144" spans="1:18">
      <c r="J144" s="1003"/>
      <c r="N144" s="720"/>
      <c r="P144" s="720"/>
    </row>
    <row r="145" spans="1:18">
      <c r="A145" s="821" t="s">
        <v>372</v>
      </c>
      <c r="B145" s="782"/>
      <c r="C145" s="782"/>
      <c r="D145" s="814"/>
      <c r="E145" s="782"/>
      <c r="F145" s="815"/>
      <c r="G145" s="807"/>
      <c r="H145" s="335"/>
      <c r="J145" s="1003"/>
    </row>
    <row r="146" spans="1:18">
      <c r="A146" s="782"/>
      <c r="B146" s="782" t="s">
        <v>369</v>
      </c>
      <c r="C146" s="782"/>
      <c r="D146" s="814">
        <v>1988</v>
      </c>
      <c r="E146" s="782"/>
      <c r="F146" s="815">
        <v>32336</v>
      </c>
      <c r="G146" s="807"/>
      <c r="H146" s="335">
        <v>9255</v>
      </c>
      <c r="J146" s="801">
        <f t="shared" ref="J146:J154" si="17">VLOOKUP(D146,$T$17:$V$48,2,FALSE)</f>
        <v>22.75</v>
      </c>
      <c r="K146" s="801"/>
      <c r="L146" s="785">
        <f t="shared" ref="L146:L154" si="18">VLOOKUP(B146,$T$9:$U$13,2,FALSE)</f>
        <v>0.02</v>
      </c>
      <c r="M146" s="785"/>
      <c r="N146" s="802">
        <f t="shared" ref="N146:N154" si="19">IF(L146*J146*H146&gt;H146,H146,L146*J146*H146)</f>
        <v>4211.0250000000005</v>
      </c>
      <c r="O146" s="803"/>
      <c r="P146" s="802">
        <f t="shared" ref="P146:P154" si="20">H146-N146</f>
        <v>5043.9749999999995</v>
      </c>
      <c r="Q146" s="802"/>
      <c r="R146" s="804" t="str">
        <f t="shared" ref="R146:R154" si="21">IF(N146=H146,"Yes","No")</f>
        <v>No</v>
      </c>
    </row>
    <row r="147" spans="1:18">
      <c r="A147" s="782"/>
      <c r="B147" s="782" t="s">
        <v>369</v>
      </c>
      <c r="C147" s="782"/>
      <c r="D147" s="814">
        <v>1990</v>
      </c>
      <c r="E147" s="782"/>
      <c r="F147" s="815"/>
      <c r="G147" s="807"/>
      <c r="H147" s="335">
        <v>19145.650000000001</v>
      </c>
      <c r="J147" s="801">
        <f t="shared" si="17"/>
        <v>20.75</v>
      </c>
      <c r="K147" s="801"/>
      <c r="L147" s="785">
        <f t="shared" si="18"/>
        <v>0.02</v>
      </c>
      <c r="M147" s="785"/>
      <c r="N147" s="802">
        <f t="shared" si="19"/>
        <v>7945.4447500000015</v>
      </c>
      <c r="O147" s="803"/>
      <c r="P147" s="802">
        <f t="shared" si="20"/>
        <v>11200.205249999999</v>
      </c>
      <c r="Q147" s="802"/>
      <c r="R147" s="804" t="str">
        <f t="shared" si="21"/>
        <v>No</v>
      </c>
    </row>
    <row r="148" spans="1:18">
      <c r="A148" s="782"/>
      <c r="B148" s="782" t="s">
        <v>369</v>
      </c>
      <c r="C148" s="782"/>
      <c r="D148" s="814">
        <v>1990</v>
      </c>
      <c r="E148" s="782"/>
      <c r="F148" s="815"/>
      <c r="G148" s="807"/>
      <c r="H148" s="335">
        <v>2885.35</v>
      </c>
      <c r="J148" s="801">
        <f t="shared" si="17"/>
        <v>20.75</v>
      </c>
      <c r="K148" s="801"/>
      <c r="L148" s="785">
        <f t="shared" si="18"/>
        <v>0.02</v>
      </c>
      <c r="M148" s="785"/>
      <c r="N148" s="802">
        <f t="shared" si="19"/>
        <v>1197.4202500000001</v>
      </c>
      <c r="O148" s="803"/>
      <c r="P148" s="802">
        <f t="shared" si="20"/>
        <v>1687.9297499999998</v>
      </c>
      <c r="Q148" s="802"/>
      <c r="R148" s="804" t="str">
        <f t="shared" si="21"/>
        <v>No</v>
      </c>
    </row>
    <row r="149" spans="1:18">
      <c r="A149" s="782"/>
      <c r="B149" s="782" t="s">
        <v>369</v>
      </c>
      <c r="C149" s="782"/>
      <c r="D149" s="814">
        <v>1992</v>
      </c>
      <c r="E149" s="782"/>
      <c r="F149" s="815">
        <v>33706</v>
      </c>
      <c r="G149" s="807"/>
      <c r="H149" s="335">
        <v>38770.04</v>
      </c>
      <c r="J149" s="801">
        <f t="shared" si="17"/>
        <v>18.75</v>
      </c>
      <c r="K149" s="801"/>
      <c r="L149" s="785">
        <f t="shared" si="18"/>
        <v>0.02</v>
      </c>
      <c r="M149" s="785"/>
      <c r="N149" s="802">
        <f t="shared" si="19"/>
        <v>14538.764999999999</v>
      </c>
      <c r="O149" s="803"/>
      <c r="P149" s="802">
        <f t="shared" si="20"/>
        <v>24231.275000000001</v>
      </c>
      <c r="Q149" s="802"/>
      <c r="R149" s="804" t="str">
        <f t="shared" si="21"/>
        <v>No</v>
      </c>
    </row>
    <row r="150" spans="1:18">
      <c r="A150" s="782"/>
      <c r="B150" s="782" t="s">
        <v>369</v>
      </c>
      <c r="C150" s="782"/>
      <c r="D150" s="814">
        <v>1994</v>
      </c>
      <c r="E150" s="782"/>
      <c r="F150" s="815">
        <v>34511</v>
      </c>
      <c r="G150" s="807"/>
      <c r="H150" s="335">
        <v>3600</v>
      </c>
      <c r="J150" s="801">
        <f t="shared" si="17"/>
        <v>16.75</v>
      </c>
      <c r="K150" s="801"/>
      <c r="L150" s="785">
        <f t="shared" si="18"/>
        <v>0.02</v>
      </c>
      <c r="M150" s="785"/>
      <c r="N150" s="802">
        <f t="shared" si="19"/>
        <v>1206</v>
      </c>
      <c r="O150" s="803"/>
      <c r="P150" s="802">
        <f t="shared" si="20"/>
        <v>2394</v>
      </c>
      <c r="Q150" s="802"/>
      <c r="R150" s="804" t="str">
        <f t="shared" si="21"/>
        <v>No</v>
      </c>
    </row>
    <row r="151" spans="1:18">
      <c r="A151" s="782"/>
      <c r="B151" s="782" t="s">
        <v>369</v>
      </c>
      <c r="C151" s="782"/>
      <c r="D151" s="814">
        <v>1997</v>
      </c>
      <c r="E151" s="782"/>
      <c r="F151" s="815">
        <v>35488</v>
      </c>
      <c r="G151" s="807"/>
      <c r="H151" s="335">
        <v>592.4</v>
      </c>
      <c r="J151" s="801">
        <f t="shared" si="17"/>
        <v>13.75</v>
      </c>
      <c r="K151" s="801"/>
      <c r="L151" s="785">
        <f t="shared" si="18"/>
        <v>0.02</v>
      </c>
      <c r="M151" s="785"/>
      <c r="N151" s="802">
        <f t="shared" si="19"/>
        <v>162.91</v>
      </c>
      <c r="O151" s="803"/>
      <c r="P151" s="802">
        <f t="shared" si="20"/>
        <v>429.49</v>
      </c>
      <c r="Q151" s="802"/>
      <c r="R151" s="804" t="str">
        <f t="shared" si="21"/>
        <v>No</v>
      </c>
    </row>
    <row r="152" spans="1:18">
      <c r="A152" s="782"/>
      <c r="B152" s="782" t="s">
        <v>369</v>
      </c>
      <c r="C152" s="782"/>
      <c r="D152" s="814">
        <v>1998</v>
      </c>
      <c r="E152" s="782"/>
      <c r="F152" s="815">
        <v>35905</v>
      </c>
      <c r="G152" s="807"/>
      <c r="H152" s="335">
        <v>6393.4</v>
      </c>
      <c r="J152" s="801">
        <f t="shared" si="17"/>
        <v>12.75</v>
      </c>
      <c r="K152" s="801"/>
      <c r="L152" s="785">
        <f t="shared" si="18"/>
        <v>0.02</v>
      </c>
      <c r="M152" s="785"/>
      <c r="N152" s="802">
        <f t="shared" si="19"/>
        <v>1630.317</v>
      </c>
      <c r="O152" s="803"/>
      <c r="P152" s="802">
        <f t="shared" si="20"/>
        <v>4763.0829999999996</v>
      </c>
      <c r="Q152" s="802"/>
      <c r="R152" s="804" t="str">
        <f t="shared" si="21"/>
        <v>No</v>
      </c>
    </row>
    <row r="153" spans="1:18">
      <c r="A153" s="782"/>
      <c r="B153" s="782" t="s">
        <v>369</v>
      </c>
      <c r="C153" s="782"/>
      <c r="D153" s="814">
        <v>1998</v>
      </c>
      <c r="E153" s="782"/>
      <c r="F153" s="815">
        <v>35912</v>
      </c>
      <c r="G153" s="807"/>
      <c r="H153" s="335">
        <v>3543.75</v>
      </c>
      <c r="J153" s="801">
        <f t="shared" si="17"/>
        <v>12.75</v>
      </c>
      <c r="K153" s="801"/>
      <c r="L153" s="785">
        <f t="shared" si="18"/>
        <v>0.02</v>
      </c>
      <c r="M153" s="785"/>
      <c r="N153" s="802">
        <f t="shared" si="19"/>
        <v>903.65625</v>
      </c>
      <c r="O153" s="803"/>
      <c r="P153" s="802">
        <f t="shared" si="20"/>
        <v>2640.09375</v>
      </c>
      <c r="Q153" s="802"/>
      <c r="R153" s="804" t="str">
        <f t="shared" si="21"/>
        <v>No</v>
      </c>
    </row>
    <row r="154" spans="1:18">
      <c r="A154" s="782"/>
      <c r="B154" s="782" t="s">
        <v>369</v>
      </c>
      <c r="C154" s="782"/>
      <c r="D154" s="814">
        <v>1999</v>
      </c>
      <c r="E154" s="782"/>
      <c r="F154" s="815">
        <v>36403</v>
      </c>
      <c r="G154" s="807"/>
      <c r="H154" s="335">
        <v>5087.76</v>
      </c>
      <c r="J154" s="801">
        <f t="shared" si="17"/>
        <v>11.75</v>
      </c>
      <c r="K154" s="801"/>
      <c r="L154" s="785">
        <f t="shared" si="18"/>
        <v>0.02</v>
      </c>
      <c r="M154" s="785"/>
      <c r="N154" s="802">
        <f t="shared" si="19"/>
        <v>1195.6236000000001</v>
      </c>
      <c r="O154" s="803"/>
      <c r="P154" s="802">
        <f t="shared" si="20"/>
        <v>3892.1364000000003</v>
      </c>
      <c r="Q154" s="802"/>
      <c r="R154" s="804" t="str">
        <f t="shared" si="21"/>
        <v>No</v>
      </c>
    </row>
    <row r="155" spans="1:18">
      <c r="F155" s="781" t="s">
        <v>374</v>
      </c>
      <c r="H155" s="382">
        <f>SUM(H146:H154)</f>
        <v>89273.349999999991</v>
      </c>
      <c r="J155" s="1003"/>
      <c r="N155" s="822">
        <f>SUM(N146:N154)</f>
        <v>32991.161850000004</v>
      </c>
      <c r="P155" s="822">
        <f>SUM(P146:P154)</f>
        <v>56282.188149999994</v>
      </c>
    </row>
    <row r="156" spans="1:18">
      <c r="J156" s="1003"/>
    </row>
    <row r="157" spans="1:18">
      <c r="A157" s="813" t="s">
        <v>375</v>
      </c>
      <c r="J157" s="1003"/>
    </row>
    <row r="158" spans="1:18">
      <c r="B158" s="782" t="s">
        <v>369</v>
      </c>
      <c r="C158" s="782"/>
      <c r="D158" s="814">
        <v>2003</v>
      </c>
      <c r="H158" s="720">
        <f>8249.36</f>
        <v>8249.36</v>
      </c>
      <c r="J158" s="801">
        <f>VLOOKUP(D158,$T$17:$V$48,2,FALSE)</f>
        <v>7.75</v>
      </c>
      <c r="K158" s="801"/>
      <c r="L158" s="785">
        <f>VLOOKUP(B158,$T$9:$U$13,2,FALSE)</f>
        <v>0.02</v>
      </c>
      <c r="M158" s="785"/>
      <c r="N158" s="802">
        <f>H158*J158*L158</f>
        <v>1278.6508000000001</v>
      </c>
      <c r="O158" s="803"/>
      <c r="P158" s="802">
        <f>H158-N158</f>
        <v>6970.7092000000002</v>
      </c>
      <c r="Q158" s="802"/>
      <c r="R158" s="804" t="str">
        <f>IF(N158=H158,"Yes","No")</f>
        <v>No</v>
      </c>
    </row>
    <row r="159" spans="1:18">
      <c r="B159" s="782" t="s">
        <v>369</v>
      </c>
      <c r="C159" s="782"/>
      <c r="D159" s="814">
        <v>2003</v>
      </c>
      <c r="H159" s="720">
        <v>221</v>
      </c>
      <c r="J159" s="801">
        <f>VLOOKUP(D159,$T$17:$V$48,2,FALSE)</f>
        <v>7.75</v>
      </c>
      <c r="K159" s="801"/>
      <c r="L159" s="785">
        <f>VLOOKUP(B159,$T$9:$U$13,2,FALSE)</f>
        <v>0.02</v>
      </c>
      <c r="M159" s="785"/>
      <c r="N159" s="802">
        <f>IF(L159*J159*H159&gt;H159,H159,L159*J159*H159)</f>
        <v>34.255000000000003</v>
      </c>
      <c r="O159" s="803"/>
      <c r="P159" s="802">
        <f>H159-N159</f>
        <v>186.745</v>
      </c>
      <c r="Q159" s="802"/>
      <c r="R159" s="804" t="str">
        <f>IF(N159=H159,"Yes","No")</f>
        <v>No</v>
      </c>
    </row>
    <row r="160" spans="1:18">
      <c r="F160" s="781" t="s">
        <v>374</v>
      </c>
      <c r="H160" s="382">
        <f>SUM(H158:H159)</f>
        <v>8470.36</v>
      </c>
      <c r="J160" s="1003"/>
      <c r="N160" s="822">
        <f>SUM(N158:N159)</f>
        <v>1312.9058000000002</v>
      </c>
      <c r="P160" s="822">
        <f>SUM(P158:P159)</f>
        <v>7157.4542000000001</v>
      </c>
    </row>
    <row r="161" spans="1:18">
      <c r="H161" s="335"/>
      <c r="J161" s="1003"/>
      <c r="N161" s="803"/>
      <c r="P161" s="803"/>
    </row>
    <row r="162" spans="1:18">
      <c r="A162" s="813" t="s">
        <v>645</v>
      </c>
      <c r="H162" s="335"/>
      <c r="J162" s="1003"/>
      <c r="N162" s="803"/>
      <c r="P162" s="803"/>
    </row>
    <row r="163" spans="1:18">
      <c r="B163" s="782" t="s">
        <v>369</v>
      </c>
      <c r="C163" s="782"/>
      <c r="D163" s="814">
        <v>2007</v>
      </c>
      <c r="H163" s="720">
        <v>6646.02</v>
      </c>
      <c r="J163" s="801">
        <f>VLOOKUP(D163,$T$17:$V$51,2,FALSE)</f>
        <v>3.75</v>
      </c>
      <c r="K163" s="801"/>
      <c r="L163" s="785">
        <f>VLOOKUP(B163,$T$9:$U$13,2,FALSE)</f>
        <v>0.02</v>
      </c>
      <c r="M163" s="785"/>
      <c r="N163" s="802">
        <f>H163*J163*L163</f>
        <v>498.45150000000001</v>
      </c>
      <c r="O163" s="803"/>
      <c r="P163" s="802">
        <f>H163-N163</f>
        <v>6147.5685000000003</v>
      </c>
      <c r="Q163" s="802"/>
      <c r="R163" s="804" t="str">
        <f>IF(N163=H163,"Yes","No")</f>
        <v>No</v>
      </c>
    </row>
    <row r="164" spans="1:18">
      <c r="B164" s="782" t="s">
        <v>369</v>
      </c>
      <c r="C164" s="782"/>
      <c r="D164" s="814">
        <v>2007</v>
      </c>
      <c r="H164" s="720">
        <v>0</v>
      </c>
      <c r="J164" s="801">
        <f>VLOOKUP(D164,$T$17:$V$51,2,FALSE)</f>
        <v>3.75</v>
      </c>
      <c r="K164" s="801"/>
      <c r="L164" s="785">
        <f>VLOOKUP(B164,$T$9:$U$13,2,FALSE)</f>
        <v>0.02</v>
      </c>
      <c r="M164" s="785"/>
      <c r="N164" s="802">
        <f>IF(L164*J164*H164&gt;H164,H164,L164*J164*H164)</f>
        <v>0</v>
      </c>
      <c r="O164" s="803"/>
      <c r="P164" s="802">
        <f>H164-N164</f>
        <v>0</v>
      </c>
      <c r="Q164" s="802"/>
      <c r="R164" s="804" t="str">
        <f>IF(N164=H164,"Yes","No")</f>
        <v>Yes</v>
      </c>
    </row>
    <row r="165" spans="1:18">
      <c r="F165" s="781" t="s">
        <v>374</v>
      </c>
      <c r="H165" s="382">
        <f>SUM(H163:H164)</f>
        <v>6646.02</v>
      </c>
      <c r="J165" s="1003"/>
      <c r="N165" s="822">
        <f>SUM(N163:N164)</f>
        <v>498.45150000000001</v>
      </c>
      <c r="P165" s="822">
        <f>SUM(P163:P164)</f>
        <v>6147.5685000000003</v>
      </c>
    </row>
    <row r="166" spans="1:18">
      <c r="H166" s="335"/>
      <c r="J166" s="1003"/>
      <c r="N166" s="803"/>
      <c r="P166" s="803"/>
    </row>
    <row r="167" spans="1:18">
      <c r="A167" s="813" t="s">
        <v>646</v>
      </c>
      <c r="H167" s="335"/>
      <c r="J167" s="1003"/>
      <c r="N167" s="803"/>
      <c r="P167" s="803"/>
    </row>
    <row r="168" spans="1:18">
      <c r="B168" s="782" t="s">
        <v>369</v>
      </c>
      <c r="C168" s="782"/>
      <c r="D168" s="814">
        <v>2008</v>
      </c>
      <c r="H168" s="720">
        <v>0</v>
      </c>
      <c r="J168" s="801">
        <f>VLOOKUP(D168,$T$17:$V$51,2,FALSE)</f>
        <v>2.75</v>
      </c>
      <c r="K168" s="801"/>
      <c r="L168" s="785">
        <f>VLOOKUP(B168,$T$9:$U$13,2,FALSE)</f>
        <v>0.02</v>
      </c>
      <c r="M168" s="785"/>
      <c r="N168" s="802">
        <f>H168*J168*L168</f>
        <v>0</v>
      </c>
      <c r="O168" s="803"/>
      <c r="P168" s="802">
        <f>H168-N168</f>
        <v>0</v>
      </c>
      <c r="Q168" s="802"/>
      <c r="R168" s="804" t="str">
        <f>IF(N168=H168,"Yes","No")</f>
        <v>Yes</v>
      </c>
    </row>
    <row r="169" spans="1:18">
      <c r="B169" s="782" t="s">
        <v>369</v>
      </c>
      <c r="C169" s="782"/>
      <c r="D169" s="814">
        <v>2008</v>
      </c>
      <c r="H169" s="720">
        <v>0</v>
      </c>
      <c r="J169" s="801">
        <f>VLOOKUP(D169,$T$17:$V$51,2,FALSE)</f>
        <v>2.75</v>
      </c>
      <c r="K169" s="801"/>
      <c r="L169" s="785">
        <f>VLOOKUP(B169,$T$9:$U$13,2,FALSE)</f>
        <v>0.02</v>
      </c>
      <c r="M169" s="785"/>
      <c r="N169" s="802">
        <f>IF(L169*J169*H169&gt;H169,H169,L169*J169*H169)</f>
        <v>0</v>
      </c>
      <c r="O169" s="803"/>
      <c r="P169" s="802">
        <f>H169-N169</f>
        <v>0</v>
      </c>
      <c r="Q169" s="802"/>
      <c r="R169" s="804" t="str">
        <f>IF(N169=H169,"Yes","No")</f>
        <v>Yes</v>
      </c>
    </row>
    <row r="170" spans="1:18">
      <c r="F170" s="781" t="s">
        <v>374</v>
      </c>
      <c r="H170" s="382">
        <f>SUM(H168:H169)</f>
        <v>0</v>
      </c>
      <c r="N170" s="822">
        <f>SUM(N168:N169)</f>
        <v>0</v>
      </c>
      <c r="P170" s="822">
        <f>SUM(P168:P169)</f>
        <v>0</v>
      </c>
    </row>
    <row r="171" spans="1:18">
      <c r="H171" s="335"/>
      <c r="J171" s="1003"/>
      <c r="N171" s="803"/>
      <c r="P171" s="803"/>
    </row>
    <row r="172" spans="1:18">
      <c r="A172" s="813" t="s">
        <v>1988</v>
      </c>
      <c r="H172" s="335"/>
      <c r="J172" s="1003"/>
      <c r="N172" s="803"/>
      <c r="P172" s="803"/>
    </row>
    <row r="173" spans="1:18">
      <c r="B173" s="782" t="s">
        <v>369</v>
      </c>
      <c r="C173" s="782"/>
      <c r="D173" s="814">
        <v>2009</v>
      </c>
      <c r="H173" s="720">
        <v>0</v>
      </c>
      <c r="J173" s="801">
        <f>VLOOKUP(D173,$T$17:$W$53,2,FALSE)</f>
        <v>1.75</v>
      </c>
      <c r="K173" s="801"/>
      <c r="L173" s="785">
        <f>VLOOKUP(B173,$T$9:$U$13,2,FALSE)</f>
        <v>0.02</v>
      </c>
      <c r="M173" s="785"/>
      <c r="N173" s="802">
        <f>H173*J173*L173</f>
        <v>0</v>
      </c>
      <c r="O173" s="803"/>
      <c r="P173" s="802">
        <f>H173-N173</f>
        <v>0</v>
      </c>
      <c r="Q173" s="802"/>
      <c r="R173" s="804" t="str">
        <f>IF(N173=H173,"Yes","No")</f>
        <v>Yes</v>
      </c>
    </row>
    <row r="174" spans="1:18">
      <c r="B174" s="782" t="s">
        <v>369</v>
      </c>
      <c r="C174" s="782"/>
      <c r="D174" s="814">
        <v>2009</v>
      </c>
      <c r="H174" s="720">
        <v>0</v>
      </c>
      <c r="J174" s="801">
        <f>VLOOKUP(D174,$T$17:$W$53,2,FALSE)</f>
        <v>1.75</v>
      </c>
      <c r="K174" s="801"/>
      <c r="L174" s="785">
        <f>VLOOKUP(B174,$T$9:$U$13,2,FALSE)</f>
        <v>0.02</v>
      </c>
      <c r="M174" s="785"/>
      <c r="N174" s="802">
        <f>IF(L174*J174*H174&gt;H174,H174,L174*J174*H174)</f>
        <v>0</v>
      </c>
      <c r="O174" s="803"/>
      <c r="P174" s="802">
        <f>H174-N174</f>
        <v>0</v>
      </c>
      <c r="Q174" s="802"/>
      <c r="R174" s="804" t="str">
        <f>IF(N174=H174,"Yes","No")</f>
        <v>Yes</v>
      </c>
    </row>
    <row r="175" spans="1:18">
      <c r="F175" s="781" t="s">
        <v>374</v>
      </c>
      <c r="H175" s="382">
        <f>SUM(H173:H174)</f>
        <v>0</v>
      </c>
      <c r="N175" s="822">
        <f>SUM(N173:N174)</f>
        <v>0</v>
      </c>
      <c r="P175" s="822">
        <f>SUM(P173:P174)</f>
        <v>0</v>
      </c>
    </row>
    <row r="176" spans="1:18">
      <c r="H176" s="335"/>
      <c r="N176" s="803"/>
      <c r="P176" s="803"/>
    </row>
    <row r="177" spans="1:18">
      <c r="A177" s="813" t="s">
        <v>2152</v>
      </c>
      <c r="H177" s="335"/>
      <c r="J177" s="1003"/>
      <c r="N177" s="803"/>
      <c r="P177" s="803"/>
    </row>
    <row r="178" spans="1:18">
      <c r="B178" s="782" t="s">
        <v>369</v>
      </c>
      <c r="C178" s="782"/>
      <c r="D178" s="1727">
        <v>40451</v>
      </c>
      <c r="H178" s="720">
        <v>6445.25</v>
      </c>
      <c r="J178" s="801">
        <v>1.75</v>
      </c>
      <c r="K178" s="801"/>
      <c r="L178" s="785">
        <f>VLOOKUP(B178,$T$9:$U$13,2,FALSE)</f>
        <v>0.02</v>
      </c>
      <c r="M178" s="785"/>
      <c r="N178" s="802">
        <f>H178*J178*L178</f>
        <v>225.58375000000001</v>
      </c>
      <c r="O178" s="803"/>
      <c r="P178" s="802">
        <f>H178-N178</f>
        <v>6219.6662500000002</v>
      </c>
      <c r="Q178" s="802"/>
      <c r="R178" s="804" t="str">
        <f>IF(N178=H178,"Yes","No")</f>
        <v>No</v>
      </c>
    </row>
    <row r="179" spans="1:18">
      <c r="B179" s="782" t="s">
        <v>369</v>
      </c>
      <c r="C179" s="782"/>
      <c r="D179" s="1727">
        <v>40451</v>
      </c>
      <c r="H179" s="720">
        <v>0</v>
      </c>
      <c r="J179" s="801">
        <v>1.75</v>
      </c>
      <c r="K179" s="801"/>
      <c r="L179" s="785">
        <f>VLOOKUP(B179,$T$9:$U$13,2,FALSE)</f>
        <v>0.02</v>
      </c>
      <c r="M179" s="785"/>
      <c r="N179" s="802">
        <f>IF(L179*J179*H179&gt;H179,H179,L179*J179*H179)</f>
        <v>0</v>
      </c>
      <c r="O179" s="803"/>
      <c r="P179" s="802">
        <f>H179-N179</f>
        <v>0</v>
      </c>
      <c r="Q179" s="802"/>
      <c r="R179" s="804" t="str">
        <f>IF(N179=H179,"Yes","No")</f>
        <v>Yes</v>
      </c>
    </row>
    <row r="180" spans="1:18">
      <c r="F180" s="781" t="s">
        <v>374</v>
      </c>
      <c r="H180" s="382">
        <f>SUM(H178:H179)</f>
        <v>6445.25</v>
      </c>
      <c r="N180" s="822">
        <f>SUM(N178:N179)</f>
        <v>225.58375000000001</v>
      </c>
      <c r="P180" s="822">
        <f>SUM(P178:P179)</f>
        <v>6219.6662500000002</v>
      </c>
    </row>
    <row r="181" spans="1:18">
      <c r="H181" s="335"/>
      <c r="N181" s="803"/>
      <c r="P181" s="803"/>
    </row>
    <row r="182" spans="1:18">
      <c r="H182" s="335"/>
      <c r="N182" s="803"/>
      <c r="P182" s="803"/>
    </row>
    <row r="183" spans="1:18">
      <c r="H183" s="335"/>
      <c r="N183" s="803"/>
      <c r="P183" s="803"/>
    </row>
    <row r="185" spans="1:18" ht="15.75" thickBot="1">
      <c r="F185" s="781" t="s">
        <v>391</v>
      </c>
      <c r="H185" s="820">
        <f>H155+H160+H165+H170+H175+H180</f>
        <v>110834.98</v>
      </c>
      <c r="N185" s="820">
        <f>N155+N160+N165+N170+N175+N180</f>
        <v>35028.102900000005</v>
      </c>
      <c r="P185" s="820">
        <f>P155+P160+P165+P170+P175+P180</f>
        <v>75806.877099999983</v>
      </c>
    </row>
    <row r="186" spans="1:18" ht="15.75" thickTop="1"/>
  </sheetData>
  <pageMargins left="0.75" right="0.75" top="1" bottom="1" header="0.5" footer="0.5"/>
  <pageSetup scale="82" fitToHeight="0" orientation="landscape" r:id="rId1"/>
  <headerFooter alignWithMargins="0"/>
  <rowBreaks count="3" manualBreakCount="3">
    <brk id="45" max="17" man="1"/>
    <brk id="126" max="17" man="1"/>
    <brk id="166" max="1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J29"/>
  <sheetViews>
    <sheetView view="pageBreakPreview" zoomScale="75" zoomScaleNormal="100" zoomScaleSheetLayoutView="75" workbookViewId="0">
      <selection activeCell="C22" sqref="C22"/>
    </sheetView>
  </sheetViews>
  <sheetFormatPr defaultRowHeight="15"/>
  <cols>
    <col min="1" max="1" width="27.125" style="408" customWidth="1"/>
    <col min="2" max="2" width="1.625" style="408" customWidth="1"/>
    <col min="3" max="3" width="11.75" style="408" customWidth="1"/>
    <col min="4" max="4" width="1.625" style="408" customWidth="1"/>
    <col min="5" max="5" width="9" style="408"/>
    <col min="6" max="6" width="1.625" style="408" customWidth="1"/>
    <col min="7" max="7" width="9" style="408"/>
    <col min="8" max="8" width="1.625" style="408" customWidth="1"/>
    <col min="9" max="13" width="9" style="408"/>
    <col min="14" max="14" width="26.625" style="408" customWidth="1"/>
    <col min="15" max="16384" width="9" style="408"/>
  </cols>
  <sheetData>
    <row r="1" spans="1:10">
      <c r="A1" s="407" t="s">
        <v>350</v>
      </c>
      <c r="J1" s="424" t="s">
        <v>666</v>
      </c>
    </row>
    <row r="2" spans="1:10">
      <c r="A2" s="407" t="str">
        <f>'Sch.A-B.S'!F2</f>
        <v>Case No. 2013 - 00237</v>
      </c>
      <c r="J2" s="424"/>
    </row>
    <row r="3" spans="1:10">
      <c r="A3" s="407" t="s">
        <v>673</v>
      </c>
      <c r="C3" s="409"/>
    </row>
    <row r="4" spans="1:10">
      <c r="A4" s="39" t="str">
        <f>'Sch.B-I.S'!A4</f>
        <v>Test Year 12/31/2012</v>
      </c>
    </row>
    <row r="7" spans="1:10">
      <c r="A7" s="415" t="s">
        <v>674</v>
      </c>
      <c r="B7" s="416"/>
      <c r="C7" s="414" t="s">
        <v>675</v>
      </c>
    </row>
    <row r="8" spans="1:10">
      <c r="A8" s="417"/>
      <c r="B8" s="416"/>
      <c r="C8" s="418"/>
    </row>
    <row r="9" spans="1:10">
      <c r="A9" s="2" t="s">
        <v>242</v>
      </c>
      <c r="C9" s="409">
        <f>-'wp-q(3) Clinton salary revised'!E27</f>
        <v>-44093.986410735</v>
      </c>
    </row>
    <row r="10" spans="1:10">
      <c r="A10" s="2" t="s">
        <v>243</v>
      </c>
      <c r="C10" s="410">
        <f>-'wp-q(3) Clinton salary revised'!M27</f>
        <v>-3673.1336000000001</v>
      </c>
    </row>
    <row r="11" spans="1:10">
      <c r="A11" s="2" t="s">
        <v>244</v>
      </c>
      <c r="C11" s="498">
        <f>-'wp-q(3) Clinton salary revised'!W27</f>
        <v>-11876.495785138106</v>
      </c>
    </row>
    <row r="12" spans="1:10">
      <c r="A12" s="408" t="s">
        <v>676</v>
      </c>
      <c r="C12" s="1005">
        <f>-'wp-q(4) Clinton trans exp'!C15</f>
        <v>-3663.1319138832996</v>
      </c>
    </row>
    <row r="13" spans="1:10">
      <c r="A13" s="2" t="s">
        <v>1553</v>
      </c>
      <c r="C13" s="497">
        <v>-52068.799999999988</v>
      </c>
    </row>
    <row r="14" spans="1:10">
      <c r="A14" s="2" t="s">
        <v>248</v>
      </c>
      <c r="C14" s="459">
        <f>SUM(C9:C13)</f>
        <v>-115375.54770975639</v>
      </c>
    </row>
    <row r="15" spans="1:10">
      <c r="C15" s="459"/>
    </row>
    <row r="16" spans="1:10">
      <c r="A16" s="2" t="s">
        <v>245</v>
      </c>
      <c r="C16" s="459">
        <f>-'wp b3 - CSR'!F59</f>
        <v>-2915.0747154095902</v>
      </c>
    </row>
    <row r="17" spans="1:10">
      <c r="A17" s="2" t="s">
        <v>246</v>
      </c>
      <c r="C17" s="459">
        <f>-'wp b3 - CSR'!N59</f>
        <v>-280.66480954982342</v>
      </c>
    </row>
    <row r="18" spans="1:10">
      <c r="A18" s="2" t="s">
        <v>247</v>
      </c>
      <c r="C18" s="497">
        <f>-'wp b3 - CSR'!X59</f>
        <v>-893.76570848989581</v>
      </c>
    </row>
    <row r="19" spans="1:10">
      <c r="A19" s="2" t="s">
        <v>249</v>
      </c>
      <c r="C19" s="459">
        <f>SUM(C16:C18)</f>
        <v>-4089.5052334493093</v>
      </c>
    </row>
    <row r="20" spans="1:10">
      <c r="A20" s="2"/>
      <c r="C20" s="459"/>
    </row>
    <row r="21" spans="1:10">
      <c r="A21" s="408" t="s">
        <v>677</v>
      </c>
      <c r="C21" s="459">
        <f>-'wp-q(4) Clinton trans exp'!C19</f>
        <v>-1243.2874249511149</v>
      </c>
    </row>
    <row r="22" spans="1:10">
      <c r="A22" s="408" t="s">
        <v>678</v>
      </c>
      <c r="C22" s="412">
        <f>SUM(C14,C19,C21)</f>
        <v>-120708.3403681568</v>
      </c>
    </row>
    <row r="23" spans="1:10">
      <c r="C23" s="411"/>
    </row>
    <row r="24" spans="1:10">
      <c r="A24" s="65" t="s">
        <v>1770</v>
      </c>
      <c r="C24" s="1205" t="s">
        <v>675</v>
      </c>
    </row>
    <row r="25" spans="1:10">
      <c r="A25" s="1204"/>
      <c r="B25" s="422"/>
      <c r="C25" s="418"/>
      <c r="D25" s="422"/>
      <c r="E25" s="422"/>
      <c r="F25" s="422"/>
      <c r="G25" s="422"/>
      <c r="H25" s="422"/>
      <c r="I25" s="422"/>
      <c r="J25" s="422"/>
    </row>
    <row r="26" spans="1:10">
      <c r="A26" s="2" t="s">
        <v>1771</v>
      </c>
      <c r="B26" s="422"/>
      <c r="C26" s="1006">
        <f>'wp-q(4) Clinton trans exp'!C24</f>
        <v>44928.054866650571</v>
      </c>
      <c r="D26" s="422"/>
      <c r="E26" s="422"/>
      <c r="F26" s="422"/>
      <c r="G26" s="422"/>
      <c r="H26" s="422"/>
      <c r="I26" s="422"/>
      <c r="J26" s="422"/>
    </row>
    <row r="27" spans="1:10">
      <c r="A27" s="2" t="s">
        <v>1772</v>
      </c>
      <c r="B27" s="422"/>
      <c r="C27" s="1206">
        <f>'wp-q(4) Clinton trans exp'!C28</f>
        <v>-38572.844654765038</v>
      </c>
      <c r="D27" s="422"/>
      <c r="E27" s="422"/>
      <c r="F27" s="422"/>
      <c r="G27" s="422"/>
      <c r="H27" s="422"/>
      <c r="I27" s="422"/>
      <c r="J27" s="422"/>
    </row>
    <row r="28" spans="1:10">
      <c r="A28" s="2" t="s">
        <v>1773</v>
      </c>
      <c r="B28" s="422"/>
      <c r="C28" s="1007">
        <f>SUM(C26:C27)</f>
        <v>6355.2102118855328</v>
      </c>
      <c r="D28" s="422"/>
      <c r="E28" s="422"/>
      <c r="F28" s="422"/>
      <c r="G28" s="422"/>
      <c r="H28" s="422"/>
      <c r="I28" s="422"/>
      <c r="J28" s="422"/>
    </row>
    <row r="29" spans="1:10">
      <c r="C29" s="413"/>
    </row>
  </sheetData>
  <phoneticPr fontId="26" type="noConversion"/>
  <pageMargins left="0.75" right="0.75" top="1" bottom="1" header="0.5" footer="0.5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C20"/>
  <sheetViews>
    <sheetView view="pageBreakPreview" zoomScale="75" zoomScaleNormal="100" zoomScaleSheetLayoutView="75" workbookViewId="0">
      <selection activeCell="C10" sqref="C10:C13"/>
    </sheetView>
  </sheetViews>
  <sheetFormatPr defaultRowHeight="15"/>
  <cols>
    <col min="1" max="1" width="47.25" style="2" bestFit="1" customWidth="1"/>
    <col min="2" max="2" width="1.625" style="2" customWidth="1"/>
    <col min="3" max="3" width="25" style="2" customWidth="1"/>
    <col min="4" max="4" width="1.625" style="2" customWidth="1"/>
    <col min="5" max="14" width="9" style="2"/>
    <col min="15" max="15" width="26.625" style="2" customWidth="1"/>
    <col min="16" max="16384" width="9" style="2"/>
  </cols>
  <sheetData>
    <row r="1" spans="1:3">
      <c r="A1" s="39" t="s">
        <v>350</v>
      </c>
      <c r="B1" s="39"/>
      <c r="C1" s="1200" t="s">
        <v>1779</v>
      </c>
    </row>
    <row r="2" spans="1:3">
      <c r="A2" s="39" t="str">
        <f>'Sch.A-B.S'!F2</f>
        <v>Case No. 2013 - 00237</v>
      </c>
      <c r="B2" s="39"/>
      <c r="C2" s="1200"/>
    </row>
    <row r="3" spans="1:3">
      <c r="A3" s="39" t="s">
        <v>67</v>
      </c>
      <c r="B3" s="39"/>
    </row>
    <row r="4" spans="1:3">
      <c r="A4" s="39" t="str">
        <f>'Sch.B-I.S'!A4</f>
        <v>Test Year 12/31/2012</v>
      </c>
      <c r="B4" s="39"/>
    </row>
    <row r="7" spans="1:3" ht="48" customHeight="1">
      <c r="A7" s="1201" t="s">
        <v>68</v>
      </c>
      <c r="B7" s="22"/>
      <c r="C7" s="493" t="s">
        <v>240</v>
      </c>
    </row>
    <row r="8" spans="1:3">
      <c r="A8" s="22"/>
      <c r="B8" s="22"/>
      <c r="C8" s="495"/>
    </row>
    <row r="9" spans="1:3">
      <c r="A9" s="39" t="s">
        <v>241</v>
      </c>
      <c r="B9" s="39"/>
      <c r="C9" s="495"/>
    </row>
    <row r="10" spans="1:3">
      <c r="A10" s="15" t="s">
        <v>2228</v>
      </c>
      <c r="B10" s="15"/>
      <c r="C10" s="1202">
        <v>8.4199999999999997E-2</v>
      </c>
    </row>
    <row r="11" spans="1:3">
      <c r="A11" s="15" t="s">
        <v>2232</v>
      </c>
      <c r="B11" s="15"/>
      <c r="C11" s="1202">
        <v>0.4758</v>
      </c>
    </row>
    <row r="12" spans="1:3">
      <c r="A12" s="15" t="s">
        <v>2234</v>
      </c>
      <c r="B12" s="15"/>
      <c r="C12" s="1202">
        <v>0.4758</v>
      </c>
    </row>
    <row r="13" spans="1:3">
      <c r="A13" s="981" t="s">
        <v>2235</v>
      </c>
      <c r="B13" s="981"/>
      <c r="C13" s="1202">
        <v>8.4199999999999997E-2</v>
      </c>
    </row>
    <row r="14" spans="1:3">
      <c r="A14" s="15"/>
      <c r="B14" s="15"/>
      <c r="C14" s="1202"/>
    </row>
    <row r="15" spans="1:3">
      <c r="A15" s="494"/>
      <c r="B15" s="494"/>
    </row>
    <row r="16" spans="1:3">
      <c r="A16" s="15"/>
      <c r="B16" s="15"/>
      <c r="C16" s="1202"/>
    </row>
    <row r="17" spans="1:3">
      <c r="A17" s="15"/>
      <c r="B17" s="15"/>
      <c r="C17" s="1202"/>
    </row>
    <row r="18" spans="1:3">
      <c r="A18" s="15"/>
      <c r="B18" s="15"/>
      <c r="C18" s="1202"/>
    </row>
    <row r="19" spans="1:3">
      <c r="A19" s="15"/>
      <c r="B19" s="15"/>
      <c r="C19" s="1202"/>
    </row>
    <row r="20" spans="1:3">
      <c r="A20" s="15"/>
      <c r="B20" s="15"/>
      <c r="C20" s="1202"/>
    </row>
  </sheetData>
  <phoneticPr fontId="26" type="noConversion"/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 enableFormatConditionsCalculation="0">
    <tabColor rgb="FFFFC000"/>
    <pageSetUpPr fitToPage="1"/>
  </sheetPr>
  <dimension ref="A1:BB220"/>
  <sheetViews>
    <sheetView showGridLines="0" view="pageBreakPreview" zoomScale="75" zoomScaleNormal="75" zoomScaleSheetLayoutView="75" workbookViewId="0">
      <pane xSplit="3" topLeftCell="E1" activePane="topRight" state="frozen"/>
      <selection activeCell="C22" sqref="C22"/>
      <selection pane="topRight" activeCell="B22" sqref="B22:B25"/>
    </sheetView>
  </sheetViews>
  <sheetFormatPr defaultColWidth="10.875" defaultRowHeight="15"/>
  <cols>
    <col min="1" max="1" width="4" style="31" customWidth="1"/>
    <col min="2" max="2" width="3.125" style="31" customWidth="1"/>
    <col min="3" max="3" width="37.125" style="31" customWidth="1"/>
    <col min="4" max="4" width="11" style="2" customWidth="1"/>
    <col min="5" max="5" width="11.875" style="31" customWidth="1"/>
    <col min="6" max="6" width="5.125" style="31" bestFit="1" customWidth="1"/>
    <col min="7" max="7" width="12.625" style="31" customWidth="1"/>
    <col min="8" max="8" width="5.125" style="31" bestFit="1" customWidth="1"/>
    <col min="9" max="9" width="11.25" style="31" bestFit="1" customWidth="1"/>
    <col min="10" max="10" width="2" style="31" customWidth="1"/>
    <col min="11" max="11" width="13.5" style="31" bestFit="1" customWidth="1"/>
    <col min="12" max="12" width="5.125" style="31" bestFit="1" customWidth="1"/>
    <col min="13" max="13" width="8" style="31" bestFit="1" customWidth="1"/>
    <col min="14" max="14" width="4.875" style="31" customWidth="1"/>
    <col min="15" max="15" width="11.5" style="31" bestFit="1" customWidth="1"/>
    <col min="16" max="16" width="2" style="31" customWidth="1"/>
    <col min="17" max="17" width="10.875" style="31" customWidth="1"/>
    <col min="18" max="18" width="2" style="31" customWidth="1"/>
    <col min="19" max="19" width="11.125" style="31" customWidth="1"/>
    <col min="20" max="20" width="2" style="31" customWidth="1"/>
    <col min="21" max="21" width="11.5" style="31" customWidth="1"/>
    <col min="22" max="22" width="2" style="31" customWidth="1"/>
    <col min="23" max="23" width="11.5" style="31" bestFit="1" customWidth="1"/>
    <col min="24" max="24" width="2" style="31" customWidth="1"/>
    <col min="25" max="25" width="10.125" style="113" bestFit="1" customWidth="1"/>
    <col min="26" max="26" width="2.125" style="113" customWidth="1"/>
    <col min="27" max="30" width="3.625" style="98" hidden="1" customWidth="1"/>
    <col min="31" max="31" width="11.625" style="98" customWidth="1"/>
    <col min="32" max="32" width="2.125" style="98" customWidth="1"/>
    <col min="33" max="33" width="9.125" style="98" customWidth="1"/>
    <col min="34" max="34" width="1.375" style="98" customWidth="1"/>
    <col min="35" max="35" width="13" style="98" bestFit="1" customWidth="1"/>
    <col min="36" max="36" width="4.5" style="98" customWidth="1"/>
    <col min="37" max="38" width="8.625" style="98" customWidth="1"/>
    <col min="39" max="39" width="11.875" style="104" customWidth="1"/>
    <col min="40" max="16384" width="10.875" style="31"/>
  </cols>
  <sheetData>
    <row r="1" spans="1:39" ht="15.75" thickBot="1">
      <c r="A1" s="71" t="s">
        <v>350</v>
      </c>
      <c r="C1" s="71"/>
      <c r="I1" s="72"/>
      <c r="J1" s="73"/>
      <c r="K1" s="73"/>
      <c r="W1" s="1200" t="s">
        <v>1778</v>
      </c>
      <c r="Y1" s="98"/>
      <c r="Z1" s="98"/>
      <c r="AA1" s="99"/>
      <c r="AB1" s="99"/>
      <c r="AC1" s="99"/>
      <c r="AD1" s="99"/>
      <c r="AE1" s="99" t="s">
        <v>66</v>
      </c>
      <c r="AF1" s="99"/>
      <c r="AG1" s="457">
        <v>745.2</v>
      </c>
      <c r="AH1" s="100"/>
      <c r="AI1" s="1381">
        <f>AG1/AG4</f>
        <v>0.10121699445832882</v>
      </c>
      <c r="AJ1" s="101"/>
      <c r="AK1" s="102" t="s">
        <v>151</v>
      </c>
      <c r="AL1" s="103">
        <v>3.5000000000000003E-2</v>
      </c>
    </row>
    <row r="2" spans="1:39" ht="15.75" thickBot="1">
      <c r="A2" s="71" t="str">
        <f>'Sch.A-B.S'!F2</f>
        <v>Case No. 2013 - 00237</v>
      </c>
      <c r="C2" s="71"/>
      <c r="I2" s="72"/>
      <c r="J2" s="73"/>
      <c r="K2" s="73"/>
      <c r="W2" s="424"/>
      <c r="Y2" s="98"/>
      <c r="Z2" s="98"/>
      <c r="AA2" s="99"/>
      <c r="AB2" s="99"/>
      <c r="AC2" s="99"/>
      <c r="AD2" s="99"/>
      <c r="AE2" s="99"/>
      <c r="AF2" s="99"/>
      <c r="AG2" s="1305"/>
      <c r="AH2" s="100"/>
      <c r="AI2" s="395"/>
      <c r="AJ2" s="101"/>
      <c r="AK2" s="102"/>
      <c r="AL2" s="103"/>
    </row>
    <row r="3" spans="1:39" ht="14.1" customHeight="1" thickBot="1">
      <c r="A3" s="75" t="s">
        <v>69</v>
      </c>
      <c r="I3" s="76"/>
      <c r="J3" s="73"/>
      <c r="K3" s="73"/>
      <c r="Y3" s="105"/>
      <c r="Z3" s="98"/>
      <c r="AE3" s="98" t="s">
        <v>65</v>
      </c>
      <c r="AG3" s="458">
        <f>AG4-AG1</f>
        <v>6617.2</v>
      </c>
      <c r="AI3" s="395">
        <f>AG3/AG4</f>
        <v>0.89878300554167123</v>
      </c>
      <c r="AJ3" s="106" t="s">
        <v>166</v>
      </c>
      <c r="AK3" s="107">
        <v>9000</v>
      </c>
      <c r="AL3" s="108"/>
    </row>
    <row r="4" spans="1:39" ht="15.75" customHeight="1">
      <c r="A4" s="75" t="str">
        <f>'Sch.B-I.S'!A4</f>
        <v>Test Year 12/31/2012</v>
      </c>
      <c r="I4" s="76"/>
      <c r="J4" s="73"/>
      <c r="K4" s="73"/>
      <c r="Y4" s="105"/>
      <c r="Z4" s="98"/>
      <c r="AG4" s="98">
        <f>'Allocation Calc'!F57</f>
        <v>7362.4</v>
      </c>
      <c r="AJ4" s="115"/>
      <c r="AK4" s="116"/>
      <c r="AL4" s="283"/>
    </row>
    <row r="5" spans="1:39" ht="12" customHeight="1">
      <c r="A5" s="75"/>
      <c r="I5" s="76"/>
      <c r="J5" s="73"/>
      <c r="K5" s="73"/>
      <c r="M5" s="75" t="s">
        <v>1783</v>
      </c>
      <c r="Y5" s="105"/>
      <c r="Z5" s="98"/>
      <c r="AG5" s="396">
        <v>0.25</v>
      </c>
      <c r="AJ5" s="115"/>
      <c r="AK5" s="116"/>
      <c r="AL5" s="283"/>
    </row>
    <row r="6" spans="1:39" ht="12" customHeight="1">
      <c r="I6" s="76"/>
      <c r="J6" s="73"/>
      <c r="K6" s="73"/>
      <c r="Y6" s="98"/>
      <c r="Z6" s="98"/>
      <c r="AJ6" s="115"/>
      <c r="AK6" s="116"/>
      <c r="AL6" s="283"/>
    </row>
    <row r="7" spans="1:39">
      <c r="B7" s="75"/>
      <c r="E7" s="77" t="s">
        <v>83</v>
      </c>
      <c r="I7" s="73"/>
      <c r="J7" s="73"/>
      <c r="K7" s="78"/>
      <c r="O7" s="79">
        <v>2012</v>
      </c>
      <c r="P7" s="32"/>
      <c r="Q7" s="32"/>
      <c r="R7" s="80"/>
      <c r="S7" s="32"/>
      <c r="T7" s="32"/>
      <c r="U7" s="32"/>
      <c r="V7" s="32"/>
      <c r="Y7" s="109" t="s">
        <v>402</v>
      </c>
      <c r="Z7" s="109"/>
      <c r="AA7" s="104"/>
      <c r="AB7" s="110"/>
      <c r="AC7" s="110"/>
      <c r="AD7" s="110"/>
      <c r="AE7" s="111"/>
      <c r="AF7" s="111"/>
      <c r="AG7" s="111"/>
      <c r="AH7" s="111"/>
      <c r="AI7" s="112" t="s">
        <v>83</v>
      </c>
      <c r="AJ7" s="113"/>
      <c r="AK7" s="113"/>
      <c r="AL7" s="113"/>
      <c r="AM7" s="114"/>
    </row>
    <row r="8" spans="1:39" s="81" customFormat="1">
      <c r="E8" s="77" t="s">
        <v>77</v>
      </c>
      <c r="G8" s="81" t="s">
        <v>403</v>
      </c>
      <c r="I8" s="82" t="s">
        <v>404</v>
      </c>
      <c r="J8" s="82"/>
      <c r="K8" s="82" t="s">
        <v>151</v>
      </c>
      <c r="M8" s="81" t="s">
        <v>391</v>
      </c>
      <c r="O8" s="81" t="s">
        <v>563</v>
      </c>
      <c r="Q8" s="81" t="s">
        <v>920</v>
      </c>
      <c r="S8" s="81" t="s">
        <v>776</v>
      </c>
      <c r="U8" s="79">
        <v>2012</v>
      </c>
      <c r="W8" s="81" t="s">
        <v>391</v>
      </c>
      <c r="Y8" s="109" t="s">
        <v>921</v>
      </c>
      <c r="Z8" s="109"/>
      <c r="AA8" s="109" t="s">
        <v>579</v>
      </c>
      <c r="AB8" s="109"/>
      <c r="AC8" s="109" t="s">
        <v>579</v>
      </c>
      <c r="AD8" s="109"/>
      <c r="AE8" s="112" t="s">
        <v>77</v>
      </c>
      <c r="AF8" s="112"/>
      <c r="AG8" s="282">
        <v>2012</v>
      </c>
      <c r="AH8" s="112"/>
      <c r="AI8" s="112" t="s">
        <v>77</v>
      </c>
      <c r="AJ8" s="115"/>
      <c r="AK8" s="116"/>
      <c r="AL8" s="117"/>
      <c r="AM8" s="118"/>
    </row>
    <row r="9" spans="1:39" s="81" customFormat="1">
      <c r="E9" s="83" t="s">
        <v>481</v>
      </c>
      <c r="G9" s="84" t="str">
        <f>"7.65%"</f>
        <v>7.65%</v>
      </c>
      <c r="I9" s="85" t="s">
        <v>349</v>
      </c>
      <c r="J9" s="82"/>
      <c r="K9" s="85" t="s">
        <v>1526</v>
      </c>
      <c r="M9" s="84" t="s">
        <v>929</v>
      </c>
      <c r="O9" s="84" t="s">
        <v>379</v>
      </c>
      <c r="Q9" s="84" t="s">
        <v>771</v>
      </c>
      <c r="S9" s="84" t="s">
        <v>772</v>
      </c>
      <c r="U9" s="84" t="s">
        <v>122</v>
      </c>
      <c r="W9" s="84" t="s">
        <v>73</v>
      </c>
      <c r="X9" s="80"/>
      <c r="Y9" s="119" t="s">
        <v>70</v>
      </c>
      <c r="Z9" s="119"/>
      <c r="AA9" s="120"/>
      <c r="AB9" s="110"/>
      <c r="AC9" s="121" t="s">
        <v>794</v>
      </c>
      <c r="AD9" s="110"/>
      <c r="AE9" s="121" t="s">
        <v>481</v>
      </c>
      <c r="AF9" s="110"/>
      <c r="AG9" s="121" t="s">
        <v>1538</v>
      </c>
      <c r="AH9" s="111"/>
      <c r="AI9" s="121" t="s">
        <v>481</v>
      </c>
      <c r="AJ9" s="112"/>
      <c r="AK9" s="112"/>
      <c r="AL9" s="112"/>
      <c r="AM9" s="122"/>
    </row>
    <row r="10" spans="1:39">
      <c r="B10" s="86" t="s">
        <v>828</v>
      </c>
      <c r="C10" s="32"/>
      <c r="E10" s="87"/>
      <c r="K10" s="88"/>
      <c r="Y10" s="98"/>
      <c r="Z10" s="98"/>
      <c r="AA10" s="123"/>
      <c r="AB10" s="124"/>
      <c r="AC10" s="110"/>
      <c r="AD10" s="124"/>
      <c r="AE10" s="124"/>
      <c r="AF10" s="124"/>
      <c r="AG10" s="125"/>
      <c r="AH10" s="125"/>
      <c r="AI10" s="125"/>
      <c r="AM10" s="114"/>
    </row>
    <row r="11" spans="1:39" s="73" customFormat="1" ht="15.75" thickBot="1">
      <c r="B11" s="53"/>
      <c r="C11" s="89" t="s">
        <v>2228</v>
      </c>
      <c r="D11" s="15"/>
      <c r="E11" s="135">
        <f>AI11*1.035</f>
        <v>76232.717999999979</v>
      </c>
      <c r="F11" s="213"/>
      <c r="G11" s="213">
        <f>'Wp b - salary'!G14</f>
        <v>5635</v>
      </c>
      <c r="H11" s="213">
        <f>'Wp b - salary'!H14</f>
        <v>0</v>
      </c>
      <c r="I11" s="213">
        <f>'Wp b - salary'!I14</f>
        <v>56</v>
      </c>
      <c r="J11" s="213">
        <f>'Wp b - salary'!J14</f>
        <v>0</v>
      </c>
      <c r="K11" s="213">
        <f>'Wp b - salary'!K14</f>
        <v>306.90000000000003</v>
      </c>
      <c r="L11" s="213"/>
      <c r="M11" s="213">
        <f>'Wp b - salary'!M14</f>
        <v>5997.9</v>
      </c>
      <c r="N11" s="213">
        <f>'Wp b - salary'!N14</f>
        <v>0</v>
      </c>
      <c r="O11" s="213">
        <f>'Wp b - salary'!O14</f>
        <v>7481.8509443099274</v>
      </c>
      <c r="P11" s="213">
        <f>'Wp b - salary'!P14</f>
        <v>0</v>
      </c>
      <c r="Q11" s="213">
        <f>'Wp b - salary'!Q14</f>
        <v>2209.6439999999998</v>
      </c>
      <c r="R11" s="213">
        <f>'Wp b - salary'!R14</f>
        <v>0</v>
      </c>
      <c r="S11" s="213">
        <f>'Wp b - salary'!S14</f>
        <v>2946.1919999999996</v>
      </c>
      <c r="T11" s="213">
        <f>'Wp b - salary'!T14</f>
        <v>0</v>
      </c>
      <c r="U11" s="213">
        <f>'Wp b - salary'!U14</f>
        <v>453.52290556900732</v>
      </c>
      <c r="V11" s="213">
        <f>'Wp b - salary'!V14</f>
        <v>0</v>
      </c>
      <c r="W11" s="213">
        <f>'Wp b - salary'!W14</f>
        <v>13091.209849878933</v>
      </c>
      <c r="Y11" s="126">
        <f>'wp-q(2) salary allocation'!C10</f>
        <v>8.4199999999999997E-2</v>
      </c>
      <c r="Z11" s="105"/>
      <c r="AA11" s="127"/>
      <c r="AB11" s="125"/>
      <c r="AC11" s="112"/>
      <c r="AD11" s="98"/>
      <c r="AE11" s="289">
        <f>'Wp b - salary'!AE14</f>
        <v>73654.799999999988</v>
      </c>
      <c r="AF11" s="287"/>
      <c r="AG11" s="288"/>
      <c r="AH11" s="287"/>
      <c r="AI11" s="287">
        <f>+'Wp b - salary'!AK14</f>
        <v>73654.799999999988</v>
      </c>
      <c r="AJ11" s="115"/>
      <c r="AK11" s="116"/>
      <c r="AL11" s="117"/>
      <c r="AM11" s="128"/>
    </row>
    <row r="12" spans="1:39" s="73" customFormat="1" ht="15.75" thickBot="1">
      <c r="B12" s="53"/>
      <c r="C12" s="89" t="s">
        <v>2232</v>
      </c>
      <c r="E12" s="135">
        <f>AI12*1.035</f>
        <v>27798.319799999997</v>
      </c>
      <c r="F12" s="213"/>
      <c r="G12" s="213">
        <f>'Wp b - salary'!G18</f>
        <v>2055</v>
      </c>
      <c r="H12" s="213">
        <f>'Wp b - salary'!H18</f>
        <v>0</v>
      </c>
      <c r="I12" s="213">
        <f>'Wp b - salary'!I18</f>
        <v>56</v>
      </c>
      <c r="J12" s="213">
        <f>'Wp b - salary'!J18</f>
        <v>0</v>
      </c>
      <c r="K12" s="213">
        <f>'Wp b - salary'!K18</f>
        <v>306.90000000000003</v>
      </c>
      <c r="L12" s="213"/>
      <c r="M12" s="213">
        <f>'Wp b - salary'!M18</f>
        <v>2417.9</v>
      </c>
      <c r="N12" s="213">
        <f>'Wp b - salary'!N18</f>
        <v>0</v>
      </c>
      <c r="O12" s="213">
        <f>'Wp b - salary'!O18</f>
        <v>7481.8509443099274</v>
      </c>
      <c r="P12" s="213">
        <f>'Wp b - salary'!P18</f>
        <v>0</v>
      </c>
      <c r="Q12" s="213">
        <f>'Wp b - salary'!Q18</f>
        <v>805.74839999999995</v>
      </c>
      <c r="R12" s="213">
        <f>'Wp b - salary'!R18</f>
        <v>0</v>
      </c>
      <c r="S12" s="213">
        <f>'Wp b - salary'!S18</f>
        <v>1074.3312000000001</v>
      </c>
      <c r="T12" s="213">
        <f>'Wp b - salary'!T18</f>
        <v>0</v>
      </c>
      <c r="U12" s="213">
        <f>'Wp b - salary'!U18</f>
        <v>453.52290556900732</v>
      </c>
      <c r="V12" s="213">
        <f>'Wp b - salary'!V18</f>
        <v>0</v>
      </c>
      <c r="W12" s="213">
        <f>'Wp b - salary'!W18</f>
        <v>9815.4534498789344</v>
      </c>
      <c r="Y12" s="126">
        <f>'wp-q(2) salary allocation'!C11</f>
        <v>0.4758</v>
      </c>
      <c r="Z12" s="105"/>
      <c r="AA12" s="129"/>
      <c r="AB12" s="124"/>
      <c r="AC12" s="109"/>
      <c r="AD12" s="98"/>
      <c r="AE12" s="289">
        <f>'Wp b - salary'!AE18</f>
        <v>25708.799999999999</v>
      </c>
      <c r="AF12" s="289">
        <f>'Wp b - salary'!AH18</f>
        <v>0</v>
      </c>
      <c r="AG12" s="289">
        <f>'Wp b - salary'!AI18</f>
        <v>1149.48</v>
      </c>
      <c r="AH12" s="287"/>
      <c r="AI12" s="287">
        <f>+'Wp b - salary'!AK18</f>
        <v>26858.28</v>
      </c>
      <c r="AJ12" s="115"/>
      <c r="AK12" s="116"/>
      <c r="AL12" s="117"/>
      <c r="AM12" s="128"/>
    </row>
    <row r="13" spans="1:39" s="73" customFormat="1" ht="15.75" thickBot="1">
      <c r="B13" s="53"/>
      <c r="C13" s="89" t="s">
        <v>2234</v>
      </c>
      <c r="E13" s="135">
        <f>AI13*1.035</f>
        <v>44470.120499999997</v>
      </c>
      <c r="F13" s="213"/>
      <c r="G13" s="213">
        <f>'Wp b - salary'!G20</f>
        <v>3287</v>
      </c>
      <c r="H13" s="213">
        <f>'Wp b - salary'!H19</f>
        <v>0</v>
      </c>
      <c r="I13" s="213">
        <f>'Wp b - salary'!I20</f>
        <v>56</v>
      </c>
      <c r="J13" s="213">
        <f>'Wp b - salary'!J19</f>
        <v>0</v>
      </c>
      <c r="K13" s="213">
        <f>'Wp b - salary'!K20</f>
        <v>306.90000000000003</v>
      </c>
      <c r="L13" s="213"/>
      <c r="M13" s="213">
        <f>'Wp b - salary'!M20</f>
        <v>3649.9</v>
      </c>
      <c r="N13" s="213">
        <f>'Wp b - salary'!N19</f>
        <v>0</v>
      </c>
      <c r="O13" s="213">
        <f>'Wp b - salary'!O20</f>
        <v>7481.8509443099274</v>
      </c>
      <c r="P13" s="213">
        <f>'Wp b - salary'!P19</f>
        <v>0</v>
      </c>
      <c r="Q13" s="213">
        <f>'Wp b - salary'!Q20</f>
        <v>1288.989</v>
      </c>
      <c r="R13" s="213">
        <f>'Wp b - salary'!R19</f>
        <v>0</v>
      </c>
      <c r="S13" s="213">
        <f>'Wp b - salary'!S20</f>
        <v>1718.652</v>
      </c>
      <c r="T13" s="213">
        <f>'Wp b - salary'!T19</f>
        <v>0</v>
      </c>
      <c r="U13" s="213">
        <f>'Wp b - salary'!U20</f>
        <v>453.52290556900732</v>
      </c>
      <c r="V13" s="213">
        <f>'Wp b - salary'!V19</f>
        <v>0</v>
      </c>
      <c r="W13" s="213">
        <f>'Wp b - salary'!W20</f>
        <v>10943.014849878935</v>
      </c>
      <c r="Y13" s="126">
        <f>'wp-q(2) salary allocation'!C12</f>
        <v>0.4758</v>
      </c>
      <c r="Z13" s="105"/>
      <c r="AA13" s="129"/>
      <c r="AB13" s="124"/>
      <c r="AC13" s="109"/>
      <c r="AD13" s="98"/>
      <c r="AE13" s="289">
        <f>'Wp b - salary'!AE20</f>
        <v>37315.200000000004</v>
      </c>
      <c r="AF13" s="289">
        <f>'Wp b - salary'!AH19</f>
        <v>0</v>
      </c>
      <c r="AG13" s="289">
        <f>'Wp b - salary'!AI20</f>
        <v>5651.1</v>
      </c>
      <c r="AH13" s="289">
        <f>'Wp b - salary'!AJ19</f>
        <v>0</v>
      </c>
      <c r="AI13" s="287">
        <f>+'Wp b - salary'!AK20</f>
        <v>42966.3</v>
      </c>
      <c r="AJ13" s="115"/>
      <c r="AK13" s="116"/>
      <c r="AL13" s="117"/>
      <c r="AM13" s="128"/>
    </row>
    <row r="14" spans="1:39" ht="15.75" thickBot="1">
      <c r="C14" s="89" t="s">
        <v>2235</v>
      </c>
      <c r="D14" s="15"/>
      <c r="E14" s="135">
        <f>AI14*1.035</f>
        <v>39072.062474999999</v>
      </c>
      <c r="F14" s="213"/>
      <c r="G14" s="213">
        <f>'Wp b - salary'!G21</f>
        <v>2975</v>
      </c>
      <c r="H14" s="213">
        <f>'Wp b - salary'!H20</f>
        <v>0</v>
      </c>
      <c r="I14" s="213">
        <f>'Wp b - salary'!I21</f>
        <v>56</v>
      </c>
      <c r="J14" s="213">
        <f>'Wp b - salary'!J20</f>
        <v>0</v>
      </c>
      <c r="K14" s="213">
        <f>'Wp b - salary'!K21</f>
        <v>306.90000000000003</v>
      </c>
      <c r="L14" s="213"/>
      <c r="M14" s="213">
        <f>'Wp b - salary'!M21</f>
        <v>3337.9</v>
      </c>
      <c r="N14" s="213">
        <f>'Wp b - salary'!N20</f>
        <v>0</v>
      </c>
      <c r="O14" s="213">
        <f>'Wp b - salary'!O21</f>
        <v>7481.8509443099274</v>
      </c>
      <c r="P14" s="213">
        <f>'Wp b - salary'!P20</f>
        <v>0</v>
      </c>
      <c r="Q14" s="213">
        <f>'Wp b - salary'!Q21</f>
        <v>1166.4992565</v>
      </c>
      <c r="R14" s="213">
        <f>'Wp b - salary'!R20</f>
        <v>0</v>
      </c>
      <c r="S14" s="213">
        <f>'Wp b - salary'!S21</f>
        <v>1555.3323420000002</v>
      </c>
      <c r="T14" s="213">
        <f>'Wp b - salary'!T20</f>
        <v>0</v>
      </c>
      <c r="U14" s="213">
        <f>'Wp b - salary'!U21</f>
        <v>453.52290556900732</v>
      </c>
      <c r="V14" s="213">
        <f>'Wp b - salary'!V20</f>
        <v>0</v>
      </c>
      <c r="W14" s="213">
        <f>'Wp b - salary'!W21</f>
        <v>10657.205448378934</v>
      </c>
      <c r="X14" s="73"/>
      <c r="Y14" s="126">
        <f>'wp-q(2) salary allocation'!C13</f>
        <v>8.4199999999999997E-2</v>
      </c>
      <c r="Z14" s="105"/>
      <c r="AA14" s="129"/>
      <c r="AB14" s="124"/>
      <c r="AC14" s="109"/>
      <c r="AE14" s="289">
        <f>'Wp b - salary'!AE21</f>
        <v>35318.400000000001</v>
      </c>
      <c r="AF14" s="289">
        <f>'Wp b - salary'!AH20</f>
        <v>0</v>
      </c>
      <c r="AG14" s="289">
        <f>'Wp b - salary'!AI21</f>
        <v>2432.3850000000002</v>
      </c>
      <c r="AH14" s="289">
        <f>'Wp b - salary'!AJ20</f>
        <v>0</v>
      </c>
      <c r="AI14" s="287">
        <f>+'Wp b - salary'!AK21</f>
        <v>37750.785000000003</v>
      </c>
      <c r="AJ14" s="130"/>
      <c r="AK14" s="130"/>
      <c r="AM14" s="114"/>
    </row>
    <row r="15" spans="1:39" s="73" customFormat="1">
      <c r="B15" s="53"/>
      <c r="C15" s="89"/>
      <c r="D15" s="15"/>
      <c r="E15" s="281"/>
      <c r="F15" s="213"/>
      <c r="G15" s="213"/>
      <c r="H15" s="213"/>
      <c r="I15" s="213"/>
      <c r="J15" s="213"/>
      <c r="K15" s="135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Y15" s="105"/>
      <c r="Z15" s="105"/>
      <c r="AA15" s="127"/>
      <c r="AB15" s="125"/>
      <c r="AC15" s="112"/>
      <c r="AD15" s="98"/>
      <c r="AE15" s="287"/>
      <c r="AF15" s="287"/>
      <c r="AG15" s="288"/>
      <c r="AH15" s="287"/>
      <c r="AI15" s="287"/>
      <c r="AJ15" s="115"/>
      <c r="AK15" s="116"/>
      <c r="AL15" s="117"/>
      <c r="AM15" s="131"/>
    </row>
    <row r="16" spans="1:39" s="73" customFormat="1">
      <c r="E16" s="135"/>
      <c r="F16" s="213"/>
      <c r="G16" s="284"/>
      <c r="H16" s="213"/>
      <c r="I16" s="284"/>
      <c r="J16" s="213"/>
      <c r="K16" s="284"/>
      <c r="L16" s="213"/>
      <c r="M16" s="284"/>
      <c r="N16" s="213"/>
      <c r="O16" s="284"/>
      <c r="P16" s="213"/>
      <c r="Q16" s="284"/>
      <c r="R16" s="213"/>
      <c r="S16" s="284"/>
      <c r="T16" s="213"/>
      <c r="U16" s="284"/>
      <c r="V16" s="213"/>
      <c r="W16" s="284"/>
      <c r="X16" s="90"/>
      <c r="Y16" s="113"/>
      <c r="Z16" s="113"/>
      <c r="AA16" s="127"/>
      <c r="AB16" s="125"/>
      <c r="AC16" s="111"/>
      <c r="AD16" s="124"/>
      <c r="AE16" s="287"/>
      <c r="AF16" s="287"/>
      <c r="AG16" s="290"/>
      <c r="AH16" s="290"/>
      <c r="AI16" s="290"/>
      <c r="AJ16" s="132"/>
      <c r="AK16" s="113"/>
      <c r="AL16" s="98"/>
      <c r="AM16" s="104"/>
    </row>
    <row r="17" spans="2:39" s="73" customFormat="1" ht="15.75" thickBot="1">
      <c r="B17" s="72" t="s">
        <v>103</v>
      </c>
      <c r="E17" s="285">
        <f>SUM(E11:E15)</f>
        <v>187573.22077499999</v>
      </c>
      <c r="F17" s="213"/>
      <c r="G17" s="285">
        <f>SUM(G11:G15)</f>
        <v>13952</v>
      </c>
      <c r="H17" s="213"/>
      <c r="I17" s="285">
        <f>SUM(I11:I15)</f>
        <v>224</v>
      </c>
      <c r="J17" s="213"/>
      <c r="K17" s="285">
        <f>SUM(K11:K15)</f>
        <v>1227.6000000000001</v>
      </c>
      <c r="L17" s="213"/>
      <c r="M17" s="285">
        <f>SUM(M11:M15)</f>
        <v>15403.599999999999</v>
      </c>
      <c r="N17" s="213"/>
      <c r="O17" s="285">
        <f>SUM(O11:O15)</f>
        <v>29927.40377723971</v>
      </c>
      <c r="P17" s="213"/>
      <c r="Q17" s="285">
        <f>SUM(Q11:Q15)</f>
        <v>5470.8806565000004</v>
      </c>
      <c r="R17" s="213"/>
      <c r="S17" s="285">
        <f>SUM(S11:S15)</f>
        <v>7294.5075419999994</v>
      </c>
      <c r="T17" s="213"/>
      <c r="U17" s="285">
        <f>SUM(U11:U15)</f>
        <v>1814.0916222760293</v>
      </c>
      <c r="V17" s="213"/>
      <c r="W17" s="285">
        <f>SUM(W11:W15)</f>
        <v>44506.883598015738</v>
      </c>
      <c r="X17" s="90"/>
      <c r="Y17" s="113"/>
      <c r="Z17" s="113"/>
      <c r="AA17" s="113"/>
      <c r="AB17" s="125"/>
      <c r="AC17" s="113"/>
      <c r="AD17" s="124"/>
      <c r="AE17" s="291">
        <f>SUM(AE11:AE15)</f>
        <v>171997.19999999998</v>
      </c>
      <c r="AF17" s="287"/>
      <c r="AG17" s="291">
        <f>SUM(AG11:AG15)</f>
        <v>9232.9650000000001</v>
      </c>
      <c r="AH17" s="290"/>
      <c r="AI17" s="291">
        <f>SUM(AI11:AI15)</f>
        <v>181230.16500000001</v>
      </c>
      <c r="AJ17" s="130"/>
      <c r="AK17" s="98"/>
      <c r="AL17" s="98"/>
      <c r="AM17" s="104"/>
    </row>
    <row r="18" spans="2:39" ht="15.75" thickTop="1">
      <c r="B18" s="75"/>
      <c r="E18" s="286"/>
      <c r="F18" s="216"/>
      <c r="G18" s="277"/>
      <c r="H18" s="216"/>
      <c r="I18" s="277"/>
      <c r="J18" s="216"/>
      <c r="K18" s="277"/>
      <c r="L18" s="216"/>
      <c r="M18" s="277"/>
      <c r="N18" s="216"/>
      <c r="O18" s="277"/>
      <c r="P18" s="216"/>
      <c r="Q18" s="277"/>
      <c r="R18" s="216"/>
      <c r="S18" s="277"/>
      <c r="T18" s="216"/>
      <c r="U18" s="277"/>
      <c r="V18" s="216"/>
      <c r="W18" s="277"/>
      <c r="X18" s="32"/>
      <c r="AE18" s="287"/>
      <c r="AF18" s="287"/>
      <c r="AG18" s="287"/>
      <c r="AH18" s="287"/>
      <c r="AI18" s="292"/>
      <c r="AJ18" s="133"/>
      <c r="AK18" s="133"/>
    </row>
    <row r="19" spans="2:39" s="73" customFormat="1">
      <c r="B19" s="90"/>
      <c r="C19" s="90"/>
      <c r="D19" s="1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90"/>
      <c r="Y19" s="90"/>
      <c r="Z19" s="90"/>
      <c r="AA19" s="90"/>
      <c r="AB19" s="90"/>
      <c r="AC19" s="90"/>
      <c r="AD19" s="90"/>
      <c r="AE19" s="135"/>
      <c r="AF19" s="135"/>
      <c r="AG19" s="135"/>
      <c r="AH19" s="135"/>
      <c r="AI19" s="135"/>
      <c r="AM19" s="90"/>
    </row>
    <row r="20" spans="2:39" s="73" customFormat="1">
      <c r="B20" s="91" t="s">
        <v>500</v>
      </c>
      <c r="C20" s="90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90"/>
      <c r="Y20" s="113"/>
      <c r="Z20" s="113"/>
      <c r="AA20" s="113"/>
      <c r="AB20" s="113"/>
      <c r="AC20" s="113"/>
      <c r="AD20" s="113"/>
      <c r="AE20" s="290"/>
      <c r="AF20" s="290"/>
      <c r="AG20" s="290"/>
      <c r="AH20" s="290"/>
      <c r="AI20" s="290"/>
      <c r="AJ20" s="98"/>
      <c r="AK20" s="98"/>
      <c r="AL20" s="98"/>
      <c r="AM20" s="104"/>
    </row>
    <row r="21" spans="2:39" s="73" customFormat="1">
      <c r="B21" s="91"/>
      <c r="C21" s="90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90"/>
      <c r="Y21" s="113"/>
      <c r="Z21" s="113"/>
      <c r="AA21" s="113"/>
      <c r="AB21" s="113"/>
      <c r="AC21" s="113"/>
      <c r="AD21" s="113"/>
      <c r="AE21" s="290"/>
      <c r="AF21" s="290"/>
      <c r="AG21" s="290"/>
      <c r="AH21" s="290"/>
      <c r="AI21" s="290"/>
      <c r="AJ21" s="98"/>
      <c r="AK21" s="98"/>
      <c r="AL21" s="98"/>
      <c r="AM21" s="104"/>
    </row>
    <row r="22" spans="2:39" s="73" customFormat="1" ht="12.75" customHeight="1">
      <c r="B22" s="89" t="s">
        <v>2228</v>
      </c>
      <c r="C22" s="31"/>
      <c r="E22" s="135">
        <f>E11*Y11</f>
        <v>6418.7948555999983</v>
      </c>
      <c r="F22" s="135"/>
      <c r="G22" s="135">
        <f>$Y11*G11</f>
        <v>474.46699999999998</v>
      </c>
      <c r="H22" s="135"/>
      <c r="I22" s="135">
        <f>$Y11*I11</f>
        <v>4.7151999999999994</v>
      </c>
      <c r="J22" s="135"/>
      <c r="K22" s="135">
        <f>$Y11*K11</f>
        <v>25.840980000000002</v>
      </c>
      <c r="L22" s="135"/>
      <c r="M22" s="135">
        <f>SUM(G22:K22)</f>
        <v>505.02317999999997</v>
      </c>
      <c r="N22" s="135"/>
      <c r="O22" s="135">
        <f>$Y11*O11</f>
        <v>629.97184951089582</v>
      </c>
      <c r="P22" s="135"/>
      <c r="Q22" s="213">
        <f>$Y11*Q11</f>
        <v>186.05202479999997</v>
      </c>
      <c r="R22" s="135"/>
      <c r="S22" s="135">
        <f>$Y11*S11</f>
        <v>248.06936639999995</v>
      </c>
      <c r="T22" s="135"/>
      <c r="U22" s="135">
        <f>$Y11*U11</f>
        <v>38.186628648910414</v>
      </c>
      <c r="V22" s="135"/>
      <c r="W22" s="216">
        <f>SUM(O22:U22)</f>
        <v>1102.2798693598061</v>
      </c>
      <c r="X22" s="90"/>
      <c r="Y22" s="113"/>
      <c r="Z22" s="113"/>
      <c r="AA22" s="113"/>
      <c r="AB22" s="113"/>
      <c r="AC22" s="113"/>
      <c r="AD22" s="113"/>
      <c r="AE22" s="290"/>
      <c r="AF22" s="290"/>
      <c r="AG22" s="290"/>
      <c r="AH22" s="290"/>
      <c r="AI22" s="290"/>
      <c r="AJ22" s="98"/>
      <c r="AK22" s="98"/>
      <c r="AL22" s="98"/>
      <c r="AM22" s="104"/>
    </row>
    <row r="23" spans="2:39" s="73" customFormat="1" ht="12.75" customHeight="1">
      <c r="B23" s="89" t="s">
        <v>2232</v>
      </c>
      <c r="C23" s="31"/>
      <c r="E23" s="135">
        <f>E12*Y12</f>
        <v>13226.440560839999</v>
      </c>
      <c r="F23" s="135"/>
      <c r="G23" s="135">
        <f>$Y12*G12</f>
        <v>977.76900000000001</v>
      </c>
      <c r="H23" s="135"/>
      <c r="I23" s="135">
        <f>$Y12*I12</f>
        <v>26.6448</v>
      </c>
      <c r="J23" s="135"/>
      <c r="K23" s="135">
        <f>$Y12*K12</f>
        <v>146.02302</v>
      </c>
      <c r="L23" s="135"/>
      <c r="M23" s="135">
        <f>SUM(G23:K23)</f>
        <v>1150.4368200000001</v>
      </c>
      <c r="N23" s="135"/>
      <c r="O23" s="135">
        <f>$Y12*O12</f>
        <v>3559.8646793026633</v>
      </c>
      <c r="P23" s="135"/>
      <c r="Q23" s="213">
        <f>$Y12*Q12</f>
        <v>383.37508871999995</v>
      </c>
      <c r="R23" s="135"/>
      <c r="S23" s="135">
        <f>$Y12*S12</f>
        <v>511.16678496000003</v>
      </c>
      <c r="T23" s="135"/>
      <c r="U23" s="135">
        <f>$Y12*U12</f>
        <v>215.78619846973368</v>
      </c>
      <c r="V23" s="135"/>
      <c r="W23" s="216">
        <f>SUM(O23:U23)</f>
        <v>4670.1927514523968</v>
      </c>
      <c r="X23" s="90"/>
      <c r="Y23" s="113"/>
      <c r="Z23" s="113"/>
      <c r="AA23" s="113"/>
      <c r="AB23" s="113"/>
      <c r="AC23" s="113"/>
      <c r="AD23" s="113"/>
      <c r="AE23" s="290"/>
      <c r="AF23" s="290"/>
      <c r="AG23" s="290"/>
      <c r="AH23" s="290"/>
      <c r="AI23" s="290"/>
      <c r="AJ23" s="98"/>
      <c r="AK23" s="98"/>
      <c r="AL23" s="98"/>
      <c r="AM23" s="104"/>
    </row>
    <row r="24" spans="2:39" s="73" customFormat="1" ht="12.75" customHeight="1">
      <c r="B24" s="89" t="s">
        <v>2234</v>
      </c>
      <c r="C24" s="31"/>
      <c r="E24" s="135">
        <f>Y13*E13</f>
        <v>21158.883333899998</v>
      </c>
      <c r="F24" s="135"/>
      <c r="G24" s="135">
        <f>$Y13*G13</f>
        <v>1563.9546</v>
      </c>
      <c r="H24" s="135"/>
      <c r="I24" s="135">
        <f>$Y13*I13</f>
        <v>26.6448</v>
      </c>
      <c r="J24" s="135"/>
      <c r="K24" s="135">
        <f>$Y13*K13</f>
        <v>146.02302</v>
      </c>
      <c r="L24" s="135"/>
      <c r="M24" s="135">
        <f>SUM(G24:K24)</f>
        <v>1736.6224200000001</v>
      </c>
      <c r="N24" s="135"/>
      <c r="O24" s="135">
        <f>$Y13*O13</f>
        <v>3559.8646793026633</v>
      </c>
      <c r="P24" s="135"/>
      <c r="Q24" s="213">
        <f>$Y13*Q13</f>
        <v>613.30096620000006</v>
      </c>
      <c r="R24" s="135"/>
      <c r="S24" s="135">
        <f>$Y13*S13</f>
        <v>817.73462159999997</v>
      </c>
      <c r="T24" s="135"/>
      <c r="U24" s="135">
        <f>$Y13*U13</f>
        <v>215.78619846973368</v>
      </c>
      <c r="V24" s="135"/>
      <c r="W24" s="216">
        <f>SUM(O24:U24)</f>
        <v>5206.6864655723966</v>
      </c>
      <c r="X24" s="90"/>
      <c r="Y24" s="113"/>
      <c r="Z24" s="113"/>
      <c r="AA24" s="113"/>
      <c r="AB24" s="113"/>
      <c r="AC24" s="113"/>
      <c r="AD24" s="113"/>
      <c r="AE24" s="290"/>
      <c r="AF24" s="290"/>
      <c r="AG24" s="290"/>
      <c r="AH24" s="290"/>
      <c r="AI24" s="290"/>
      <c r="AJ24" s="98"/>
      <c r="AK24" s="98"/>
      <c r="AL24" s="98"/>
      <c r="AM24" s="104"/>
    </row>
    <row r="25" spans="2:39" s="73" customFormat="1" ht="12.75" customHeight="1">
      <c r="B25" s="89" t="s">
        <v>2235</v>
      </c>
      <c r="C25" s="31"/>
      <c r="E25" s="135">
        <f>Y14*E14</f>
        <v>3289.8676603949998</v>
      </c>
      <c r="F25" s="135"/>
      <c r="G25" s="135">
        <f>$Y14*G14</f>
        <v>250.495</v>
      </c>
      <c r="H25" s="135"/>
      <c r="I25" s="135">
        <f>$Y14*I14</f>
        <v>4.7151999999999994</v>
      </c>
      <c r="J25" s="135"/>
      <c r="K25" s="135">
        <f>$Y14*K14</f>
        <v>25.840980000000002</v>
      </c>
      <c r="L25" s="135"/>
      <c r="M25" s="135">
        <f>SUM(G25:K25)</f>
        <v>281.05118000000004</v>
      </c>
      <c r="N25" s="135"/>
      <c r="O25" s="135">
        <f>$Y14*O14</f>
        <v>629.97184951089582</v>
      </c>
      <c r="P25" s="135"/>
      <c r="Q25" s="213">
        <f>$Y14*Q14</f>
        <v>98.219237397299992</v>
      </c>
      <c r="R25" s="135"/>
      <c r="S25" s="135">
        <f>$Y14*S14</f>
        <v>130.9589831964</v>
      </c>
      <c r="T25" s="135"/>
      <c r="U25" s="135">
        <f>$Y14*U14</f>
        <v>38.186628648910414</v>
      </c>
      <c r="V25" s="135"/>
      <c r="W25" s="216">
        <f>SUM(O25:U25)</f>
        <v>897.3366987535062</v>
      </c>
      <c r="X25" s="90"/>
      <c r="Y25" s="113"/>
      <c r="Z25" s="113"/>
      <c r="AA25" s="113"/>
      <c r="AB25" s="113"/>
      <c r="AC25" s="113"/>
      <c r="AD25" s="113"/>
      <c r="AE25" s="290"/>
      <c r="AF25" s="290"/>
      <c r="AG25" s="290"/>
      <c r="AH25" s="290"/>
      <c r="AI25" s="290"/>
      <c r="AJ25" s="98"/>
      <c r="AK25" s="98"/>
      <c r="AL25" s="98"/>
      <c r="AM25" s="104"/>
    </row>
    <row r="26" spans="2:39" s="73" customFormat="1" ht="12" customHeight="1">
      <c r="B26" s="89"/>
      <c r="C26" s="31"/>
      <c r="E26" s="135"/>
      <c r="F26" s="135"/>
      <c r="G26" s="135"/>
      <c r="H26" s="135"/>
      <c r="I26" s="135"/>
      <c r="J26" s="135"/>
      <c r="K26" s="135"/>
      <c r="L26" s="135"/>
      <c r="M26" s="213"/>
      <c r="N26" s="135"/>
      <c r="O26" s="135"/>
      <c r="P26" s="135"/>
      <c r="Q26" s="135"/>
      <c r="R26" s="135"/>
      <c r="S26" s="135"/>
      <c r="T26" s="135"/>
      <c r="U26" s="135"/>
      <c r="V26" s="135"/>
      <c r="W26" s="216"/>
      <c r="X26" s="90"/>
      <c r="Y26" s="113"/>
      <c r="Z26" s="113"/>
      <c r="AA26" s="113"/>
      <c r="AB26" s="113"/>
      <c r="AC26" s="113"/>
      <c r="AD26" s="113"/>
      <c r="AE26" s="290"/>
      <c r="AF26" s="290"/>
      <c r="AG26" s="290"/>
      <c r="AH26" s="290"/>
      <c r="AI26" s="290"/>
      <c r="AJ26" s="98"/>
      <c r="AK26" s="98"/>
      <c r="AL26" s="98"/>
      <c r="AM26" s="104"/>
    </row>
    <row r="27" spans="2:39" s="73" customFormat="1">
      <c r="B27" s="75" t="s">
        <v>74</v>
      </c>
      <c r="C27" s="31"/>
      <c r="E27" s="284">
        <f>SUM(E22:E26)</f>
        <v>44093.986410735</v>
      </c>
      <c r="F27" s="284">
        <f t="shared" ref="F27:W27" si="0">SUM(F22:F26)</f>
        <v>0</v>
      </c>
      <c r="G27" s="284">
        <f t="shared" si="0"/>
        <v>3266.6855999999998</v>
      </c>
      <c r="H27" s="284">
        <f t="shared" si="0"/>
        <v>0</v>
      </c>
      <c r="I27" s="284">
        <f t="shared" si="0"/>
        <v>62.72</v>
      </c>
      <c r="J27" s="284">
        <f t="shared" si="0"/>
        <v>0</v>
      </c>
      <c r="K27" s="284">
        <f t="shared" si="0"/>
        <v>343.72800000000001</v>
      </c>
      <c r="L27" s="284">
        <f t="shared" si="0"/>
        <v>0</v>
      </c>
      <c r="M27" s="284">
        <f t="shared" si="0"/>
        <v>3673.1336000000001</v>
      </c>
      <c r="N27" s="284">
        <f t="shared" si="0"/>
        <v>0</v>
      </c>
      <c r="O27" s="284">
        <f t="shared" si="0"/>
        <v>8379.6730576271184</v>
      </c>
      <c r="P27" s="284">
        <f t="shared" si="0"/>
        <v>0</v>
      </c>
      <c r="Q27" s="284">
        <f t="shared" si="0"/>
        <v>1280.9473171173001</v>
      </c>
      <c r="R27" s="284">
        <f t="shared" si="0"/>
        <v>0</v>
      </c>
      <c r="S27" s="284">
        <f t="shared" si="0"/>
        <v>1707.9297561563999</v>
      </c>
      <c r="T27" s="284">
        <f t="shared" si="0"/>
        <v>0</v>
      </c>
      <c r="U27" s="284">
        <f t="shared" si="0"/>
        <v>507.94565423728818</v>
      </c>
      <c r="V27" s="284">
        <f t="shared" si="0"/>
        <v>0</v>
      </c>
      <c r="W27" s="284">
        <f t="shared" si="0"/>
        <v>11876.495785138106</v>
      </c>
      <c r="X27" s="496"/>
      <c r="Y27" s="113"/>
      <c r="Z27" s="113"/>
      <c r="AA27" s="113"/>
      <c r="AB27" s="113"/>
      <c r="AC27" s="113"/>
      <c r="AD27" s="113"/>
      <c r="AE27" s="290"/>
      <c r="AF27" s="290"/>
      <c r="AG27" s="290"/>
      <c r="AH27" s="290"/>
      <c r="AI27" s="290"/>
      <c r="AJ27" s="98"/>
      <c r="AK27" s="98"/>
      <c r="AL27" s="98"/>
      <c r="AM27" s="104"/>
    </row>
    <row r="28" spans="2:39" s="73" customFormat="1">
      <c r="B28" s="90"/>
      <c r="C28" s="90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90"/>
      <c r="Y28" s="113"/>
      <c r="Z28" s="113"/>
      <c r="AA28" s="113"/>
      <c r="AB28" s="113"/>
      <c r="AC28" s="113"/>
      <c r="AD28" s="113"/>
      <c r="AE28" s="290"/>
      <c r="AF28" s="290"/>
      <c r="AG28" s="290"/>
      <c r="AH28" s="290"/>
      <c r="AI28" s="290"/>
      <c r="AJ28" s="98"/>
      <c r="AK28" s="98"/>
      <c r="AL28" s="98"/>
      <c r="AM28" s="104"/>
    </row>
    <row r="29" spans="2:39" s="90" customFormat="1">
      <c r="E29" s="135"/>
      <c r="F29" s="135"/>
      <c r="G29" s="277"/>
      <c r="H29" s="135"/>
      <c r="I29" s="135"/>
      <c r="J29" s="135"/>
      <c r="K29" s="135"/>
      <c r="L29" s="135"/>
      <c r="M29" s="277"/>
      <c r="N29" s="135"/>
      <c r="O29" s="135"/>
      <c r="P29" s="135"/>
      <c r="Q29" s="135"/>
      <c r="R29" s="277"/>
      <c r="S29" s="135"/>
      <c r="T29" s="135"/>
      <c r="U29" s="135"/>
      <c r="V29" s="135"/>
      <c r="W29" s="277"/>
      <c r="Y29" s="105"/>
      <c r="Z29" s="105"/>
      <c r="AA29" s="127"/>
      <c r="AB29" s="125"/>
      <c r="AC29" s="112"/>
      <c r="AD29" s="113"/>
      <c r="AE29" s="290"/>
      <c r="AF29" s="290"/>
      <c r="AG29" s="397"/>
      <c r="AH29" s="290"/>
      <c r="AI29" s="290"/>
      <c r="AJ29" s="113"/>
      <c r="AK29" s="113"/>
      <c r="AL29" s="113"/>
      <c r="AM29" s="114"/>
    </row>
    <row r="30" spans="2:39" s="90" customFormat="1">
      <c r="E30" s="333"/>
      <c r="F30" s="135"/>
      <c r="G30" s="277"/>
      <c r="H30" s="135"/>
      <c r="I30" s="135"/>
      <c r="J30" s="135"/>
      <c r="K30" s="135"/>
      <c r="L30" s="135"/>
      <c r="M30" s="277"/>
      <c r="N30" s="135"/>
      <c r="O30" s="135"/>
      <c r="P30" s="135"/>
      <c r="Q30" s="135"/>
      <c r="R30" s="277"/>
      <c r="S30" s="135"/>
      <c r="T30" s="135"/>
      <c r="U30" s="135"/>
      <c r="V30" s="135"/>
      <c r="W30" s="277"/>
      <c r="Y30" s="105"/>
      <c r="Z30" s="105"/>
      <c r="AA30" s="127"/>
      <c r="AB30" s="125"/>
      <c r="AC30" s="112"/>
      <c r="AD30" s="113"/>
      <c r="AE30" s="290"/>
      <c r="AF30" s="290"/>
      <c r="AG30" s="397"/>
      <c r="AH30" s="290"/>
      <c r="AI30" s="290"/>
      <c r="AJ30" s="113"/>
      <c r="AK30" s="113"/>
      <c r="AL30" s="113"/>
      <c r="AM30" s="114"/>
    </row>
    <row r="31" spans="2:39" s="90" customFormat="1">
      <c r="E31" s="135"/>
      <c r="F31" s="135"/>
      <c r="G31" s="277"/>
      <c r="H31" s="135"/>
      <c r="I31" s="135"/>
      <c r="J31" s="135"/>
      <c r="K31" s="135"/>
      <c r="L31" s="135"/>
      <c r="M31" s="277"/>
      <c r="N31" s="135"/>
      <c r="O31" s="135"/>
      <c r="P31" s="135"/>
      <c r="Q31" s="135"/>
      <c r="R31" s="277"/>
      <c r="S31" s="135"/>
      <c r="T31" s="135"/>
      <c r="U31" s="135"/>
      <c r="V31" s="135"/>
      <c r="W31" s="277"/>
      <c r="Y31" s="105"/>
      <c r="Z31" s="105"/>
      <c r="AA31" s="127"/>
      <c r="AB31" s="125"/>
      <c r="AC31" s="112"/>
      <c r="AD31" s="113"/>
      <c r="AE31" s="290"/>
      <c r="AF31" s="290"/>
      <c r="AG31" s="397"/>
      <c r="AH31" s="290"/>
      <c r="AI31" s="290"/>
      <c r="AJ31" s="113"/>
      <c r="AK31" s="113"/>
      <c r="AL31" s="113"/>
      <c r="AM31" s="114"/>
    </row>
    <row r="32" spans="2:39" s="90" customFormat="1">
      <c r="B32" s="91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Y32" s="113"/>
      <c r="Z32" s="113"/>
      <c r="AA32" s="113"/>
      <c r="AB32" s="113"/>
      <c r="AC32" s="113"/>
      <c r="AD32" s="113"/>
      <c r="AE32" s="290"/>
      <c r="AF32" s="290"/>
      <c r="AG32" s="290"/>
      <c r="AH32" s="290"/>
      <c r="AI32" s="290"/>
      <c r="AJ32" s="113"/>
      <c r="AK32" s="113"/>
      <c r="AL32" s="113"/>
      <c r="AM32" s="114"/>
    </row>
    <row r="33" spans="2:54" s="90" customFormat="1">
      <c r="B33" s="91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4"/>
    </row>
    <row r="34" spans="2:54" s="90" customFormat="1">
      <c r="B34" s="91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Y34" s="105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4"/>
    </row>
    <row r="35" spans="2:54" s="90" customFormat="1"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4"/>
    </row>
    <row r="36" spans="2:54" s="93" customFormat="1">
      <c r="C36" s="398"/>
      <c r="W36" s="399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400"/>
    </row>
    <row r="37" spans="2:54" s="90" customFormat="1">
      <c r="C37" s="401"/>
      <c r="M37" s="32"/>
      <c r="W37" s="32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4"/>
    </row>
    <row r="38" spans="2:54" s="32" customFormat="1"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</row>
    <row r="39" spans="2:54" s="90" customFormat="1">
      <c r="D39" s="94"/>
      <c r="H39" s="95"/>
      <c r="L39" s="95"/>
      <c r="P39" s="95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</row>
    <row r="40" spans="2:54" s="32" customFormat="1">
      <c r="D40" s="402"/>
      <c r="E40" s="402"/>
      <c r="G40" s="402"/>
      <c r="H40" s="402"/>
      <c r="I40" s="402"/>
      <c r="K40" s="402"/>
      <c r="L40" s="402"/>
      <c r="M40" s="402"/>
      <c r="N40" s="90"/>
      <c r="O40" s="402"/>
      <c r="P40" s="402"/>
      <c r="Q40" s="402"/>
      <c r="R40" s="90"/>
      <c r="S40" s="90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4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</row>
    <row r="41" spans="2:54" s="32" customFormat="1">
      <c r="D41" s="277"/>
      <c r="E41" s="277"/>
      <c r="F41" s="277"/>
      <c r="G41" s="277"/>
      <c r="H41" s="277"/>
      <c r="I41" s="277"/>
      <c r="J41" s="277"/>
      <c r="K41" s="135"/>
      <c r="L41" s="135"/>
      <c r="M41" s="135"/>
      <c r="N41" s="135"/>
      <c r="O41" s="135"/>
      <c r="P41" s="135"/>
      <c r="Q41" s="135"/>
      <c r="R41" s="90"/>
      <c r="S41" s="403"/>
      <c r="T41" s="86"/>
      <c r="U41" s="90"/>
      <c r="V41" s="90"/>
      <c r="W41" s="404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4"/>
    </row>
    <row r="42" spans="2:54" s="32" customFormat="1">
      <c r="D42" s="277"/>
      <c r="E42" s="277"/>
      <c r="F42" s="277"/>
      <c r="G42" s="277"/>
      <c r="H42" s="277"/>
      <c r="I42" s="277"/>
      <c r="J42" s="277"/>
      <c r="K42" s="135"/>
      <c r="L42" s="135"/>
      <c r="M42" s="135"/>
      <c r="N42" s="135"/>
      <c r="O42" s="135"/>
      <c r="P42" s="135"/>
      <c r="Q42" s="135"/>
      <c r="R42" s="90"/>
      <c r="S42" s="403"/>
      <c r="T42" s="86"/>
      <c r="U42" s="335"/>
      <c r="V42" s="90"/>
      <c r="W42" s="404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4"/>
    </row>
    <row r="43" spans="2:54" s="32" customFormat="1">
      <c r="D43" s="277"/>
      <c r="E43" s="277"/>
      <c r="F43" s="277"/>
      <c r="G43" s="277"/>
      <c r="H43" s="277"/>
      <c r="I43" s="277"/>
      <c r="J43" s="277"/>
      <c r="K43" s="135"/>
      <c r="L43" s="135"/>
      <c r="M43" s="135"/>
      <c r="N43" s="135"/>
      <c r="O43" s="135"/>
      <c r="P43" s="135"/>
      <c r="Q43" s="135"/>
      <c r="R43" s="90"/>
      <c r="S43" s="403"/>
      <c r="T43" s="86"/>
      <c r="U43" s="90"/>
      <c r="V43" s="90"/>
      <c r="W43" s="404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4"/>
    </row>
    <row r="44" spans="2:54" s="32" customFormat="1">
      <c r="D44" s="277"/>
      <c r="E44" s="277"/>
      <c r="F44" s="277"/>
      <c r="G44" s="277"/>
      <c r="H44" s="277"/>
      <c r="I44" s="277"/>
      <c r="J44" s="277"/>
      <c r="K44" s="135"/>
      <c r="L44" s="135"/>
      <c r="M44" s="135"/>
      <c r="N44" s="135"/>
      <c r="O44" s="135"/>
      <c r="P44" s="135"/>
      <c r="Q44" s="135"/>
      <c r="R44" s="90"/>
      <c r="S44" s="403"/>
      <c r="T44" s="86"/>
      <c r="U44" s="90"/>
      <c r="V44" s="90"/>
      <c r="W44" s="404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4"/>
    </row>
    <row r="45" spans="2:54" s="90" customFormat="1">
      <c r="D45" s="135"/>
      <c r="E45" s="135"/>
      <c r="F45" s="135"/>
      <c r="G45" s="135"/>
      <c r="H45" s="135"/>
      <c r="I45" s="277"/>
      <c r="J45" s="135"/>
      <c r="K45" s="135"/>
      <c r="L45" s="135"/>
      <c r="M45" s="135"/>
      <c r="N45" s="135"/>
      <c r="O45" s="135"/>
      <c r="P45" s="135"/>
      <c r="Q45" s="277"/>
      <c r="S45" s="40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4"/>
    </row>
    <row r="46" spans="2:54" s="32" customFormat="1">
      <c r="D46" s="277"/>
      <c r="E46" s="277"/>
      <c r="F46" s="277"/>
      <c r="G46" s="277"/>
      <c r="H46" s="277"/>
      <c r="I46" s="277"/>
      <c r="J46" s="277"/>
      <c r="K46" s="277"/>
      <c r="L46" s="277"/>
      <c r="M46" s="277"/>
      <c r="N46" s="277"/>
      <c r="O46" s="277"/>
      <c r="P46" s="277"/>
      <c r="Q46" s="277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4"/>
    </row>
    <row r="47" spans="2:54" s="32" customFormat="1">
      <c r="D47" s="277"/>
      <c r="E47" s="277"/>
      <c r="F47" s="277"/>
      <c r="G47" s="277"/>
      <c r="H47" s="277"/>
      <c r="I47" s="277"/>
      <c r="J47" s="277"/>
      <c r="K47" s="277"/>
      <c r="L47" s="135"/>
      <c r="M47" s="277"/>
      <c r="N47" s="135"/>
      <c r="O47" s="277"/>
      <c r="P47" s="135"/>
      <c r="Q47" s="277"/>
      <c r="R47" s="135"/>
      <c r="S47" s="135"/>
      <c r="U47" s="90"/>
      <c r="V47" s="90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4"/>
    </row>
    <row r="48" spans="2:54" s="32" customFormat="1">
      <c r="D48" s="277"/>
      <c r="E48" s="277"/>
      <c r="F48" s="277"/>
      <c r="G48" s="277"/>
      <c r="H48" s="277"/>
      <c r="I48" s="277"/>
      <c r="J48" s="277"/>
      <c r="K48" s="135"/>
      <c r="L48" s="135"/>
      <c r="M48" s="135"/>
      <c r="N48" s="135"/>
      <c r="O48" s="135"/>
      <c r="P48" s="135"/>
      <c r="Q48" s="135"/>
      <c r="R48" s="135"/>
      <c r="S48" s="135"/>
      <c r="U48" s="90"/>
      <c r="V48" s="90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4"/>
    </row>
    <row r="49" spans="4:39" s="32" customFormat="1">
      <c r="D49" s="277"/>
      <c r="E49" s="277"/>
      <c r="F49" s="277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U49" s="90"/>
      <c r="V49" s="90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4"/>
    </row>
    <row r="50" spans="4:39" s="32" customFormat="1">
      <c r="D50" s="277"/>
      <c r="E50" s="277"/>
      <c r="F50" s="277"/>
      <c r="G50" s="277"/>
      <c r="H50" s="277"/>
      <c r="I50" s="277"/>
      <c r="J50" s="277"/>
      <c r="K50" s="135"/>
      <c r="L50" s="135"/>
      <c r="M50" s="135"/>
      <c r="N50" s="135"/>
      <c r="O50" s="135"/>
      <c r="P50" s="135"/>
      <c r="Q50" s="135"/>
      <c r="R50" s="135"/>
      <c r="S50" s="135"/>
      <c r="U50" s="90"/>
      <c r="V50" s="90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4"/>
    </row>
    <row r="51" spans="4:39" s="86" customFormat="1" ht="14.25">
      <c r="D51" s="334"/>
      <c r="E51" s="334"/>
      <c r="F51" s="334"/>
      <c r="G51" s="334"/>
      <c r="H51" s="334"/>
      <c r="I51" s="334"/>
      <c r="J51" s="334"/>
      <c r="K51" s="405"/>
      <c r="L51" s="405"/>
      <c r="M51" s="405"/>
      <c r="N51" s="405"/>
      <c r="O51" s="405"/>
      <c r="P51" s="405"/>
      <c r="Q51" s="405"/>
      <c r="R51" s="405"/>
      <c r="S51" s="405"/>
      <c r="U51" s="91"/>
      <c r="V51" s="91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406"/>
    </row>
    <row r="52" spans="4:39" s="32" customFormat="1">
      <c r="D52" s="33"/>
      <c r="E52" s="80"/>
      <c r="G52" s="80"/>
      <c r="H52" s="80"/>
      <c r="I52" s="80"/>
      <c r="K52" s="80"/>
      <c r="L52" s="80"/>
      <c r="M52" s="80"/>
      <c r="N52" s="90"/>
      <c r="O52" s="80"/>
      <c r="P52" s="80"/>
      <c r="Q52" s="80"/>
      <c r="R52" s="90"/>
      <c r="S52" s="90"/>
      <c r="V52" s="90"/>
      <c r="W52" s="90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4"/>
    </row>
    <row r="53" spans="4:39" s="32" customFormat="1">
      <c r="D53" s="20"/>
      <c r="P53" s="86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4"/>
    </row>
    <row r="54" spans="4:39" s="32" customFormat="1">
      <c r="D54" s="20"/>
      <c r="W54" s="90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4"/>
    </row>
    <row r="55" spans="4:39" s="32" customFormat="1">
      <c r="D55" s="20"/>
      <c r="W55" s="90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4"/>
    </row>
    <row r="56" spans="4:39" s="32" customFormat="1">
      <c r="D56" s="20"/>
      <c r="W56" s="90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4"/>
    </row>
    <row r="57" spans="4:39" s="32" customFormat="1">
      <c r="D57" s="20"/>
      <c r="W57" s="90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4"/>
    </row>
    <row r="58" spans="4:39" s="32" customFormat="1">
      <c r="D58" s="20"/>
      <c r="W58" s="90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4"/>
    </row>
    <row r="59" spans="4:39" s="32" customFormat="1">
      <c r="D59" s="20"/>
      <c r="W59" s="90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4"/>
    </row>
    <row r="60" spans="4:39" s="32" customFormat="1">
      <c r="D60" s="20"/>
      <c r="W60" s="90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4"/>
    </row>
    <row r="61" spans="4:39" s="32" customFormat="1">
      <c r="D61" s="20"/>
      <c r="W61" s="90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4"/>
    </row>
    <row r="62" spans="4:39" s="32" customFormat="1">
      <c r="D62" s="20"/>
      <c r="K62" s="333"/>
      <c r="W62" s="90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4"/>
    </row>
    <row r="63" spans="4:39" s="32" customFormat="1">
      <c r="D63" s="20"/>
      <c r="W63" s="90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4"/>
    </row>
    <row r="64" spans="4:39" s="32" customFormat="1">
      <c r="D64" s="20"/>
      <c r="W64" s="90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4"/>
    </row>
    <row r="65" spans="4:39" s="32" customFormat="1">
      <c r="D65" s="20"/>
      <c r="W65" s="90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4"/>
    </row>
    <row r="66" spans="4:39" s="32" customFormat="1">
      <c r="D66" s="20"/>
      <c r="W66" s="90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4"/>
    </row>
    <row r="67" spans="4:39" s="32" customFormat="1">
      <c r="D67" s="20"/>
      <c r="W67" s="90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4"/>
    </row>
    <row r="68" spans="4:39" s="32" customFormat="1">
      <c r="D68" s="20"/>
      <c r="W68" s="90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4"/>
    </row>
    <row r="69" spans="4:39" s="32" customFormat="1">
      <c r="D69" s="20"/>
      <c r="W69" s="90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4"/>
    </row>
    <row r="70" spans="4:39" s="32" customFormat="1">
      <c r="D70" s="20"/>
      <c r="E70" s="96"/>
      <c r="F70" s="97"/>
      <c r="G70" s="97"/>
      <c r="H70" s="80"/>
      <c r="I70" s="97"/>
      <c r="W70" s="90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4"/>
    </row>
    <row r="71" spans="4:39" s="32" customFormat="1"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4"/>
    </row>
    <row r="72" spans="4:39" s="32" customFormat="1"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4"/>
    </row>
    <row r="73" spans="4:39" s="32" customFormat="1">
      <c r="D73" s="20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4"/>
    </row>
    <row r="74" spans="4:39" s="32" customFormat="1">
      <c r="D74" s="20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4"/>
    </row>
    <row r="75" spans="4:39" s="32" customFormat="1">
      <c r="D75" s="20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4"/>
    </row>
    <row r="76" spans="4:39" s="32" customFormat="1">
      <c r="G76" s="333"/>
      <c r="S76" s="33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4"/>
    </row>
    <row r="77" spans="4:39" s="32" customFormat="1">
      <c r="D77" s="20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4"/>
    </row>
    <row r="78" spans="4:39" s="32" customFormat="1">
      <c r="D78" s="20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4"/>
    </row>
    <row r="79" spans="4:39" s="32" customFormat="1">
      <c r="D79" s="20"/>
      <c r="G79" s="33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4"/>
    </row>
    <row r="80" spans="4:39" s="32" customFormat="1">
      <c r="D80" s="20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4"/>
    </row>
    <row r="81" spans="4:39" s="32" customFormat="1">
      <c r="D81" s="20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4"/>
    </row>
    <row r="82" spans="4:39" s="32" customFormat="1">
      <c r="D82" s="20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4"/>
    </row>
    <row r="83" spans="4:39" s="32" customFormat="1">
      <c r="D83" s="20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4"/>
    </row>
    <row r="84" spans="4:39" s="32" customFormat="1">
      <c r="D84" s="20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4"/>
    </row>
    <row r="85" spans="4:39" s="32" customFormat="1">
      <c r="D85" s="20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4"/>
    </row>
    <row r="86" spans="4:39" s="32" customFormat="1">
      <c r="D86" s="20"/>
      <c r="I86" s="86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4"/>
    </row>
    <row r="87" spans="4:39" s="32" customFormat="1">
      <c r="D87" s="20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4"/>
    </row>
    <row r="88" spans="4:39" s="32" customFormat="1">
      <c r="D88" s="20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4"/>
    </row>
    <row r="89" spans="4:39" s="32" customFormat="1">
      <c r="D89" s="20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4"/>
    </row>
    <row r="90" spans="4:39" s="32" customFormat="1">
      <c r="D90" s="20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4"/>
    </row>
    <row r="91" spans="4:39" s="32" customFormat="1">
      <c r="D91" s="20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4"/>
    </row>
    <row r="92" spans="4:39" s="32" customFormat="1">
      <c r="D92" s="20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4"/>
    </row>
    <row r="93" spans="4:39" s="32" customFormat="1">
      <c r="D93" s="20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4"/>
    </row>
    <row r="94" spans="4:39" s="32" customFormat="1">
      <c r="D94" s="20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4"/>
    </row>
    <row r="95" spans="4:39" s="32" customFormat="1">
      <c r="D95" s="20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4"/>
    </row>
    <row r="96" spans="4:39" s="32" customFormat="1">
      <c r="D96" s="20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4"/>
    </row>
    <row r="97" spans="4:39" s="32" customFormat="1">
      <c r="D97" s="20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4"/>
    </row>
    <row r="98" spans="4:39" s="32" customFormat="1">
      <c r="D98" s="20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4"/>
    </row>
    <row r="99" spans="4:39" s="32" customFormat="1">
      <c r="D99" s="20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4"/>
    </row>
    <row r="100" spans="4:39" s="32" customFormat="1">
      <c r="D100" s="20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4"/>
    </row>
    <row r="101" spans="4:39" s="32" customFormat="1">
      <c r="D101" s="20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4"/>
    </row>
    <row r="102" spans="4:39" s="32" customFormat="1">
      <c r="D102" s="20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4"/>
    </row>
    <row r="103" spans="4:39" s="32" customFormat="1">
      <c r="D103" s="20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4"/>
    </row>
    <row r="104" spans="4:39" s="32" customFormat="1">
      <c r="D104" s="20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4"/>
    </row>
    <row r="105" spans="4:39" s="32" customFormat="1">
      <c r="D105" s="20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4"/>
    </row>
    <row r="106" spans="4:39" s="32" customFormat="1">
      <c r="D106" s="20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4"/>
    </row>
    <row r="107" spans="4:39" s="32" customFormat="1">
      <c r="D107" s="20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4"/>
    </row>
    <row r="108" spans="4:39" s="32" customFormat="1">
      <c r="D108" s="20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4"/>
    </row>
    <row r="109" spans="4:39" s="32" customFormat="1">
      <c r="D109" s="20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4"/>
    </row>
    <row r="110" spans="4:39" s="32" customFormat="1">
      <c r="D110" s="20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4"/>
    </row>
    <row r="111" spans="4:39" s="32" customFormat="1">
      <c r="D111" s="20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4"/>
    </row>
    <row r="112" spans="4:39" s="32" customFormat="1">
      <c r="D112" s="20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4"/>
    </row>
    <row r="113" spans="4:39" s="32" customFormat="1">
      <c r="D113" s="20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4"/>
    </row>
    <row r="114" spans="4:39" s="32" customFormat="1">
      <c r="D114" s="20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4"/>
    </row>
    <row r="115" spans="4:39" s="32" customFormat="1">
      <c r="D115" s="20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4"/>
    </row>
    <row r="116" spans="4:39" s="32" customFormat="1">
      <c r="D116" s="20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4"/>
    </row>
    <row r="117" spans="4:39" s="32" customFormat="1">
      <c r="D117" s="20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4"/>
    </row>
    <row r="118" spans="4:39" s="32" customFormat="1">
      <c r="D118" s="20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4"/>
    </row>
    <row r="119" spans="4:39" s="32" customFormat="1">
      <c r="D119" s="20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4"/>
    </row>
    <row r="120" spans="4:39" s="32" customFormat="1">
      <c r="D120" s="20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4"/>
    </row>
    <row r="121" spans="4:39" s="32" customFormat="1">
      <c r="D121" s="20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4"/>
    </row>
    <row r="122" spans="4:39" s="32" customFormat="1">
      <c r="D122" s="20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4"/>
    </row>
    <row r="123" spans="4:39" s="32" customFormat="1">
      <c r="D123" s="20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4"/>
    </row>
    <row r="124" spans="4:39" s="32" customFormat="1">
      <c r="D124" s="20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4"/>
    </row>
    <row r="125" spans="4:39" s="32" customFormat="1">
      <c r="D125" s="20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4"/>
    </row>
    <row r="126" spans="4:39" s="32" customFormat="1">
      <c r="D126" s="20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4"/>
    </row>
    <row r="127" spans="4:39" s="32" customFormat="1">
      <c r="D127" s="20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4"/>
    </row>
    <row r="128" spans="4:39" s="32" customFormat="1">
      <c r="D128" s="20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4"/>
    </row>
    <row r="129" spans="4:39" s="32" customFormat="1">
      <c r="D129" s="20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4"/>
    </row>
    <row r="130" spans="4:39" s="32" customFormat="1">
      <c r="D130" s="20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4"/>
    </row>
    <row r="131" spans="4:39" s="32" customFormat="1">
      <c r="D131" s="20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4"/>
    </row>
    <row r="132" spans="4:39" s="32" customFormat="1">
      <c r="D132" s="20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4"/>
    </row>
    <row r="133" spans="4:39" s="32" customFormat="1">
      <c r="D133" s="20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4"/>
    </row>
    <row r="134" spans="4:39" s="32" customFormat="1">
      <c r="D134" s="20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4"/>
    </row>
    <row r="135" spans="4:39" s="32" customFormat="1">
      <c r="D135" s="20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4"/>
    </row>
    <row r="136" spans="4:39" s="32" customFormat="1">
      <c r="D136" s="20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4"/>
    </row>
    <row r="137" spans="4:39" s="32" customFormat="1">
      <c r="D137" s="20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4"/>
    </row>
    <row r="138" spans="4:39" s="32" customFormat="1">
      <c r="D138" s="20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4"/>
    </row>
    <row r="139" spans="4:39" s="32" customFormat="1">
      <c r="D139" s="20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4"/>
    </row>
    <row r="140" spans="4:39" s="32" customFormat="1">
      <c r="D140" s="20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4"/>
    </row>
    <row r="141" spans="4:39" s="32" customFormat="1">
      <c r="D141" s="20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4"/>
    </row>
    <row r="142" spans="4:39" s="32" customFormat="1">
      <c r="D142" s="20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4"/>
    </row>
    <row r="143" spans="4:39" s="32" customFormat="1">
      <c r="D143" s="20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4"/>
    </row>
    <row r="144" spans="4:39" s="32" customFormat="1">
      <c r="D144" s="20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4"/>
    </row>
    <row r="145" spans="4:39" s="32" customFormat="1">
      <c r="D145" s="20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4"/>
    </row>
    <row r="146" spans="4:39" s="32" customFormat="1">
      <c r="D146" s="20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4"/>
    </row>
    <row r="147" spans="4:39" s="32" customFormat="1">
      <c r="D147" s="20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4"/>
    </row>
    <row r="148" spans="4:39" s="32" customFormat="1">
      <c r="D148" s="20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4"/>
    </row>
    <row r="149" spans="4:39" s="32" customFormat="1">
      <c r="D149" s="20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4"/>
    </row>
    <row r="150" spans="4:39" s="32" customFormat="1">
      <c r="D150" s="20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4"/>
    </row>
    <row r="151" spans="4:39" s="32" customFormat="1">
      <c r="D151" s="20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4"/>
    </row>
    <row r="152" spans="4:39" s="32" customFormat="1">
      <c r="D152" s="20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4"/>
    </row>
    <row r="153" spans="4:39" s="32" customFormat="1">
      <c r="D153" s="20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4"/>
    </row>
    <row r="154" spans="4:39" s="32" customFormat="1">
      <c r="D154" s="20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4"/>
    </row>
    <row r="155" spans="4:39" s="32" customFormat="1">
      <c r="D155" s="20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4"/>
    </row>
    <row r="156" spans="4:39" s="32" customFormat="1">
      <c r="D156" s="20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4"/>
    </row>
    <row r="157" spans="4:39" s="32" customFormat="1">
      <c r="D157" s="20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4"/>
    </row>
    <row r="158" spans="4:39" s="32" customFormat="1">
      <c r="D158" s="20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4"/>
    </row>
    <row r="159" spans="4:39" s="32" customFormat="1">
      <c r="D159" s="20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4"/>
    </row>
    <row r="160" spans="4:39" s="32" customFormat="1">
      <c r="D160" s="20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4"/>
    </row>
    <row r="161" spans="4:39" s="32" customFormat="1">
      <c r="D161" s="20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4"/>
    </row>
    <row r="162" spans="4:39" s="32" customFormat="1">
      <c r="D162" s="20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4"/>
    </row>
    <row r="163" spans="4:39" s="32" customFormat="1">
      <c r="D163" s="20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4"/>
    </row>
    <row r="164" spans="4:39" s="32" customFormat="1">
      <c r="D164" s="20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4"/>
    </row>
    <row r="165" spans="4:39" s="32" customFormat="1">
      <c r="D165" s="20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4"/>
    </row>
    <row r="166" spans="4:39" s="32" customFormat="1">
      <c r="D166" s="20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4"/>
    </row>
    <row r="167" spans="4:39" s="32" customFormat="1">
      <c r="D167" s="20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4"/>
    </row>
    <row r="168" spans="4:39" s="32" customFormat="1">
      <c r="D168" s="20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4"/>
    </row>
    <row r="169" spans="4:39" s="32" customFormat="1">
      <c r="D169" s="20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4"/>
    </row>
    <row r="170" spans="4:39" s="32" customFormat="1">
      <c r="D170" s="20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4"/>
    </row>
    <row r="171" spans="4:39" s="32" customFormat="1">
      <c r="D171" s="20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4"/>
    </row>
    <row r="172" spans="4:39" s="32" customFormat="1">
      <c r="D172" s="20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4"/>
    </row>
    <row r="173" spans="4:39" s="32" customFormat="1">
      <c r="D173" s="20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4"/>
    </row>
    <row r="174" spans="4:39" s="32" customFormat="1">
      <c r="D174" s="20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4"/>
    </row>
    <row r="175" spans="4:39" s="32" customFormat="1">
      <c r="D175" s="20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4"/>
    </row>
    <row r="176" spans="4:39" s="32" customFormat="1">
      <c r="D176" s="20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4"/>
    </row>
    <row r="177" spans="4:39" s="32" customFormat="1">
      <c r="D177" s="20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4"/>
    </row>
    <row r="178" spans="4:39" s="32" customFormat="1">
      <c r="D178" s="20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4"/>
    </row>
    <row r="179" spans="4:39" s="32" customFormat="1">
      <c r="D179" s="20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4"/>
    </row>
    <row r="180" spans="4:39" s="32" customFormat="1">
      <c r="D180" s="20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4"/>
    </row>
    <row r="181" spans="4:39" s="32" customFormat="1">
      <c r="D181" s="20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4"/>
    </row>
    <row r="182" spans="4:39" s="32" customFormat="1">
      <c r="D182" s="20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4"/>
    </row>
    <row r="183" spans="4:39" s="32" customFormat="1">
      <c r="D183" s="20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4"/>
    </row>
    <row r="184" spans="4:39" s="32" customFormat="1">
      <c r="D184" s="20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4"/>
    </row>
    <row r="185" spans="4:39" s="32" customFormat="1">
      <c r="D185" s="20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4"/>
    </row>
    <row r="186" spans="4:39" s="32" customFormat="1">
      <c r="D186" s="20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4"/>
    </row>
    <row r="187" spans="4:39" s="32" customFormat="1">
      <c r="D187" s="20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4"/>
    </row>
    <row r="188" spans="4:39" s="32" customFormat="1">
      <c r="D188" s="20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4"/>
    </row>
    <row r="189" spans="4:39" s="32" customFormat="1">
      <c r="D189" s="20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4"/>
    </row>
    <row r="190" spans="4:39" s="32" customFormat="1">
      <c r="D190" s="20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4"/>
    </row>
    <row r="191" spans="4:39" s="32" customFormat="1">
      <c r="D191" s="20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4"/>
    </row>
    <row r="192" spans="4:39" s="32" customFormat="1">
      <c r="D192" s="20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4"/>
    </row>
    <row r="193" spans="4:39" s="32" customFormat="1">
      <c r="D193" s="20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4"/>
    </row>
    <row r="194" spans="4:39" s="32" customFormat="1">
      <c r="D194" s="20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4"/>
    </row>
    <row r="195" spans="4:39" s="32" customFormat="1">
      <c r="D195" s="20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4"/>
    </row>
    <row r="196" spans="4:39" s="32" customFormat="1">
      <c r="D196" s="20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4"/>
    </row>
    <row r="197" spans="4:39" s="32" customFormat="1">
      <c r="D197" s="20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4"/>
    </row>
    <row r="198" spans="4:39" s="32" customFormat="1">
      <c r="D198" s="20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4"/>
    </row>
    <row r="199" spans="4:39" s="32" customFormat="1">
      <c r="D199" s="20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4"/>
    </row>
    <row r="200" spans="4:39" s="32" customFormat="1">
      <c r="D200" s="20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4"/>
    </row>
    <row r="201" spans="4:39" s="32" customFormat="1">
      <c r="D201" s="20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4"/>
    </row>
    <row r="202" spans="4:39" s="32" customFormat="1">
      <c r="D202" s="20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4"/>
    </row>
    <row r="203" spans="4:39" s="32" customFormat="1">
      <c r="D203" s="20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4"/>
    </row>
    <row r="204" spans="4:39" s="32" customFormat="1">
      <c r="D204" s="20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4"/>
    </row>
    <row r="205" spans="4:39" s="32" customFormat="1">
      <c r="D205" s="20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4"/>
    </row>
    <row r="206" spans="4:39" s="32" customFormat="1">
      <c r="D206" s="20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4"/>
    </row>
    <row r="207" spans="4:39" s="32" customFormat="1">
      <c r="D207" s="20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4"/>
    </row>
    <row r="208" spans="4:39" s="32" customFormat="1">
      <c r="D208" s="20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4"/>
    </row>
    <row r="209" spans="4:39" s="32" customFormat="1">
      <c r="D209" s="20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4"/>
    </row>
    <row r="210" spans="4:39" s="32" customFormat="1">
      <c r="D210" s="20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4"/>
    </row>
    <row r="211" spans="4:39" s="32" customFormat="1">
      <c r="D211" s="20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4"/>
    </row>
    <row r="212" spans="4:39" s="32" customFormat="1">
      <c r="D212" s="20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4"/>
    </row>
    <row r="213" spans="4:39" s="32" customFormat="1">
      <c r="D213" s="20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4"/>
    </row>
    <row r="214" spans="4:39" s="32" customFormat="1">
      <c r="D214" s="20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4"/>
    </row>
    <row r="215" spans="4:39" s="32" customFormat="1">
      <c r="D215" s="20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4"/>
    </row>
    <row r="216" spans="4:39" s="32" customFormat="1">
      <c r="D216" s="20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4"/>
    </row>
    <row r="217" spans="4:39" s="32" customFormat="1">
      <c r="D217" s="20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4"/>
    </row>
    <row r="218" spans="4:39" s="32" customFormat="1">
      <c r="D218" s="20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4"/>
    </row>
    <row r="219" spans="4:39" s="32" customFormat="1">
      <c r="D219" s="20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4"/>
    </row>
    <row r="220" spans="4:39" s="32" customFormat="1">
      <c r="D220" s="20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4"/>
    </row>
  </sheetData>
  <phoneticPr fontId="26" type="noConversion"/>
  <pageMargins left="0.5" right="0" top="0.25" bottom="0" header="0.5" footer="0.5"/>
  <pageSetup scale="67" fitToHeight="0" orientation="landscape" horizontalDpi="4294967292" verticalDpi="4294967292" r:id="rId1"/>
  <headerFooter alignWithMargins="0"/>
  <rowBreaks count="1" manualBreakCount="1">
    <brk id="37" max="22" man="1"/>
  </row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I29"/>
  <sheetViews>
    <sheetView view="pageBreakPreview" zoomScale="75" zoomScaleNormal="100" zoomScaleSheetLayoutView="75" workbookViewId="0">
      <selection activeCell="C22" sqref="C22"/>
    </sheetView>
  </sheetViews>
  <sheetFormatPr defaultRowHeight="15"/>
  <cols>
    <col min="1" max="1" width="79" style="408" bestFit="1" customWidth="1"/>
    <col min="2" max="2" width="1.625" style="408" customWidth="1"/>
    <col min="3" max="3" width="14" style="679" bestFit="1" customWidth="1"/>
    <col min="4" max="4" width="1.625" style="408" customWidth="1"/>
    <col min="5" max="5" width="9" style="408"/>
    <col min="6" max="6" width="1.625" style="408" customWidth="1"/>
    <col min="7" max="7" width="9" style="408"/>
    <col min="8" max="8" width="1.625" style="408" customWidth="1"/>
    <col min="9" max="9" width="9" style="408"/>
    <col min="10" max="10" width="1.625" style="408" customWidth="1"/>
    <col min="11" max="13" width="9" style="408"/>
    <col min="14" max="14" width="26.625" style="408" customWidth="1"/>
    <col min="15" max="16384" width="9" style="408"/>
  </cols>
  <sheetData>
    <row r="1" spans="1:9">
      <c r="A1" s="407" t="s">
        <v>350</v>
      </c>
      <c r="E1" s="1200" t="s">
        <v>1780</v>
      </c>
    </row>
    <row r="2" spans="1:9">
      <c r="A2" s="407" t="str">
        <f>'Sch.A-B.S'!F2</f>
        <v>Case No. 2013 - 00237</v>
      </c>
      <c r="E2" s="424"/>
    </row>
    <row r="3" spans="1:9">
      <c r="A3" s="407" t="s">
        <v>836</v>
      </c>
    </row>
    <row r="4" spans="1:9">
      <c r="A4" s="39" t="str">
        <f>'Sch.B-I.S'!A4</f>
        <v>Test Year 12/31/2012</v>
      </c>
    </row>
    <row r="6" spans="1:9">
      <c r="G6" s="422"/>
      <c r="H6" s="422"/>
      <c r="I6" s="422"/>
    </row>
    <row r="7" spans="1:9" ht="30">
      <c r="A7" s="419"/>
      <c r="C7" s="680" t="s">
        <v>675</v>
      </c>
      <c r="E7" s="414" t="s">
        <v>679</v>
      </c>
      <c r="G7" s="423"/>
      <c r="H7" s="422"/>
      <c r="I7" s="423"/>
    </row>
    <row r="8" spans="1:9">
      <c r="A8" s="419"/>
      <c r="C8" s="681"/>
      <c r="E8" s="418"/>
      <c r="G8" s="423"/>
      <c r="H8" s="422"/>
      <c r="I8" s="423"/>
    </row>
    <row r="9" spans="1:9">
      <c r="A9" s="408" t="s">
        <v>837</v>
      </c>
      <c r="C9" s="460">
        <f>+'Sch.B-I.S'!N16</f>
        <v>519099.07468333439</v>
      </c>
      <c r="E9" s="420">
        <f>C9/C11</f>
        <v>0.92170715611254661</v>
      </c>
    </row>
    <row r="10" spans="1:9">
      <c r="A10" s="408" t="s">
        <v>838</v>
      </c>
      <c r="C10" s="682">
        <f>'wp-q(3) Clinton salary revised'!E27</f>
        <v>44093.986410735</v>
      </c>
      <c r="E10" s="421">
        <f>C10/C11</f>
        <v>7.8292843887453431E-2</v>
      </c>
    </row>
    <row r="11" spans="1:9">
      <c r="C11" s="683">
        <f>SUM(C9:C10)</f>
        <v>563193.06109406939</v>
      </c>
      <c r="E11" s="420">
        <f>SUM(E9:E10)</f>
        <v>1</v>
      </c>
    </row>
    <row r="13" spans="1:9">
      <c r="A13" s="408" t="s">
        <v>839</v>
      </c>
      <c r="C13" s="460">
        <f>+'Linked TB'!E503+'Linked TB'!E504+'Linked TB'!E505+'Linked TB'!E506</f>
        <v>46787.57</v>
      </c>
    </row>
    <row r="14" spans="1:9">
      <c r="A14" s="408" t="s">
        <v>840</v>
      </c>
      <c r="C14" s="684">
        <f>E10</f>
        <v>7.8292843887453431E-2</v>
      </c>
    </row>
    <row r="15" spans="1:9" ht="15.75" thickBot="1">
      <c r="A15" s="408" t="s">
        <v>841</v>
      </c>
      <c r="C15" s="1320">
        <f>C14*C13</f>
        <v>3663.1319138832996</v>
      </c>
    </row>
    <row r="16" spans="1:9" ht="15.75" thickTop="1"/>
    <row r="17" spans="1:3">
      <c r="A17" s="408" t="s">
        <v>842</v>
      </c>
      <c r="C17" s="460">
        <f>+'wp-f-depr'!G25</f>
        <v>15879.962500000001</v>
      </c>
    </row>
    <row r="18" spans="1:3">
      <c r="A18" s="408" t="s">
        <v>840</v>
      </c>
      <c r="C18" s="684">
        <f>E10</f>
        <v>7.8292843887453431E-2</v>
      </c>
    </row>
    <row r="19" spans="1:3" ht="15.75" thickBot="1">
      <c r="A19" s="408" t="s">
        <v>841</v>
      </c>
      <c r="C19" s="1320">
        <f>C18*C17</f>
        <v>1243.2874249511149</v>
      </c>
    </row>
    <row r="20" spans="1:3" ht="15.75" thickTop="1"/>
    <row r="22" spans="1:3">
      <c r="A22" s="408" t="s">
        <v>843</v>
      </c>
      <c r="C22" s="460">
        <f>+'Linked TB'!E71</f>
        <v>573846.25</v>
      </c>
    </row>
    <row r="23" spans="1:3">
      <c r="A23" s="408" t="s">
        <v>840</v>
      </c>
      <c r="C23" s="684">
        <f>E10</f>
        <v>7.8292843887453431E-2</v>
      </c>
    </row>
    <row r="24" spans="1:3" ht="15.75" thickBot="1">
      <c r="A24" s="408" t="s">
        <v>844</v>
      </c>
      <c r="C24" s="1320">
        <f>C23*C22</f>
        <v>44928.054866650571</v>
      </c>
    </row>
    <row r="25" spans="1:3" ht="15.75" thickTop="1"/>
    <row r="26" spans="1:3">
      <c r="A26" s="408" t="s">
        <v>845</v>
      </c>
      <c r="C26" s="460">
        <f>+'Linked TB'!E155</f>
        <v>-492673.95</v>
      </c>
    </row>
    <row r="27" spans="1:3">
      <c r="A27" s="408" t="s">
        <v>840</v>
      </c>
      <c r="C27" s="684">
        <f>E10</f>
        <v>7.8292843887453431E-2</v>
      </c>
    </row>
    <row r="28" spans="1:3" ht="15.75" thickBot="1">
      <c r="A28" s="408" t="s">
        <v>846</v>
      </c>
      <c r="C28" s="1320">
        <f>C27*C26</f>
        <v>-38572.844654765038</v>
      </c>
    </row>
    <row r="29" spans="1:3" ht="15.75" thickTop="1"/>
  </sheetData>
  <phoneticPr fontId="26" type="noConversion"/>
  <pageMargins left="0.75" right="0.75" top="1" bottom="1" header="0.5" footer="0.5"/>
  <pageSetup scale="78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6"/>
  <sheetViews>
    <sheetView view="pageBreakPreview" topLeftCell="A9" zoomScale="60" zoomScaleNormal="75" workbookViewId="0">
      <selection activeCell="D26" sqref="D26"/>
    </sheetView>
  </sheetViews>
  <sheetFormatPr defaultRowHeight="13.5"/>
  <cols>
    <col min="1" max="1" width="19" style="434" customWidth="1"/>
    <col min="2" max="3" width="9" style="434"/>
    <col min="4" max="4" width="10.875" style="434" bestFit="1" customWidth="1"/>
    <col min="5" max="5" width="9" style="434"/>
    <col min="6" max="6" width="7.875" style="434" bestFit="1" customWidth="1"/>
    <col min="7" max="7" width="9" style="434"/>
    <col min="8" max="8" width="7.875" style="434" bestFit="1" customWidth="1"/>
    <col min="9" max="9" width="9.875" style="434" bestFit="1" customWidth="1"/>
    <col min="10" max="11" width="9" style="434"/>
    <col min="12" max="13" width="7.875" style="434" bestFit="1" customWidth="1"/>
    <col min="14" max="14" width="26.625" style="434" customWidth="1"/>
    <col min="15" max="16384" width="9" style="434"/>
  </cols>
  <sheetData>
    <row r="1" spans="1:11">
      <c r="I1" s="433" t="s">
        <v>6</v>
      </c>
    </row>
    <row r="3" spans="1:11">
      <c r="A3" s="427" t="str">
        <f>+'wp-q(3) Clinton salary revised'!A1</f>
        <v>WATER SERVICE CORPORATION OF KENTUCKY</v>
      </c>
      <c r="B3" s="428"/>
      <c r="C3" s="428"/>
      <c r="D3" s="429"/>
      <c r="E3" s="429"/>
      <c r="F3" s="429"/>
      <c r="G3" s="430"/>
      <c r="H3" s="431"/>
      <c r="I3" s="432"/>
      <c r="J3" s="435"/>
      <c r="K3" s="436"/>
    </row>
    <row r="4" spans="1:11">
      <c r="A4" s="437" t="s">
        <v>7</v>
      </c>
      <c r="D4" s="438"/>
      <c r="E4" s="438"/>
      <c r="F4" s="438"/>
      <c r="G4" s="439"/>
      <c r="H4" s="438"/>
      <c r="I4" s="438"/>
    </row>
    <row r="5" spans="1:11">
      <c r="A5" s="1801" t="s">
        <v>30</v>
      </c>
      <c r="B5" s="1801"/>
      <c r="C5" s="1801"/>
      <c r="D5" s="1801"/>
      <c r="E5" s="1801"/>
      <c r="F5" s="1801"/>
      <c r="G5" s="1801"/>
      <c r="H5" s="1801"/>
      <c r="I5" s="1801"/>
    </row>
    <row r="8" spans="1:11">
      <c r="A8" s="440"/>
      <c r="B8" s="438"/>
      <c r="C8" s="441"/>
      <c r="D8" s="438"/>
    </row>
    <row r="9" spans="1:11">
      <c r="A9" s="448">
        <v>2007</v>
      </c>
      <c r="F9" s="442"/>
    </row>
    <row r="10" spans="1:11">
      <c r="B10" s="443" t="s">
        <v>675</v>
      </c>
      <c r="C10" s="443"/>
      <c r="D10" s="443" t="s">
        <v>8</v>
      </c>
    </row>
    <row r="11" spans="1:11">
      <c r="A11" s="434" t="s">
        <v>9</v>
      </c>
      <c r="B11" s="455">
        <f>B33</f>
        <v>111.3</v>
      </c>
      <c r="C11" s="444"/>
      <c r="D11" s="445">
        <v>38353</v>
      </c>
    </row>
    <row r="12" spans="1:11">
      <c r="A12" s="434" t="s">
        <v>10</v>
      </c>
      <c r="B12" s="455">
        <f>G36</f>
        <v>125.58199999999999</v>
      </c>
      <c r="C12" s="444"/>
      <c r="D12" s="445">
        <v>39629</v>
      </c>
    </row>
    <row r="13" spans="1:11" ht="14.25" thickBot="1">
      <c r="A13" s="434" t="s">
        <v>670</v>
      </c>
      <c r="B13" s="456">
        <f>B12-B11</f>
        <v>14.281999999999996</v>
      </c>
      <c r="C13" s="446"/>
      <c r="D13" s="447">
        <f>(D12-D11)/365</f>
        <v>3.495890410958904</v>
      </c>
      <c r="F13" s="448" t="s">
        <v>11</v>
      </c>
    </row>
    <row r="14" spans="1:11" ht="15" thickTop="1" thickBot="1">
      <c r="E14" s="438"/>
      <c r="F14" s="449">
        <f>(EXP(LN(B12/B11)/((D12-D11)/365)))-1</f>
        <v>3.5137990508901984E-2</v>
      </c>
    </row>
    <row r="15" spans="1:11">
      <c r="B15" s="450"/>
    </row>
    <row r="17" spans="1:13">
      <c r="A17" s="437" t="s">
        <v>12</v>
      </c>
      <c r="B17" s="437"/>
      <c r="C17" s="437"/>
      <c r="D17" s="437"/>
    </row>
    <row r="20" spans="1:13">
      <c r="A20" s="451" t="s">
        <v>13</v>
      </c>
      <c r="B20" s="452"/>
      <c r="C20" s="452"/>
      <c r="D20" s="452"/>
      <c r="E20" s="452"/>
      <c r="F20" s="452"/>
      <c r="G20" s="452"/>
      <c r="H20" s="452"/>
      <c r="I20" s="452"/>
      <c r="J20" s="452"/>
      <c r="K20" s="452"/>
      <c r="L20" s="452"/>
      <c r="M20" s="452"/>
    </row>
    <row r="21" spans="1:13">
      <c r="A21" s="453" t="s">
        <v>14</v>
      </c>
    </row>
    <row r="22" spans="1:13">
      <c r="A22" s="454" t="s">
        <v>15</v>
      </c>
    </row>
    <row r="23" spans="1:13">
      <c r="A23" s="454" t="s">
        <v>16</v>
      </c>
    </row>
    <row r="24" spans="1:13">
      <c r="A24" s="454" t="s">
        <v>31</v>
      </c>
    </row>
    <row r="25" spans="1:13">
      <c r="A25" s="1802"/>
      <c r="B25" s="1803"/>
      <c r="C25" s="1803"/>
      <c r="D25" s="1803"/>
      <c r="E25" s="1803"/>
      <c r="F25" s="1803"/>
      <c r="G25" s="1803"/>
      <c r="H25" s="1803"/>
      <c r="I25" s="1803"/>
      <c r="J25" s="1803"/>
      <c r="K25" s="1803"/>
      <c r="L25" s="1803"/>
      <c r="M25" s="1803"/>
    </row>
    <row r="26" spans="1:13">
      <c r="A26" s="472" t="s">
        <v>17</v>
      </c>
      <c r="B26" s="472" t="s">
        <v>18</v>
      </c>
      <c r="C26" s="472" t="s">
        <v>19</v>
      </c>
      <c r="D26" s="472" t="s">
        <v>20</v>
      </c>
      <c r="E26" s="472" t="s">
        <v>21</v>
      </c>
      <c r="F26" s="472" t="s">
        <v>22</v>
      </c>
      <c r="G26" s="472" t="s">
        <v>23</v>
      </c>
      <c r="H26" s="472" t="s">
        <v>24</v>
      </c>
      <c r="I26" s="472" t="s">
        <v>25</v>
      </c>
      <c r="J26" s="472" t="s">
        <v>26</v>
      </c>
      <c r="K26" s="472" t="s">
        <v>27</v>
      </c>
      <c r="L26" s="472" t="s">
        <v>28</v>
      </c>
      <c r="M26" s="472" t="s">
        <v>29</v>
      </c>
    </row>
    <row r="27" spans="1:13">
      <c r="A27" s="473">
        <v>1999</v>
      </c>
      <c r="B27" s="474">
        <v>0</v>
      </c>
      <c r="C27" s="474">
        <v>0</v>
      </c>
      <c r="D27" s="474">
        <v>0</v>
      </c>
      <c r="E27" s="474">
        <v>0</v>
      </c>
      <c r="F27" s="474">
        <v>0</v>
      </c>
      <c r="G27" s="474">
        <v>0</v>
      </c>
      <c r="H27" s="474">
        <v>0</v>
      </c>
      <c r="I27" s="474">
        <v>0</v>
      </c>
      <c r="J27" s="474">
        <v>0</v>
      </c>
      <c r="K27" s="474">
        <v>0</v>
      </c>
      <c r="L27" s="474">
        <v>0</v>
      </c>
      <c r="M27" s="474">
        <v>100</v>
      </c>
    </row>
    <row r="28" spans="1:13">
      <c r="A28" s="473">
        <v>2000</v>
      </c>
      <c r="B28" s="475">
        <v>100.3</v>
      </c>
      <c r="C28" s="475">
        <v>100.9</v>
      </c>
      <c r="D28" s="475">
        <v>101.6</v>
      </c>
      <c r="E28" s="475">
        <v>101.6</v>
      </c>
      <c r="F28" s="475">
        <v>101.7</v>
      </c>
      <c r="G28" s="475">
        <v>102.1</v>
      </c>
      <c r="H28" s="475">
        <v>102.3</v>
      </c>
      <c r="I28" s="475">
        <v>102.3</v>
      </c>
      <c r="J28" s="475">
        <v>102.8</v>
      </c>
      <c r="K28" s="475">
        <v>102.9</v>
      </c>
      <c r="L28" s="475">
        <v>102.8</v>
      </c>
      <c r="M28" s="475">
        <v>102.6</v>
      </c>
    </row>
    <row r="29" spans="1:13">
      <c r="A29" s="473">
        <v>2001</v>
      </c>
      <c r="B29" s="474">
        <v>100.3</v>
      </c>
      <c r="C29" s="474">
        <v>103.7</v>
      </c>
      <c r="D29" s="474">
        <v>103.9</v>
      </c>
      <c r="E29" s="474">
        <v>104.2</v>
      </c>
      <c r="F29" s="474">
        <v>104.6</v>
      </c>
      <c r="G29" s="474">
        <v>104.8</v>
      </c>
      <c r="H29" s="474">
        <v>104.5</v>
      </c>
      <c r="I29" s="474">
        <v>104.6</v>
      </c>
      <c r="J29" s="474">
        <v>104.9</v>
      </c>
      <c r="K29" s="474">
        <v>104.7</v>
      </c>
      <c r="L29" s="474">
        <v>104.4</v>
      </c>
      <c r="M29" s="474">
        <v>103.9</v>
      </c>
    </row>
    <row r="30" spans="1:13">
      <c r="A30" s="473">
        <v>2002</v>
      </c>
      <c r="B30" s="475">
        <v>104.2</v>
      </c>
      <c r="C30" s="475">
        <v>104.5</v>
      </c>
      <c r="D30" s="475">
        <v>105.1</v>
      </c>
      <c r="E30" s="475">
        <v>105.6</v>
      </c>
      <c r="F30" s="475">
        <v>105.6</v>
      </c>
      <c r="G30" s="475">
        <v>105.6</v>
      </c>
      <c r="H30" s="475">
        <v>105.7</v>
      </c>
      <c r="I30" s="475">
        <v>106</v>
      </c>
      <c r="J30" s="475">
        <v>106.3</v>
      </c>
      <c r="K30" s="475">
        <v>106.4</v>
      </c>
      <c r="L30" s="475">
        <v>106.3</v>
      </c>
      <c r="M30" s="475">
        <v>106</v>
      </c>
    </row>
    <row r="31" spans="1:13">
      <c r="A31" s="473">
        <v>2003</v>
      </c>
      <c r="B31" s="474">
        <v>106.5</v>
      </c>
      <c r="C31" s="474">
        <v>107.3</v>
      </c>
      <c r="D31" s="474">
        <v>107.9</v>
      </c>
      <c r="E31" s="474">
        <v>107.7</v>
      </c>
      <c r="F31" s="474">
        <v>107.5</v>
      </c>
      <c r="G31" s="474">
        <v>107.6</v>
      </c>
      <c r="H31" s="474">
        <v>107.7</v>
      </c>
      <c r="I31" s="474">
        <v>108.2</v>
      </c>
      <c r="J31" s="474">
        <v>108.5</v>
      </c>
      <c r="K31" s="474">
        <v>108.4</v>
      </c>
      <c r="L31" s="474">
        <v>108</v>
      </c>
      <c r="M31" s="474">
        <v>107.8</v>
      </c>
    </row>
    <row r="32" spans="1:13">
      <c r="A32" s="473">
        <v>2004</v>
      </c>
      <c r="B32" s="475">
        <v>108.5</v>
      </c>
      <c r="C32" s="475">
        <v>109.1</v>
      </c>
      <c r="D32" s="475">
        <v>109.7</v>
      </c>
      <c r="E32" s="475">
        <v>110</v>
      </c>
      <c r="F32" s="475">
        <v>110.6</v>
      </c>
      <c r="G32" s="475">
        <v>110.8</v>
      </c>
      <c r="H32" s="475">
        <v>110.7</v>
      </c>
      <c r="I32" s="475">
        <v>110.7</v>
      </c>
      <c r="J32" s="475">
        <v>111</v>
      </c>
      <c r="K32" s="475">
        <v>111.6</v>
      </c>
      <c r="L32" s="475">
        <v>111.6</v>
      </c>
      <c r="M32" s="475">
        <v>111.2</v>
      </c>
    </row>
    <row r="33" spans="1:13">
      <c r="A33" s="473">
        <v>2005</v>
      </c>
      <c r="B33" s="474">
        <v>111.3</v>
      </c>
      <c r="C33" s="474">
        <v>111.9</v>
      </c>
      <c r="D33" s="474">
        <v>112.6</v>
      </c>
      <c r="E33" s="474">
        <v>113.4</v>
      </c>
      <c r="F33" s="474">
        <v>113.3</v>
      </c>
      <c r="G33" s="474">
        <v>113.2</v>
      </c>
      <c r="H33" s="474">
        <v>113.7</v>
      </c>
      <c r="I33" s="474">
        <v>114.3</v>
      </c>
      <c r="J33" s="474">
        <v>115.6</v>
      </c>
      <c r="K33" s="474">
        <v>115.7</v>
      </c>
      <c r="L33" s="474">
        <v>114.9</v>
      </c>
      <c r="M33" s="474">
        <v>114.4</v>
      </c>
    </row>
    <row r="34" spans="1:13">
      <c r="A34" s="473">
        <v>2006</v>
      </c>
      <c r="B34" s="475">
        <v>115.2</v>
      </c>
      <c r="C34" s="475">
        <v>115.4</v>
      </c>
      <c r="D34" s="475">
        <v>116</v>
      </c>
      <c r="E34" s="475">
        <v>116.9</v>
      </c>
      <c r="F34" s="475">
        <v>117.5</v>
      </c>
      <c r="G34" s="475">
        <v>117.7</v>
      </c>
      <c r="H34" s="475">
        <v>118.1</v>
      </c>
      <c r="I34" s="475">
        <v>118.3</v>
      </c>
      <c r="J34" s="475">
        <v>117.8</v>
      </c>
      <c r="K34" s="475">
        <v>117.1</v>
      </c>
      <c r="L34" s="475">
        <v>116.9</v>
      </c>
      <c r="M34" s="475">
        <v>117</v>
      </c>
    </row>
    <row r="35" spans="1:13">
      <c r="A35" s="473">
        <v>2007</v>
      </c>
      <c r="B35" s="474">
        <v>117.31</v>
      </c>
      <c r="C35" s="474">
        <v>117.89700000000001</v>
      </c>
      <c r="D35" s="474">
        <v>118.97799999999999</v>
      </c>
      <c r="E35" s="474">
        <v>119.712</v>
      </c>
      <c r="F35" s="474">
        <v>120.29</v>
      </c>
      <c r="G35" s="474">
        <v>120.47799999999999</v>
      </c>
      <c r="H35" s="474">
        <v>120.384</v>
      </c>
      <c r="I35" s="474">
        <v>120.19799999999999</v>
      </c>
      <c r="J35" s="474">
        <v>120.538</v>
      </c>
      <c r="K35" s="474">
        <v>120.82299999999999</v>
      </c>
      <c r="L35" s="474">
        <v>121.443</v>
      </c>
      <c r="M35" s="474">
        <v>121.32</v>
      </c>
    </row>
    <row r="36" spans="1:13">
      <c r="A36" s="473">
        <v>2008</v>
      </c>
      <c r="B36" s="475">
        <v>121.895</v>
      </c>
      <c r="C36" s="475">
        <v>122.251</v>
      </c>
      <c r="D36" s="475">
        <v>123.20399999999999</v>
      </c>
      <c r="E36" s="475">
        <v>123.845</v>
      </c>
      <c r="F36" s="475">
        <v>124.645</v>
      </c>
      <c r="G36" s="475">
        <v>125.58199999999999</v>
      </c>
      <c r="H36" s="475">
        <v>0</v>
      </c>
      <c r="I36" s="475">
        <v>0</v>
      </c>
      <c r="J36" s="475">
        <v>0</v>
      </c>
      <c r="K36" s="475">
        <v>0</v>
      </c>
      <c r="L36" s="475">
        <v>0</v>
      </c>
      <c r="M36" s="475">
        <v>0</v>
      </c>
    </row>
  </sheetData>
  <mergeCells count="2">
    <mergeCell ref="A5:I5"/>
    <mergeCell ref="A25:M25"/>
  </mergeCells>
  <phoneticPr fontId="26" type="noConversion"/>
  <pageMargins left="0.75" right="0.75" top="1" bottom="1" header="0.5" footer="0.5"/>
  <pageSetup scale="6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rgb="FFFF0000"/>
  </sheetPr>
  <dimension ref="A1:D45"/>
  <sheetViews>
    <sheetView workbookViewId="0">
      <selection activeCell="D26" sqref="D26"/>
    </sheetView>
  </sheetViews>
  <sheetFormatPr defaultColWidth="10.875" defaultRowHeight="15"/>
  <cols>
    <col min="1" max="1" width="10.875" style="15" customWidth="1"/>
    <col min="2" max="2" width="2.5" style="2" customWidth="1"/>
    <col min="3" max="3" width="40.625" style="2" customWidth="1"/>
    <col min="4" max="4" width="16.125" style="15" bestFit="1" customWidth="1"/>
    <col min="5" max="16384" width="10.875" style="2"/>
  </cols>
  <sheetData>
    <row r="1" spans="1:4">
      <c r="A1" s="467" t="str">
        <f>'Input Schedule'!G6</f>
        <v>WATER SERVICE CORPORATION OF KENTUCKY</v>
      </c>
      <c r="B1" s="1"/>
      <c r="D1" s="14"/>
    </row>
    <row r="2" spans="1:4">
      <c r="A2" s="468" t="s">
        <v>1040</v>
      </c>
      <c r="B2" s="1"/>
      <c r="D2" s="3" t="s">
        <v>883</v>
      </c>
    </row>
    <row r="3" spans="1:4">
      <c r="A3" s="425"/>
      <c r="B3" s="1"/>
      <c r="C3" s="5"/>
      <c r="D3" s="3" t="s">
        <v>824</v>
      </c>
    </row>
    <row r="4" spans="1:4">
      <c r="A4" s="425"/>
      <c r="B4" s="1"/>
      <c r="C4" s="6"/>
      <c r="D4" s="426">
        <v>39629</v>
      </c>
    </row>
    <row r="5" spans="1:4">
      <c r="A5" s="425"/>
      <c r="B5" s="1"/>
      <c r="C5" s="6"/>
      <c r="D5" s="14"/>
    </row>
    <row r="6" spans="1:4">
      <c r="A6" s="469">
        <v>1020</v>
      </c>
      <c r="B6" s="1"/>
      <c r="C6" s="11" t="s">
        <v>592</v>
      </c>
      <c r="D6" s="279">
        <f t="shared" ref="D6:D26" si="0">IF(ISERROR(VLOOKUP(A6,TB,5,FALSE)),0,VLOOKUP(A6,TB,5,FALSE))</f>
        <v>0</v>
      </c>
    </row>
    <row r="7" spans="1:4">
      <c r="A7" s="469">
        <v>1045</v>
      </c>
      <c r="B7" s="1"/>
      <c r="C7" s="11" t="s">
        <v>632</v>
      </c>
      <c r="D7" s="279">
        <f t="shared" si="0"/>
        <v>0</v>
      </c>
    </row>
    <row r="8" spans="1:4">
      <c r="A8" s="469">
        <v>1050</v>
      </c>
      <c r="B8" s="1"/>
      <c r="C8" s="11" t="s">
        <v>488</v>
      </c>
      <c r="D8" s="279">
        <f t="shared" si="0"/>
        <v>0</v>
      </c>
    </row>
    <row r="9" spans="1:4">
      <c r="A9" s="469">
        <v>1055</v>
      </c>
      <c r="B9" s="1"/>
      <c r="C9" s="11" t="s">
        <v>487</v>
      </c>
      <c r="D9" s="279">
        <f t="shared" si="0"/>
        <v>0</v>
      </c>
    </row>
    <row r="10" spans="1:4">
      <c r="A10" s="469">
        <v>1065</v>
      </c>
      <c r="B10" s="1"/>
      <c r="C10" s="11" t="e">
        <f>#REF!</f>
        <v>#REF!</v>
      </c>
      <c r="D10" s="279">
        <f t="shared" si="0"/>
        <v>0</v>
      </c>
    </row>
    <row r="11" spans="1:4">
      <c r="A11" s="469">
        <v>1080</v>
      </c>
      <c r="B11" s="1"/>
      <c r="C11" s="11" t="s">
        <v>793</v>
      </c>
      <c r="D11" s="279">
        <f t="shared" si="0"/>
        <v>0</v>
      </c>
    </row>
    <row r="12" spans="1:4">
      <c r="A12" s="469">
        <v>1105</v>
      </c>
      <c r="B12" s="1"/>
      <c r="C12" s="11" t="s">
        <v>932</v>
      </c>
      <c r="D12" s="279">
        <f t="shared" si="0"/>
        <v>0</v>
      </c>
    </row>
    <row r="13" spans="1:4">
      <c r="A13" s="469">
        <v>1110</v>
      </c>
      <c r="B13" s="1"/>
      <c r="C13" s="11" t="e">
        <f>#REF!</f>
        <v>#REF!</v>
      </c>
      <c r="D13" s="279">
        <f t="shared" si="0"/>
        <v>0</v>
      </c>
    </row>
    <row r="14" spans="1:4">
      <c r="A14" s="469">
        <v>1115</v>
      </c>
      <c r="B14" s="1"/>
      <c r="C14" s="11" t="s">
        <v>671</v>
      </c>
      <c r="D14" s="279">
        <f t="shared" si="0"/>
        <v>0</v>
      </c>
    </row>
    <row r="15" spans="1:4">
      <c r="A15" s="469">
        <v>1120</v>
      </c>
      <c r="B15" s="1"/>
      <c r="C15" s="11" t="s">
        <v>121</v>
      </c>
      <c r="D15" s="279">
        <f t="shared" si="0"/>
        <v>0</v>
      </c>
    </row>
    <row r="16" spans="1:4">
      <c r="A16" s="469">
        <v>1125</v>
      </c>
      <c r="B16" s="1"/>
      <c r="C16" s="11" t="s">
        <v>490</v>
      </c>
      <c r="D16" s="279">
        <f t="shared" si="0"/>
        <v>0</v>
      </c>
    </row>
    <row r="17" spans="1:4">
      <c r="A17" s="469">
        <v>1130</v>
      </c>
      <c r="B17" s="1"/>
      <c r="C17" s="11" t="s">
        <v>388</v>
      </c>
      <c r="D17" s="279">
        <f t="shared" si="0"/>
        <v>0</v>
      </c>
    </row>
    <row r="18" spans="1:4">
      <c r="A18" s="469">
        <v>1135</v>
      </c>
      <c r="B18" s="1"/>
      <c r="C18" s="11" t="s">
        <v>96</v>
      </c>
      <c r="D18" s="279">
        <f t="shared" si="0"/>
        <v>0</v>
      </c>
    </row>
    <row r="19" spans="1:4">
      <c r="A19" s="469">
        <v>1140</v>
      </c>
      <c r="B19" s="1"/>
      <c r="C19" s="11" t="s">
        <v>564</v>
      </c>
      <c r="D19" s="279">
        <f t="shared" si="0"/>
        <v>0</v>
      </c>
    </row>
    <row r="20" spans="1:4">
      <c r="A20" s="469">
        <v>1145</v>
      </c>
      <c r="B20" s="1"/>
      <c r="C20" s="11" t="s">
        <v>565</v>
      </c>
      <c r="D20" s="279">
        <f t="shared" si="0"/>
        <v>0</v>
      </c>
    </row>
    <row r="21" spans="1:4">
      <c r="A21" s="469">
        <v>1175</v>
      </c>
      <c r="B21" s="1"/>
      <c r="C21" s="11" t="s">
        <v>626</v>
      </c>
      <c r="D21" s="279">
        <f t="shared" si="0"/>
        <v>0</v>
      </c>
    </row>
    <row r="22" spans="1:4">
      <c r="A22" s="469">
        <v>1180</v>
      </c>
      <c r="B22" s="1"/>
      <c r="C22" s="11" t="s">
        <v>627</v>
      </c>
      <c r="D22" s="279">
        <f t="shared" si="0"/>
        <v>0</v>
      </c>
    </row>
    <row r="23" spans="1:4">
      <c r="A23" s="469">
        <v>1195</v>
      </c>
      <c r="B23" s="1"/>
      <c r="C23" s="11" t="s">
        <v>625</v>
      </c>
      <c r="D23" s="279">
        <f t="shared" si="0"/>
        <v>0</v>
      </c>
    </row>
    <row r="24" spans="1:4">
      <c r="A24" s="469">
        <v>1190</v>
      </c>
      <c r="B24" s="1"/>
      <c r="C24" s="11" t="s">
        <v>821</v>
      </c>
      <c r="D24" s="279">
        <f t="shared" si="0"/>
        <v>0</v>
      </c>
    </row>
    <row r="25" spans="1:4">
      <c r="A25" s="469">
        <v>1205</v>
      </c>
      <c r="B25" s="1"/>
      <c r="C25" s="11" t="s">
        <v>549</v>
      </c>
      <c r="D25" s="279">
        <f t="shared" si="0"/>
        <v>0</v>
      </c>
    </row>
    <row r="26" spans="1:4">
      <c r="A26" s="469">
        <v>1215</v>
      </c>
      <c r="B26" s="1"/>
      <c r="C26" s="11" t="s">
        <v>633</v>
      </c>
      <c r="D26" s="279">
        <f t="shared" si="0"/>
        <v>0</v>
      </c>
    </row>
    <row r="27" spans="1:4">
      <c r="A27" s="425"/>
      <c r="B27" s="1"/>
      <c r="C27" s="8" t="s">
        <v>886</v>
      </c>
      <c r="D27" s="280">
        <f>SUM(D6:D26)</f>
        <v>0</v>
      </c>
    </row>
    <row r="28" spans="1:4">
      <c r="A28" s="425"/>
      <c r="B28" s="1"/>
      <c r="C28" s="8"/>
      <c r="D28" s="278"/>
    </row>
    <row r="29" spans="1:4">
      <c r="A29" s="425">
        <v>1345</v>
      </c>
      <c r="B29" s="1"/>
      <c r="C29" s="8" t="s">
        <v>634</v>
      </c>
      <c r="D29" s="279">
        <f>IF(ISERROR(VLOOKUP(A29,TB,5,FALSE)),0,VLOOKUP(A29,TB,5,FALSE))</f>
        <v>0</v>
      </c>
    </row>
    <row r="30" spans="1:4">
      <c r="A30" s="469">
        <v>1350</v>
      </c>
      <c r="B30" s="10"/>
      <c r="C30" s="11" t="s">
        <v>635</v>
      </c>
      <c r="D30" s="279">
        <f>IF(ISERROR(VLOOKUP(A30,TB,5,FALSE)),0,VLOOKUP(A30,TB,5,FALSE))</f>
        <v>0</v>
      </c>
    </row>
    <row r="31" spans="1:4">
      <c r="A31" s="469">
        <v>1395</v>
      </c>
      <c r="B31" s="10"/>
      <c r="C31" s="11" t="e">
        <f>#REF!</f>
        <v>#REF!</v>
      </c>
      <c r="D31" s="279">
        <f>IF(ISERROR(VLOOKUP(A31,TB,5,FALSE)),0,VLOOKUP(A31,TB,5,FALSE))</f>
        <v>0</v>
      </c>
    </row>
    <row r="32" spans="1:4">
      <c r="A32" s="425"/>
      <c r="B32" s="1"/>
      <c r="C32" s="8" t="s">
        <v>886</v>
      </c>
      <c r="D32" s="280">
        <f>SUM(D29:D31)</f>
        <v>0</v>
      </c>
    </row>
    <row r="33" spans="1:4">
      <c r="A33" s="425"/>
      <c r="B33" s="1"/>
      <c r="C33" s="8"/>
      <c r="D33" s="278"/>
    </row>
    <row r="34" spans="1:4">
      <c r="A34" s="425">
        <v>1555</v>
      </c>
      <c r="B34" s="1"/>
      <c r="C34" s="8" t="s">
        <v>100</v>
      </c>
      <c r="D34" s="280">
        <f>IF(ISERROR(VLOOKUP(A34,TB,5,FALSE)),0,VLOOKUP(A34,TB,5,FALSE))</f>
        <v>0</v>
      </c>
    </row>
    <row r="35" spans="1:4">
      <c r="A35" s="425"/>
      <c r="B35" s="1"/>
      <c r="C35" s="8"/>
      <c r="D35" s="279"/>
    </row>
    <row r="36" spans="1:4">
      <c r="A36" s="425">
        <v>1580</v>
      </c>
      <c r="B36" s="1"/>
      <c r="C36" s="8" t="e">
        <f>#REF!</f>
        <v>#REF!</v>
      </c>
      <c r="D36" s="279">
        <f>IF(ISERROR(VLOOKUP(A36,TB,5,FALSE)),0,VLOOKUP(A36,TB,5,FALSE))</f>
        <v>0</v>
      </c>
    </row>
    <row r="37" spans="1:4">
      <c r="A37" s="425">
        <v>1585</v>
      </c>
      <c r="B37" s="1"/>
      <c r="C37" s="8" t="s">
        <v>651</v>
      </c>
      <c r="D37" s="279">
        <f>IF(ISERROR(VLOOKUP(A37,TB,5,FALSE)),0,VLOOKUP(A37,TB,5,FALSE))</f>
        <v>0</v>
      </c>
    </row>
    <row r="38" spans="1:4">
      <c r="A38" s="425">
        <v>1590</v>
      </c>
      <c r="B38" s="1"/>
      <c r="C38" s="8" t="e">
        <f>#REF!</f>
        <v>#REF!</v>
      </c>
      <c r="D38" s="279">
        <f>IF(ISERROR(VLOOKUP(A38,TB,5,FALSE)),0,VLOOKUP(A38,TB,5,FALSE))</f>
        <v>0</v>
      </c>
    </row>
    <row r="39" spans="1:4">
      <c r="A39" s="425">
        <v>1595</v>
      </c>
      <c r="B39" s="1"/>
      <c r="C39" s="8" t="s">
        <v>484</v>
      </c>
      <c r="D39" s="279">
        <f>IF(ISERROR(VLOOKUP(A39,TB,5,FALSE)),0,VLOOKUP(A39,TB,5,FALSE))</f>
        <v>0</v>
      </c>
    </row>
    <row r="40" spans="1:4">
      <c r="A40" s="425"/>
      <c r="B40" s="1"/>
      <c r="C40" s="8" t="s">
        <v>101</v>
      </c>
      <c r="D40" s="280">
        <f>SUM(D36:D39)</f>
        <v>0</v>
      </c>
    </row>
    <row r="41" spans="1:4">
      <c r="A41" s="425"/>
      <c r="B41" s="1"/>
      <c r="C41" s="8"/>
      <c r="D41" s="279"/>
    </row>
    <row r="42" spans="1:4">
      <c r="A42" s="425"/>
      <c r="B42" s="1"/>
      <c r="C42" s="8"/>
      <c r="D42" s="279"/>
    </row>
    <row r="43" spans="1:4">
      <c r="A43" s="425"/>
      <c r="B43" s="1"/>
      <c r="C43" s="8" t="s">
        <v>589</v>
      </c>
      <c r="D43" s="280">
        <f>+D40+D34+D27+D32</f>
        <v>0</v>
      </c>
    </row>
    <row r="44" spans="1:4">
      <c r="A44" s="425"/>
      <c r="B44" s="1"/>
      <c r="C44" s="8"/>
      <c r="D44" s="9"/>
    </row>
    <row r="45" spans="1:4">
      <c r="A45" s="425"/>
      <c r="B45" s="1"/>
      <c r="C45" s="8"/>
      <c r="D45" s="14"/>
    </row>
  </sheetData>
  <phoneticPr fontId="26" type="noConversion"/>
  <pageMargins left="0.25" right="0" top="0.25" bottom="0" header="0.5" footer="0.5"/>
  <pageSetup orientation="portrait" horizontalDpi="4294967292" verticalDpi="4294967292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513"/>
  <sheetViews>
    <sheetView view="pageBreakPreview" zoomScale="60" zoomScaleNormal="100" workbookViewId="0">
      <selection activeCell="D26" sqref="D26"/>
    </sheetView>
  </sheetViews>
  <sheetFormatPr defaultRowHeight="12"/>
  <cols>
    <col min="1" max="1" width="12.625" bestFit="1" customWidth="1"/>
    <col min="2" max="2" width="43.875" bestFit="1" customWidth="1"/>
    <col min="3" max="3" width="15.75" bestFit="1" customWidth="1"/>
    <col min="4" max="4" width="15" bestFit="1" customWidth="1"/>
    <col min="5" max="5" width="10.5" bestFit="1" customWidth="1"/>
    <col min="6" max="6" width="13" bestFit="1" customWidth="1"/>
    <col min="12" max="12" width="13" bestFit="1" customWidth="1"/>
  </cols>
  <sheetData>
    <row r="1" spans="1:6" ht="13.5" thickBot="1">
      <c r="A1" t="s">
        <v>175</v>
      </c>
      <c r="B1" t="s">
        <v>176</v>
      </c>
      <c r="C1" s="479"/>
      <c r="D1" s="480" t="s">
        <v>177</v>
      </c>
      <c r="E1" s="481" t="s">
        <v>391</v>
      </c>
    </row>
    <row r="2" spans="1:6" ht="12.75">
      <c r="B2" t="s">
        <v>178</v>
      </c>
      <c r="C2" s="482" t="s">
        <v>179</v>
      </c>
      <c r="D2" s="483">
        <v>7374.7</v>
      </c>
      <c r="E2" s="484">
        <v>294248.2</v>
      </c>
    </row>
    <row r="3" spans="1:6" ht="13.5" thickBot="1">
      <c r="C3" s="485" t="s">
        <v>180</v>
      </c>
      <c r="D3" s="486">
        <f>D2/E2</f>
        <v>2.5062855099878264E-2</v>
      </c>
      <c r="E3" s="487">
        <f>SUM(D3:D3)</f>
        <v>2.5062855099878264E-2</v>
      </c>
    </row>
    <row r="4" spans="1:6">
      <c r="B4" t="s">
        <v>181</v>
      </c>
    </row>
    <row r="5" spans="1:6" ht="26.25">
      <c r="A5" s="488" t="s">
        <v>182</v>
      </c>
      <c r="B5" s="488" t="s">
        <v>830</v>
      </c>
      <c r="C5" s="488" t="s">
        <v>183</v>
      </c>
      <c r="D5" s="489" t="s">
        <v>184</v>
      </c>
      <c r="E5" s="489" t="s">
        <v>185</v>
      </c>
      <c r="F5" s="490" t="s">
        <v>90</v>
      </c>
    </row>
    <row r="6" spans="1:6">
      <c r="B6" t="s">
        <v>186</v>
      </c>
      <c r="C6" s="478"/>
      <c r="D6" s="477">
        <f t="shared" ref="D6:D69" si="0">C6</f>
        <v>0</v>
      </c>
      <c r="E6" s="491">
        <f t="shared" ref="E6:E69" si="1">E$3</f>
        <v>2.5062855099878264E-2</v>
      </c>
      <c r="F6" s="477">
        <f t="shared" ref="F6:F69" si="2">E6*D6</f>
        <v>0</v>
      </c>
    </row>
    <row r="7" spans="1:6">
      <c r="B7" t="s">
        <v>187</v>
      </c>
      <c r="C7" s="478"/>
      <c r="D7" s="477">
        <f t="shared" si="0"/>
        <v>0</v>
      </c>
      <c r="E7" s="491">
        <f t="shared" si="1"/>
        <v>2.5062855099878264E-2</v>
      </c>
      <c r="F7" s="477">
        <f t="shared" si="2"/>
        <v>0</v>
      </c>
    </row>
    <row r="8" spans="1:6">
      <c r="B8" t="s">
        <v>188</v>
      </c>
      <c r="C8" s="478"/>
      <c r="D8" s="477">
        <f t="shared" si="0"/>
        <v>0</v>
      </c>
      <c r="E8" s="491">
        <f t="shared" si="1"/>
        <v>2.5062855099878264E-2</v>
      </c>
      <c r="F8" s="477">
        <f t="shared" si="2"/>
        <v>0</v>
      </c>
    </row>
    <row r="9" spans="1:6">
      <c r="B9" t="s">
        <v>189</v>
      </c>
      <c r="C9" s="478"/>
      <c r="D9" s="477">
        <f t="shared" si="0"/>
        <v>0</v>
      </c>
      <c r="E9" s="491">
        <f t="shared" si="1"/>
        <v>2.5062855099878264E-2</v>
      </c>
      <c r="F9" s="477">
        <f t="shared" si="2"/>
        <v>0</v>
      </c>
    </row>
    <row r="10" spans="1:6">
      <c r="A10">
        <v>5430</v>
      </c>
      <c r="B10" t="s">
        <v>937</v>
      </c>
      <c r="C10" s="478"/>
      <c r="D10" s="477">
        <f t="shared" si="0"/>
        <v>0</v>
      </c>
      <c r="E10" s="491">
        <f t="shared" si="1"/>
        <v>2.5062855099878264E-2</v>
      </c>
      <c r="F10" s="477">
        <f t="shared" si="2"/>
        <v>0</v>
      </c>
    </row>
    <row r="11" spans="1:6">
      <c r="A11">
        <v>5435</v>
      </c>
      <c r="B11" t="s">
        <v>938</v>
      </c>
      <c r="C11" s="478"/>
      <c r="D11" s="477">
        <f t="shared" si="0"/>
        <v>0</v>
      </c>
      <c r="E11" s="491">
        <f t="shared" si="1"/>
        <v>2.5062855099878264E-2</v>
      </c>
      <c r="F11" s="477">
        <f t="shared" si="2"/>
        <v>0</v>
      </c>
    </row>
    <row r="12" spans="1:6">
      <c r="A12">
        <v>5440</v>
      </c>
      <c r="B12" t="s">
        <v>939</v>
      </c>
      <c r="C12" s="478"/>
      <c r="D12" s="477">
        <f t="shared" si="0"/>
        <v>0</v>
      </c>
      <c r="E12" s="491">
        <f t="shared" si="1"/>
        <v>2.5062855099878264E-2</v>
      </c>
      <c r="F12" s="477">
        <f t="shared" si="2"/>
        <v>0</v>
      </c>
    </row>
    <row r="13" spans="1:6">
      <c r="A13">
        <v>5445</v>
      </c>
      <c r="B13" t="s">
        <v>940</v>
      </c>
      <c r="C13" s="478"/>
      <c r="D13" s="477">
        <f t="shared" si="0"/>
        <v>0</v>
      </c>
      <c r="E13" s="491">
        <f t="shared" si="1"/>
        <v>2.5062855099878264E-2</v>
      </c>
      <c r="F13" s="477">
        <f t="shared" si="2"/>
        <v>0</v>
      </c>
    </row>
    <row r="14" spans="1:6">
      <c r="B14" t="s">
        <v>189</v>
      </c>
      <c r="C14" s="478"/>
      <c r="D14" s="477">
        <f t="shared" si="0"/>
        <v>0</v>
      </c>
      <c r="E14" s="491">
        <f t="shared" si="1"/>
        <v>2.5062855099878264E-2</v>
      </c>
      <c r="F14" s="477">
        <f t="shared" si="2"/>
        <v>0</v>
      </c>
    </row>
    <row r="15" spans="1:6">
      <c r="B15" t="s">
        <v>190</v>
      </c>
      <c r="C15" s="478"/>
      <c r="D15" s="477">
        <f t="shared" si="0"/>
        <v>0</v>
      </c>
      <c r="E15" s="491">
        <f t="shared" si="1"/>
        <v>2.5062855099878264E-2</v>
      </c>
      <c r="F15" s="477">
        <f t="shared" si="2"/>
        <v>0</v>
      </c>
    </row>
    <row r="16" spans="1:6">
      <c r="A16">
        <v>5455</v>
      </c>
      <c r="B16" t="s">
        <v>941</v>
      </c>
      <c r="C16" s="478"/>
      <c r="D16" s="477">
        <f t="shared" si="0"/>
        <v>0</v>
      </c>
      <c r="E16" s="491">
        <f t="shared" si="1"/>
        <v>2.5062855099878264E-2</v>
      </c>
      <c r="F16" s="477">
        <f t="shared" si="2"/>
        <v>0</v>
      </c>
    </row>
    <row r="17" spans="1:6">
      <c r="A17">
        <v>5460</v>
      </c>
      <c r="B17" t="s">
        <v>942</v>
      </c>
      <c r="C17" s="478"/>
      <c r="D17" s="477">
        <f t="shared" si="0"/>
        <v>0</v>
      </c>
      <c r="E17" s="491">
        <f t="shared" si="1"/>
        <v>2.5062855099878264E-2</v>
      </c>
      <c r="F17" s="477">
        <f t="shared" si="2"/>
        <v>0</v>
      </c>
    </row>
    <row r="18" spans="1:6">
      <c r="B18" t="s">
        <v>190</v>
      </c>
      <c r="C18" s="478"/>
      <c r="D18" s="477">
        <f t="shared" si="0"/>
        <v>0</v>
      </c>
      <c r="E18" s="491">
        <f t="shared" si="1"/>
        <v>2.5062855099878264E-2</v>
      </c>
      <c r="F18" s="477">
        <f t="shared" si="2"/>
        <v>0</v>
      </c>
    </row>
    <row r="19" spans="1:6">
      <c r="B19" t="s">
        <v>191</v>
      </c>
      <c r="C19" s="478"/>
      <c r="D19" s="477">
        <f t="shared" si="0"/>
        <v>0</v>
      </c>
      <c r="E19" s="491">
        <f t="shared" si="1"/>
        <v>2.5062855099878264E-2</v>
      </c>
      <c r="F19" s="477">
        <f t="shared" si="2"/>
        <v>0</v>
      </c>
    </row>
    <row r="20" spans="1:6">
      <c r="A20">
        <v>5465</v>
      </c>
      <c r="B20" t="s">
        <v>943</v>
      </c>
      <c r="C20" s="478"/>
      <c r="D20" s="477">
        <f t="shared" si="0"/>
        <v>0</v>
      </c>
      <c r="E20" s="491">
        <f t="shared" si="1"/>
        <v>2.5062855099878264E-2</v>
      </c>
      <c r="F20" s="477">
        <f t="shared" si="2"/>
        <v>0</v>
      </c>
    </row>
    <row r="21" spans="1:6">
      <c r="A21">
        <v>5465</v>
      </c>
      <c r="B21" t="s">
        <v>944</v>
      </c>
      <c r="C21" s="478"/>
      <c r="D21" s="477">
        <f t="shared" si="0"/>
        <v>0</v>
      </c>
      <c r="E21" s="491">
        <f t="shared" si="1"/>
        <v>2.5062855099878264E-2</v>
      </c>
      <c r="F21" s="477">
        <f t="shared" si="2"/>
        <v>0</v>
      </c>
    </row>
    <row r="22" spans="1:6">
      <c r="A22">
        <v>5465</v>
      </c>
      <c r="B22" t="s">
        <v>945</v>
      </c>
      <c r="C22" s="478"/>
      <c r="D22" s="477">
        <f t="shared" si="0"/>
        <v>0</v>
      </c>
      <c r="E22" s="491">
        <f t="shared" si="1"/>
        <v>2.5062855099878264E-2</v>
      </c>
      <c r="F22" s="477">
        <f t="shared" si="2"/>
        <v>0</v>
      </c>
    </row>
    <row r="23" spans="1:6">
      <c r="A23">
        <v>5465</v>
      </c>
      <c r="B23" t="s">
        <v>946</v>
      </c>
      <c r="C23" s="478"/>
      <c r="D23" s="477">
        <f t="shared" si="0"/>
        <v>0</v>
      </c>
      <c r="E23" s="491">
        <f t="shared" si="1"/>
        <v>2.5062855099878264E-2</v>
      </c>
      <c r="F23" s="477">
        <f t="shared" si="2"/>
        <v>0</v>
      </c>
    </row>
    <row r="24" spans="1:6">
      <c r="B24" t="s">
        <v>191</v>
      </c>
      <c r="C24" s="478"/>
      <c r="D24" s="477">
        <f t="shared" si="0"/>
        <v>0</v>
      </c>
      <c r="E24" s="491">
        <f t="shared" si="1"/>
        <v>2.5062855099878264E-2</v>
      </c>
      <c r="F24" s="477">
        <f t="shared" si="2"/>
        <v>0</v>
      </c>
    </row>
    <row r="25" spans="1:6">
      <c r="B25" t="s">
        <v>192</v>
      </c>
      <c r="C25" s="478"/>
      <c r="D25" s="477">
        <f t="shared" si="0"/>
        <v>0</v>
      </c>
      <c r="E25" s="491">
        <f t="shared" si="1"/>
        <v>2.5062855099878264E-2</v>
      </c>
      <c r="F25" s="477">
        <f t="shared" si="2"/>
        <v>0</v>
      </c>
    </row>
    <row r="26" spans="1:6">
      <c r="A26">
        <v>5470</v>
      </c>
      <c r="B26" t="s">
        <v>947</v>
      </c>
      <c r="C26" s="478"/>
      <c r="D26" s="477">
        <f t="shared" si="0"/>
        <v>0</v>
      </c>
      <c r="E26" s="491">
        <f t="shared" si="1"/>
        <v>2.5062855099878264E-2</v>
      </c>
      <c r="F26" s="477">
        <f t="shared" si="2"/>
        <v>0</v>
      </c>
    </row>
    <row r="27" spans="1:6">
      <c r="A27">
        <v>5470</v>
      </c>
      <c r="B27" t="s">
        <v>948</v>
      </c>
      <c r="C27" s="478"/>
      <c r="D27" s="477">
        <f t="shared" si="0"/>
        <v>0</v>
      </c>
      <c r="E27" s="491">
        <f t="shared" si="1"/>
        <v>2.5062855099878264E-2</v>
      </c>
      <c r="F27" s="477">
        <f t="shared" si="2"/>
        <v>0</v>
      </c>
    </row>
    <row r="28" spans="1:6">
      <c r="A28">
        <v>5470</v>
      </c>
      <c r="B28" t="s">
        <v>949</v>
      </c>
      <c r="C28" s="478"/>
      <c r="D28" s="477">
        <f t="shared" si="0"/>
        <v>0</v>
      </c>
      <c r="E28" s="491">
        <f t="shared" si="1"/>
        <v>2.5062855099878264E-2</v>
      </c>
      <c r="F28" s="477">
        <f t="shared" si="2"/>
        <v>0</v>
      </c>
    </row>
    <row r="29" spans="1:6">
      <c r="A29">
        <v>5470</v>
      </c>
      <c r="B29" t="s">
        <v>950</v>
      </c>
      <c r="C29" s="478"/>
      <c r="D29" s="477">
        <f t="shared" si="0"/>
        <v>0</v>
      </c>
      <c r="E29" s="491">
        <f t="shared" si="1"/>
        <v>2.5062855099878264E-2</v>
      </c>
      <c r="F29" s="477">
        <f t="shared" si="2"/>
        <v>0</v>
      </c>
    </row>
    <row r="30" spans="1:6">
      <c r="A30">
        <v>5470</v>
      </c>
      <c r="B30" t="s">
        <v>951</v>
      </c>
      <c r="C30" s="478"/>
      <c r="D30" s="477">
        <f t="shared" si="0"/>
        <v>0</v>
      </c>
      <c r="E30" s="491">
        <f t="shared" si="1"/>
        <v>2.5062855099878264E-2</v>
      </c>
      <c r="F30" s="477">
        <f t="shared" si="2"/>
        <v>0</v>
      </c>
    </row>
    <row r="31" spans="1:6">
      <c r="A31">
        <v>5470</v>
      </c>
      <c r="B31" t="s">
        <v>951</v>
      </c>
      <c r="C31" s="478"/>
      <c r="D31" s="477">
        <f t="shared" si="0"/>
        <v>0</v>
      </c>
      <c r="E31" s="491">
        <f t="shared" si="1"/>
        <v>2.5062855099878264E-2</v>
      </c>
      <c r="F31" s="477">
        <f t="shared" si="2"/>
        <v>0</v>
      </c>
    </row>
    <row r="32" spans="1:6">
      <c r="B32" t="s">
        <v>192</v>
      </c>
      <c r="C32" s="478"/>
      <c r="D32" s="477">
        <f t="shared" si="0"/>
        <v>0</v>
      </c>
      <c r="E32" s="491">
        <f t="shared" si="1"/>
        <v>2.5062855099878264E-2</v>
      </c>
      <c r="F32" s="477">
        <f t="shared" si="2"/>
        <v>0</v>
      </c>
    </row>
    <row r="33" spans="1:6">
      <c r="B33" t="s">
        <v>193</v>
      </c>
      <c r="C33" s="478"/>
      <c r="D33" s="477">
        <f t="shared" si="0"/>
        <v>0</v>
      </c>
      <c r="E33" s="491">
        <f t="shared" si="1"/>
        <v>2.5062855099878264E-2</v>
      </c>
      <c r="F33" s="477">
        <f t="shared" si="2"/>
        <v>0</v>
      </c>
    </row>
    <row r="34" spans="1:6">
      <c r="A34">
        <v>5480</v>
      </c>
      <c r="B34" t="s">
        <v>952</v>
      </c>
      <c r="C34" s="478"/>
      <c r="D34" s="477">
        <f t="shared" si="0"/>
        <v>0</v>
      </c>
      <c r="E34" s="491">
        <f t="shared" si="1"/>
        <v>2.5062855099878264E-2</v>
      </c>
      <c r="F34" s="477">
        <f t="shared" si="2"/>
        <v>0</v>
      </c>
    </row>
    <row r="35" spans="1:6">
      <c r="A35">
        <v>5485</v>
      </c>
      <c r="B35" t="s">
        <v>953</v>
      </c>
      <c r="C35" s="478"/>
      <c r="D35" s="477">
        <f t="shared" si="0"/>
        <v>0</v>
      </c>
      <c r="E35" s="491">
        <f t="shared" si="1"/>
        <v>2.5062855099878264E-2</v>
      </c>
      <c r="F35" s="477">
        <f t="shared" si="2"/>
        <v>0</v>
      </c>
    </row>
    <row r="36" spans="1:6">
      <c r="A36">
        <v>5490</v>
      </c>
      <c r="B36" t="s">
        <v>954</v>
      </c>
      <c r="C36" s="478"/>
      <c r="D36" s="477">
        <f t="shared" si="0"/>
        <v>0</v>
      </c>
      <c r="E36" s="491">
        <f t="shared" si="1"/>
        <v>2.5062855099878264E-2</v>
      </c>
      <c r="F36" s="477">
        <f t="shared" si="2"/>
        <v>0</v>
      </c>
    </row>
    <row r="37" spans="1:6">
      <c r="B37" t="s">
        <v>193</v>
      </c>
      <c r="C37" s="478"/>
      <c r="D37" s="477">
        <f t="shared" si="0"/>
        <v>0</v>
      </c>
      <c r="E37" s="491">
        <f t="shared" si="1"/>
        <v>2.5062855099878264E-2</v>
      </c>
      <c r="F37" s="477">
        <f t="shared" si="2"/>
        <v>0</v>
      </c>
    </row>
    <row r="38" spans="1:6">
      <c r="A38">
        <v>5495</v>
      </c>
      <c r="B38" t="s">
        <v>955</v>
      </c>
      <c r="C38" s="478"/>
      <c r="D38" s="477">
        <f t="shared" si="0"/>
        <v>0</v>
      </c>
      <c r="E38" s="491">
        <f t="shared" si="1"/>
        <v>2.5062855099878264E-2</v>
      </c>
      <c r="F38" s="477">
        <f t="shared" si="2"/>
        <v>0</v>
      </c>
    </row>
    <row r="39" spans="1:6">
      <c r="B39" t="s">
        <v>194</v>
      </c>
      <c r="C39" s="478"/>
      <c r="D39" s="477">
        <f t="shared" si="0"/>
        <v>0</v>
      </c>
      <c r="E39" s="491">
        <f t="shared" si="1"/>
        <v>2.5062855099878264E-2</v>
      </c>
      <c r="F39" s="477">
        <f t="shared" si="2"/>
        <v>0</v>
      </c>
    </row>
    <row r="40" spans="1:6">
      <c r="A40">
        <v>5505</v>
      </c>
      <c r="B40" t="s">
        <v>956</v>
      </c>
      <c r="C40" s="478">
        <v>589.16</v>
      </c>
      <c r="D40" s="477">
        <f t="shared" si="0"/>
        <v>589.16</v>
      </c>
      <c r="E40" s="491">
        <f t="shared" si="1"/>
        <v>2.5062855099878264E-2</v>
      </c>
      <c r="F40" s="477">
        <f t="shared" si="2"/>
        <v>14.766031710644278</v>
      </c>
    </row>
    <row r="41" spans="1:6">
      <c r="A41">
        <v>5510</v>
      </c>
      <c r="B41" t="s">
        <v>957</v>
      </c>
      <c r="C41" s="478"/>
      <c r="D41" s="477">
        <f t="shared" si="0"/>
        <v>0</v>
      </c>
      <c r="E41" s="491">
        <f t="shared" si="1"/>
        <v>2.5062855099878264E-2</v>
      </c>
      <c r="F41" s="477">
        <f t="shared" si="2"/>
        <v>0</v>
      </c>
    </row>
    <row r="42" spans="1:6">
      <c r="A42">
        <v>5515</v>
      </c>
      <c r="B42" t="s">
        <v>958</v>
      </c>
      <c r="C42" s="478"/>
      <c r="D42" s="477">
        <f t="shared" si="0"/>
        <v>0</v>
      </c>
      <c r="E42" s="491">
        <f t="shared" si="1"/>
        <v>2.5062855099878264E-2</v>
      </c>
      <c r="F42" s="477">
        <f t="shared" si="2"/>
        <v>0</v>
      </c>
    </row>
    <row r="43" spans="1:6">
      <c r="B43" t="s">
        <v>194</v>
      </c>
      <c r="C43" s="478">
        <v>589.16</v>
      </c>
      <c r="D43" s="477">
        <f t="shared" si="0"/>
        <v>589.16</v>
      </c>
      <c r="E43" s="491">
        <f t="shared" si="1"/>
        <v>2.5062855099878264E-2</v>
      </c>
      <c r="F43" s="477">
        <f t="shared" si="2"/>
        <v>14.766031710644278</v>
      </c>
    </row>
    <row r="44" spans="1:6">
      <c r="B44" t="s">
        <v>195</v>
      </c>
      <c r="C44" s="478"/>
      <c r="D44" s="477">
        <f t="shared" si="0"/>
        <v>0</v>
      </c>
      <c r="E44" s="491">
        <f t="shared" si="1"/>
        <v>2.5062855099878264E-2</v>
      </c>
      <c r="F44" s="477">
        <f t="shared" si="2"/>
        <v>0</v>
      </c>
    </row>
    <row r="45" spans="1:6">
      <c r="A45">
        <v>5525</v>
      </c>
      <c r="B45" t="s">
        <v>959</v>
      </c>
      <c r="C45" s="478">
        <v>13691.69</v>
      </c>
      <c r="D45" s="477">
        <f t="shared" si="0"/>
        <v>13691.69</v>
      </c>
      <c r="E45" s="491">
        <f t="shared" si="1"/>
        <v>2.5062855099878264E-2</v>
      </c>
      <c r="F45" s="477">
        <f t="shared" si="2"/>
        <v>343.15284254245222</v>
      </c>
    </row>
    <row r="46" spans="1:6">
      <c r="A46">
        <v>5530</v>
      </c>
      <c r="B46" t="s">
        <v>960</v>
      </c>
      <c r="C46" s="478">
        <v>3321.85</v>
      </c>
      <c r="D46" s="477">
        <f t="shared" si="0"/>
        <v>3321.85</v>
      </c>
      <c r="E46" s="491">
        <f t="shared" si="1"/>
        <v>2.5062855099878264E-2</v>
      </c>
      <c r="F46" s="477">
        <f t="shared" si="2"/>
        <v>83.255045213530607</v>
      </c>
    </row>
    <row r="47" spans="1:6">
      <c r="A47">
        <v>5535</v>
      </c>
      <c r="B47" t="s">
        <v>961</v>
      </c>
      <c r="C47" s="478">
        <v>21476.47</v>
      </c>
      <c r="D47" s="477">
        <f t="shared" si="0"/>
        <v>21476.47</v>
      </c>
      <c r="E47" s="491">
        <f t="shared" si="1"/>
        <v>2.5062855099878264E-2</v>
      </c>
      <c r="F47" s="477">
        <f t="shared" si="2"/>
        <v>538.26165566688258</v>
      </c>
    </row>
    <row r="48" spans="1:6">
      <c r="A48">
        <v>5540</v>
      </c>
      <c r="B48" t="s">
        <v>962</v>
      </c>
      <c r="C48" s="478">
        <v>225785.32</v>
      </c>
      <c r="D48" s="477">
        <f t="shared" si="0"/>
        <v>225785.32</v>
      </c>
      <c r="E48" s="491">
        <f t="shared" si="1"/>
        <v>2.5062855099878264E-2</v>
      </c>
      <c r="F48" s="477">
        <f t="shared" si="2"/>
        <v>5658.8247588396462</v>
      </c>
    </row>
    <row r="49" spans="1:6">
      <c r="A49">
        <v>5545</v>
      </c>
      <c r="B49" t="s">
        <v>963</v>
      </c>
      <c r="C49" s="478">
        <v>778.87</v>
      </c>
      <c r="D49" s="477">
        <f t="shared" si="0"/>
        <v>778.87</v>
      </c>
      <c r="E49" s="491">
        <f t="shared" si="1"/>
        <v>2.5062855099878264E-2</v>
      </c>
      <c r="F49" s="477">
        <f t="shared" si="2"/>
        <v>19.520705951642185</v>
      </c>
    </row>
    <row r="50" spans="1:6">
      <c r="B50" t="s">
        <v>195</v>
      </c>
      <c r="C50" s="478">
        <v>265054.2</v>
      </c>
      <c r="D50" s="477">
        <f t="shared" si="0"/>
        <v>265054.2</v>
      </c>
      <c r="E50" s="491">
        <f t="shared" si="1"/>
        <v>2.5062855099878264E-2</v>
      </c>
      <c r="F50" s="477">
        <f t="shared" si="2"/>
        <v>6643.0150082141536</v>
      </c>
    </row>
    <row r="51" spans="1:6">
      <c r="B51" t="s">
        <v>196</v>
      </c>
      <c r="C51" s="478"/>
      <c r="D51" s="477">
        <f t="shared" si="0"/>
        <v>0</v>
      </c>
      <c r="E51" s="491">
        <f t="shared" si="1"/>
        <v>2.5062855099878264E-2</v>
      </c>
      <c r="F51" s="477">
        <f t="shared" si="2"/>
        <v>0</v>
      </c>
    </row>
    <row r="52" spans="1:6">
      <c r="A52">
        <v>5625</v>
      </c>
      <c r="B52" t="s">
        <v>964</v>
      </c>
      <c r="C52" s="478">
        <v>168387</v>
      </c>
      <c r="D52" s="477">
        <f t="shared" si="0"/>
        <v>168387</v>
      </c>
      <c r="E52" s="491">
        <f t="shared" si="1"/>
        <v>2.5062855099878264E-2</v>
      </c>
      <c r="F52" s="477">
        <f t="shared" si="2"/>
        <v>4220.2589817032012</v>
      </c>
    </row>
    <row r="53" spans="1:6">
      <c r="A53">
        <v>5630</v>
      </c>
      <c r="B53" t="s">
        <v>965</v>
      </c>
      <c r="C53" s="478">
        <v>8831.4</v>
      </c>
      <c r="D53" s="477">
        <f t="shared" si="0"/>
        <v>8831.4</v>
      </c>
      <c r="E53" s="491">
        <f t="shared" si="1"/>
        <v>2.5062855099878264E-2</v>
      </c>
      <c r="F53" s="477">
        <f t="shared" si="2"/>
        <v>221.3400985290649</v>
      </c>
    </row>
    <row r="54" spans="1:6">
      <c r="A54">
        <v>5635</v>
      </c>
      <c r="B54" t="s">
        <v>966</v>
      </c>
      <c r="C54" s="478">
        <v>76878.080000000002</v>
      </c>
      <c r="D54" s="477">
        <f t="shared" si="0"/>
        <v>76878.080000000002</v>
      </c>
      <c r="E54" s="491">
        <f t="shared" si="1"/>
        <v>2.5062855099878264E-2</v>
      </c>
      <c r="F54" s="477">
        <f t="shared" si="2"/>
        <v>1926.7841793968491</v>
      </c>
    </row>
    <row r="55" spans="1:6">
      <c r="A55">
        <v>5640</v>
      </c>
      <c r="B55" t="s">
        <v>967</v>
      </c>
      <c r="C55" s="478"/>
      <c r="D55" s="477">
        <f t="shared" si="0"/>
        <v>0</v>
      </c>
      <c r="E55" s="491">
        <f t="shared" si="1"/>
        <v>2.5062855099878264E-2</v>
      </c>
      <c r="F55" s="477">
        <f t="shared" si="2"/>
        <v>0</v>
      </c>
    </row>
    <row r="56" spans="1:6">
      <c r="A56">
        <v>5645</v>
      </c>
      <c r="B56" t="s">
        <v>469</v>
      </c>
      <c r="C56" s="478">
        <v>-217116.72</v>
      </c>
      <c r="D56" s="477">
        <f t="shared" si="0"/>
        <v>-217116.72</v>
      </c>
      <c r="E56" s="491">
        <f t="shared" si="1"/>
        <v>2.5062855099878264E-2</v>
      </c>
      <c r="F56" s="477">
        <f t="shared" si="2"/>
        <v>-5441.5648931208407</v>
      </c>
    </row>
    <row r="57" spans="1:6">
      <c r="A57">
        <v>5650</v>
      </c>
      <c r="B57" t="s">
        <v>470</v>
      </c>
      <c r="C57" s="478">
        <v>12371.29</v>
      </c>
      <c r="D57" s="477">
        <f t="shared" si="0"/>
        <v>12371.29</v>
      </c>
      <c r="E57" s="491">
        <f t="shared" si="1"/>
        <v>2.5062855099878264E-2</v>
      </c>
      <c r="F57" s="477">
        <f t="shared" si="2"/>
        <v>310.05984866857301</v>
      </c>
    </row>
    <row r="58" spans="1:6">
      <c r="A58">
        <v>5655</v>
      </c>
      <c r="B58" t="s">
        <v>471</v>
      </c>
      <c r="C58" s="478">
        <v>1020813.47</v>
      </c>
      <c r="D58" s="477">
        <f t="shared" si="0"/>
        <v>1020813.47</v>
      </c>
      <c r="E58" s="491">
        <f t="shared" si="1"/>
        <v>2.5062855099878264E-2</v>
      </c>
      <c r="F58" s="477">
        <f t="shared" si="2"/>
        <v>25584.500082613926</v>
      </c>
    </row>
    <row r="59" spans="1:6">
      <c r="A59">
        <v>5660</v>
      </c>
      <c r="B59" t="s">
        <v>472</v>
      </c>
      <c r="C59" s="478">
        <v>175361.27</v>
      </c>
      <c r="D59" s="477">
        <f t="shared" si="0"/>
        <v>175361.27</v>
      </c>
      <c r="E59" s="491">
        <f t="shared" si="1"/>
        <v>2.5062855099878264E-2</v>
      </c>
      <c r="F59" s="477">
        <f t="shared" si="2"/>
        <v>4395.0541001406291</v>
      </c>
    </row>
    <row r="60" spans="1:6">
      <c r="A60">
        <v>5665</v>
      </c>
      <c r="B60" t="s">
        <v>473</v>
      </c>
      <c r="C60" s="478">
        <v>115398</v>
      </c>
      <c r="D60" s="477">
        <f t="shared" si="0"/>
        <v>115398</v>
      </c>
      <c r="E60" s="491">
        <f t="shared" si="1"/>
        <v>2.5062855099878264E-2</v>
      </c>
      <c r="F60" s="477">
        <f t="shared" si="2"/>
        <v>2892.2033528157517</v>
      </c>
    </row>
    <row r="61" spans="1:6">
      <c r="A61">
        <v>5670</v>
      </c>
      <c r="B61" t="s">
        <v>474</v>
      </c>
      <c r="C61" s="478">
        <v>38389.19</v>
      </c>
      <c r="D61" s="477">
        <f t="shared" si="0"/>
        <v>38389.19</v>
      </c>
      <c r="E61" s="491">
        <f t="shared" si="1"/>
        <v>2.5062855099878264E-2</v>
      </c>
      <c r="F61" s="477">
        <f t="shared" si="2"/>
        <v>962.14270637169568</v>
      </c>
    </row>
    <row r="62" spans="1:6">
      <c r="A62">
        <v>5675</v>
      </c>
      <c r="B62" t="s">
        <v>1080</v>
      </c>
      <c r="C62" s="478">
        <v>556.25</v>
      </c>
      <c r="D62" s="477">
        <f t="shared" si="0"/>
        <v>556.25</v>
      </c>
      <c r="E62" s="491">
        <f t="shared" si="1"/>
        <v>2.5062855099878264E-2</v>
      </c>
      <c r="F62" s="477">
        <f t="shared" si="2"/>
        <v>13.941213149307284</v>
      </c>
    </row>
    <row r="63" spans="1:6">
      <c r="A63">
        <v>5680</v>
      </c>
      <c r="B63" t="s">
        <v>1081</v>
      </c>
      <c r="C63" s="478">
        <v>-743.18</v>
      </c>
      <c r="D63" s="477">
        <f t="shared" si="0"/>
        <v>-743.18</v>
      </c>
      <c r="E63" s="491">
        <f t="shared" si="1"/>
        <v>2.5062855099878264E-2</v>
      </c>
      <c r="F63" s="477">
        <f t="shared" si="2"/>
        <v>-18.626212653127528</v>
      </c>
    </row>
    <row r="64" spans="1:6">
      <c r="A64">
        <v>5685</v>
      </c>
      <c r="B64" t="s">
        <v>1082</v>
      </c>
      <c r="C64" s="478"/>
      <c r="D64" s="477">
        <f t="shared" si="0"/>
        <v>0</v>
      </c>
      <c r="E64" s="491">
        <f t="shared" si="1"/>
        <v>2.5062855099878264E-2</v>
      </c>
      <c r="F64" s="477">
        <f t="shared" si="2"/>
        <v>0</v>
      </c>
    </row>
    <row r="65" spans="1:6">
      <c r="A65">
        <v>5690</v>
      </c>
      <c r="B65" t="s">
        <v>1083</v>
      </c>
      <c r="C65" s="478">
        <v>2710.73</v>
      </c>
      <c r="D65" s="477">
        <f t="shared" si="0"/>
        <v>2710.73</v>
      </c>
      <c r="E65" s="491">
        <f t="shared" si="1"/>
        <v>2.5062855099878264E-2</v>
      </c>
      <c r="F65" s="477">
        <f t="shared" si="2"/>
        <v>67.938633204893009</v>
      </c>
    </row>
    <row r="66" spans="1:6">
      <c r="B66" t="s">
        <v>196</v>
      </c>
      <c r="C66" s="478">
        <v>1401836.78</v>
      </c>
      <c r="D66" s="477">
        <f t="shared" si="0"/>
        <v>1401836.78</v>
      </c>
      <c r="E66" s="491">
        <f t="shared" si="1"/>
        <v>2.5062855099878264E-2</v>
      </c>
      <c r="F66" s="477">
        <f t="shared" si="2"/>
        <v>35134.032090819921</v>
      </c>
    </row>
    <row r="67" spans="1:6">
      <c r="B67" t="s">
        <v>197</v>
      </c>
      <c r="C67" s="478"/>
      <c r="D67" s="477">
        <f t="shared" si="0"/>
        <v>0</v>
      </c>
      <c r="E67" s="491">
        <f t="shared" si="1"/>
        <v>2.5062855099878264E-2</v>
      </c>
      <c r="F67" s="477">
        <f t="shared" si="2"/>
        <v>0</v>
      </c>
    </row>
    <row r="68" spans="1:6">
      <c r="A68">
        <v>5700</v>
      </c>
      <c r="B68" t="s">
        <v>1084</v>
      </c>
      <c r="C68" s="478"/>
      <c r="D68" s="477">
        <f t="shared" si="0"/>
        <v>0</v>
      </c>
      <c r="E68" s="491">
        <f t="shared" si="1"/>
        <v>2.5062855099878264E-2</v>
      </c>
      <c r="F68" s="477">
        <f t="shared" si="2"/>
        <v>0</v>
      </c>
    </row>
    <row r="69" spans="1:6">
      <c r="A69">
        <v>5705</v>
      </c>
      <c r="B69" t="s">
        <v>1085</v>
      </c>
      <c r="C69" s="478"/>
      <c r="D69" s="477">
        <f t="shared" si="0"/>
        <v>0</v>
      </c>
      <c r="E69" s="491">
        <f t="shared" si="1"/>
        <v>2.5062855099878264E-2</v>
      </c>
      <c r="F69" s="477">
        <f t="shared" si="2"/>
        <v>0</v>
      </c>
    </row>
    <row r="70" spans="1:6">
      <c r="A70">
        <v>5710</v>
      </c>
      <c r="B70" t="s">
        <v>1086</v>
      </c>
      <c r="C70" s="478"/>
      <c r="D70" s="477">
        <f t="shared" ref="D70:D133" si="3">C70</f>
        <v>0</v>
      </c>
      <c r="E70" s="491">
        <f t="shared" ref="E70:E133" si="4">E$3</f>
        <v>2.5062855099878264E-2</v>
      </c>
      <c r="F70" s="477">
        <f t="shared" ref="F70:F133" si="5">E70*D70</f>
        <v>0</v>
      </c>
    </row>
    <row r="71" spans="1:6">
      <c r="A71">
        <v>5715</v>
      </c>
      <c r="B71" t="s">
        <v>1087</v>
      </c>
      <c r="C71" s="478">
        <v>673229.89</v>
      </c>
      <c r="D71" s="477">
        <f t="shared" si="3"/>
        <v>673229.89</v>
      </c>
      <c r="E71" s="491">
        <f t="shared" si="4"/>
        <v>2.5062855099878264E-2</v>
      </c>
      <c r="F71" s="477">
        <f t="shared" si="5"/>
        <v>16873.063181976984</v>
      </c>
    </row>
    <row r="72" spans="1:6">
      <c r="B72" t="s">
        <v>197</v>
      </c>
      <c r="C72" s="478">
        <v>673229.89</v>
      </c>
      <c r="D72" s="477">
        <f t="shared" si="3"/>
        <v>673229.89</v>
      </c>
      <c r="E72" s="491">
        <f t="shared" si="4"/>
        <v>2.5062855099878264E-2</v>
      </c>
      <c r="F72" s="477">
        <f t="shared" si="5"/>
        <v>16873.063181976984</v>
      </c>
    </row>
    <row r="73" spans="1:6">
      <c r="B73" t="s">
        <v>198</v>
      </c>
      <c r="C73" s="478"/>
      <c r="D73" s="477">
        <f t="shared" si="3"/>
        <v>0</v>
      </c>
      <c r="E73" s="491">
        <f t="shared" si="4"/>
        <v>2.5062855099878264E-2</v>
      </c>
      <c r="F73" s="477">
        <f t="shared" si="5"/>
        <v>0</v>
      </c>
    </row>
    <row r="74" spans="1:6">
      <c r="A74">
        <v>5735</v>
      </c>
      <c r="B74" t="s">
        <v>1088</v>
      </c>
      <c r="C74" s="478">
        <v>284313.36</v>
      </c>
      <c r="D74" s="477">
        <f t="shared" si="3"/>
        <v>284313.36</v>
      </c>
      <c r="E74" s="491">
        <f t="shared" si="4"/>
        <v>2.5062855099878264E-2</v>
      </c>
      <c r="F74" s="477">
        <f t="shared" si="5"/>
        <v>7125.7045446395241</v>
      </c>
    </row>
    <row r="75" spans="1:6">
      <c r="A75">
        <v>5740</v>
      </c>
      <c r="B75" t="s">
        <v>1089</v>
      </c>
      <c r="C75" s="478">
        <v>23446</v>
      </c>
      <c r="D75" s="477">
        <f t="shared" si="3"/>
        <v>23446</v>
      </c>
      <c r="E75" s="491">
        <f t="shared" si="4"/>
        <v>2.5062855099878264E-2</v>
      </c>
      <c r="F75" s="477">
        <f t="shared" si="5"/>
        <v>587.62370067174572</v>
      </c>
    </row>
    <row r="76" spans="1:6">
      <c r="A76">
        <v>5745</v>
      </c>
      <c r="B76" t="s">
        <v>1090</v>
      </c>
      <c r="C76" s="478">
        <v>-30853.43</v>
      </c>
      <c r="D76" s="477">
        <f t="shared" si="3"/>
        <v>-30853.43</v>
      </c>
      <c r="E76" s="491">
        <f t="shared" si="4"/>
        <v>2.5062855099878264E-2</v>
      </c>
      <c r="F76" s="477">
        <f t="shared" si="5"/>
        <v>-773.27504542423708</v>
      </c>
    </row>
    <row r="77" spans="1:6">
      <c r="A77">
        <v>5750</v>
      </c>
      <c r="B77" t="s">
        <v>1091</v>
      </c>
      <c r="C77" s="478">
        <v>5806.63</v>
      </c>
      <c r="D77" s="477">
        <f t="shared" si="3"/>
        <v>5806.63</v>
      </c>
      <c r="E77" s="491">
        <f t="shared" si="4"/>
        <v>2.5062855099878264E-2</v>
      </c>
      <c r="F77" s="477">
        <f t="shared" si="5"/>
        <v>145.53072630860612</v>
      </c>
    </row>
    <row r="78" spans="1:6">
      <c r="A78">
        <v>5755</v>
      </c>
      <c r="B78" t="s">
        <v>1092</v>
      </c>
      <c r="C78" s="478">
        <v>2513.48</v>
      </c>
      <c r="D78" s="477">
        <f t="shared" si="3"/>
        <v>2513.48</v>
      </c>
      <c r="E78" s="491">
        <f t="shared" si="4"/>
        <v>2.5062855099878264E-2</v>
      </c>
      <c r="F78" s="477">
        <f t="shared" si="5"/>
        <v>62.994985036442017</v>
      </c>
    </row>
    <row r="79" spans="1:6">
      <c r="A79">
        <v>5760</v>
      </c>
      <c r="B79" t="s">
        <v>1093</v>
      </c>
      <c r="C79" s="478">
        <v>2325</v>
      </c>
      <c r="D79" s="477">
        <f t="shared" si="3"/>
        <v>2325</v>
      </c>
      <c r="E79" s="491">
        <f t="shared" si="4"/>
        <v>2.5062855099878264E-2</v>
      </c>
      <c r="F79" s="477">
        <f t="shared" si="5"/>
        <v>58.271138107216963</v>
      </c>
    </row>
    <row r="80" spans="1:6">
      <c r="B80" t="s">
        <v>198</v>
      </c>
      <c r="C80" s="478">
        <v>287551.03999999998</v>
      </c>
      <c r="D80" s="477">
        <f t="shared" si="3"/>
        <v>287551.03999999998</v>
      </c>
      <c r="E80" s="491">
        <f t="shared" si="4"/>
        <v>2.5062855099878264E-2</v>
      </c>
      <c r="F80" s="477">
        <f t="shared" si="5"/>
        <v>7206.8500493392985</v>
      </c>
    </row>
    <row r="81" spans="1:6">
      <c r="B81" t="s">
        <v>199</v>
      </c>
      <c r="C81" s="478"/>
      <c r="D81" s="477">
        <f t="shared" si="3"/>
        <v>0</v>
      </c>
      <c r="E81" s="491">
        <f t="shared" si="4"/>
        <v>2.5062855099878264E-2</v>
      </c>
      <c r="F81" s="477">
        <f t="shared" si="5"/>
        <v>0</v>
      </c>
    </row>
    <row r="82" spans="1:6">
      <c r="A82">
        <v>5785</v>
      </c>
      <c r="B82" t="s">
        <v>1094</v>
      </c>
      <c r="C82" s="478"/>
      <c r="D82" s="477">
        <f t="shared" si="3"/>
        <v>0</v>
      </c>
      <c r="E82" s="491">
        <f t="shared" si="4"/>
        <v>2.5062855099878264E-2</v>
      </c>
      <c r="F82" s="477">
        <f t="shared" si="5"/>
        <v>0</v>
      </c>
    </row>
    <row r="83" spans="1:6">
      <c r="A83">
        <v>5790</v>
      </c>
      <c r="B83" t="s">
        <v>1095</v>
      </c>
      <c r="C83" s="478">
        <v>155175.76999999999</v>
      </c>
      <c r="D83" s="477">
        <f t="shared" si="3"/>
        <v>155175.76999999999</v>
      </c>
      <c r="E83" s="491">
        <f t="shared" si="4"/>
        <v>2.5062855099878264E-2</v>
      </c>
      <c r="F83" s="477">
        <f t="shared" si="5"/>
        <v>3889.1478385220362</v>
      </c>
    </row>
    <row r="84" spans="1:6">
      <c r="A84">
        <v>5795</v>
      </c>
      <c r="B84" t="s">
        <v>1096</v>
      </c>
      <c r="C84" s="478"/>
      <c r="D84" s="477">
        <f t="shared" si="3"/>
        <v>0</v>
      </c>
      <c r="E84" s="491">
        <f t="shared" si="4"/>
        <v>2.5062855099878264E-2</v>
      </c>
      <c r="F84" s="477">
        <f t="shared" si="5"/>
        <v>0</v>
      </c>
    </row>
    <row r="85" spans="1:6">
      <c r="A85">
        <v>5800</v>
      </c>
      <c r="B85" t="s">
        <v>1097</v>
      </c>
      <c r="C85" s="478">
        <v>8949.25</v>
      </c>
      <c r="D85" s="477">
        <f t="shared" si="3"/>
        <v>8949.25</v>
      </c>
      <c r="E85" s="491">
        <f t="shared" si="4"/>
        <v>2.5062855099878264E-2</v>
      </c>
      <c r="F85" s="477">
        <f t="shared" si="5"/>
        <v>224.29375600258555</v>
      </c>
    </row>
    <row r="86" spans="1:6">
      <c r="A86">
        <v>5805</v>
      </c>
      <c r="B86" t="s">
        <v>1098</v>
      </c>
      <c r="C86" s="478"/>
      <c r="D86" s="477">
        <f t="shared" si="3"/>
        <v>0</v>
      </c>
      <c r="E86" s="491">
        <f t="shared" si="4"/>
        <v>2.5062855099878264E-2</v>
      </c>
      <c r="F86" s="477">
        <f t="shared" si="5"/>
        <v>0</v>
      </c>
    </row>
    <row r="87" spans="1:6">
      <c r="A87">
        <v>5810</v>
      </c>
      <c r="B87" t="s">
        <v>1099</v>
      </c>
      <c r="C87" s="478">
        <v>129.94999999999999</v>
      </c>
      <c r="D87" s="477">
        <f t="shared" si="3"/>
        <v>129.94999999999999</v>
      </c>
      <c r="E87" s="491">
        <f t="shared" si="4"/>
        <v>2.5062855099878264E-2</v>
      </c>
      <c r="F87" s="477">
        <f t="shared" si="5"/>
        <v>3.2569180202291803</v>
      </c>
    </row>
    <row r="88" spans="1:6">
      <c r="A88">
        <v>5815</v>
      </c>
      <c r="B88" t="s">
        <v>1100</v>
      </c>
      <c r="C88" s="478"/>
      <c r="D88" s="477">
        <f t="shared" si="3"/>
        <v>0</v>
      </c>
      <c r="E88" s="491">
        <f t="shared" si="4"/>
        <v>2.5062855099878264E-2</v>
      </c>
      <c r="F88" s="477">
        <f t="shared" si="5"/>
        <v>0</v>
      </c>
    </row>
    <row r="89" spans="1:6">
      <c r="A89">
        <v>5820</v>
      </c>
      <c r="B89" t="s">
        <v>1101</v>
      </c>
      <c r="C89" s="478">
        <v>51719.57</v>
      </c>
      <c r="D89" s="477">
        <f t="shared" si="3"/>
        <v>51719.57</v>
      </c>
      <c r="E89" s="491">
        <f t="shared" si="4"/>
        <v>2.5062855099878264E-2</v>
      </c>
      <c r="F89" s="477">
        <f t="shared" si="5"/>
        <v>1296.2400887380109</v>
      </c>
    </row>
    <row r="90" spans="1:6">
      <c r="A90">
        <v>5825</v>
      </c>
      <c r="B90" t="s">
        <v>1102</v>
      </c>
      <c r="C90" s="478">
        <v>10361.68</v>
      </c>
      <c r="D90" s="477">
        <f t="shared" si="3"/>
        <v>10361.68</v>
      </c>
      <c r="E90" s="491">
        <f t="shared" si="4"/>
        <v>2.5062855099878264E-2</v>
      </c>
      <c r="F90" s="477">
        <f t="shared" si="5"/>
        <v>259.69328443130661</v>
      </c>
    </row>
    <row r="91" spans="1:6">
      <c r="B91" t="s">
        <v>199</v>
      </c>
      <c r="C91" s="478">
        <v>226336.22</v>
      </c>
      <c r="D91" s="477">
        <f t="shared" si="3"/>
        <v>226336.22</v>
      </c>
      <c r="E91" s="491">
        <f t="shared" si="4"/>
        <v>2.5062855099878264E-2</v>
      </c>
      <c r="F91" s="477">
        <f t="shared" si="5"/>
        <v>5672.6318857141687</v>
      </c>
    </row>
    <row r="92" spans="1:6">
      <c r="B92" t="s">
        <v>200</v>
      </c>
      <c r="C92" s="478"/>
      <c r="D92" s="477">
        <f t="shared" si="3"/>
        <v>0</v>
      </c>
      <c r="E92" s="491">
        <f t="shared" si="4"/>
        <v>2.5062855099878264E-2</v>
      </c>
      <c r="F92" s="477">
        <f t="shared" si="5"/>
        <v>0</v>
      </c>
    </row>
    <row r="93" spans="1:6">
      <c r="A93">
        <v>5855</v>
      </c>
      <c r="B93" t="s">
        <v>1103</v>
      </c>
      <c r="C93" s="478">
        <v>1132.53</v>
      </c>
      <c r="D93" s="477">
        <f t="shared" si="3"/>
        <v>1132.53</v>
      </c>
      <c r="E93" s="491">
        <f t="shared" si="4"/>
        <v>2.5062855099878264E-2</v>
      </c>
      <c r="F93" s="477">
        <f t="shared" si="5"/>
        <v>28.384435286265131</v>
      </c>
    </row>
    <row r="94" spans="1:6">
      <c r="A94">
        <v>5860</v>
      </c>
      <c r="B94" t="s">
        <v>1104</v>
      </c>
      <c r="C94" s="478">
        <v>964.77</v>
      </c>
      <c r="D94" s="477">
        <f t="shared" si="3"/>
        <v>964.77</v>
      </c>
      <c r="E94" s="491">
        <f t="shared" si="4"/>
        <v>2.5062855099878264E-2</v>
      </c>
      <c r="F94" s="477">
        <f t="shared" si="5"/>
        <v>24.179890714709551</v>
      </c>
    </row>
    <row r="95" spans="1:6">
      <c r="A95">
        <v>5865</v>
      </c>
      <c r="B95" t="s">
        <v>1105</v>
      </c>
      <c r="C95" s="478">
        <v>2085.62</v>
      </c>
      <c r="D95" s="477">
        <f t="shared" si="3"/>
        <v>2085.62</v>
      </c>
      <c r="E95" s="491">
        <f t="shared" si="4"/>
        <v>2.5062855099878264E-2</v>
      </c>
      <c r="F95" s="477">
        <f t="shared" si="5"/>
        <v>52.271591853408104</v>
      </c>
    </row>
    <row r="96" spans="1:6">
      <c r="A96">
        <v>5870</v>
      </c>
      <c r="B96" t="s">
        <v>1106</v>
      </c>
      <c r="C96" s="478"/>
      <c r="D96" s="477">
        <f t="shared" si="3"/>
        <v>0</v>
      </c>
      <c r="E96" s="491">
        <f t="shared" si="4"/>
        <v>2.5062855099878264E-2</v>
      </c>
      <c r="F96" s="477">
        <f t="shared" si="5"/>
        <v>0</v>
      </c>
    </row>
    <row r="97" spans="1:6">
      <c r="A97">
        <v>5875</v>
      </c>
      <c r="B97" t="s">
        <v>1107</v>
      </c>
      <c r="C97" s="478"/>
      <c r="D97" s="477">
        <f t="shared" si="3"/>
        <v>0</v>
      </c>
      <c r="E97" s="491">
        <f t="shared" si="4"/>
        <v>2.5062855099878264E-2</v>
      </c>
      <c r="F97" s="477">
        <f t="shared" si="5"/>
        <v>0</v>
      </c>
    </row>
    <row r="98" spans="1:6">
      <c r="A98">
        <v>5880</v>
      </c>
      <c r="B98" t="s">
        <v>1108</v>
      </c>
      <c r="C98" s="478">
        <v>868.63</v>
      </c>
      <c r="D98" s="477">
        <f t="shared" si="3"/>
        <v>868.63</v>
      </c>
      <c r="E98" s="491">
        <f t="shared" si="4"/>
        <v>2.5062855099878264E-2</v>
      </c>
      <c r="F98" s="477">
        <f t="shared" si="5"/>
        <v>21.770347825407256</v>
      </c>
    </row>
    <row r="99" spans="1:6">
      <c r="A99">
        <v>5885</v>
      </c>
      <c r="B99" t="s">
        <v>1109</v>
      </c>
      <c r="C99" s="478">
        <v>1114.08</v>
      </c>
      <c r="D99" s="477">
        <f t="shared" si="3"/>
        <v>1114.08</v>
      </c>
      <c r="E99" s="491">
        <f t="shared" si="4"/>
        <v>2.5062855099878264E-2</v>
      </c>
      <c r="F99" s="477">
        <f t="shared" si="5"/>
        <v>27.922025609672374</v>
      </c>
    </row>
    <row r="100" spans="1:6">
      <c r="A100">
        <v>5890</v>
      </c>
      <c r="B100" t="s">
        <v>1110</v>
      </c>
      <c r="C100" s="478">
        <v>852.55</v>
      </c>
      <c r="D100" s="477">
        <f t="shared" si="3"/>
        <v>852.55</v>
      </c>
      <c r="E100" s="491">
        <f t="shared" si="4"/>
        <v>2.5062855099878264E-2</v>
      </c>
      <c r="F100" s="477">
        <f t="shared" si="5"/>
        <v>21.367337115401213</v>
      </c>
    </row>
    <row r="101" spans="1:6">
      <c r="A101">
        <v>5895</v>
      </c>
      <c r="B101" t="s">
        <v>1111</v>
      </c>
      <c r="C101" s="478">
        <v>8.7899999999999991</v>
      </c>
      <c r="D101" s="477">
        <f t="shared" si="3"/>
        <v>8.7899999999999991</v>
      </c>
      <c r="E101" s="491">
        <f t="shared" si="4"/>
        <v>2.5062855099878264E-2</v>
      </c>
      <c r="F101" s="477">
        <f t="shared" si="5"/>
        <v>0.22030249632792992</v>
      </c>
    </row>
    <row r="102" spans="1:6">
      <c r="A102">
        <v>5900</v>
      </c>
      <c r="B102" t="s">
        <v>1112</v>
      </c>
      <c r="C102" s="478">
        <v>23932.45</v>
      </c>
      <c r="D102" s="477">
        <f t="shared" si="3"/>
        <v>23932.45</v>
      </c>
      <c r="E102" s="491">
        <f t="shared" si="4"/>
        <v>2.5062855099878264E-2</v>
      </c>
      <c r="F102" s="477">
        <f t="shared" si="5"/>
        <v>599.81552653508152</v>
      </c>
    </row>
    <row r="103" spans="1:6">
      <c r="B103" t="s">
        <v>200</v>
      </c>
      <c r="C103" s="478">
        <v>30959.42</v>
      </c>
      <c r="D103" s="477">
        <f t="shared" si="3"/>
        <v>30959.42</v>
      </c>
      <c r="E103" s="491">
        <f t="shared" si="4"/>
        <v>2.5062855099878264E-2</v>
      </c>
      <c r="F103" s="477">
        <f t="shared" si="5"/>
        <v>775.93145743627304</v>
      </c>
    </row>
    <row r="104" spans="1:6">
      <c r="B104" t="s">
        <v>201</v>
      </c>
      <c r="C104" s="478"/>
      <c r="D104" s="477">
        <f t="shared" si="3"/>
        <v>0</v>
      </c>
      <c r="E104" s="491">
        <f t="shared" si="4"/>
        <v>2.5062855099878264E-2</v>
      </c>
      <c r="F104" s="477">
        <f t="shared" si="5"/>
        <v>0</v>
      </c>
    </row>
    <row r="105" spans="1:6">
      <c r="A105">
        <v>5930</v>
      </c>
      <c r="B105" t="s">
        <v>1113</v>
      </c>
      <c r="C105" s="478">
        <v>9538.15</v>
      </c>
      <c r="D105" s="477">
        <f t="shared" si="3"/>
        <v>9538.15</v>
      </c>
      <c r="E105" s="491">
        <f t="shared" si="4"/>
        <v>2.5062855099878264E-2</v>
      </c>
      <c r="F105" s="477">
        <f t="shared" si="5"/>
        <v>239.05327137090384</v>
      </c>
    </row>
    <row r="106" spans="1:6">
      <c r="A106">
        <v>5935</v>
      </c>
      <c r="B106" t="s">
        <v>1114</v>
      </c>
      <c r="C106" s="478">
        <v>3060.91</v>
      </c>
      <c r="D106" s="477">
        <f t="shared" si="3"/>
        <v>3060.91</v>
      </c>
      <c r="E106" s="491">
        <f t="shared" si="4"/>
        <v>2.5062855099878264E-2</v>
      </c>
      <c r="F106" s="477">
        <f t="shared" si="5"/>
        <v>76.71514380376837</v>
      </c>
    </row>
    <row r="107" spans="1:6">
      <c r="A107">
        <v>5940</v>
      </c>
      <c r="B107" t="s">
        <v>1115</v>
      </c>
      <c r="C107" s="478">
        <v>342.32</v>
      </c>
      <c r="D107" s="477">
        <f t="shared" si="3"/>
        <v>342.32</v>
      </c>
      <c r="E107" s="491">
        <f t="shared" si="4"/>
        <v>2.5062855099878264E-2</v>
      </c>
      <c r="F107" s="477">
        <f t="shared" si="5"/>
        <v>8.5795165577903276</v>
      </c>
    </row>
    <row r="108" spans="1:6">
      <c r="A108">
        <v>5945</v>
      </c>
      <c r="B108" t="s">
        <v>1116</v>
      </c>
      <c r="C108" s="478">
        <v>99983.39</v>
      </c>
      <c r="D108" s="477">
        <f t="shared" si="3"/>
        <v>99983.39</v>
      </c>
      <c r="E108" s="491">
        <f t="shared" si="4"/>
        <v>2.5062855099878264E-2</v>
      </c>
      <c r="F108" s="477">
        <f t="shared" si="5"/>
        <v>2505.8692159646175</v>
      </c>
    </row>
    <row r="109" spans="1:6">
      <c r="A109">
        <v>5950</v>
      </c>
      <c r="B109" t="s">
        <v>1117</v>
      </c>
      <c r="C109" s="478">
        <v>2313.71</v>
      </c>
      <c r="D109" s="477">
        <f t="shared" si="3"/>
        <v>2313.71</v>
      </c>
      <c r="E109" s="491">
        <f t="shared" si="4"/>
        <v>2.5062855099878264E-2</v>
      </c>
      <c r="F109" s="477">
        <f t="shared" si="5"/>
        <v>57.988178473139335</v>
      </c>
    </row>
    <row r="110" spans="1:6">
      <c r="A110">
        <v>5955</v>
      </c>
      <c r="B110" t="s">
        <v>1118</v>
      </c>
      <c r="C110" s="478">
        <v>10437</v>
      </c>
      <c r="D110" s="477">
        <f t="shared" si="3"/>
        <v>10437</v>
      </c>
      <c r="E110" s="491">
        <f t="shared" si="4"/>
        <v>2.5062855099878264E-2</v>
      </c>
      <c r="F110" s="477">
        <f t="shared" si="5"/>
        <v>261.58101867742943</v>
      </c>
    </row>
    <row r="111" spans="1:6">
      <c r="A111">
        <v>5960</v>
      </c>
      <c r="B111" t="s">
        <v>1119</v>
      </c>
      <c r="C111" s="478">
        <v>4143.6000000000004</v>
      </c>
      <c r="D111" s="477">
        <f t="shared" si="3"/>
        <v>4143.6000000000004</v>
      </c>
      <c r="E111" s="491">
        <f t="shared" si="4"/>
        <v>2.5062855099878264E-2</v>
      </c>
      <c r="F111" s="477">
        <f t="shared" si="5"/>
        <v>103.85044639185558</v>
      </c>
    </row>
    <row r="112" spans="1:6">
      <c r="A112">
        <v>5965</v>
      </c>
      <c r="B112" t="s">
        <v>1120</v>
      </c>
      <c r="C112" s="478">
        <v>9520.7099999999991</v>
      </c>
      <c r="D112" s="477">
        <f t="shared" si="3"/>
        <v>9520.7099999999991</v>
      </c>
      <c r="E112" s="491">
        <f t="shared" si="4"/>
        <v>2.5062855099878264E-2</v>
      </c>
      <c r="F112" s="477">
        <f t="shared" si="5"/>
        <v>238.61617517796196</v>
      </c>
    </row>
    <row r="113" spans="1:6">
      <c r="A113">
        <v>5970</v>
      </c>
      <c r="B113" t="s">
        <v>1121</v>
      </c>
      <c r="C113" s="478">
        <v>11027.02</v>
      </c>
      <c r="D113" s="477">
        <f t="shared" si="3"/>
        <v>11027.02</v>
      </c>
      <c r="E113" s="491">
        <f t="shared" si="4"/>
        <v>2.5062855099878264E-2</v>
      </c>
      <c r="F113" s="477">
        <f t="shared" si="5"/>
        <v>276.36860444345962</v>
      </c>
    </row>
    <row r="114" spans="1:6">
      <c r="A114">
        <v>5975</v>
      </c>
      <c r="B114" t="s">
        <v>312</v>
      </c>
      <c r="C114" s="478">
        <v>2353.1999999999998</v>
      </c>
      <c r="D114" s="477">
        <f t="shared" si="3"/>
        <v>2353.1999999999998</v>
      </c>
      <c r="E114" s="491">
        <f t="shared" si="4"/>
        <v>2.5062855099878264E-2</v>
      </c>
      <c r="F114" s="477">
        <f t="shared" si="5"/>
        <v>58.977910621033523</v>
      </c>
    </row>
    <row r="115" spans="1:6">
      <c r="A115">
        <v>5980</v>
      </c>
      <c r="B115" t="s">
        <v>313</v>
      </c>
      <c r="C115" s="478"/>
      <c r="D115" s="477">
        <f t="shared" si="3"/>
        <v>0</v>
      </c>
      <c r="E115" s="491">
        <f t="shared" si="4"/>
        <v>2.5062855099878264E-2</v>
      </c>
      <c r="F115" s="477">
        <f t="shared" si="5"/>
        <v>0</v>
      </c>
    </row>
    <row r="116" spans="1:6">
      <c r="A116">
        <v>5985</v>
      </c>
      <c r="B116" t="s">
        <v>314</v>
      </c>
      <c r="C116" s="478"/>
      <c r="D116" s="477">
        <f t="shared" si="3"/>
        <v>0</v>
      </c>
      <c r="E116" s="491">
        <f t="shared" si="4"/>
        <v>2.5062855099878264E-2</v>
      </c>
      <c r="F116" s="477">
        <f t="shared" si="5"/>
        <v>0</v>
      </c>
    </row>
    <row r="117" spans="1:6">
      <c r="B117" t="s">
        <v>201</v>
      </c>
      <c r="C117" s="478">
        <v>152720.01</v>
      </c>
      <c r="D117" s="477">
        <f t="shared" si="3"/>
        <v>152720.01</v>
      </c>
      <c r="E117" s="491">
        <f t="shared" si="4"/>
        <v>2.5062855099878264E-2</v>
      </c>
      <c r="F117" s="477">
        <f t="shared" si="5"/>
        <v>3827.5994814819596</v>
      </c>
    </row>
    <row r="118" spans="1:6">
      <c r="B118" t="s">
        <v>202</v>
      </c>
      <c r="C118" s="478"/>
      <c r="D118" s="477">
        <f t="shared" si="3"/>
        <v>0</v>
      </c>
      <c r="E118" s="491">
        <f t="shared" si="4"/>
        <v>2.5062855099878264E-2</v>
      </c>
      <c r="F118" s="477">
        <f t="shared" si="5"/>
        <v>0</v>
      </c>
    </row>
    <row r="119" spans="1:6">
      <c r="A119">
        <v>6005</v>
      </c>
      <c r="B119" t="s">
        <v>315</v>
      </c>
      <c r="C119" s="478"/>
      <c r="D119" s="477">
        <f t="shared" si="3"/>
        <v>0</v>
      </c>
      <c r="E119" s="491">
        <f t="shared" si="4"/>
        <v>2.5062855099878264E-2</v>
      </c>
      <c r="F119" s="477">
        <f t="shared" si="5"/>
        <v>0</v>
      </c>
    </row>
    <row r="120" spans="1:6">
      <c r="A120">
        <v>6010</v>
      </c>
      <c r="B120" t="s">
        <v>316</v>
      </c>
      <c r="C120" s="478">
        <v>107000</v>
      </c>
      <c r="D120" s="477">
        <f t="shared" si="3"/>
        <v>107000</v>
      </c>
      <c r="E120" s="491">
        <f t="shared" si="4"/>
        <v>2.5062855099878264E-2</v>
      </c>
      <c r="F120" s="477">
        <f t="shared" si="5"/>
        <v>2681.7254956869742</v>
      </c>
    </row>
    <row r="121" spans="1:6">
      <c r="A121">
        <v>6015</v>
      </c>
      <c r="B121" t="s">
        <v>317</v>
      </c>
      <c r="C121" s="478"/>
      <c r="D121" s="477">
        <f t="shared" si="3"/>
        <v>0</v>
      </c>
      <c r="E121" s="491">
        <f t="shared" si="4"/>
        <v>2.5062855099878264E-2</v>
      </c>
      <c r="F121" s="477">
        <f t="shared" si="5"/>
        <v>0</v>
      </c>
    </row>
    <row r="122" spans="1:6">
      <c r="A122">
        <v>6020</v>
      </c>
      <c r="B122" t="s">
        <v>318</v>
      </c>
      <c r="C122" s="478"/>
      <c r="D122" s="477">
        <f t="shared" si="3"/>
        <v>0</v>
      </c>
      <c r="E122" s="491">
        <f t="shared" si="4"/>
        <v>2.5062855099878264E-2</v>
      </c>
      <c r="F122" s="477">
        <f t="shared" si="5"/>
        <v>0</v>
      </c>
    </row>
    <row r="123" spans="1:6">
      <c r="A123">
        <v>6025</v>
      </c>
      <c r="B123" t="s">
        <v>319</v>
      </c>
      <c r="C123" s="478">
        <v>5948.83</v>
      </c>
      <c r="D123" s="477">
        <f t="shared" si="3"/>
        <v>5948.83</v>
      </c>
      <c r="E123" s="491">
        <f t="shared" si="4"/>
        <v>2.5062855099878264E-2</v>
      </c>
      <c r="F123" s="477">
        <f t="shared" si="5"/>
        <v>149.0946643038088</v>
      </c>
    </row>
    <row r="124" spans="1:6">
      <c r="A124">
        <v>6030</v>
      </c>
      <c r="B124" t="s">
        <v>320</v>
      </c>
      <c r="C124" s="478"/>
      <c r="D124" s="477">
        <f t="shared" si="3"/>
        <v>0</v>
      </c>
      <c r="E124" s="491">
        <f t="shared" si="4"/>
        <v>2.5062855099878264E-2</v>
      </c>
      <c r="F124" s="477">
        <f t="shared" si="5"/>
        <v>0</v>
      </c>
    </row>
    <row r="125" spans="1:6">
      <c r="A125">
        <v>6035</v>
      </c>
      <c r="B125" t="s">
        <v>321</v>
      </c>
      <c r="C125" s="478">
        <v>17330.91</v>
      </c>
      <c r="D125" s="477">
        <f t="shared" si="3"/>
        <v>17330.91</v>
      </c>
      <c r="E125" s="491">
        <f t="shared" si="4"/>
        <v>2.5062855099878264E-2</v>
      </c>
      <c r="F125" s="477">
        <f t="shared" si="5"/>
        <v>434.3620860790312</v>
      </c>
    </row>
    <row r="126" spans="1:6">
      <c r="A126">
        <v>6040</v>
      </c>
      <c r="B126" t="s">
        <v>322</v>
      </c>
      <c r="C126" s="478">
        <v>20500</v>
      </c>
      <c r="D126" s="477">
        <f t="shared" si="3"/>
        <v>20500</v>
      </c>
      <c r="E126" s="491">
        <f t="shared" si="4"/>
        <v>2.5062855099878264E-2</v>
      </c>
      <c r="F126" s="477">
        <f t="shared" si="5"/>
        <v>513.78852954750437</v>
      </c>
    </row>
    <row r="127" spans="1:6">
      <c r="A127">
        <v>6045</v>
      </c>
      <c r="B127" t="s">
        <v>323</v>
      </c>
      <c r="C127" s="478">
        <v>37606.86</v>
      </c>
      <c r="D127" s="477">
        <f t="shared" si="3"/>
        <v>37606.86</v>
      </c>
      <c r="E127" s="491">
        <f t="shared" si="4"/>
        <v>2.5062855099878264E-2</v>
      </c>
      <c r="F127" s="477">
        <f t="shared" si="5"/>
        <v>942.5352829414079</v>
      </c>
    </row>
    <row r="128" spans="1:6">
      <c r="A128">
        <v>6050</v>
      </c>
      <c r="B128" t="s">
        <v>324</v>
      </c>
      <c r="C128" s="478">
        <v>89474.04</v>
      </c>
      <c r="D128" s="477">
        <f t="shared" si="3"/>
        <v>89474.04</v>
      </c>
      <c r="E128" s="491">
        <f t="shared" si="4"/>
        <v>2.5062855099878264E-2</v>
      </c>
      <c r="F128" s="477">
        <f t="shared" si="5"/>
        <v>2242.4748997207116</v>
      </c>
    </row>
    <row r="129" spans="1:6">
      <c r="B129" t="s">
        <v>202</v>
      </c>
      <c r="C129" s="478">
        <v>277860.64</v>
      </c>
      <c r="D129" s="477">
        <f t="shared" si="3"/>
        <v>277860.64</v>
      </c>
      <c r="E129" s="491">
        <f t="shared" si="4"/>
        <v>2.5062855099878264E-2</v>
      </c>
      <c r="F129" s="477">
        <f t="shared" si="5"/>
        <v>6963.9809582794387</v>
      </c>
    </row>
    <row r="130" spans="1:6">
      <c r="B130" t="s">
        <v>203</v>
      </c>
      <c r="C130" s="478"/>
      <c r="D130" s="477">
        <f t="shared" si="3"/>
        <v>0</v>
      </c>
      <c r="E130" s="491">
        <f t="shared" si="4"/>
        <v>2.5062855099878264E-2</v>
      </c>
      <c r="F130" s="477">
        <f t="shared" si="5"/>
        <v>0</v>
      </c>
    </row>
    <row r="131" spans="1:6">
      <c r="A131">
        <v>6065</v>
      </c>
      <c r="B131" t="s">
        <v>325</v>
      </c>
      <c r="C131" s="478"/>
      <c r="D131" s="477">
        <f t="shared" si="3"/>
        <v>0</v>
      </c>
      <c r="E131" s="491">
        <f t="shared" si="4"/>
        <v>2.5062855099878264E-2</v>
      </c>
      <c r="F131" s="477">
        <f t="shared" si="5"/>
        <v>0</v>
      </c>
    </row>
    <row r="132" spans="1:6">
      <c r="A132">
        <v>6070</v>
      </c>
      <c r="B132" t="s">
        <v>326</v>
      </c>
      <c r="C132" s="478"/>
      <c r="D132" s="477">
        <f t="shared" si="3"/>
        <v>0</v>
      </c>
      <c r="E132" s="491">
        <f t="shared" si="4"/>
        <v>2.5062855099878264E-2</v>
      </c>
      <c r="F132" s="477">
        <f t="shared" si="5"/>
        <v>0</v>
      </c>
    </row>
    <row r="133" spans="1:6">
      <c r="A133">
        <v>6075</v>
      </c>
      <c r="B133" t="s">
        <v>327</v>
      </c>
      <c r="C133" s="478"/>
      <c r="D133" s="477">
        <f t="shared" si="3"/>
        <v>0</v>
      </c>
      <c r="E133" s="491">
        <f t="shared" si="4"/>
        <v>2.5062855099878264E-2</v>
      </c>
      <c r="F133" s="477">
        <f t="shared" si="5"/>
        <v>0</v>
      </c>
    </row>
    <row r="134" spans="1:6">
      <c r="B134" t="s">
        <v>203</v>
      </c>
      <c r="C134" s="478"/>
      <c r="D134" s="477">
        <f t="shared" ref="D134:D197" si="6">C134</f>
        <v>0</v>
      </c>
      <c r="E134" s="491">
        <f t="shared" ref="E134:E197" si="7">E$3</f>
        <v>2.5062855099878264E-2</v>
      </c>
      <c r="F134" s="477">
        <f t="shared" ref="F134:F197" si="8">E134*D134</f>
        <v>0</v>
      </c>
    </row>
    <row r="135" spans="1:6">
      <c r="B135" t="s">
        <v>204</v>
      </c>
      <c r="C135" s="478"/>
      <c r="D135" s="477">
        <f t="shared" si="6"/>
        <v>0</v>
      </c>
      <c r="E135" s="491">
        <f t="shared" si="7"/>
        <v>2.5062855099878264E-2</v>
      </c>
      <c r="F135" s="477">
        <f t="shared" si="8"/>
        <v>0</v>
      </c>
    </row>
    <row r="136" spans="1:6">
      <c r="A136">
        <v>6090</v>
      </c>
      <c r="B136" t="s">
        <v>328</v>
      </c>
      <c r="C136" s="478"/>
      <c r="D136" s="477">
        <f t="shared" si="6"/>
        <v>0</v>
      </c>
      <c r="E136" s="491">
        <f t="shared" si="7"/>
        <v>2.5062855099878264E-2</v>
      </c>
      <c r="F136" s="477">
        <f t="shared" si="8"/>
        <v>0</v>
      </c>
    </row>
    <row r="137" spans="1:6">
      <c r="B137" t="s">
        <v>204</v>
      </c>
      <c r="C137" s="478"/>
      <c r="D137" s="477">
        <f t="shared" si="6"/>
        <v>0</v>
      </c>
      <c r="E137" s="491">
        <f t="shared" si="7"/>
        <v>2.5062855099878264E-2</v>
      </c>
      <c r="F137" s="477">
        <f t="shared" si="8"/>
        <v>0</v>
      </c>
    </row>
    <row r="138" spans="1:6">
      <c r="B138" t="s">
        <v>205</v>
      </c>
      <c r="C138" s="478"/>
      <c r="D138" s="477">
        <f t="shared" si="6"/>
        <v>0</v>
      </c>
      <c r="E138" s="491">
        <f t="shared" si="7"/>
        <v>2.5062855099878264E-2</v>
      </c>
      <c r="F138" s="477">
        <f t="shared" si="8"/>
        <v>0</v>
      </c>
    </row>
    <row r="139" spans="1:6">
      <c r="A139">
        <v>6105</v>
      </c>
      <c r="B139" t="s">
        <v>744</v>
      </c>
      <c r="C139" s="478">
        <v>78938.429999999993</v>
      </c>
      <c r="D139" s="477">
        <f t="shared" si="6"/>
        <v>78938.429999999993</v>
      </c>
      <c r="E139" s="491">
        <f t="shared" si="7"/>
        <v>2.5062855099878264E-2</v>
      </c>
      <c r="F139" s="477">
        <f t="shared" si="8"/>
        <v>1978.4224329018832</v>
      </c>
    </row>
    <row r="140" spans="1:6">
      <c r="A140">
        <v>6110</v>
      </c>
      <c r="B140" t="s">
        <v>745</v>
      </c>
      <c r="C140" s="478">
        <v>346924.12</v>
      </c>
      <c r="D140" s="477">
        <f t="shared" si="6"/>
        <v>346924.12</v>
      </c>
      <c r="E140" s="491">
        <f t="shared" si="7"/>
        <v>2.5062855099878264E-2</v>
      </c>
      <c r="F140" s="477">
        <f t="shared" si="8"/>
        <v>8694.908950212779</v>
      </c>
    </row>
    <row r="141" spans="1:6">
      <c r="A141">
        <v>6115</v>
      </c>
      <c r="B141" t="s">
        <v>746</v>
      </c>
      <c r="C141" s="478">
        <v>53218.03</v>
      </c>
      <c r="D141" s="477">
        <f t="shared" si="6"/>
        <v>53218.03</v>
      </c>
      <c r="E141" s="491">
        <f t="shared" si="7"/>
        <v>2.5062855099878264E-2</v>
      </c>
      <c r="F141" s="477">
        <f t="shared" si="8"/>
        <v>1333.7957745909744</v>
      </c>
    </row>
    <row r="142" spans="1:6">
      <c r="A142">
        <v>6120</v>
      </c>
      <c r="B142" t="s">
        <v>747</v>
      </c>
      <c r="C142" s="478">
        <v>553375.19999999995</v>
      </c>
      <c r="D142" s="477">
        <f t="shared" si="6"/>
        <v>553375.19999999995</v>
      </c>
      <c r="E142" s="491">
        <f t="shared" si="7"/>
        <v>2.5062855099878264E-2</v>
      </c>
      <c r="F142" s="477">
        <f t="shared" si="8"/>
        <v>13869.162453466153</v>
      </c>
    </row>
    <row r="143" spans="1:6">
      <c r="A143">
        <v>6125</v>
      </c>
      <c r="B143" t="s">
        <v>748</v>
      </c>
      <c r="C143" s="478">
        <v>80950.850000000006</v>
      </c>
      <c r="D143" s="477">
        <f t="shared" si="6"/>
        <v>80950.850000000006</v>
      </c>
      <c r="E143" s="491">
        <f t="shared" si="7"/>
        <v>2.5062855099878264E-2</v>
      </c>
      <c r="F143" s="477">
        <f t="shared" si="8"/>
        <v>2028.8594237619805</v>
      </c>
    </row>
    <row r="144" spans="1:6">
      <c r="A144">
        <v>6130</v>
      </c>
      <c r="B144" t="s">
        <v>749</v>
      </c>
      <c r="C144" s="478">
        <v>76857.899999999994</v>
      </c>
      <c r="D144" s="477">
        <f t="shared" si="6"/>
        <v>76857.899999999994</v>
      </c>
      <c r="E144" s="491">
        <f t="shared" si="7"/>
        <v>2.5062855099878264E-2</v>
      </c>
      <c r="F144" s="477">
        <f t="shared" si="8"/>
        <v>1926.2784109809334</v>
      </c>
    </row>
    <row r="145" spans="1:6">
      <c r="A145">
        <v>6135</v>
      </c>
      <c r="B145" t="s">
        <v>750</v>
      </c>
      <c r="C145" s="478">
        <v>108197.72</v>
      </c>
      <c r="D145" s="477">
        <f t="shared" si="6"/>
        <v>108197.72</v>
      </c>
      <c r="E145" s="491">
        <f t="shared" si="7"/>
        <v>2.5062855099878264E-2</v>
      </c>
      <c r="F145" s="477">
        <f t="shared" si="8"/>
        <v>2711.7437784972003</v>
      </c>
    </row>
    <row r="146" spans="1:6">
      <c r="A146">
        <v>6140</v>
      </c>
      <c r="B146" t="s">
        <v>751</v>
      </c>
      <c r="C146" s="478">
        <v>203789.95</v>
      </c>
      <c r="D146" s="477">
        <f t="shared" si="6"/>
        <v>203789.95</v>
      </c>
      <c r="E146" s="491">
        <f t="shared" si="7"/>
        <v>2.5062855099878264E-2</v>
      </c>
      <c r="F146" s="477">
        <f t="shared" si="8"/>
        <v>5107.5579876614365</v>
      </c>
    </row>
    <row r="147" spans="1:6">
      <c r="A147">
        <v>6145</v>
      </c>
      <c r="B147" t="s">
        <v>752</v>
      </c>
      <c r="C147" s="478">
        <v>6791.4</v>
      </c>
      <c r="D147" s="477">
        <f t="shared" si="6"/>
        <v>6791.4</v>
      </c>
      <c r="E147" s="491">
        <f t="shared" si="7"/>
        <v>2.5062855099878264E-2</v>
      </c>
      <c r="F147" s="477">
        <f t="shared" si="8"/>
        <v>170.21187412531324</v>
      </c>
    </row>
    <row r="148" spans="1:6">
      <c r="A148">
        <v>6150</v>
      </c>
      <c r="B148" t="s">
        <v>753</v>
      </c>
      <c r="C148" s="478"/>
      <c r="D148" s="477">
        <f t="shared" si="6"/>
        <v>0</v>
      </c>
      <c r="E148" s="491">
        <f t="shared" si="7"/>
        <v>2.5062855099878264E-2</v>
      </c>
      <c r="F148" s="477">
        <f t="shared" si="8"/>
        <v>0</v>
      </c>
    </row>
    <row r="149" spans="1:6">
      <c r="A149">
        <v>6155</v>
      </c>
      <c r="B149" t="s">
        <v>754</v>
      </c>
      <c r="C149" s="478">
        <v>160</v>
      </c>
      <c r="D149" s="477">
        <f t="shared" si="6"/>
        <v>160</v>
      </c>
      <c r="E149" s="491">
        <f t="shared" si="7"/>
        <v>2.5062855099878264E-2</v>
      </c>
      <c r="F149" s="477">
        <f t="shared" si="8"/>
        <v>4.0100568159805219</v>
      </c>
    </row>
    <row r="150" spans="1:6">
      <c r="A150">
        <v>6160</v>
      </c>
      <c r="B150" t="s">
        <v>755</v>
      </c>
      <c r="C150" s="478"/>
      <c r="D150" s="477">
        <f t="shared" si="6"/>
        <v>0</v>
      </c>
      <c r="E150" s="491">
        <f t="shared" si="7"/>
        <v>2.5062855099878264E-2</v>
      </c>
      <c r="F150" s="477">
        <f t="shared" si="8"/>
        <v>0</v>
      </c>
    </row>
    <row r="151" spans="1:6">
      <c r="A151">
        <v>6165</v>
      </c>
      <c r="B151" t="s">
        <v>756</v>
      </c>
      <c r="C151" s="478"/>
      <c r="D151" s="477">
        <f t="shared" si="6"/>
        <v>0</v>
      </c>
      <c r="E151" s="491">
        <f t="shared" si="7"/>
        <v>2.5062855099878264E-2</v>
      </c>
      <c r="F151" s="477">
        <f t="shared" si="8"/>
        <v>0</v>
      </c>
    </row>
    <row r="152" spans="1:6">
      <c r="A152">
        <v>6170</v>
      </c>
      <c r="B152" t="s">
        <v>757</v>
      </c>
      <c r="C152" s="478"/>
      <c r="D152" s="477">
        <f t="shared" si="6"/>
        <v>0</v>
      </c>
      <c r="E152" s="491">
        <f t="shared" si="7"/>
        <v>2.5062855099878264E-2</v>
      </c>
      <c r="F152" s="477">
        <f t="shared" si="8"/>
        <v>0</v>
      </c>
    </row>
    <row r="153" spans="1:6">
      <c r="B153" t="s">
        <v>205</v>
      </c>
      <c r="C153" s="478">
        <v>1509203.6</v>
      </c>
      <c r="D153" s="477">
        <f t="shared" si="6"/>
        <v>1509203.6</v>
      </c>
      <c r="E153" s="491">
        <f t="shared" si="7"/>
        <v>2.5062855099878264E-2</v>
      </c>
      <c r="F153" s="477">
        <f t="shared" si="8"/>
        <v>37824.951143014638</v>
      </c>
    </row>
    <row r="154" spans="1:6">
      <c r="B154" t="s">
        <v>206</v>
      </c>
      <c r="C154" s="478"/>
      <c r="D154" s="477">
        <f t="shared" si="6"/>
        <v>0</v>
      </c>
      <c r="E154" s="491">
        <f t="shared" si="7"/>
        <v>2.5062855099878264E-2</v>
      </c>
      <c r="F154" s="477">
        <f t="shared" si="8"/>
        <v>0</v>
      </c>
    </row>
    <row r="155" spans="1:6">
      <c r="A155">
        <v>6185</v>
      </c>
      <c r="B155" t="s">
        <v>758</v>
      </c>
      <c r="C155" s="478">
        <v>89830</v>
      </c>
      <c r="D155" s="477">
        <f t="shared" si="6"/>
        <v>89830</v>
      </c>
      <c r="E155" s="491">
        <f t="shared" si="7"/>
        <v>2.5062855099878264E-2</v>
      </c>
      <c r="F155" s="477">
        <f t="shared" si="8"/>
        <v>2251.3962736220647</v>
      </c>
    </row>
    <row r="156" spans="1:6">
      <c r="A156">
        <v>6190</v>
      </c>
      <c r="B156" t="s">
        <v>759</v>
      </c>
      <c r="C156" s="478">
        <v>9715.8700000000008</v>
      </c>
      <c r="D156" s="477">
        <f t="shared" si="6"/>
        <v>9715.8700000000008</v>
      </c>
      <c r="E156" s="491">
        <f t="shared" si="7"/>
        <v>2.5062855099878264E-2</v>
      </c>
      <c r="F156" s="477">
        <f t="shared" si="8"/>
        <v>243.50744197925425</v>
      </c>
    </row>
    <row r="157" spans="1:6">
      <c r="A157">
        <v>6195</v>
      </c>
      <c r="B157" t="s">
        <v>760</v>
      </c>
      <c r="C157" s="478">
        <v>9025.5</v>
      </c>
      <c r="D157" s="477">
        <f t="shared" si="6"/>
        <v>9025.5</v>
      </c>
      <c r="E157" s="491">
        <f t="shared" si="7"/>
        <v>2.5062855099878264E-2</v>
      </c>
      <c r="F157" s="477">
        <f t="shared" si="8"/>
        <v>226.20479870395127</v>
      </c>
    </row>
    <row r="158" spans="1:6">
      <c r="A158">
        <v>6200</v>
      </c>
      <c r="B158" t="s">
        <v>761</v>
      </c>
      <c r="C158" s="478">
        <v>2998.42</v>
      </c>
      <c r="D158" s="477">
        <f t="shared" si="6"/>
        <v>2998.42</v>
      </c>
      <c r="E158" s="491">
        <f t="shared" si="7"/>
        <v>2.5062855099878264E-2</v>
      </c>
      <c r="F158" s="477">
        <f t="shared" si="8"/>
        <v>75.14896598857699</v>
      </c>
    </row>
    <row r="159" spans="1:6">
      <c r="A159">
        <v>6205</v>
      </c>
      <c r="B159" t="s">
        <v>762</v>
      </c>
      <c r="C159" s="478">
        <v>687.53</v>
      </c>
      <c r="D159" s="477">
        <f t="shared" si="6"/>
        <v>687.53</v>
      </c>
      <c r="E159" s="491">
        <f t="shared" si="7"/>
        <v>2.5062855099878264E-2</v>
      </c>
      <c r="F159" s="477">
        <f t="shared" si="8"/>
        <v>17.2314647668193</v>
      </c>
    </row>
    <row r="160" spans="1:6">
      <c r="A160">
        <v>6207</v>
      </c>
      <c r="B160" t="s">
        <v>763</v>
      </c>
      <c r="C160" s="478"/>
      <c r="D160" s="477">
        <f t="shared" si="6"/>
        <v>0</v>
      </c>
      <c r="E160" s="491">
        <f t="shared" si="7"/>
        <v>2.5062855099878264E-2</v>
      </c>
      <c r="F160" s="477">
        <f t="shared" si="8"/>
        <v>0</v>
      </c>
    </row>
    <row r="161" spans="1:6">
      <c r="B161" t="s">
        <v>206</v>
      </c>
      <c r="C161" s="478">
        <v>112257.32</v>
      </c>
      <c r="D161" s="477">
        <f t="shared" si="6"/>
        <v>112257.32</v>
      </c>
      <c r="E161" s="491">
        <f t="shared" si="7"/>
        <v>2.5062855099878264E-2</v>
      </c>
      <c r="F161" s="477">
        <f t="shared" si="8"/>
        <v>2813.4889450606665</v>
      </c>
    </row>
    <row r="162" spans="1:6">
      <c r="B162" t="s">
        <v>207</v>
      </c>
      <c r="C162" s="478"/>
      <c r="D162" s="477">
        <f t="shared" si="6"/>
        <v>0</v>
      </c>
      <c r="E162" s="491">
        <f t="shared" si="7"/>
        <v>2.5062855099878264E-2</v>
      </c>
      <c r="F162" s="477">
        <f t="shared" si="8"/>
        <v>0</v>
      </c>
    </row>
    <row r="163" spans="1:6">
      <c r="A163">
        <v>6215</v>
      </c>
      <c r="B163" t="s">
        <v>764</v>
      </c>
      <c r="C163" s="478">
        <v>-1066.58</v>
      </c>
      <c r="D163" s="477">
        <f t="shared" si="6"/>
        <v>-1066.58</v>
      </c>
      <c r="E163" s="491">
        <f t="shared" si="7"/>
        <v>2.5062855099878264E-2</v>
      </c>
      <c r="F163" s="477">
        <f t="shared" si="8"/>
        <v>-26.731539992428157</v>
      </c>
    </row>
    <row r="164" spans="1:6">
      <c r="A164">
        <v>6220</v>
      </c>
      <c r="B164" t="s">
        <v>765</v>
      </c>
      <c r="C164" s="478">
        <v>-132.6</v>
      </c>
      <c r="D164" s="477">
        <f t="shared" si="6"/>
        <v>-132.6</v>
      </c>
      <c r="E164" s="491">
        <f t="shared" si="7"/>
        <v>2.5062855099878264E-2</v>
      </c>
      <c r="F164" s="477">
        <f t="shared" si="8"/>
        <v>-3.3233345862438575</v>
      </c>
    </row>
    <row r="165" spans="1:6">
      <c r="A165">
        <v>6225</v>
      </c>
      <c r="B165" t="s">
        <v>766</v>
      </c>
      <c r="C165" s="478">
        <v>78</v>
      </c>
      <c r="D165" s="477">
        <f t="shared" si="6"/>
        <v>78</v>
      </c>
      <c r="E165" s="491">
        <f t="shared" si="7"/>
        <v>2.5062855099878264E-2</v>
      </c>
      <c r="F165" s="477">
        <f t="shared" si="8"/>
        <v>1.9549026977905046</v>
      </c>
    </row>
    <row r="166" spans="1:6">
      <c r="A166">
        <v>6230</v>
      </c>
      <c r="B166" t="s">
        <v>767</v>
      </c>
      <c r="C166" s="478"/>
      <c r="D166" s="477">
        <f t="shared" si="6"/>
        <v>0</v>
      </c>
      <c r="E166" s="491">
        <f t="shared" si="7"/>
        <v>2.5062855099878264E-2</v>
      </c>
      <c r="F166" s="477">
        <f t="shared" si="8"/>
        <v>0</v>
      </c>
    </row>
    <row r="167" spans="1:6">
      <c r="B167" t="s">
        <v>207</v>
      </c>
      <c r="C167" s="478">
        <v>-1121.18</v>
      </c>
      <c r="D167" s="477">
        <f t="shared" si="6"/>
        <v>-1121.18</v>
      </c>
      <c r="E167" s="491">
        <f t="shared" si="7"/>
        <v>2.5062855099878264E-2</v>
      </c>
      <c r="F167" s="477">
        <f t="shared" si="8"/>
        <v>-28.099971880881512</v>
      </c>
    </row>
    <row r="168" spans="1:6">
      <c r="B168" t="s">
        <v>208</v>
      </c>
      <c r="C168" s="478"/>
      <c r="D168" s="477">
        <f t="shared" si="6"/>
        <v>0</v>
      </c>
      <c r="E168" s="491">
        <f t="shared" si="7"/>
        <v>2.5062855099878264E-2</v>
      </c>
      <c r="F168" s="477">
        <f t="shared" si="8"/>
        <v>0</v>
      </c>
    </row>
    <row r="169" spans="1:6">
      <c r="A169">
        <v>6255</v>
      </c>
      <c r="B169" t="s">
        <v>768</v>
      </c>
      <c r="C169" s="478"/>
      <c r="D169" s="477">
        <f t="shared" si="6"/>
        <v>0</v>
      </c>
      <c r="E169" s="491">
        <f t="shared" si="7"/>
        <v>2.5062855099878264E-2</v>
      </c>
      <c r="F169" s="477">
        <f t="shared" si="8"/>
        <v>0</v>
      </c>
    </row>
    <row r="170" spans="1:6">
      <c r="A170">
        <v>6260</v>
      </c>
      <c r="B170" t="s">
        <v>769</v>
      </c>
      <c r="C170" s="478"/>
      <c r="D170" s="477">
        <f t="shared" si="6"/>
        <v>0</v>
      </c>
      <c r="E170" s="491">
        <f t="shared" si="7"/>
        <v>2.5062855099878264E-2</v>
      </c>
      <c r="F170" s="477">
        <f t="shared" si="8"/>
        <v>0</v>
      </c>
    </row>
    <row r="171" spans="1:6">
      <c r="A171">
        <v>6265</v>
      </c>
      <c r="B171" t="s">
        <v>329</v>
      </c>
      <c r="C171" s="478"/>
      <c r="D171" s="477">
        <f t="shared" si="6"/>
        <v>0</v>
      </c>
      <c r="E171" s="491">
        <f t="shared" si="7"/>
        <v>2.5062855099878264E-2</v>
      </c>
      <c r="F171" s="477">
        <f t="shared" si="8"/>
        <v>0</v>
      </c>
    </row>
    <row r="172" spans="1:6">
      <c r="A172">
        <v>6270</v>
      </c>
      <c r="B172" t="s">
        <v>330</v>
      </c>
      <c r="C172" s="478"/>
      <c r="D172" s="477">
        <f t="shared" si="6"/>
        <v>0</v>
      </c>
      <c r="E172" s="491">
        <f t="shared" si="7"/>
        <v>2.5062855099878264E-2</v>
      </c>
      <c r="F172" s="477">
        <f t="shared" si="8"/>
        <v>0</v>
      </c>
    </row>
    <row r="173" spans="1:6">
      <c r="B173" t="s">
        <v>208</v>
      </c>
      <c r="C173" s="478"/>
      <c r="D173" s="477">
        <f t="shared" si="6"/>
        <v>0</v>
      </c>
      <c r="E173" s="491">
        <f t="shared" si="7"/>
        <v>2.5062855099878264E-2</v>
      </c>
      <c r="F173" s="477">
        <f t="shared" si="8"/>
        <v>0</v>
      </c>
    </row>
    <row r="174" spans="1:6">
      <c r="B174" t="s">
        <v>209</v>
      </c>
      <c r="C174" s="478"/>
      <c r="D174" s="477">
        <f t="shared" si="6"/>
        <v>0</v>
      </c>
      <c r="E174" s="491">
        <f t="shared" si="7"/>
        <v>2.5062855099878264E-2</v>
      </c>
      <c r="F174" s="477">
        <f t="shared" si="8"/>
        <v>0</v>
      </c>
    </row>
    <row r="175" spans="1:6">
      <c r="A175">
        <v>6285</v>
      </c>
      <c r="B175" t="s">
        <v>331</v>
      </c>
      <c r="C175" s="478"/>
      <c r="D175" s="477">
        <f t="shared" si="6"/>
        <v>0</v>
      </c>
      <c r="E175" s="491">
        <f t="shared" si="7"/>
        <v>2.5062855099878264E-2</v>
      </c>
      <c r="F175" s="477">
        <f t="shared" si="8"/>
        <v>0</v>
      </c>
    </row>
    <row r="176" spans="1:6">
      <c r="A176">
        <v>6290</v>
      </c>
      <c r="B176" t="s">
        <v>332</v>
      </c>
      <c r="C176" s="478"/>
      <c r="D176" s="477">
        <f t="shared" si="6"/>
        <v>0</v>
      </c>
      <c r="E176" s="491">
        <f t="shared" si="7"/>
        <v>2.5062855099878264E-2</v>
      </c>
      <c r="F176" s="477">
        <f t="shared" si="8"/>
        <v>0</v>
      </c>
    </row>
    <row r="177" spans="1:6">
      <c r="A177">
        <v>6295</v>
      </c>
      <c r="B177" t="s">
        <v>333</v>
      </c>
      <c r="C177" s="478"/>
      <c r="D177" s="477">
        <f t="shared" si="6"/>
        <v>0</v>
      </c>
      <c r="E177" s="491">
        <f t="shared" si="7"/>
        <v>2.5062855099878264E-2</v>
      </c>
      <c r="F177" s="477">
        <f t="shared" si="8"/>
        <v>0</v>
      </c>
    </row>
    <row r="178" spans="1:6">
      <c r="A178">
        <v>6300</v>
      </c>
      <c r="B178" t="s">
        <v>334</v>
      </c>
      <c r="C178" s="478"/>
      <c r="D178" s="477">
        <f t="shared" si="6"/>
        <v>0</v>
      </c>
      <c r="E178" s="491">
        <f t="shared" si="7"/>
        <v>2.5062855099878264E-2</v>
      </c>
      <c r="F178" s="477">
        <f t="shared" si="8"/>
        <v>0</v>
      </c>
    </row>
    <row r="179" spans="1:6">
      <c r="A179">
        <v>6305</v>
      </c>
      <c r="B179" t="s">
        <v>335</v>
      </c>
      <c r="C179" s="478"/>
      <c r="D179" s="477">
        <f t="shared" si="6"/>
        <v>0</v>
      </c>
      <c r="E179" s="491">
        <f t="shared" si="7"/>
        <v>2.5062855099878264E-2</v>
      </c>
      <c r="F179" s="477">
        <f t="shared" si="8"/>
        <v>0</v>
      </c>
    </row>
    <row r="180" spans="1:6">
      <c r="A180">
        <v>6310</v>
      </c>
      <c r="B180" t="s">
        <v>336</v>
      </c>
      <c r="C180" s="478"/>
      <c r="D180" s="477">
        <f t="shared" si="6"/>
        <v>0</v>
      </c>
      <c r="E180" s="491">
        <f t="shared" si="7"/>
        <v>2.5062855099878264E-2</v>
      </c>
      <c r="F180" s="477">
        <f t="shared" si="8"/>
        <v>0</v>
      </c>
    </row>
    <row r="181" spans="1:6">
      <c r="B181" t="s">
        <v>209</v>
      </c>
      <c r="C181" s="478"/>
      <c r="D181" s="477">
        <f t="shared" si="6"/>
        <v>0</v>
      </c>
      <c r="E181" s="491">
        <f t="shared" si="7"/>
        <v>2.5062855099878264E-2</v>
      </c>
      <c r="F181" s="477">
        <f t="shared" si="8"/>
        <v>0</v>
      </c>
    </row>
    <row r="182" spans="1:6">
      <c r="B182" t="s">
        <v>210</v>
      </c>
      <c r="C182" s="478"/>
      <c r="D182" s="477">
        <f t="shared" si="6"/>
        <v>0</v>
      </c>
      <c r="E182" s="491">
        <f t="shared" si="7"/>
        <v>2.5062855099878264E-2</v>
      </c>
      <c r="F182" s="477">
        <f t="shared" si="8"/>
        <v>0</v>
      </c>
    </row>
    <row r="183" spans="1:6">
      <c r="A183">
        <v>6320</v>
      </c>
      <c r="B183" t="s">
        <v>337</v>
      </c>
      <c r="C183" s="478"/>
      <c r="D183" s="477">
        <f t="shared" si="6"/>
        <v>0</v>
      </c>
      <c r="E183" s="491">
        <f t="shared" si="7"/>
        <v>2.5062855099878264E-2</v>
      </c>
      <c r="F183" s="477">
        <f t="shared" si="8"/>
        <v>0</v>
      </c>
    </row>
    <row r="184" spans="1:6">
      <c r="A184">
        <v>6325</v>
      </c>
      <c r="B184" t="s">
        <v>338</v>
      </c>
      <c r="C184" s="478"/>
      <c r="D184" s="477">
        <f t="shared" si="6"/>
        <v>0</v>
      </c>
      <c r="E184" s="491">
        <f t="shared" si="7"/>
        <v>2.5062855099878264E-2</v>
      </c>
      <c r="F184" s="477">
        <f t="shared" si="8"/>
        <v>0</v>
      </c>
    </row>
    <row r="185" spans="1:6">
      <c r="A185">
        <v>6330</v>
      </c>
      <c r="B185" t="s">
        <v>339</v>
      </c>
      <c r="C185" s="478"/>
      <c r="D185" s="477">
        <f t="shared" si="6"/>
        <v>0</v>
      </c>
      <c r="E185" s="491">
        <f t="shared" si="7"/>
        <v>2.5062855099878264E-2</v>
      </c>
      <c r="F185" s="477">
        <f t="shared" si="8"/>
        <v>0</v>
      </c>
    </row>
    <row r="186" spans="1:6">
      <c r="A186">
        <v>6335</v>
      </c>
      <c r="B186" t="s">
        <v>340</v>
      </c>
      <c r="C186" s="478"/>
      <c r="D186" s="477">
        <f t="shared" si="6"/>
        <v>0</v>
      </c>
      <c r="E186" s="491">
        <f t="shared" si="7"/>
        <v>2.5062855099878264E-2</v>
      </c>
      <c r="F186" s="477">
        <f t="shared" si="8"/>
        <v>0</v>
      </c>
    </row>
    <row r="187" spans="1:6">
      <c r="A187">
        <v>6340</v>
      </c>
      <c r="B187" t="s">
        <v>341</v>
      </c>
      <c r="C187" s="478"/>
      <c r="D187" s="477">
        <f t="shared" si="6"/>
        <v>0</v>
      </c>
      <c r="E187" s="491">
        <f t="shared" si="7"/>
        <v>2.5062855099878264E-2</v>
      </c>
      <c r="F187" s="477">
        <f t="shared" si="8"/>
        <v>0</v>
      </c>
    </row>
    <row r="188" spans="1:6">
      <c r="A188">
        <v>6345</v>
      </c>
      <c r="B188" t="s">
        <v>342</v>
      </c>
      <c r="C188" s="478"/>
      <c r="D188" s="477">
        <f t="shared" si="6"/>
        <v>0</v>
      </c>
      <c r="E188" s="491">
        <f t="shared" si="7"/>
        <v>2.5062855099878264E-2</v>
      </c>
      <c r="F188" s="477">
        <f t="shared" si="8"/>
        <v>0</v>
      </c>
    </row>
    <row r="189" spans="1:6">
      <c r="B189" t="s">
        <v>210</v>
      </c>
      <c r="C189" s="478"/>
      <c r="D189" s="477">
        <f t="shared" si="6"/>
        <v>0</v>
      </c>
      <c r="E189" s="491">
        <f t="shared" si="7"/>
        <v>2.5062855099878264E-2</v>
      </c>
      <c r="F189" s="477">
        <f t="shared" si="8"/>
        <v>0</v>
      </c>
    </row>
    <row r="190" spans="1:6">
      <c r="B190" t="s">
        <v>211</v>
      </c>
      <c r="C190" s="478"/>
      <c r="D190" s="477">
        <f t="shared" si="6"/>
        <v>0</v>
      </c>
      <c r="E190" s="491">
        <f t="shared" si="7"/>
        <v>2.5062855099878264E-2</v>
      </c>
      <c r="F190" s="477">
        <f t="shared" si="8"/>
        <v>0</v>
      </c>
    </row>
    <row r="191" spans="1:6">
      <c r="A191">
        <v>6355</v>
      </c>
      <c r="B191" t="s">
        <v>343</v>
      </c>
      <c r="C191" s="478">
        <v>4968.3</v>
      </c>
      <c r="D191" s="477">
        <f t="shared" si="6"/>
        <v>4968.3</v>
      </c>
      <c r="E191" s="491">
        <f t="shared" si="7"/>
        <v>2.5062855099878264E-2</v>
      </c>
      <c r="F191" s="477">
        <f t="shared" si="8"/>
        <v>124.51978299272518</v>
      </c>
    </row>
    <row r="192" spans="1:6">
      <c r="A192">
        <v>6360</v>
      </c>
      <c r="B192" t="s">
        <v>344</v>
      </c>
      <c r="C192" s="478"/>
      <c r="D192" s="477">
        <f t="shared" si="6"/>
        <v>0</v>
      </c>
      <c r="E192" s="491">
        <f t="shared" si="7"/>
        <v>2.5062855099878264E-2</v>
      </c>
      <c r="F192" s="477">
        <f t="shared" si="8"/>
        <v>0</v>
      </c>
    </row>
    <row r="193" spans="1:6">
      <c r="A193">
        <v>6365</v>
      </c>
      <c r="B193" t="s">
        <v>345</v>
      </c>
      <c r="C193" s="478"/>
      <c r="D193" s="477">
        <f t="shared" si="6"/>
        <v>0</v>
      </c>
      <c r="E193" s="491">
        <f t="shared" si="7"/>
        <v>2.5062855099878264E-2</v>
      </c>
      <c r="F193" s="477">
        <f t="shared" si="8"/>
        <v>0</v>
      </c>
    </row>
    <row r="194" spans="1:6">
      <c r="A194">
        <v>6370</v>
      </c>
      <c r="B194" t="s">
        <v>346</v>
      </c>
      <c r="C194" s="478"/>
      <c r="D194" s="477">
        <f t="shared" si="6"/>
        <v>0</v>
      </c>
      <c r="E194" s="491">
        <f t="shared" si="7"/>
        <v>2.5062855099878264E-2</v>
      </c>
      <c r="F194" s="477">
        <f t="shared" si="8"/>
        <v>0</v>
      </c>
    </row>
    <row r="195" spans="1:6">
      <c r="A195">
        <v>6375</v>
      </c>
      <c r="B195" t="s">
        <v>33</v>
      </c>
      <c r="C195" s="478"/>
      <c r="D195" s="477">
        <f t="shared" si="6"/>
        <v>0</v>
      </c>
      <c r="E195" s="491">
        <f t="shared" si="7"/>
        <v>2.5062855099878264E-2</v>
      </c>
      <c r="F195" s="477">
        <f t="shared" si="8"/>
        <v>0</v>
      </c>
    </row>
    <row r="196" spans="1:6">
      <c r="A196">
        <v>6380</v>
      </c>
      <c r="B196" t="s">
        <v>34</v>
      </c>
      <c r="C196" s="478"/>
      <c r="D196" s="477">
        <f t="shared" si="6"/>
        <v>0</v>
      </c>
      <c r="E196" s="491">
        <f t="shared" si="7"/>
        <v>2.5062855099878264E-2</v>
      </c>
      <c r="F196" s="477">
        <f t="shared" si="8"/>
        <v>0</v>
      </c>
    </row>
    <row r="197" spans="1:6">
      <c r="A197">
        <v>6385</v>
      </c>
      <c r="B197" t="s">
        <v>35</v>
      </c>
      <c r="C197" s="478">
        <v>63.18</v>
      </c>
      <c r="D197" s="477">
        <f t="shared" si="6"/>
        <v>63.18</v>
      </c>
      <c r="E197" s="491">
        <f t="shared" si="7"/>
        <v>2.5062855099878264E-2</v>
      </c>
      <c r="F197" s="477">
        <f t="shared" si="8"/>
        <v>1.5834711852103087</v>
      </c>
    </row>
    <row r="198" spans="1:6">
      <c r="A198">
        <v>6390</v>
      </c>
      <c r="B198" t="s">
        <v>36</v>
      </c>
      <c r="C198" s="478"/>
      <c r="D198" s="477">
        <f t="shared" ref="D198:D261" si="9">C198</f>
        <v>0</v>
      </c>
      <c r="E198" s="491">
        <f t="shared" ref="E198:E261" si="10">E$3</f>
        <v>2.5062855099878264E-2</v>
      </c>
      <c r="F198" s="477">
        <f t="shared" ref="F198:F261" si="11">E198*D198</f>
        <v>0</v>
      </c>
    </row>
    <row r="199" spans="1:6">
      <c r="B199" t="s">
        <v>211</v>
      </c>
      <c r="C199" s="478">
        <v>5031.4799999999996</v>
      </c>
      <c r="D199" s="477">
        <f t="shared" si="9"/>
        <v>5031.4799999999996</v>
      </c>
      <c r="E199" s="491">
        <f t="shared" si="10"/>
        <v>2.5062855099878264E-2</v>
      </c>
      <c r="F199" s="477">
        <f t="shared" si="11"/>
        <v>126.10325417793548</v>
      </c>
    </row>
    <row r="200" spans="1:6">
      <c r="A200">
        <v>6400</v>
      </c>
      <c r="B200" t="s">
        <v>37</v>
      </c>
      <c r="C200" s="478"/>
      <c r="D200" s="477">
        <f t="shared" si="9"/>
        <v>0</v>
      </c>
      <c r="E200" s="491">
        <f t="shared" si="10"/>
        <v>2.5062855099878264E-2</v>
      </c>
      <c r="F200" s="477">
        <f t="shared" si="11"/>
        <v>0</v>
      </c>
    </row>
    <row r="201" spans="1:6">
      <c r="A201">
        <v>6410</v>
      </c>
      <c r="B201" t="s">
        <v>38</v>
      </c>
      <c r="C201" s="478"/>
      <c r="D201" s="477">
        <f t="shared" si="9"/>
        <v>0</v>
      </c>
      <c r="E201" s="491">
        <f t="shared" si="10"/>
        <v>2.5062855099878264E-2</v>
      </c>
      <c r="F201" s="477">
        <f t="shared" si="11"/>
        <v>0</v>
      </c>
    </row>
    <row r="202" spans="1:6">
      <c r="B202" t="s">
        <v>188</v>
      </c>
      <c r="C202" s="478">
        <v>4941508.58</v>
      </c>
      <c r="D202" s="477">
        <f t="shared" si="9"/>
        <v>4941508.58</v>
      </c>
      <c r="E202" s="491">
        <f t="shared" si="10"/>
        <v>2.5062855099878264E-2</v>
      </c>
      <c r="F202" s="477">
        <f t="shared" si="11"/>
        <v>123848.3135153452</v>
      </c>
    </row>
    <row r="203" spans="1:6">
      <c r="B203" t="s">
        <v>212</v>
      </c>
      <c r="C203" s="478"/>
      <c r="D203" s="477">
        <f t="shared" si="9"/>
        <v>0</v>
      </c>
      <c r="E203" s="491">
        <f t="shared" si="10"/>
        <v>2.5062855099878264E-2</v>
      </c>
      <c r="F203" s="477">
        <f t="shared" si="11"/>
        <v>0</v>
      </c>
    </row>
    <row r="204" spans="1:6">
      <c r="B204" t="s">
        <v>213</v>
      </c>
      <c r="C204" s="478"/>
      <c r="D204" s="477">
        <f t="shared" si="9"/>
        <v>0</v>
      </c>
      <c r="E204" s="491">
        <f t="shared" si="10"/>
        <v>2.5062855099878264E-2</v>
      </c>
      <c r="F204" s="477">
        <f t="shared" si="11"/>
        <v>0</v>
      </c>
    </row>
    <row r="205" spans="1:6">
      <c r="A205">
        <v>6445</v>
      </c>
      <c r="B205" t="s">
        <v>39</v>
      </c>
      <c r="C205" s="478"/>
      <c r="D205" s="477">
        <f t="shared" si="9"/>
        <v>0</v>
      </c>
      <c r="E205" s="491">
        <f t="shared" si="10"/>
        <v>2.5062855099878264E-2</v>
      </c>
      <c r="F205" s="477">
        <f t="shared" si="11"/>
        <v>0</v>
      </c>
    </row>
    <row r="206" spans="1:6">
      <c r="A206">
        <v>6450</v>
      </c>
      <c r="B206" t="s">
        <v>40</v>
      </c>
      <c r="C206" s="478"/>
      <c r="D206" s="477">
        <f t="shared" si="9"/>
        <v>0</v>
      </c>
      <c r="E206" s="491">
        <f t="shared" si="10"/>
        <v>2.5062855099878264E-2</v>
      </c>
      <c r="F206" s="477">
        <f t="shared" si="11"/>
        <v>0</v>
      </c>
    </row>
    <row r="207" spans="1:6">
      <c r="A207">
        <v>6455</v>
      </c>
      <c r="B207" t="s">
        <v>41</v>
      </c>
      <c r="C207" s="478"/>
      <c r="D207" s="477">
        <f t="shared" si="9"/>
        <v>0</v>
      </c>
      <c r="E207" s="491">
        <f t="shared" si="10"/>
        <v>2.5062855099878264E-2</v>
      </c>
      <c r="F207" s="477">
        <f t="shared" si="11"/>
        <v>0</v>
      </c>
    </row>
    <row r="208" spans="1:6">
      <c r="A208">
        <v>6460</v>
      </c>
      <c r="B208" t="s">
        <v>42</v>
      </c>
      <c r="C208" s="478"/>
      <c r="D208" s="477">
        <f t="shared" si="9"/>
        <v>0</v>
      </c>
      <c r="E208" s="491">
        <f t="shared" si="10"/>
        <v>2.5062855099878264E-2</v>
      </c>
      <c r="F208" s="477">
        <f t="shared" si="11"/>
        <v>0</v>
      </c>
    </row>
    <row r="209" spans="1:6">
      <c r="A209">
        <v>6465</v>
      </c>
      <c r="B209" t="s">
        <v>43</v>
      </c>
      <c r="C209" s="478"/>
      <c r="D209" s="477">
        <f t="shared" si="9"/>
        <v>0</v>
      </c>
      <c r="E209" s="491">
        <f t="shared" si="10"/>
        <v>2.5062855099878264E-2</v>
      </c>
      <c r="F209" s="477">
        <f t="shared" si="11"/>
        <v>0</v>
      </c>
    </row>
    <row r="210" spans="1:6">
      <c r="A210">
        <v>6470</v>
      </c>
      <c r="B210" t="s">
        <v>44</v>
      </c>
      <c r="C210" s="478"/>
      <c r="D210" s="477">
        <f t="shared" si="9"/>
        <v>0</v>
      </c>
      <c r="E210" s="491">
        <f t="shared" si="10"/>
        <v>2.5062855099878264E-2</v>
      </c>
      <c r="F210" s="477">
        <f t="shared" si="11"/>
        <v>0</v>
      </c>
    </row>
    <row r="211" spans="1:6">
      <c r="A211">
        <v>6475</v>
      </c>
      <c r="B211" t="s">
        <v>45</v>
      </c>
      <c r="C211" s="478"/>
      <c r="D211" s="477">
        <f t="shared" si="9"/>
        <v>0</v>
      </c>
      <c r="E211" s="491">
        <f t="shared" si="10"/>
        <v>2.5062855099878264E-2</v>
      </c>
      <c r="F211" s="477">
        <f t="shared" si="11"/>
        <v>0</v>
      </c>
    </row>
    <row r="212" spans="1:6">
      <c r="A212">
        <v>6480</v>
      </c>
      <c r="B212" t="s">
        <v>46</v>
      </c>
      <c r="C212" s="478"/>
      <c r="D212" s="477">
        <f t="shared" si="9"/>
        <v>0</v>
      </c>
      <c r="E212" s="491">
        <f t="shared" si="10"/>
        <v>2.5062855099878264E-2</v>
      </c>
      <c r="F212" s="477">
        <f t="shared" si="11"/>
        <v>0</v>
      </c>
    </row>
    <row r="213" spans="1:6">
      <c r="A213">
        <v>6485</v>
      </c>
      <c r="B213" t="s">
        <v>47</v>
      </c>
      <c r="C213" s="478"/>
      <c r="D213" s="477">
        <f t="shared" si="9"/>
        <v>0</v>
      </c>
      <c r="E213" s="491">
        <f t="shared" si="10"/>
        <v>2.5062855099878264E-2</v>
      </c>
      <c r="F213" s="477">
        <f t="shared" si="11"/>
        <v>0</v>
      </c>
    </row>
    <row r="214" spans="1:6">
      <c r="A214">
        <v>6490</v>
      </c>
      <c r="B214" t="s">
        <v>48</v>
      </c>
      <c r="C214" s="478"/>
      <c r="D214" s="477">
        <f t="shared" si="9"/>
        <v>0</v>
      </c>
      <c r="E214" s="491">
        <f t="shared" si="10"/>
        <v>2.5062855099878264E-2</v>
      </c>
      <c r="F214" s="477">
        <f t="shared" si="11"/>
        <v>0</v>
      </c>
    </row>
    <row r="215" spans="1:6">
      <c r="A215">
        <v>6495</v>
      </c>
      <c r="B215" t="s">
        <v>49</v>
      </c>
      <c r="C215" s="478"/>
      <c r="D215" s="477">
        <f t="shared" si="9"/>
        <v>0</v>
      </c>
      <c r="E215" s="491">
        <f t="shared" si="10"/>
        <v>2.5062855099878264E-2</v>
      </c>
      <c r="F215" s="477">
        <f t="shared" si="11"/>
        <v>0</v>
      </c>
    </row>
    <row r="216" spans="1:6">
      <c r="A216">
        <v>6500</v>
      </c>
      <c r="B216" t="s">
        <v>50</v>
      </c>
      <c r="C216" s="478"/>
      <c r="D216" s="477">
        <f t="shared" si="9"/>
        <v>0</v>
      </c>
      <c r="E216" s="491">
        <f t="shared" si="10"/>
        <v>2.5062855099878264E-2</v>
      </c>
      <c r="F216" s="477">
        <f t="shared" si="11"/>
        <v>0</v>
      </c>
    </row>
    <row r="217" spans="1:6">
      <c r="A217">
        <v>6505</v>
      </c>
      <c r="B217" t="s">
        <v>51</v>
      </c>
      <c r="C217" s="478"/>
      <c r="D217" s="477">
        <f t="shared" si="9"/>
        <v>0</v>
      </c>
      <c r="E217" s="491">
        <f t="shared" si="10"/>
        <v>2.5062855099878264E-2</v>
      </c>
      <c r="F217" s="477">
        <f t="shared" si="11"/>
        <v>0</v>
      </c>
    </row>
    <row r="218" spans="1:6">
      <c r="A218">
        <v>6510</v>
      </c>
      <c r="B218" t="s">
        <v>52</v>
      </c>
      <c r="C218" s="478"/>
      <c r="D218" s="477">
        <f t="shared" si="9"/>
        <v>0</v>
      </c>
      <c r="E218" s="491">
        <f t="shared" si="10"/>
        <v>2.5062855099878264E-2</v>
      </c>
      <c r="F218" s="477">
        <f t="shared" si="11"/>
        <v>0</v>
      </c>
    </row>
    <row r="219" spans="1:6">
      <c r="A219">
        <v>6515</v>
      </c>
      <c r="B219" t="s">
        <v>53</v>
      </c>
      <c r="C219" s="478"/>
      <c r="D219" s="477">
        <f t="shared" si="9"/>
        <v>0</v>
      </c>
      <c r="E219" s="491">
        <f t="shared" si="10"/>
        <v>2.5062855099878264E-2</v>
      </c>
      <c r="F219" s="477">
        <f t="shared" si="11"/>
        <v>0</v>
      </c>
    </row>
    <row r="220" spans="1:6">
      <c r="A220">
        <v>6520</v>
      </c>
      <c r="B220" t="s">
        <v>54</v>
      </c>
      <c r="C220" s="478"/>
      <c r="D220" s="477">
        <f t="shared" si="9"/>
        <v>0</v>
      </c>
      <c r="E220" s="491">
        <f t="shared" si="10"/>
        <v>2.5062855099878264E-2</v>
      </c>
      <c r="F220" s="477">
        <f t="shared" si="11"/>
        <v>0</v>
      </c>
    </row>
    <row r="221" spans="1:6">
      <c r="A221">
        <v>6525</v>
      </c>
      <c r="B221" t="s">
        <v>55</v>
      </c>
      <c r="C221" s="478"/>
      <c r="D221" s="477">
        <f t="shared" si="9"/>
        <v>0</v>
      </c>
      <c r="E221" s="491">
        <f t="shared" si="10"/>
        <v>2.5062855099878264E-2</v>
      </c>
      <c r="F221" s="477">
        <f t="shared" si="11"/>
        <v>0</v>
      </c>
    </row>
    <row r="222" spans="1:6">
      <c r="A222">
        <v>6530</v>
      </c>
      <c r="B222" t="s">
        <v>56</v>
      </c>
      <c r="C222" s="478"/>
      <c r="D222" s="477">
        <f t="shared" si="9"/>
        <v>0</v>
      </c>
      <c r="E222" s="491">
        <f t="shared" si="10"/>
        <v>2.5062855099878264E-2</v>
      </c>
      <c r="F222" s="477">
        <f t="shared" si="11"/>
        <v>0</v>
      </c>
    </row>
    <row r="223" spans="1:6">
      <c r="A223">
        <v>6535</v>
      </c>
      <c r="B223" t="s">
        <v>57</v>
      </c>
      <c r="C223" s="478"/>
      <c r="D223" s="477">
        <f t="shared" si="9"/>
        <v>0</v>
      </c>
      <c r="E223" s="491">
        <f t="shared" si="10"/>
        <v>2.5062855099878264E-2</v>
      </c>
      <c r="F223" s="477">
        <f t="shared" si="11"/>
        <v>0</v>
      </c>
    </row>
    <row r="224" spans="1:6">
      <c r="A224">
        <v>6540</v>
      </c>
      <c r="B224" t="s">
        <v>58</v>
      </c>
      <c r="C224" s="478"/>
      <c r="D224" s="477">
        <f t="shared" si="9"/>
        <v>0</v>
      </c>
      <c r="E224" s="491">
        <f t="shared" si="10"/>
        <v>2.5062855099878264E-2</v>
      </c>
      <c r="F224" s="477">
        <f t="shared" si="11"/>
        <v>0</v>
      </c>
    </row>
    <row r="225" spans="1:6">
      <c r="A225">
        <v>6545</v>
      </c>
      <c r="B225" t="s">
        <v>59</v>
      </c>
      <c r="C225" s="478"/>
      <c r="D225" s="477">
        <f t="shared" si="9"/>
        <v>0</v>
      </c>
      <c r="E225" s="491">
        <f t="shared" si="10"/>
        <v>2.5062855099878264E-2</v>
      </c>
      <c r="F225" s="477">
        <f t="shared" si="11"/>
        <v>0</v>
      </c>
    </row>
    <row r="226" spans="1:6">
      <c r="A226">
        <v>6550</v>
      </c>
      <c r="B226" t="s">
        <v>680</v>
      </c>
      <c r="C226" s="478"/>
      <c r="D226" s="477">
        <f t="shared" si="9"/>
        <v>0</v>
      </c>
      <c r="E226" s="491">
        <f t="shared" si="10"/>
        <v>2.5062855099878264E-2</v>
      </c>
      <c r="F226" s="477">
        <f t="shared" si="11"/>
        <v>0</v>
      </c>
    </row>
    <row r="227" spans="1:6">
      <c r="A227">
        <v>6555</v>
      </c>
      <c r="B227" t="s">
        <v>681</v>
      </c>
      <c r="C227" s="478"/>
      <c r="D227" s="477">
        <f t="shared" si="9"/>
        <v>0</v>
      </c>
      <c r="E227" s="491">
        <f t="shared" si="10"/>
        <v>2.5062855099878264E-2</v>
      </c>
      <c r="F227" s="477">
        <f t="shared" si="11"/>
        <v>0</v>
      </c>
    </row>
    <row r="228" spans="1:6">
      <c r="A228">
        <v>6560</v>
      </c>
      <c r="B228" t="s">
        <v>682</v>
      </c>
      <c r="C228" s="478"/>
      <c r="D228" s="477">
        <f t="shared" si="9"/>
        <v>0</v>
      </c>
      <c r="E228" s="491">
        <f t="shared" si="10"/>
        <v>2.5062855099878264E-2</v>
      </c>
      <c r="F228" s="477">
        <f t="shared" si="11"/>
        <v>0</v>
      </c>
    </row>
    <row r="229" spans="1:6">
      <c r="A229">
        <v>6565</v>
      </c>
      <c r="B229" t="s">
        <v>683</v>
      </c>
      <c r="C229" s="478"/>
      <c r="D229" s="477">
        <f t="shared" si="9"/>
        <v>0</v>
      </c>
      <c r="E229" s="491">
        <f t="shared" si="10"/>
        <v>2.5062855099878264E-2</v>
      </c>
      <c r="F229" s="477">
        <f t="shared" si="11"/>
        <v>0</v>
      </c>
    </row>
    <row r="230" spans="1:6">
      <c r="A230">
        <v>6570</v>
      </c>
      <c r="B230" t="s">
        <v>684</v>
      </c>
      <c r="C230" s="478"/>
      <c r="D230" s="477">
        <f t="shared" si="9"/>
        <v>0</v>
      </c>
      <c r="E230" s="491">
        <f t="shared" si="10"/>
        <v>2.5062855099878264E-2</v>
      </c>
      <c r="F230" s="477">
        <f t="shared" si="11"/>
        <v>0</v>
      </c>
    </row>
    <row r="231" spans="1:6">
      <c r="A231">
        <v>6575</v>
      </c>
      <c r="B231" t="s">
        <v>685</v>
      </c>
      <c r="C231" s="478"/>
      <c r="D231" s="477">
        <f t="shared" si="9"/>
        <v>0</v>
      </c>
      <c r="E231" s="491">
        <f t="shared" si="10"/>
        <v>2.5062855099878264E-2</v>
      </c>
      <c r="F231" s="477">
        <f t="shared" si="11"/>
        <v>0</v>
      </c>
    </row>
    <row r="232" spans="1:6">
      <c r="A232">
        <v>6580</v>
      </c>
      <c r="B232" t="s">
        <v>686</v>
      </c>
      <c r="C232" s="478">
        <v>10264.56</v>
      </c>
      <c r="D232" s="477">
        <f t="shared" si="9"/>
        <v>10264.56</v>
      </c>
      <c r="E232" s="491">
        <f t="shared" si="10"/>
        <v>2.5062855099878264E-2</v>
      </c>
      <c r="F232" s="477">
        <f t="shared" si="11"/>
        <v>257.25917994400641</v>
      </c>
    </row>
    <row r="233" spans="1:6">
      <c r="A233">
        <v>6585</v>
      </c>
      <c r="B233" t="s">
        <v>687</v>
      </c>
      <c r="C233" s="478">
        <v>4858.09</v>
      </c>
      <c r="D233" s="477">
        <f t="shared" si="9"/>
        <v>4858.09</v>
      </c>
      <c r="E233" s="491">
        <f t="shared" si="10"/>
        <v>2.5062855099878264E-2</v>
      </c>
      <c r="F233" s="477">
        <f t="shared" si="11"/>
        <v>121.7576057321676</v>
      </c>
    </row>
    <row r="234" spans="1:6">
      <c r="A234">
        <v>6590</v>
      </c>
      <c r="B234" t="s">
        <v>688</v>
      </c>
      <c r="C234" s="478"/>
      <c r="D234" s="477">
        <f t="shared" si="9"/>
        <v>0</v>
      </c>
      <c r="E234" s="491">
        <f t="shared" si="10"/>
        <v>2.5062855099878264E-2</v>
      </c>
      <c r="F234" s="477">
        <f t="shared" si="11"/>
        <v>0</v>
      </c>
    </row>
    <row r="235" spans="1:6">
      <c r="A235">
        <v>6595</v>
      </c>
      <c r="B235" t="s">
        <v>689</v>
      </c>
      <c r="C235" s="478">
        <v>78.7</v>
      </c>
      <c r="D235" s="477">
        <f t="shared" si="9"/>
        <v>78.7</v>
      </c>
      <c r="E235" s="491">
        <f t="shared" si="10"/>
        <v>2.5062855099878264E-2</v>
      </c>
      <c r="F235" s="477">
        <f t="shared" si="11"/>
        <v>1.9724466963604195</v>
      </c>
    </row>
    <row r="236" spans="1:6">
      <c r="A236">
        <v>6600</v>
      </c>
      <c r="B236" t="s">
        <v>690</v>
      </c>
      <c r="C236" s="478"/>
      <c r="D236" s="477">
        <f t="shared" si="9"/>
        <v>0</v>
      </c>
      <c r="E236" s="491">
        <f t="shared" si="10"/>
        <v>2.5062855099878264E-2</v>
      </c>
      <c r="F236" s="477">
        <f t="shared" si="11"/>
        <v>0</v>
      </c>
    </row>
    <row r="237" spans="1:6">
      <c r="A237">
        <v>6605</v>
      </c>
      <c r="B237" t="s">
        <v>691</v>
      </c>
      <c r="C237" s="478"/>
      <c r="D237" s="477">
        <f t="shared" si="9"/>
        <v>0</v>
      </c>
      <c r="E237" s="491">
        <f t="shared" si="10"/>
        <v>2.5062855099878264E-2</v>
      </c>
      <c r="F237" s="477">
        <f t="shared" si="11"/>
        <v>0</v>
      </c>
    </row>
    <row r="238" spans="1:6">
      <c r="A238">
        <v>6610</v>
      </c>
      <c r="B238" t="s">
        <v>692</v>
      </c>
      <c r="C238" s="478">
        <v>1351.34</v>
      </c>
      <c r="D238" s="477">
        <f t="shared" si="9"/>
        <v>1351.34</v>
      </c>
      <c r="E238" s="491">
        <f t="shared" si="10"/>
        <v>2.5062855099878264E-2</v>
      </c>
      <c r="F238" s="477">
        <f t="shared" si="11"/>
        <v>33.868438610669493</v>
      </c>
    </row>
    <row r="239" spans="1:6">
      <c r="A239">
        <v>6615</v>
      </c>
      <c r="B239" t="s">
        <v>693</v>
      </c>
      <c r="C239" s="478"/>
      <c r="D239" s="477">
        <f t="shared" si="9"/>
        <v>0</v>
      </c>
      <c r="E239" s="491">
        <f t="shared" si="10"/>
        <v>2.5062855099878264E-2</v>
      </c>
      <c r="F239" s="477">
        <f t="shared" si="11"/>
        <v>0</v>
      </c>
    </row>
    <row r="240" spans="1:6">
      <c r="A240">
        <v>6620</v>
      </c>
      <c r="B240" t="s">
        <v>694</v>
      </c>
      <c r="C240" s="478"/>
      <c r="D240" s="477">
        <f t="shared" si="9"/>
        <v>0</v>
      </c>
      <c r="E240" s="491">
        <f t="shared" si="10"/>
        <v>2.5062855099878264E-2</v>
      </c>
      <c r="F240" s="477">
        <f t="shared" si="11"/>
        <v>0</v>
      </c>
    </row>
    <row r="241" spans="1:6">
      <c r="B241" t="s">
        <v>213</v>
      </c>
      <c r="C241" s="478">
        <v>16552.689999999999</v>
      </c>
      <c r="D241" s="477">
        <f t="shared" si="9"/>
        <v>16552.689999999999</v>
      </c>
      <c r="E241" s="491">
        <f t="shared" si="10"/>
        <v>2.5062855099878264E-2</v>
      </c>
      <c r="F241" s="477">
        <f t="shared" si="11"/>
        <v>414.85767098320389</v>
      </c>
    </row>
    <row r="242" spans="1:6">
      <c r="B242" t="s">
        <v>214</v>
      </c>
      <c r="C242" s="478"/>
      <c r="D242" s="477">
        <f t="shared" si="9"/>
        <v>0</v>
      </c>
      <c r="E242" s="491">
        <f t="shared" si="10"/>
        <v>2.5062855099878264E-2</v>
      </c>
      <c r="F242" s="477">
        <f t="shared" si="11"/>
        <v>0</v>
      </c>
    </row>
    <row r="243" spans="1:6">
      <c r="A243">
        <v>6640</v>
      </c>
      <c r="B243" t="s">
        <v>39</v>
      </c>
      <c r="C243" s="478"/>
      <c r="D243" s="477">
        <f t="shared" si="9"/>
        <v>0</v>
      </c>
      <c r="E243" s="491">
        <f t="shared" si="10"/>
        <v>2.5062855099878264E-2</v>
      </c>
      <c r="F243" s="477">
        <f t="shared" si="11"/>
        <v>0</v>
      </c>
    </row>
    <row r="244" spans="1:6">
      <c r="A244">
        <v>6645</v>
      </c>
      <c r="B244" t="s">
        <v>695</v>
      </c>
      <c r="C244" s="478"/>
      <c r="D244" s="477">
        <f t="shared" si="9"/>
        <v>0</v>
      </c>
      <c r="E244" s="491">
        <f t="shared" si="10"/>
        <v>2.5062855099878264E-2</v>
      </c>
      <c r="F244" s="477">
        <f t="shared" si="11"/>
        <v>0</v>
      </c>
    </row>
    <row r="245" spans="1:6">
      <c r="A245">
        <v>6650</v>
      </c>
      <c r="B245" t="s">
        <v>696</v>
      </c>
      <c r="C245" s="478"/>
      <c r="D245" s="477">
        <f t="shared" si="9"/>
        <v>0</v>
      </c>
      <c r="E245" s="491">
        <f t="shared" si="10"/>
        <v>2.5062855099878264E-2</v>
      </c>
      <c r="F245" s="477">
        <f t="shared" si="11"/>
        <v>0</v>
      </c>
    </row>
    <row r="246" spans="1:6">
      <c r="A246">
        <v>6655</v>
      </c>
      <c r="B246" t="s">
        <v>697</v>
      </c>
      <c r="C246" s="478"/>
      <c r="D246" s="477">
        <f t="shared" si="9"/>
        <v>0</v>
      </c>
      <c r="E246" s="491">
        <f t="shared" si="10"/>
        <v>2.5062855099878264E-2</v>
      </c>
      <c r="F246" s="477">
        <f t="shared" si="11"/>
        <v>0</v>
      </c>
    </row>
    <row r="247" spans="1:6">
      <c r="A247">
        <v>6660</v>
      </c>
      <c r="B247" t="s">
        <v>698</v>
      </c>
      <c r="C247" s="478"/>
      <c r="D247" s="477">
        <f t="shared" si="9"/>
        <v>0</v>
      </c>
      <c r="E247" s="491">
        <f t="shared" si="10"/>
        <v>2.5062855099878264E-2</v>
      </c>
      <c r="F247" s="477">
        <f t="shared" si="11"/>
        <v>0</v>
      </c>
    </row>
    <row r="248" spans="1:6">
      <c r="A248">
        <v>6665</v>
      </c>
      <c r="B248" t="s">
        <v>699</v>
      </c>
      <c r="C248" s="478"/>
      <c r="D248" s="477">
        <f t="shared" si="9"/>
        <v>0</v>
      </c>
      <c r="E248" s="491">
        <f t="shared" si="10"/>
        <v>2.5062855099878264E-2</v>
      </c>
      <c r="F248" s="477">
        <f t="shared" si="11"/>
        <v>0</v>
      </c>
    </row>
    <row r="249" spans="1:6">
      <c r="A249">
        <v>6670</v>
      </c>
      <c r="B249" t="s">
        <v>700</v>
      </c>
      <c r="C249" s="478"/>
      <c r="D249" s="477">
        <f t="shared" si="9"/>
        <v>0</v>
      </c>
      <c r="E249" s="491">
        <f t="shared" si="10"/>
        <v>2.5062855099878264E-2</v>
      </c>
      <c r="F249" s="477">
        <f t="shared" si="11"/>
        <v>0</v>
      </c>
    </row>
    <row r="250" spans="1:6">
      <c r="A250">
        <v>6675</v>
      </c>
      <c r="B250" t="s">
        <v>701</v>
      </c>
      <c r="C250" s="478"/>
      <c r="D250" s="477">
        <f t="shared" si="9"/>
        <v>0</v>
      </c>
      <c r="E250" s="491">
        <f t="shared" si="10"/>
        <v>2.5062855099878264E-2</v>
      </c>
      <c r="F250" s="477">
        <f t="shared" si="11"/>
        <v>0</v>
      </c>
    </row>
    <row r="251" spans="1:6">
      <c r="A251">
        <v>6680</v>
      </c>
      <c r="B251" t="s">
        <v>702</v>
      </c>
      <c r="C251" s="478"/>
      <c r="D251" s="477">
        <f t="shared" si="9"/>
        <v>0</v>
      </c>
      <c r="E251" s="491">
        <f t="shared" si="10"/>
        <v>2.5062855099878264E-2</v>
      </c>
      <c r="F251" s="477">
        <f t="shared" si="11"/>
        <v>0</v>
      </c>
    </row>
    <row r="252" spans="1:6">
      <c r="A252">
        <v>6685</v>
      </c>
      <c r="B252" t="s">
        <v>703</v>
      </c>
      <c r="C252" s="478"/>
      <c r="D252" s="477">
        <f t="shared" si="9"/>
        <v>0</v>
      </c>
      <c r="E252" s="491">
        <f t="shared" si="10"/>
        <v>2.5062855099878264E-2</v>
      </c>
      <c r="F252" s="477">
        <f t="shared" si="11"/>
        <v>0</v>
      </c>
    </row>
    <row r="253" spans="1:6">
      <c r="A253">
        <v>6690</v>
      </c>
      <c r="B253" t="s">
        <v>704</v>
      </c>
      <c r="C253" s="478"/>
      <c r="D253" s="477">
        <f t="shared" si="9"/>
        <v>0</v>
      </c>
      <c r="E253" s="491">
        <f t="shared" si="10"/>
        <v>2.5062855099878264E-2</v>
      </c>
      <c r="F253" s="477">
        <f t="shared" si="11"/>
        <v>0</v>
      </c>
    </row>
    <row r="254" spans="1:6">
      <c r="A254">
        <v>6695</v>
      </c>
      <c r="B254" t="s">
        <v>705</v>
      </c>
      <c r="C254" s="478"/>
      <c r="D254" s="477">
        <f t="shared" si="9"/>
        <v>0</v>
      </c>
      <c r="E254" s="491">
        <f t="shared" si="10"/>
        <v>2.5062855099878264E-2</v>
      </c>
      <c r="F254" s="477">
        <f t="shared" si="11"/>
        <v>0</v>
      </c>
    </row>
    <row r="255" spans="1:6">
      <c r="A255">
        <v>6700</v>
      </c>
      <c r="B255" t="s">
        <v>706</v>
      </c>
      <c r="C255" s="478"/>
      <c r="D255" s="477">
        <f t="shared" si="9"/>
        <v>0</v>
      </c>
      <c r="E255" s="491">
        <f t="shared" si="10"/>
        <v>2.5062855099878264E-2</v>
      </c>
      <c r="F255" s="477">
        <f t="shared" si="11"/>
        <v>0</v>
      </c>
    </row>
    <row r="256" spans="1:6">
      <c r="A256">
        <v>6705</v>
      </c>
      <c r="B256" t="s">
        <v>706</v>
      </c>
      <c r="C256" s="478"/>
      <c r="D256" s="477">
        <f t="shared" si="9"/>
        <v>0</v>
      </c>
      <c r="E256" s="491">
        <f t="shared" si="10"/>
        <v>2.5062855099878264E-2</v>
      </c>
      <c r="F256" s="477">
        <f t="shared" si="11"/>
        <v>0</v>
      </c>
    </row>
    <row r="257" spans="1:6">
      <c r="A257">
        <v>6710</v>
      </c>
      <c r="B257" t="s">
        <v>707</v>
      </c>
      <c r="C257" s="478"/>
      <c r="D257" s="477">
        <f t="shared" si="9"/>
        <v>0</v>
      </c>
      <c r="E257" s="491">
        <f t="shared" si="10"/>
        <v>2.5062855099878264E-2</v>
      </c>
      <c r="F257" s="477">
        <f t="shared" si="11"/>
        <v>0</v>
      </c>
    </row>
    <row r="258" spans="1:6">
      <c r="A258">
        <v>6715</v>
      </c>
      <c r="B258" t="s">
        <v>708</v>
      </c>
      <c r="C258" s="478"/>
      <c r="D258" s="477">
        <f t="shared" si="9"/>
        <v>0</v>
      </c>
      <c r="E258" s="491">
        <f t="shared" si="10"/>
        <v>2.5062855099878264E-2</v>
      </c>
      <c r="F258" s="477">
        <f t="shared" si="11"/>
        <v>0</v>
      </c>
    </row>
    <row r="259" spans="1:6">
      <c r="A259">
        <v>6720</v>
      </c>
      <c r="B259" t="s">
        <v>709</v>
      </c>
      <c r="C259" s="478"/>
      <c r="D259" s="477">
        <f t="shared" si="9"/>
        <v>0</v>
      </c>
      <c r="E259" s="491">
        <f t="shared" si="10"/>
        <v>2.5062855099878264E-2</v>
      </c>
      <c r="F259" s="477">
        <f t="shared" si="11"/>
        <v>0</v>
      </c>
    </row>
    <row r="260" spans="1:6">
      <c r="A260">
        <v>6725</v>
      </c>
      <c r="B260" t="s">
        <v>710</v>
      </c>
      <c r="C260" s="478"/>
      <c r="D260" s="477">
        <f t="shared" si="9"/>
        <v>0</v>
      </c>
      <c r="E260" s="491">
        <f t="shared" si="10"/>
        <v>2.5062855099878264E-2</v>
      </c>
      <c r="F260" s="477">
        <f t="shared" si="11"/>
        <v>0</v>
      </c>
    </row>
    <row r="261" spans="1:6">
      <c r="A261">
        <v>6730</v>
      </c>
      <c r="B261" t="s">
        <v>711</v>
      </c>
      <c r="C261" s="478"/>
      <c r="D261" s="477">
        <f t="shared" si="9"/>
        <v>0</v>
      </c>
      <c r="E261" s="491">
        <f t="shared" si="10"/>
        <v>2.5062855099878264E-2</v>
      </c>
      <c r="F261" s="477">
        <f t="shared" si="11"/>
        <v>0</v>
      </c>
    </row>
    <row r="262" spans="1:6">
      <c r="A262">
        <v>6735</v>
      </c>
      <c r="B262" t="s">
        <v>712</v>
      </c>
      <c r="C262" s="478"/>
      <c r="D262" s="477">
        <f t="shared" ref="D262:D325" si="12">C262</f>
        <v>0</v>
      </c>
      <c r="E262" s="491">
        <f t="shared" ref="E262:E325" si="13">E$3</f>
        <v>2.5062855099878264E-2</v>
      </c>
      <c r="F262" s="477">
        <f t="shared" ref="F262:F325" si="14">E262*D262</f>
        <v>0</v>
      </c>
    </row>
    <row r="263" spans="1:6">
      <c r="A263">
        <v>6740</v>
      </c>
      <c r="B263" t="s">
        <v>713</v>
      </c>
      <c r="C263" s="478"/>
      <c r="D263" s="477">
        <f t="shared" si="12"/>
        <v>0</v>
      </c>
      <c r="E263" s="491">
        <f t="shared" si="13"/>
        <v>2.5062855099878264E-2</v>
      </c>
      <c r="F263" s="477">
        <f t="shared" si="14"/>
        <v>0</v>
      </c>
    </row>
    <row r="264" spans="1:6">
      <c r="A264">
        <v>6745</v>
      </c>
      <c r="B264" t="s">
        <v>714</v>
      </c>
      <c r="C264" s="478"/>
      <c r="D264" s="477">
        <f t="shared" si="12"/>
        <v>0</v>
      </c>
      <c r="E264" s="491">
        <f t="shared" si="13"/>
        <v>2.5062855099878264E-2</v>
      </c>
      <c r="F264" s="477">
        <f t="shared" si="14"/>
        <v>0</v>
      </c>
    </row>
    <row r="265" spans="1:6">
      <c r="A265">
        <v>6750</v>
      </c>
      <c r="B265" t="s">
        <v>715</v>
      </c>
      <c r="C265" s="478"/>
      <c r="D265" s="477">
        <f t="shared" si="12"/>
        <v>0</v>
      </c>
      <c r="E265" s="491">
        <f t="shared" si="13"/>
        <v>2.5062855099878264E-2</v>
      </c>
      <c r="F265" s="477">
        <f t="shared" si="14"/>
        <v>0</v>
      </c>
    </row>
    <row r="266" spans="1:6">
      <c r="A266">
        <v>6755</v>
      </c>
      <c r="B266" t="s">
        <v>716</v>
      </c>
      <c r="C266" s="478"/>
      <c r="D266" s="477">
        <f t="shared" si="12"/>
        <v>0</v>
      </c>
      <c r="E266" s="491">
        <f t="shared" si="13"/>
        <v>2.5062855099878264E-2</v>
      </c>
      <c r="F266" s="477">
        <f t="shared" si="14"/>
        <v>0</v>
      </c>
    </row>
    <row r="267" spans="1:6">
      <c r="A267">
        <v>6760</v>
      </c>
      <c r="B267" t="s">
        <v>717</v>
      </c>
      <c r="C267" s="478"/>
      <c r="D267" s="477">
        <f t="shared" si="12"/>
        <v>0</v>
      </c>
      <c r="E267" s="491">
        <f t="shared" si="13"/>
        <v>2.5062855099878264E-2</v>
      </c>
      <c r="F267" s="477">
        <f t="shared" si="14"/>
        <v>0</v>
      </c>
    </row>
    <row r="268" spans="1:6">
      <c r="A268">
        <v>6765</v>
      </c>
      <c r="B268" t="s">
        <v>718</v>
      </c>
      <c r="C268" s="478"/>
      <c r="D268" s="477">
        <f t="shared" si="12"/>
        <v>0</v>
      </c>
      <c r="E268" s="491">
        <f t="shared" si="13"/>
        <v>2.5062855099878264E-2</v>
      </c>
      <c r="F268" s="477">
        <f t="shared" si="14"/>
        <v>0</v>
      </c>
    </row>
    <row r="269" spans="1:6">
      <c r="A269">
        <v>6770</v>
      </c>
      <c r="B269" t="s">
        <v>719</v>
      </c>
      <c r="C269" s="478"/>
      <c r="D269" s="477">
        <f t="shared" si="12"/>
        <v>0</v>
      </c>
      <c r="E269" s="491">
        <f t="shared" si="13"/>
        <v>2.5062855099878264E-2</v>
      </c>
      <c r="F269" s="477">
        <f t="shared" si="14"/>
        <v>0</v>
      </c>
    </row>
    <row r="270" spans="1:6">
      <c r="A270">
        <v>6775</v>
      </c>
      <c r="B270" t="s">
        <v>720</v>
      </c>
      <c r="C270" s="478"/>
      <c r="D270" s="477">
        <f t="shared" si="12"/>
        <v>0</v>
      </c>
      <c r="E270" s="491">
        <f t="shared" si="13"/>
        <v>2.5062855099878264E-2</v>
      </c>
      <c r="F270" s="477">
        <f t="shared" si="14"/>
        <v>0</v>
      </c>
    </row>
    <row r="271" spans="1:6">
      <c r="A271">
        <v>6780</v>
      </c>
      <c r="B271" t="s">
        <v>721</v>
      </c>
      <c r="C271" s="478"/>
      <c r="D271" s="477">
        <f t="shared" si="12"/>
        <v>0</v>
      </c>
      <c r="E271" s="491">
        <f t="shared" si="13"/>
        <v>2.5062855099878264E-2</v>
      </c>
      <c r="F271" s="477">
        <f t="shared" si="14"/>
        <v>0</v>
      </c>
    </row>
    <row r="272" spans="1:6">
      <c r="A272">
        <v>6785</v>
      </c>
      <c r="B272" t="s">
        <v>722</v>
      </c>
      <c r="C272" s="478"/>
      <c r="D272" s="477">
        <f t="shared" si="12"/>
        <v>0</v>
      </c>
      <c r="E272" s="491">
        <f t="shared" si="13"/>
        <v>2.5062855099878264E-2</v>
      </c>
      <c r="F272" s="477">
        <f t="shared" si="14"/>
        <v>0</v>
      </c>
    </row>
    <row r="273" spans="1:6">
      <c r="A273">
        <v>6790</v>
      </c>
      <c r="B273" t="s">
        <v>723</v>
      </c>
      <c r="C273" s="478"/>
      <c r="D273" s="477">
        <f t="shared" si="12"/>
        <v>0</v>
      </c>
      <c r="E273" s="491">
        <f t="shared" si="13"/>
        <v>2.5062855099878264E-2</v>
      </c>
      <c r="F273" s="477">
        <f t="shared" si="14"/>
        <v>0</v>
      </c>
    </row>
    <row r="274" spans="1:6">
      <c r="A274">
        <v>6795</v>
      </c>
      <c r="B274" t="s">
        <v>724</v>
      </c>
      <c r="C274" s="478"/>
      <c r="D274" s="477">
        <f t="shared" si="12"/>
        <v>0</v>
      </c>
      <c r="E274" s="491">
        <f t="shared" si="13"/>
        <v>2.5062855099878264E-2</v>
      </c>
      <c r="F274" s="477">
        <f t="shared" si="14"/>
        <v>0</v>
      </c>
    </row>
    <row r="275" spans="1:6">
      <c r="A275">
        <v>6800</v>
      </c>
      <c r="B275" t="s">
        <v>996</v>
      </c>
      <c r="C275" s="478"/>
      <c r="D275" s="477">
        <f t="shared" si="12"/>
        <v>0</v>
      </c>
      <c r="E275" s="491">
        <f t="shared" si="13"/>
        <v>2.5062855099878264E-2</v>
      </c>
      <c r="F275" s="477">
        <f t="shared" si="14"/>
        <v>0</v>
      </c>
    </row>
    <row r="276" spans="1:6">
      <c r="A276">
        <v>6805</v>
      </c>
      <c r="B276" t="s">
        <v>997</v>
      </c>
      <c r="C276" s="478"/>
      <c r="D276" s="477">
        <f t="shared" si="12"/>
        <v>0</v>
      </c>
      <c r="E276" s="491">
        <f t="shared" si="13"/>
        <v>2.5062855099878264E-2</v>
      </c>
      <c r="F276" s="477">
        <f t="shared" si="14"/>
        <v>0</v>
      </c>
    </row>
    <row r="277" spans="1:6">
      <c r="A277">
        <v>6810</v>
      </c>
      <c r="B277" t="s">
        <v>998</v>
      </c>
      <c r="C277" s="478"/>
      <c r="D277" s="477">
        <f t="shared" si="12"/>
        <v>0</v>
      </c>
      <c r="E277" s="491">
        <f t="shared" si="13"/>
        <v>2.5062855099878264E-2</v>
      </c>
      <c r="F277" s="477">
        <f t="shared" si="14"/>
        <v>0</v>
      </c>
    </row>
    <row r="278" spans="1:6">
      <c r="A278">
        <v>6815</v>
      </c>
      <c r="B278" t="s">
        <v>998</v>
      </c>
      <c r="C278" s="478"/>
      <c r="D278" s="477">
        <f t="shared" si="12"/>
        <v>0</v>
      </c>
      <c r="E278" s="491">
        <f t="shared" si="13"/>
        <v>2.5062855099878264E-2</v>
      </c>
      <c r="F278" s="477">
        <f t="shared" si="14"/>
        <v>0</v>
      </c>
    </row>
    <row r="279" spans="1:6">
      <c r="A279">
        <v>6820</v>
      </c>
      <c r="B279" t="s">
        <v>686</v>
      </c>
      <c r="C279" s="478"/>
      <c r="D279" s="477">
        <f t="shared" si="12"/>
        <v>0</v>
      </c>
      <c r="E279" s="491">
        <f t="shared" si="13"/>
        <v>2.5062855099878264E-2</v>
      </c>
      <c r="F279" s="477">
        <f t="shared" si="14"/>
        <v>0</v>
      </c>
    </row>
    <row r="280" spans="1:6">
      <c r="A280">
        <v>6825</v>
      </c>
      <c r="B280" t="s">
        <v>687</v>
      </c>
      <c r="C280" s="478"/>
      <c r="D280" s="477">
        <f t="shared" si="12"/>
        <v>0</v>
      </c>
      <c r="E280" s="491">
        <f t="shared" si="13"/>
        <v>2.5062855099878264E-2</v>
      </c>
      <c r="F280" s="477">
        <f t="shared" si="14"/>
        <v>0</v>
      </c>
    </row>
    <row r="281" spans="1:6">
      <c r="A281">
        <v>6830</v>
      </c>
      <c r="B281" t="s">
        <v>688</v>
      </c>
      <c r="C281" s="478"/>
      <c r="D281" s="477">
        <f t="shared" si="12"/>
        <v>0</v>
      </c>
      <c r="E281" s="491">
        <f t="shared" si="13"/>
        <v>2.5062855099878264E-2</v>
      </c>
      <c r="F281" s="477">
        <f t="shared" si="14"/>
        <v>0</v>
      </c>
    </row>
    <row r="282" spans="1:6">
      <c r="A282">
        <v>6835</v>
      </c>
      <c r="B282" t="s">
        <v>689</v>
      </c>
      <c r="C282" s="478"/>
      <c r="D282" s="477">
        <f t="shared" si="12"/>
        <v>0</v>
      </c>
      <c r="E282" s="491">
        <f t="shared" si="13"/>
        <v>2.5062855099878264E-2</v>
      </c>
      <c r="F282" s="477">
        <f t="shared" si="14"/>
        <v>0</v>
      </c>
    </row>
    <row r="283" spans="1:6">
      <c r="A283">
        <v>6840</v>
      </c>
      <c r="B283" t="s">
        <v>999</v>
      </c>
      <c r="C283" s="478"/>
      <c r="D283" s="477">
        <f t="shared" si="12"/>
        <v>0</v>
      </c>
      <c r="E283" s="491">
        <f t="shared" si="13"/>
        <v>2.5062855099878264E-2</v>
      </c>
      <c r="F283" s="477">
        <f t="shared" si="14"/>
        <v>0</v>
      </c>
    </row>
    <row r="284" spans="1:6">
      <c r="A284">
        <v>6845</v>
      </c>
      <c r="B284" t="s">
        <v>691</v>
      </c>
      <c r="C284" s="478"/>
      <c r="D284" s="477">
        <f t="shared" si="12"/>
        <v>0</v>
      </c>
      <c r="E284" s="491">
        <f t="shared" si="13"/>
        <v>2.5062855099878264E-2</v>
      </c>
      <c r="F284" s="477">
        <f t="shared" si="14"/>
        <v>0</v>
      </c>
    </row>
    <row r="285" spans="1:6">
      <c r="A285">
        <v>6850</v>
      </c>
      <c r="B285" t="s">
        <v>692</v>
      </c>
      <c r="C285" s="478"/>
      <c r="D285" s="477">
        <f t="shared" si="12"/>
        <v>0</v>
      </c>
      <c r="E285" s="491">
        <f t="shared" si="13"/>
        <v>2.5062855099878264E-2</v>
      </c>
      <c r="F285" s="477">
        <f t="shared" si="14"/>
        <v>0</v>
      </c>
    </row>
    <row r="286" spans="1:6">
      <c r="A286">
        <v>6855</v>
      </c>
      <c r="B286" t="s">
        <v>1000</v>
      </c>
      <c r="C286" s="478"/>
      <c r="D286" s="477">
        <f t="shared" si="12"/>
        <v>0</v>
      </c>
      <c r="E286" s="491">
        <f t="shared" si="13"/>
        <v>2.5062855099878264E-2</v>
      </c>
      <c r="F286" s="477">
        <f t="shared" si="14"/>
        <v>0</v>
      </c>
    </row>
    <row r="287" spans="1:6">
      <c r="A287">
        <v>6860</v>
      </c>
      <c r="B287" t="s">
        <v>1001</v>
      </c>
      <c r="C287" s="478"/>
      <c r="D287" s="477">
        <f t="shared" si="12"/>
        <v>0</v>
      </c>
      <c r="E287" s="491">
        <f t="shared" si="13"/>
        <v>2.5062855099878264E-2</v>
      </c>
      <c r="F287" s="477">
        <f t="shared" si="14"/>
        <v>0</v>
      </c>
    </row>
    <row r="288" spans="1:6">
      <c r="B288" t="s">
        <v>214</v>
      </c>
      <c r="C288" s="478"/>
      <c r="D288" s="477">
        <f t="shared" si="12"/>
        <v>0</v>
      </c>
      <c r="E288" s="491">
        <f t="shared" si="13"/>
        <v>2.5062855099878264E-2</v>
      </c>
      <c r="F288" s="477">
        <f t="shared" si="14"/>
        <v>0</v>
      </c>
    </row>
    <row r="289" spans="1:6">
      <c r="B289" t="s">
        <v>215</v>
      </c>
      <c r="C289" s="478"/>
      <c r="D289" s="477">
        <f t="shared" si="12"/>
        <v>0</v>
      </c>
      <c r="E289" s="491">
        <f t="shared" si="13"/>
        <v>2.5062855099878264E-2</v>
      </c>
      <c r="F289" s="477">
        <f t="shared" si="14"/>
        <v>0</v>
      </c>
    </row>
    <row r="290" spans="1:6">
      <c r="A290">
        <v>6875</v>
      </c>
      <c r="B290" t="s">
        <v>1002</v>
      </c>
      <c r="C290" s="478"/>
      <c r="D290" s="477">
        <f t="shared" si="12"/>
        <v>0</v>
      </c>
      <c r="E290" s="491">
        <f t="shared" si="13"/>
        <v>2.5062855099878264E-2</v>
      </c>
      <c r="F290" s="477">
        <f t="shared" si="14"/>
        <v>0</v>
      </c>
    </row>
    <row r="291" spans="1:6">
      <c r="A291">
        <v>6880</v>
      </c>
      <c r="B291" t="s">
        <v>1003</v>
      </c>
      <c r="C291" s="478"/>
      <c r="D291" s="477">
        <f t="shared" si="12"/>
        <v>0</v>
      </c>
      <c r="E291" s="491">
        <f t="shared" si="13"/>
        <v>2.5062855099878264E-2</v>
      </c>
      <c r="F291" s="477">
        <f t="shared" si="14"/>
        <v>0</v>
      </c>
    </row>
    <row r="292" spans="1:6">
      <c r="A292">
        <v>6885</v>
      </c>
      <c r="B292" t="s">
        <v>1004</v>
      </c>
      <c r="C292" s="478"/>
      <c r="D292" s="477">
        <f t="shared" si="12"/>
        <v>0</v>
      </c>
      <c r="E292" s="491">
        <f t="shared" si="13"/>
        <v>2.5062855099878264E-2</v>
      </c>
      <c r="F292" s="477">
        <f t="shared" si="14"/>
        <v>0</v>
      </c>
    </row>
    <row r="293" spans="1:6">
      <c r="A293">
        <v>6890</v>
      </c>
      <c r="B293" t="s">
        <v>1005</v>
      </c>
      <c r="C293" s="478"/>
      <c r="D293" s="477">
        <f t="shared" si="12"/>
        <v>0</v>
      </c>
      <c r="E293" s="491">
        <f t="shared" si="13"/>
        <v>2.5062855099878264E-2</v>
      </c>
      <c r="F293" s="477">
        <f t="shared" si="14"/>
        <v>0</v>
      </c>
    </row>
    <row r="294" spans="1:6">
      <c r="B294" t="s">
        <v>215</v>
      </c>
      <c r="C294" s="478"/>
      <c r="D294" s="477">
        <f t="shared" si="12"/>
        <v>0</v>
      </c>
      <c r="E294" s="491">
        <f t="shared" si="13"/>
        <v>2.5062855099878264E-2</v>
      </c>
      <c r="F294" s="477">
        <f t="shared" si="14"/>
        <v>0</v>
      </c>
    </row>
    <row r="295" spans="1:6">
      <c r="B295" t="s">
        <v>216</v>
      </c>
      <c r="C295" s="478"/>
      <c r="D295" s="477">
        <f t="shared" si="12"/>
        <v>0</v>
      </c>
      <c r="E295" s="491">
        <f t="shared" si="13"/>
        <v>2.5062855099878264E-2</v>
      </c>
      <c r="F295" s="477">
        <f t="shared" si="14"/>
        <v>0</v>
      </c>
    </row>
    <row r="296" spans="1:6">
      <c r="A296">
        <v>6905</v>
      </c>
      <c r="B296" t="s">
        <v>1006</v>
      </c>
      <c r="C296" s="478">
        <v>8338.69</v>
      </c>
      <c r="D296" s="477">
        <f t="shared" si="12"/>
        <v>8338.69</v>
      </c>
      <c r="E296" s="491">
        <f t="shared" si="13"/>
        <v>2.5062855099878264E-2</v>
      </c>
      <c r="F296" s="477">
        <f t="shared" si="14"/>
        <v>208.99137919280389</v>
      </c>
    </row>
    <row r="297" spans="1:6">
      <c r="B297" t="s">
        <v>216</v>
      </c>
      <c r="C297" s="478">
        <v>8338.69</v>
      </c>
      <c r="D297" s="477">
        <f t="shared" si="12"/>
        <v>8338.69</v>
      </c>
      <c r="E297" s="491">
        <f t="shared" si="13"/>
        <v>2.5062855099878264E-2</v>
      </c>
      <c r="F297" s="477">
        <f t="shared" si="14"/>
        <v>208.99137919280389</v>
      </c>
    </row>
    <row r="298" spans="1:6">
      <c r="B298" t="s">
        <v>217</v>
      </c>
      <c r="C298" s="478"/>
      <c r="D298" s="477">
        <f t="shared" si="12"/>
        <v>0</v>
      </c>
      <c r="E298" s="491">
        <f t="shared" si="13"/>
        <v>2.5062855099878264E-2</v>
      </c>
      <c r="F298" s="477">
        <f t="shared" si="14"/>
        <v>0</v>
      </c>
    </row>
    <row r="299" spans="1:6">
      <c r="A299">
        <v>6920</v>
      </c>
      <c r="B299" t="s">
        <v>1007</v>
      </c>
      <c r="C299" s="478">
        <v>495177.18</v>
      </c>
      <c r="D299" s="477">
        <f t="shared" si="12"/>
        <v>495177.18</v>
      </c>
      <c r="E299" s="491">
        <f t="shared" si="13"/>
        <v>2.5062855099878264E-2</v>
      </c>
      <c r="F299" s="477">
        <f t="shared" si="14"/>
        <v>12410.553911106337</v>
      </c>
    </row>
    <row r="300" spans="1:6">
      <c r="B300" t="s">
        <v>217</v>
      </c>
      <c r="C300" s="478">
        <v>495177.18</v>
      </c>
      <c r="D300" s="477">
        <f t="shared" si="12"/>
        <v>495177.18</v>
      </c>
      <c r="E300" s="491">
        <f t="shared" si="13"/>
        <v>2.5062855099878264E-2</v>
      </c>
      <c r="F300" s="477">
        <f t="shared" si="14"/>
        <v>12410.553911106337</v>
      </c>
    </row>
    <row r="301" spans="1:6">
      <c r="A301">
        <v>6940</v>
      </c>
      <c r="B301" t="s">
        <v>1008</v>
      </c>
      <c r="C301" s="478"/>
      <c r="D301" s="477">
        <f t="shared" si="12"/>
        <v>0</v>
      </c>
      <c r="E301" s="491">
        <f t="shared" si="13"/>
        <v>2.5062855099878264E-2</v>
      </c>
      <c r="F301" s="477">
        <f t="shared" si="14"/>
        <v>0</v>
      </c>
    </row>
    <row r="302" spans="1:6">
      <c r="A302">
        <v>6945</v>
      </c>
      <c r="B302" t="s">
        <v>1009</v>
      </c>
      <c r="C302" s="478"/>
      <c r="D302" s="477">
        <f t="shared" si="12"/>
        <v>0</v>
      </c>
      <c r="E302" s="491">
        <f t="shared" si="13"/>
        <v>2.5062855099878264E-2</v>
      </c>
      <c r="F302" s="477">
        <f t="shared" si="14"/>
        <v>0</v>
      </c>
    </row>
    <row r="303" spans="1:6">
      <c r="A303">
        <v>6950</v>
      </c>
      <c r="B303" t="s">
        <v>1010</v>
      </c>
      <c r="C303" s="478"/>
      <c r="D303" s="477">
        <f t="shared" si="12"/>
        <v>0</v>
      </c>
      <c r="E303" s="491">
        <f t="shared" si="13"/>
        <v>2.5062855099878264E-2</v>
      </c>
      <c r="F303" s="477">
        <f t="shared" si="14"/>
        <v>0</v>
      </c>
    </row>
    <row r="304" spans="1:6">
      <c r="A304">
        <v>6955</v>
      </c>
      <c r="B304" t="s">
        <v>1011</v>
      </c>
      <c r="C304" s="478"/>
      <c r="D304" s="477">
        <f t="shared" si="12"/>
        <v>0</v>
      </c>
      <c r="E304" s="491">
        <f t="shared" si="13"/>
        <v>2.5062855099878264E-2</v>
      </c>
      <c r="F304" s="477">
        <f t="shared" si="14"/>
        <v>0</v>
      </c>
    </row>
    <row r="305" spans="1:6">
      <c r="A305">
        <v>6960</v>
      </c>
      <c r="B305" t="s">
        <v>1012</v>
      </c>
      <c r="C305" s="478"/>
      <c r="D305" s="477">
        <f t="shared" si="12"/>
        <v>0</v>
      </c>
      <c r="E305" s="491">
        <f t="shared" si="13"/>
        <v>2.5062855099878264E-2</v>
      </c>
      <c r="F305" s="477">
        <f t="shared" si="14"/>
        <v>0</v>
      </c>
    </row>
    <row r="306" spans="1:6">
      <c r="A306">
        <v>6965</v>
      </c>
      <c r="B306" t="s">
        <v>1013</v>
      </c>
      <c r="C306" s="478"/>
      <c r="D306" s="477">
        <f t="shared" si="12"/>
        <v>0</v>
      </c>
      <c r="E306" s="491">
        <f t="shared" si="13"/>
        <v>2.5062855099878264E-2</v>
      </c>
      <c r="F306" s="477">
        <f t="shared" si="14"/>
        <v>0</v>
      </c>
    </row>
    <row r="307" spans="1:6">
      <c r="B307" t="s">
        <v>218</v>
      </c>
      <c r="C307" s="478"/>
      <c r="D307" s="477">
        <f t="shared" si="12"/>
        <v>0</v>
      </c>
      <c r="E307" s="491">
        <f t="shared" si="13"/>
        <v>2.5062855099878264E-2</v>
      </c>
      <c r="F307" s="477">
        <f t="shared" si="14"/>
        <v>0</v>
      </c>
    </row>
    <row r="308" spans="1:6">
      <c r="A308">
        <v>6985</v>
      </c>
      <c r="B308" t="s">
        <v>1014</v>
      </c>
      <c r="C308" s="478"/>
      <c r="D308" s="477">
        <f t="shared" si="12"/>
        <v>0</v>
      </c>
      <c r="E308" s="491">
        <f t="shared" si="13"/>
        <v>2.5062855099878264E-2</v>
      </c>
      <c r="F308" s="477">
        <f t="shared" si="14"/>
        <v>0</v>
      </c>
    </row>
    <row r="309" spans="1:6">
      <c r="A309">
        <v>6990</v>
      </c>
      <c r="B309" t="s">
        <v>1015</v>
      </c>
      <c r="C309" s="478"/>
      <c r="D309" s="477">
        <f t="shared" si="12"/>
        <v>0</v>
      </c>
      <c r="E309" s="491">
        <f t="shared" si="13"/>
        <v>2.5062855099878264E-2</v>
      </c>
      <c r="F309" s="477">
        <f t="shared" si="14"/>
        <v>0</v>
      </c>
    </row>
    <row r="310" spans="1:6">
      <c r="A310">
        <v>6995</v>
      </c>
      <c r="B310" t="s">
        <v>1016</v>
      </c>
      <c r="C310" s="478"/>
      <c r="D310" s="477">
        <f t="shared" si="12"/>
        <v>0</v>
      </c>
      <c r="E310" s="491">
        <f t="shared" si="13"/>
        <v>2.5062855099878264E-2</v>
      </c>
      <c r="F310" s="477">
        <f t="shared" si="14"/>
        <v>0</v>
      </c>
    </row>
    <row r="311" spans="1:6">
      <c r="A311">
        <v>7000</v>
      </c>
      <c r="B311" t="s">
        <v>1017</v>
      </c>
      <c r="C311" s="478"/>
      <c r="D311" s="477">
        <f t="shared" si="12"/>
        <v>0</v>
      </c>
      <c r="E311" s="491">
        <f t="shared" si="13"/>
        <v>2.5062855099878264E-2</v>
      </c>
      <c r="F311" s="477">
        <f t="shared" si="14"/>
        <v>0</v>
      </c>
    </row>
    <row r="312" spans="1:6">
      <c r="A312">
        <v>7005</v>
      </c>
      <c r="B312" t="s">
        <v>1018</v>
      </c>
      <c r="C312" s="478"/>
      <c r="D312" s="477">
        <f t="shared" si="12"/>
        <v>0</v>
      </c>
      <c r="E312" s="491">
        <f t="shared" si="13"/>
        <v>2.5062855099878264E-2</v>
      </c>
      <c r="F312" s="477">
        <f t="shared" si="14"/>
        <v>0</v>
      </c>
    </row>
    <row r="313" spans="1:6">
      <c r="A313">
        <v>7010</v>
      </c>
      <c r="B313" t="s">
        <v>1019</v>
      </c>
      <c r="C313" s="478"/>
      <c r="D313" s="477">
        <f t="shared" si="12"/>
        <v>0</v>
      </c>
      <c r="E313" s="491">
        <f t="shared" si="13"/>
        <v>2.5062855099878264E-2</v>
      </c>
      <c r="F313" s="477">
        <f t="shared" si="14"/>
        <v>0</v>
      </c>
    </row>
    <row r="314" spans="1:6">
      <c r="A314">
        <v>7015</v>
      </c>
      <c r="B314" t="s">
        <v>1020</v>
      </c>
      <c r="C314" s="478"/>
      <c r="D314" s="477">
        <f t="shared" si="12"/>
        <v>0</v>
      </c>
      <c r="E314" s="491">
        <f t="shared" si="13"/>
        <v>2.5062855099878264E-2</v>
      </c>
      <c r="F314" s="477">
        <f t="shared" si="14"/>
        <v>0</v>
      </c>
    </row>
    <row r="315" spans="1:6">
      <c r="A315">
        <v>7020</v>
      </c>
      <c r="B315" t="s">
        <v>1021</v>
      </c>
      <c r="C315" s="478"/>
      <c r="D315" s="477">
        <f t="shared" si="12"/>
        <v>0</v>
      </c>
      <c r="E315" s="491">
        <f t="shared" si="13"/>
        <v>2.5062855099878264E-2</v>
      </c>
      <c r="F315" s="477">
        <f t="shared" si="14"/>
        <v>0</v>
      </c>
    </row>
    <row r="316" spans="1:6">
      <c r="A316">
        <v>7025</v>
      </c>
      <c r="B316" t="s">
        <v>1022</v>
      </c>
      <c r="C316" s="478"/>
      <c r="D316" s="477">
        <f t="shared" si="12"/>
        <v>0</v>
      </c>
      <c r="E316" s="491">
        <f t="shared" si="13"/>
        <v>2.5062855099878264E-2</v>
      </c>
      <c r="F316" s="477">
        <f t="shared" si="14"/>
        <v>0</v>
      </c>
    </row>
    <row r="317" spans="1:6">
      <c r="A317">
        <v>7030</v>
      </c>
      <c r="B317" t="s">
        <v>1023</v>
      </c>
      <c r="C317" s="478"/>
      <c r="D317" s="477">
        <f t="shared" si="12"/>
        <v>0</v>
      </c>
      <c r="E317" s="491">
        <f t="shared" si="13"/>
        <v>2.5062855099878264E-2</v>
      </c>
      <c r="F317" s="477">
        <f t="shared" si="14"/>
        <v>0</v>
      </c>
    </row>
    <row r="318" spans="1:6">
      <c r="A318">
        <v>7035</v>
      </c>
      <c r="B318" t="s">
        <v>1024</v>
      </c>
      <c r="C318" s="478"/>
      <c r="D318" s="477">
        <f t="shared" si="12"/>
        <v>0</v>
      </c>
      <c r="E318" s="491">
        <f t="shared" si="13"/>
        <v>2.5062855099878264E-2</v>
      </c>
      <c r="F318" s="477">
        <f t="shared" si="14"/>
        <v>0</v>
      </c>
    </row>
    <row r="319" spans="1:6">
      <c r="A319">
        <v>7040</v>
      </c>
      <c r="B319" t="s">
        <v>1025</v>
      </c>
      <c r="C319" s="478"/>
      <c r="D319" s="477">
        <f t="shared" si="12"/>
        <v>0</v>
      </c>
      <c r="E319" s="491">
        <f t="shared" si="13"/>
        <v>2.5062855099878264E-2</v>
      </c>
      <c r="F319" s="477">
        <f t="shared" si="14"/>
        <v>0</v>
      </c>
    </row>
    <row r="320" spans="1:6">
      <c r="A320">
        <v>7045</v>
      </c>
      <c r="B320" t="s">
        <v>1026</v>
      </c>
      <c r="C320" s="478"/>
      <c r="D320" s="477">
        <f t="shared" si="12"/>
        <v>0</v>
      </c>
      <c r="E320" s="491">
        <f t="shared" si="13"/>
        <v>2.5062855099878264E-2</v>
      </c>
      <c r="F320" s="477">
        <f t="shared" si="14"/>
        <v>0</v>
      </c>
    </row>
    <row r="321" spans="1:6">
      <c r="A321">
        <v>7050</v>
      </c>
      <c r="B321" t="s">
        <v>1027</v>
      </c>
      <c r="C321" s="478"/>
      <c r="D321" s="477">
        <f t="shared" si="12"/>
        <v>0</v>
      </c>
      <c r="E321" s="491">
        <f t="shared" si="13"/>
        <v>2.5062855099878264E-2</v>
      </c>
      <c r="F321" s="477">
        <f t="shared" si="14"/>
        <v>0</v>
      </c>
    </row>
    <row r="322" spans="1:6">
      <c r="A322">
        <v>7055</v>
      </c>
      <c r="B322" t="s">
        <v>1028</v>
      </c>
      <c r="C322" s="478"/>
      <c r="D322" s="477">
        <f t="shared" si="12"/>
        <v>0</v>
      </c>
      <c r="E322" s="491">
        <f t="shared" si="13"/>
        <v>2.5062855099878264E-2</v>
      </c>
      <c r="F322" s="477">
        <f t="shared" si="14"/>
        <v>0</v>
      </c>
    </row>
    <row r="323" spans="1:6">
      <c r="A323">
        <v>7060</v>
      </c>
      <c r="B323" t="s">
        <v>1029</v>
      </c>
      <c r="C323" s="478"/>
      <c r="D323" s="477">
        <f t="shared" si="12"/>
        <v>0</v>
      </c>
      <c r="E323" s="491">
        <f t="shared" si="13"/>
        <v>2.5062855099878264E-2</v>
      </c>
      <c r="F323" s="477">
        <f t="shared" si="14"/>
        <v>0</v>
      </c>
    </row>
    <row r="324" spans="1:6">
      <c r="A324">
        <v>7065</v>
      </c>
      <c r="B324" t="s">
        <v>1030</v>
      </c>
      <c r="C324" s="478"/>
      <c r="D324" s="477">
        <f t="shared" si="12"/>
        <v>0</v>
      </c>
      <c r="E324" s="491">
        <f t="shared" si="13"/>
        <v>2.5062855099878264E-2</v>
      </c>
      <c r="F324" s="477">
        <f t="shared" si="14"/>
        <v>0</v>
      </c>
    </row>
    <row r="325" spans="1:6">
      <c r="A325">
        <v>7070</v>
      </c>
      <c r="B325" t="s">
        <v>1031</v>
      </c>
      <c r="C325" s="478"/>
      <c r="D325" s="477">
        <f t="shared" si="12"/>
        <v>0</v>
      </c>
      <c r="E325" s="491">
        <f t="shared" si="13"/>
        <v>2.5062855099878264E-2</v>
      </c>
      <c r="F325" s="477">
        <f t="shared" si="14"/>
        <v>0</v>
      </c>
    </row>
    <row r="326" spans="1:6">
      <c r="A326">
        <v>7075</v>
      </c>
      <c r="B326" t="s">
        <v>1032</v>
      </c>
      <c r="C326" s="478"/>
      <c r="D326" s="477">
        <f t="shared" ref="D326:D389" si="15">C326</f>
        <v>0</v>
      </c>
      <c r="E326" s="491">
        <f t="shared" ref="E326:E389" si="16">E$3</f>
        <v>2.5062855099878264E-2</v>
      </c>
      <c r="F326" s="477">
        <f t="shared" ref="F326:F389" si="17">E326*D326</f>
        <v>0</v>
      </c>
    </row>
    <row r="327" spans="1:6">
      <c r="A327">
        <v>7080</v>
      </c>
      <c r="B327" t="s">
        <v>1033</v>
      </c>
      <c r="C327" s="478"/>
      <c r="D327" s="477">
        <f t="shared" si="15"/>
        <v>0</v>
      </c>
      <c r="E327" s="491">
        <f t="shared" si="16"/>
        <v>2.5062855099878264E-2</v>
      </c>
      <c r="F327" s="477">
        <f t="shared" si="17"/>
        <v>0</v>
      </c>
    </row>
    <row r="328" spans="1:6">
      <c r="A328">
        <v>7085</v>
      </c>
      <c r="B328" t="s">
        <v>1034</v>
      </c>
      <c r="C328" s="478"/>
      <c r="D328" s="477">
        <f t="shared" si="15"/>
        <v>0</v>
      </c>
      <c r="E328" s="491">
        <f t="shared" si="16"/>
        <v>2.5062855099878264E-2</v>
      </c>
      <c r="F328" s="477">
        <f t="shared" si="17"/>
        <v>0</v>
      </c>
    </row>
    <row r="329" spans="1:6">
      <c r="A329">
        <v>7090</v>
      </c>
      <c r="B329" t="s">
        <v>1035</v>
      </c>
      <c r="C329" s="478"/>
      <c r="D329" s="477">
        <f t="shared" si="15"/>
        <v>0</v>
      </c>
      <c r="E329" s="491">
        <f t="shared" si="16"/>
        <v>2.5062855099878264E-2</v>
      </c>
      <c r="F329" s="477">
        <f t="shared" si="17"/>
        <v>0</v>
      </c>
    </row>
    <row r="330" spans="1:6">
      <c r="A330">
        <v>7095</v>
      </c>
      <c r="B330" t="s">
        <v>1036</v>
      </c>
      <c r="C330" s="478"/>
      <c r="D330" s="477">
        <f t="shared" si="15"/>
        <v>0</v>
      </c>
      <c r="E330" s="491">
        <f t="shared" si="16"/>
        <v>2.5062855099878264E-2</v>
      </c>
      <c r="F330" s="477">
        <f t="shared" si="17"/>
        <v>0</v>
      </c>
    </row>
    <row r="331" spans="1:6">
      <c r="A331">
        <v>7100</v>
      </c>
      <c r="B331" t="s">
        <v>1037</v>
      </c>
      <c r="C331" s="478"/>
      <c r="D331" s="477">
        <f t="shared" si="15"/>
        <v>0</v>
      </c>
      <c r="E331" s="491">
        <f t="shared" si="16"/>
        <v>2.5062855099878264E-2</v>
      </c>
      <c r="F331" s="477">
        <f t="shared" si="17"/>
        <v>0</v>
      </c>
    </row>
    <row r="332" spans="1:6">
      <c r="A332">
        <v>7105</v>
      </c>
      <c r="B332" t="s">
        <v>1038</v>
      </c>
      <c r="C332" s="478"/>
      <c r="D332" s="477">
        <f t="shared" si="15"/>
        <v>0</v>
      </c>
      <c r="E332" s="491">
        <f t="shared" si="16"/>
        <v>2.5062855099878264E-2</v>
      </c>
      <c r="F332" s="477">
        <f t="shared" si="17"/>
        <v>0</v>
      </c>
    </row>
    <row r="333" spans="1:6">
      <c r="A333">
        <v>7110</v>
      </c>
      <c r="B333" t="s">
        <v>1039</v>
      </c>
      <c r="C333" s="478"/>
      <c r="D333" s="477">
        <f t="shared" si="15"/>
        <v>0</v>
      </c>
      <c r="E333" s="491">
        <f t="shared" si="16"/>
        <v>2.5062855099878264E-2</v>
      </c>
      <c r="F333" s="477">
        <f t="shared" si="17"/>
        <v>0</v>
      </c>
    </row>
    <row r="334" spans="1:6">
      <c r="A334">
        <v>7115</v>
      </c>
      <c r="B334" t="s">
        <v>1071</v>
      </c>
      <c r="C334" s="478"/>
      <c r="D334" s="477">
        <f t="shared" si="15"/>
        <v>0</v>
      </c>
      <c r="E334" s="491">
        <f t="shared" si="16"/>
        <v>2.5062855099878264E-2</v>
      </c>
      <c r="F334" s="477">
        <f t="shared" si="17"/>
        <v>0</v>
      </c>
    </row>
    <row r="335" spans="1:6">
      <c r="A335">
        <v>7120</v>
      </c>
      <c r="B335" t="s">
        <v>1072</v>
      </c>
      <c r="C335" s="478"/>
      <c r="D335" s="477">
        <f t="shared" si="15"/>
        <v>0</v>
      </c>
      <c r="E335" s="491">
        <f t="shared" si="16"/>
        <v>2.5062855099878264E-2</v>
      </c>
      <c r="F335" s="477">
        <f t="shared" si="17"/>
        <v>0</v>
      </c>
    </row>
    <row r="336" spans="1:6">
      <c r="A336">
        <v>7125</v>
      </c>
      <c r="B336" t="s">
        <v>1073</v>
      </c>
      <c r="C336" s="478"/>
      <c r="D336" s="477">
        <f t="shared" si="15"/>
        <v>0</v>
      </c>
      <c r="E336" s="491">
        <f t="shared" si="16"/>
        <v>2.5062855099878264E-2</v>
      </c>
      <c r="F336" s="477">
        <f t="shared" si="17"/>
        <v>0</v>
      </c>
    </row>
    <row r="337" spans="1:6">
      <c r="A337">
        <v>7130</v>
      </c>
      <c r="B337" t="s">
        <v>1074</v>
      </c>
      <c r="C337" s="478"/>
      <c r="D337" s="477">
        <f t="shared" si="15"/>
        <v>0</v>
      </c>
      <c r="E337" s="491">
        <f t="shared" si="16"/>
        <v>2.5062855099878264E-2</v>
      </c>
      <c r="F337" s="477">
        <f t="shared" si="17"/>
        <v>0</v>
      </c>
    </row>
    <row r="338" spans="1:6">
      <c r="A338">
        <v>7135</v>
      </c>
      <c r="B338" t="s">
        <v>1075</v>
      </c>
      <c r="C338" s="478"/>
      <c r="D338" s="477">
        <f t="shared" si="15"/>
        <v>0</v>
      </c>
      <c r="E338" s="491">
        <f t="shared" si="16"/>
        <v>2.5062855099878264E-2</v>
      </c>
      <c r="F338" s="477">
        <f t="shared" si="17"/>
        <v>0</v>
      </c>
    </row>
    <row r="339" spans="1:6">
      <c r="A339">
        <v>7140</v>
      </c>
      <c r="B339" t="s">
        <v>1076</v>
      </c>
      <c r="C339" s="478"/>
      <c r="D339" s="477">
        <f t="shared" si="15"/>
        <v>0</v>
      </c>
      <c r="E339" s="491">
        <f t="shared" si="16"/>
        <v>2.5062855099878264E-2</v>
      </c>
      <c r="F339" s="477">
        <f t="shared" si="17"/>
        <v>0</v>
      </c>
    </row>
    <row r="340" spans="1:6">
      <c r="A340">
        <v>7145</v>
      </c>
      <c r="B340" t="s">
        <v>1077</v>
      </c>
      <c r="C340" s="478"/>
      <c r="D340" s="477">
        <f t="shared" si="15"/>
        <v>0</v>
      </c>
      <c r="E340" s="491">
        <f t="shared" si="16"/>
        <v>2.5062855099878264E-2</v>
      </c>
      <c r="F340" s="477">
        <f t="shared" si="17"/>
        <v>0</v>
      </c>
    </row>
    <row r="341" spans="1:6">
      <c r="A341">
        <v>7150</v>
      </c>
      <c r="B341" t="s">
        <v>1078</v>
      </c>
      <c r="C341" s="478"/>
      <c r="D341" s="477">
        <f t="shared" si="15"/>
        <v>0</v>
      </c>
      <c r="E341" s="491">
        <f t="shared" si="16"/>
        <v>2.5062855099878264E-2</v>
      </c>
      <c r="F341" s="477">
        <f t="shared" si="17"/>
        <v>0</v>
      </c>
    </row>
    <row r="342" spans="1:6">
      <c r="A342">
        <v>7155</v>
      </c>
      <c r="B342" t="s">
        <v>1079</v>
      </c>
      <c r="C342" s="478"/>
      <c r="D342" s="477">
        <f t="shared" si="15"/>
        <v>0</v>
      </c>
      <c r="E342" s="491">
        <f t="shared" si="16"/>
        <v>2.5062855099878264E-2</v>
      </c>
      <c r="F342" s="477">
        <f t="shared" si="17"/>
        <v>0</v>
      </c>
    </row>
    <row r="343" spans="1:6">
      <c r="A343">
        <v>7160</v>
      </c>
      <c r="B343" t="s">
        <v>108</v>
      </c>
      <c r="C343" s="478"/>
      <c r="D343" s="477">
        <f t="shared" si="15"/>
        <v>0</v>
      </c>
      <c r="E343" s="491">
        <f t="shared" si="16"/>
        <v>2.5062855099878264E-2</v>
      </c>
      <c r="F343" s="477">
        <f t="shared" si="17"/>
        <v>0</v>
      </c>
    </row>
    <row r="344" spans="1:6">
      <c r="A344">
        <v>7165</v>
      </c>
      <c r="B344" t="s">
        <v>109</v>
      </c>
      <c r="C344" s="478"/>
      <c r="D344" s="477">
        <f t="shared" si="15"/>
        <v>0</v>
      </c>
      <c r="E344" s="491">
        <f t="shared" si="16"/>
        <v>2.5062855099878264E-2</v>
      </c>
      <c r="F344" s="477">
        <f t="shared" si="17"/>
        <v>0</v>
      </c>
    </row>
    <row r="345" spans="1:6">
      <c r="A345">
        <v>7170</v>
      </c>
      <c r="B345" t="s">
        <v>110</v>
      </c>
      <c r="C345" s="478"/>
      <c r="D345" s="477">
        <f t="shared" si="15"/>
        <v>0</v>
      </c>
      <c r="E345" s="491">
        <f t="shared" si="16"/>
        <v>2.5062855099878264E-2</v>
      </c>
      <c r="F345" s="477">
        <f t="shared" si="17"/>
        <v>0</v>
      </c>
    </row>
    <row r="346" spans="1:6">
      <c r="A346">
        <v>7175</v>
      </c>
      <c r="B346" t="s">
        <v>111</v>
      </c>
      <c r="C346" s="478"/>
      <c r="D346" s="477">
        <f t="shared" si="15"/>
        <v>0</v>
      </c>
      <c r="E346" s="491">
        <f t="shared" si="16"/>
        <v>2.5062855099878264E-2</v>
      </c>
      <c r="F346" s="477">
        <f t="shared" si="17"/>
        <v>0</v>
      </c>
    </row>
    <row r="347" spans="1:6">
      <c r="A347">
        <v>7180</v>
      </c>
      <c r="B347" t="s">
        <v>112</v>
      </c>
      <c r="C347" s="478"/>
      <c r="D347" s="477">
        <f t="shared" si="15"/>
        <v>0</v>
      </c>
      <c r="E347" s="491">
        <f t="shared" si="16"/>
        <v>2.5062855099878264E-2</v>
      </c>
      <c r="F347" s="477">
        <f t="shared" si="17"/>
        <v>0</v>
      </c>
    </row>
    <row r="348" spans="1:6">
      <c r="A348">
        <v>7185</v>
      </c>
      <c r="B348" t="s">
        <v>991</v>
      </c>
      <c r="C348" s="478"/>
      <c r="D348" s="477">
        <f t="shared" si="15"/>
        <v>0</v>
      </c>
      <c r="E348" s="491">
        <f t="shared" si="16"/>
        <v>2.5062855099878264E-2</v>
      </c>
      <c r="F348" s="477">
        <f t="shared" si="17"/>
        <v>0</v>
      </c>
    </row>
    <row r="349" spans="1:6">
      <c r="B349" t="s">
        <v>218</v>
      </c>
      <c r="C349" s="478"/>
      <c r="D349" s="477">
        <f t="shared" si="15"/>
        <v>0</v>
      </c>
      <c r="E349" s="491">
        <f t="shared" si="16"/>
        <v>2.5062855099878264E-2</v>
      </c>
      <c r="F349" s="477">
        <f t="shared" si="17"/>
        <v>0</v>
      </c>
    </row>
    <row r="350" spans="1:6">
      <c r="B350" t="s">
        <v>219</v>
      </c>
      <c r="C350" s="478"/>
      <c r="D350" s="477">
        <f t="shared" si="15"/>
        <v>0</v>
      </c>
      <c r="E350" s="491">
        <f t="shared" si="16"/>
        <v>2.5062855099878264E-2</v>
      </c>
      <c r="F350" s="477">
        <f t="shared" si="17"/>
        <v>0</v>
      </c>
    </row>
    <row r="351" spans="1:6">
      <c r="A351">
        <v>7205</v>
      </c>
      <c r="B351" t="s">
        <v>1014</v>
      </c>
      <c r="C351" s="478"/>
      <c r="D351" s="477">
        <f t="shared" si="15"/>
        <v>0</v>
      </c>
      <c r="E351" s="491">
        <f t="shared" si="16"/>
        <v>2.5062855099878264E-2</v>
      </c>
      <c r="F351" s="477">
        <f t="shared" si="17"/>
        <v>0</v>
      </c>
    </row>
    <row r="352" spans="1:6">
      <c r="A352">
        <v>7210</v>
      </c>
      <c r="B352" t="s">
        <v>992</v>
      </c>
      <c r="C352" s="478"/>
      <c r="D352" s="477">
        <f t="shared" si="15"/>
        <v>0</v>
      </c>
      <c r="E352" s="491">
        <f t="shared" si="16"/>
        <v>2.5062855099878264E-2</v>
      </c>
      <c r="F352" s="477">
        <f t="shared" si="17"/>
        <v>0</v>
      </c>
    </row>
    <row r="353" spans="1:6">
      <c r="A353">
        <v>7215</v>
      </c>
      <c r="B353" t="s">
        <v>993</v>
      </c>
      <c r="C353" s="478"/>
      <c r="D353" s="477">
        <f t="shared" si="15"/>
        <v>0</v>
      </c>
      <c r="E353" s="491">
        <f t="shared" si="16"/>
        <v>2.5062855099878264E-2</v>
      </c>
      <c r="F353" s="477">
        <f t="shared" si="17"/>
        <v>0</v>
      </c>
    </row>
    <row r="354" spans="1:6">
      <c r="A354">
        <v>7220</v>
      </c>
      <c r="B354" t="s">
        <v>994</v>
      </c>
      <c r="C354" s="478"/>
      <c r="D354" s="477">
        <f t="shared" si="15"/>
        <v>0</v>
      </c>
      <c r="E354" s="491">
        <f t="shared" si="16"/>
        <v>2.5062855099878264E-2</v>
      </c>
      <c r="F354" s="477">
        <f t="shared" si="17"/>
        <v>0</v>
      </c>
    </row>
    <row r="355" spans="1:6">
      <c r="A355">
        <v>7225</v>
      </c>
      <c r="B355" t="s">
        <v>995</v>
      </c>
      <c r="C355" s="478"/>
      <c r="D355" s="477">
        <f t="shared" si="15"/>
        <v>0</v>
      </c>
      <c r="E355" s="491">
        <f t="shared" si="16"/>
        <v>2.5062855099878264E-2</v>
      </c>
      <c r="F355" s="477">
        <f t="shared" si="17"/>
        <v>0</v>
      </c>
    </row>
    <row r="356" spans="1:6">
      <c r="A356">
        <v>7230</v>
      </c>
      <c r="B356" t="s">
        <v>407</v>
      </c>
      <c r="C356" s="478"/>
      <c r="D356" s="477">
        <f t="shared" si="15"/>
        <v>0</v>
      </c>
      <c r="E356" s="491">
        <f t="shared" si="16"/>
        <v>2.5062855099878264E-2</v>
      </c>
      <c r="F356" s="477">
        <f t="shared" si="17"/>
        <v>0</v>
      </c>
    </row>
    <row r="357" spans="1:6">
      <c r="A357">
        <v>7235</v>
      </c>
      <c r="B357" t="s">
        <v>408</v>
      </c>
      <c r="C357" s="478"/>
      <c r="D357" s="477">
        <f t="shared" si="15"/>
        <v>0</v>
      </c>
      <c r="E357" s="491">
        <f t="shared" si="16"/>
        <v>2.5062855099878264E-2</v>
      </c>
      <c r="F357" s="477">
        <f t="shared" si="17"/>
        <v>0</v>
      </c>
    </row>
    <row r="358" spans="1:6">
      <c r="A358">
        <v>7240</v>
      </c>
      <c r="B358" t="s">
        <v>409</v>
      </c>
      <c r="C358" s="478"/>
      <c r="D358" s="477">
        <f t="shared" si="15"/>
        <v>0</v>
      </c>
      <c r="E358" s="491">
        <f t="shared" si="16"/>
        <v>2.5062855099878264E-2</v>
      </c>
      <c r="F358" s="477">
        <f t="shared" si="17"/>
        <v>0</v>
      </c>
    </row>
    <row r="359" spans="1:6">
      <c r="A359">
        <v>7245</v>
      </c>
      <c r="B359" t="s">
        <v>410</v>
      </c>
      <c r="C359" s="478"/>
      <c r="D359" s="477">
        <f t="shared" si="15"/>
        <v>0</v>
      </c>
      <c r="E359" s="491">
        <f t="shared" si="16"/>
        <v>2.5062855099878264E-2</v>
      </c>
      <c r="F359" s="477">
        <f t="shared" si="17"/>
        <v>0</v>
      </c>
    </row>
    <row r="360" spans="1:6">
      <c r="A360">
        <v>7250</v>
      </c>
      <c r="B360" t="s">
        <v>411</v>
      </c>
      <c r="C360" s="478"/>
      <c r="D360" s="477">
        <f t="shared" si="15"/>
        <v>0</v>
      </c>
      <c r="E360" s="491">
        <f t="shared" si="16"/>
        <v>2.5062855099878264E-2</v>
      </c>
      <c r="F360" s="477">
        <f t="shared" si="17"/>
        <v>0</v>
      </c>
    </row>
    <row r="361" spans="1:6">
      <c r="A361">
        <v>7255</v>
      </c>
      <c r="B361" t="s">
        <v>412</v>
      </c>
      <c r="C361" s="478"/>
      <c r="D361" s="477">
        <f t="shared" si="15"/>
        <v>0</v>
      </c>
      <c r="E361" s="491">
        <f t="shared" si="16"/>
        <v>2.5062855099878264E-2</v>
      </c>
      <c r="F361" s="477">
        <f t="shared" si="17"/>
        <v>0</v>
      </c>
    </row>
    <row r="362" spans="1:6">
      <c r="A362">
        <v>7260</v>
      </c>
      <c r="B362" t="s">
        <v>413</v>
      </c>
      <c r="C362" s="478"/>
      <c r="D362" s="477">
        <f t="shared" si="15"/>
        <v>0</v>
      </c>
      <c r="E362" s="491">
        <f t="shared" si="16"/>
        <v>2.5062855099878264E-2</v>
      </c>
      <c r="F362" s="477">
        <f t="shared" si="17"/>
        <v>0</v>
      </c>
    </row>
    <row r="363" spans="1:6">
      <c r="A363">
        <v>7265</v>
      </c>
      <c r="B363" t="s">
        <v>414</v>
      </c>
      <c r="C363" s="478"/>
      <c r="D363" s="477">
        <f t="shared" si="15"/>
        <v>0</v>
      </c>
      <c r="E363" s="491">
        <f t="shared" si="16"/>
        <v>2.5062855099878264E-2</v>
      </c>
      <c r="F363" s="477">
        <f t="shared" si="17"/>
        <v>0</v>
      </c>
    </row>
    <row r="364" spans="1:6">
      <c r="A364">
        <v>7270</v>
      </c>
      <c r="B364" t="s">
        <v>414</v>
      </c>
      <c r="C364" s="478"/>
      <c r="D364" s="477">
        <f t="shared" si="15"/>
        <v>0</v>
      </c>
      <c r="E364" s="491">
        <f t="shared" si="16"/>
        <v>2.5062855099878264E-2</v>
      </c>
      <c r="F364" s="477">
        <f t="shared" si="17"/>
        <v>0</v>
      </c>
    </row>
    <row r="365" spans="1:6">
      <c r="A365">
        <v>7275</v>
      </c>
      <c r="B365" t="s">
        <v>415</v>
      </c>
      <c r="C365" s="478"/>
      <c r="D365" s="477">
        <f t="shared" si="15"/>
        <v>0</v>
      </c>
      <c r="E365" s="491">
        <f t="shared" si="16"/>
        <v>2.5062855099878264E-2</v>
      </c>
      <c r="F365" s="477">
        <f t="shared" si="17"/>
        <v>0</v>
      </c>
    </row>
    <row r="366" spans="1:6">
      <c r="A366">
        <v>7280</v>
      </c>
      <c r="B366" t="s">
        <v>416</v>
      </c>
      <c r="C366" s="478"/>
      <c r="D366" s="477">
        <f t="shared" si="15"/>
        <v>0</v>
      </c>
      <c r="E366" s="491">
        <f t="shared" si="16"/>
        <v>2.5062855099878264E-2</v>
      </c>
      <c r="F366" s="477">
        <f t="shared" si="17"/>
        <v>0</v>
      </c>
    </row>
    <row r="367" spans="1:6">
      <c r="A367">
        <v>7285</v>
      </c>
      <c r="B367" t="s">
        <v>417</v>
      </c>
      <c r="C367" s="478"/>
      <c r="D367" s="477">
        <f t="shared" si="15"/>
        <v>0</v>
      </c>
      <c r="E367" s="491">
        <f t="shared" si="16"/>
        <v>2.5062855099878264E-2</v>
      </c>
      <c r="F367" s="477">
        <f t="shared" si="17"/>
        <v>0</v>
      </c>
    </row>
    <row r="368" spans="1:6">
      <c r="A368">
        <v>7290</v>
      </c>
      <c r="B368" t="s">
        <v>418</v>
      </c>
      <c r="C368" s="478"/>
      <c r="D368" s="477">
        <f t="shared" si="15"/>
        <v>0</v>
      </c>
      <c r="E368" s="491">
        <f t="shared" si="16"/>
        <v>2.5062855099878264E-2</v>
      </c>
      <c r="F368" s="477">
        <f t="shared" si="17"/>
        <v>0</v>
      </c>
    </row>
    <row r="369" spans="1:6">
      <c r="A369">
        <v>7295</v>
      </c>
      <c r="B369" t="s">
        <v>419</v>
      </c>
      <c r="C369" s="478"/>
      <c r="D369" s="477">
        <f t="shared" si="15"/>
        <v>0</v>
      </c>
      <c r="E369" s="491">
        <f t="shared" si="16"/>
        <v>2.5062855099878264E-2</v>
      </c>
      <c r="F369" s="477">
        <f t="shared" si="17"/>
        <v>0</v>
      </c>
    </row>
    <row r="370" spans="1:6">
      <c r="A370">
        <v>7300</v>
      </c>
      <c r="B370" t="s">
        <v>420</v>
      </c>
      <c r="C370" s="478"/>
      <c r="D370" s="477">
        <f t="shared" si="15"/>
        <v>0</v>
      </c>
      <c r="E370" s="491">
        <f t="shared" si="16"/>
        <v>2.5062855099878264E-2</v>
      </c>
      <c r="F370" s="477">
        <f t="shared" si="17"/>
        <v>0</v>
      </c>
    </row>
    <row r="371" spans="1:6">
      <c r="A371">
        <v>7305</v>
      </c>
      <c r="B371" t="s">
        <v>421</v>
      </c>
      <c r="C371" s="478"/>
      <c r="D371" s="477">
        <f t="shared" si="15"/>
        <v>0</v>
      </c>
      <c r="E371" s="491">
        <f t="shared" si="16"/>
        <v>2.5062855099878264E-2</v>
      </c>
      <c r="F371" s="477">
        <f t="shared" si="17"/>
        <v>0</v>
      </c>
    </row>
    <row r="372" spans="1:6">
      <c r="A372">
        <v>7310</v>
      </c>
      <c r="B372" t="s">
        <v>422</v>
      </c>
      <c r="C372" s="478"/>
      <c r="D372" s="477">
        <f t="shared" si="15"/>
        <v>0</v>
      </c>
      <c r="E372" s="491">
        <f t="shared" si="16"/>
        <v>2.5062855099878264E-2</v>
      </c>
      <c r="F372" s="477">
        <f t="shared" si="17"/>
        <v>0</v>
      </c>
    </row>
    <row r="373" spans="1:6">
      <c r="A373">
        <v>7315</v>
      </c>
      <c r="B373" t="s">
        <v>423</v>
      </c>
      <c r="C373" s="478"/>
      <c r="D373" s="477">
        <f t="shared" si="15"/>
        <v>0</v>
      </c>
      <c r="E373" s="491">
        <f t="shared" si="16"/>
        <v>2.5062855099878264E-2</v>
      </c>
      <c r="F373" s="477">
        <f t="shared" si="17"/>
        <v>0</v>
      </c>
    </row>
    <row r="374" spans="1:6">
      <c r="A374">
        <v>7320</v>
      </c>
      <c r="B374" t="s">
        <v>424</v>
      </c>
      <c r="C374" s="478"/>
      <c r="D374" s="477">
        <f t="shared" si="15"/>
        <v>0</v>
      </c>
      <c r="E374" s="491">
        <f t="shared" si="16"/>
        <v>2.5062855099878264E-2</v>
      </c>
      <c r="F374" s="477">
        <f t="shared" si="17"/>
        <v>0</v>
      </c>
    </row>
    <row r="375" spans="1:6">
      <c r="A375">
        <v>7325</v>
      </c>
      <c r="B375" t="s">
        <v>425</v>
      </c>
      <c r="C375" s="478"/>
      <c r="D375" s="477">
        <f t="shared" si="15"/>
        <v>0</v>
      </c>
      <c r="E375" s="491">
        <f t="shared" si="16"/>
        <v>2.5062855099878264E-2</v>
      </c>
      <c r="F375" s="477">
        <f t="shared" si="17"/>
        <v>0</v>
      </c>
    </row>
    <row r="376" spans="1:6">
      <c r="A376">
        <v>7330</v>
      </c>
      <c r="B376" t="s">
        <v>426</v>
      </c>
      <c r="C376" s="478"/>
      <c r="D376" s="477">
        <f t="shared" si="15"/>
        <v>0</v>
      </c>
      <c r="E376" s="491">
        <f t="shared" si="16"/>
        <v>2.5062855099878264E-2</v>
      </c>
      <c r="F376" s="477">
        <f t="shared" si="17"/>
        <v>0</v>
      </c>
    </row>
    <row r="377" spans="1:6">
      <c r="A377">
        <v>7335</v>
      </c>
      <c r="B377" t="s">
        <v>427</v>
      </c>
      <c r="C377" s="478"/>
      <c r="D377" s="477">
        <f t="shared" si="15"/>
        <v>0</v>
      </c>
      <c r="E377" s="491">
        <f t="shared" si="16"/>
        <v>2.5062855099878264E-2</v>
      </c>
      <c r="F377" s="477">
        <f t="shared" si="17"/>
        <v>0</v>
      </c>
    </row>
    <row r="378" spans="1:6">
      <c r="A378">
        <v>7340</v>
      </c>
      <c r="B378" t="s">
        <v>428</v>
      </c>
      <c r="C378" s="478"/>
      <c r="D378" s="477">
        <f t="shared" si="15"/>
        <v>0</v>
      </c>
      <c r="E378" s="491">
        <f t="shared" si="16"/>
        <v>2.5062855099878264E-2</v>
      </c>
      <c r="F378" s="477">
        <f t="shared" si="17"/>
        <v>0</v>
      </c>
    </row>
    <row r="379" spans="1:6">
      <c r="A379">
        <v>7345</v>
      </c>
      <c r="B379" t="s">
        <v>429</v>
      </c>
      <c r="C379" s="478"/>
      <c r="D379" s="477">
        <f t="shared" si="15"/>
        <v>0</v>
      </c>
      <c r="E379" s="491">
        <f t="shared" si="16"/>
        <v>2.5062855099878264E-2</v>
      </c>
      <c r="F379" s="477">
        <f t="shared" si="17"/>
        <v>0</v>
      </c>
    </row>
    <row r="380" spans="1:6">
      <c r="A380">
        <v>7350</v>
      </c>
      <c r="B380" t="s">
        <v>430</v>
      </c>
      <c r="C380" s="478"/>
      <c r="D380" s="477">
        <f t="shared" si="15"/>
        <v>0</v>
      </c>
      <c r="E380" s="491">
        <f t="shared" si="16"/>
        <v>2.5062855099878264E-2</v>
      </c>
      <c r="F380" s="477">
        <f t="shared" si="17"/>
        <v>0</v>
      </c>
    </row>
    <row r="381" spans="1:6">
      <c r="A381">
        <v>7355</v>
      </c>
      <c r="B381" t="s">
        <v>431</v>
      </c>
      <c r="C381" s="478"/>
      <c r="D381" s="477">
        <f t="shared" si="15"/>
        <v>0</v>
      </c>
      <c r="E381" s="491">
        <f t="shared" si="16"/>
        <v>2.5062855099878264E-2</v>
      </c>
      <c r="F381" s="477">
        <f t="shared" si="17"/>
        <v>0</v>
      </c>
    </row>
    <row r="382" spans="1:6">
      <c r="A382">
        <v>7360</v>
      </c>
      <c r="B382" t="s">
        <v>432</v>
      </c>
      <c r="C382" s="478"/>
      <c r="D382" s="477">
        <f t="shared" si="15"/>
        <v>0</v>
      </c>
      <c r="E382" s="491">
        <f t="shared" si="16"/>
        <v>2.5062855099878264E-2</v>
      </c>
      <c r="F382" s="477">
        <f t="shared" si="17"/>
        <v>0</v>
      </c>
    </row>
    <row r="383" spans="1:6">
      <c r="A383">
        <v>7365</v>
      </c>
      <c r="B383" t="s">
        <v>433</v>
      </c>
      <c r="C383" s="478"/>
      <c r="D383" s="477">
        <f t="shared" si="15"/>
        <v>0</v>
      </c>
      <c r="E383" s="491">
        <f t="shared" si="16"/>
        <v>2.5062855099878264E-2</v>
      </c>
      <c r="F383" s="477">
        <f t="shared" si="17"/>
        <v>0</v>
      </c>
    </row>
    <row r="384" spans="1:6">
      <c r="A384">
        <v>7370</v>
      </c>
      <c r="B384" t="s">
        <v>434</v>
      </c>
      <c r="C384" s="478"/>
      <c r="D384" s="477">
        <f t="shared" si="15"/>
        <v>0</v>
      </c>
      <c r="E384" s="491">
        <f t="shared" si="16"/>
        <v>2.5062855099878264E-2</v>
      </c>
      <c r="F384" s="477">
        <f t="shared" si="17"/>
        <v>0</v>
      </c>
    </row>
    <row r="385" spans="1:6">
      <c r="A385">
        <v>7375</v>
      </c>
      <c r="B385" t="s">
        <v>435</v>
      </c>
      <c r="C385" s="478"/>
      <c r="D385" s="477">
        <f t="shared" si="15"/>
        <v>0</v>
      </c>
      <c r="E385" s="491">
        <f t="shared" si="16"/>
        <v>2.5062855099878264E-2</v>
      </c>
      <c r="F385" s="477">
        <f t="shared" si="17"/>
        <v>0</v>
      </c>
    </row>
    <row r="386" spans="1:6">
      <c r="A386">
        <v>7380</v>
      </c>
      <c r="B386" t="s">
        <v>436</v>
      </c>
      <c r="C386" s="478"/>
      <c r="D386" s="477">
        <f t="shared" si="15"/>
        <v>0</v>
      </c>
      <c r="E386" s="491">
        <f t="shared" si="16"/>
        <v>2.5062855099878264E-2</v>
      </c>
      <c r="F386" s="477">
        <f t="shared" si="17"/>
        <v>0</v>
      </c>
    </row>
    <row r="387" spans="1:6">
      <c r="A387">
        <v>7385</v>
      </c>
      <c r="B387" t="s">
        <v>1072</v>
      </c>
      <c r="C387" s="478"/>
      <c r="D387" s="477">
        <f t="shared" si="15"/>
        <v>0</v>
      </c>
      <c r="E387" s="491">
        <f t="shared" si="16"/>
        <v>2.5062855099878264E-2</v>
      </c>
      <c r="F387" s="477">
        <f t="shared" si="17"/>
        <v>0</v>
      </c>
    </row>
    <row r="388" spans="1:6">
      <c r="A388">
        <v>7390</v>
      </c>
      <c r="B388" t="s">
        <v>1073</v>
      </c>
      <c r="C388" s="478"/>
      <c r="D388" s="477">
        <f t="shared" si="15"/>
        <v>0</v>
      </c>
      <c r="E388" s="491">
        <f t="shared" si="16"/>
        <v>2.5062855099878264E-2</v>
      </c>
      <c r="F388" s="477">
        <f t="shared" si="17"/>
        <v>0</v>
      </c>
    </row>
    <row r="389" spans="1:6">
      <c r="A389">
        <v>7395</v>
      </c>
      <c r="B389" t="s">
        <v>1074</v>
      </c>
      <c r="C389" s="478"/>
      <c r="D389" s="477">
        <f t="shared" si="15"/>
        <v>0</v>
      </c>
      <c r="E389" s="491">
        <f t="shared" si="16"/>
        <v>2.5062855099878264E-2</v>
      </c>
      <c r="F389" s="477">
        <f t="shared" si="17"/>
        <v>0</v>
      </c>
    </row>
    <row r="390" spans="1:6">
      <c r="A390">
        <v>7400</v>
      </c>
      <c r="B390" t="s">
        <v>1075</v>
      </c>
      <c r="C390" s="478"/>
      <c r="D390" s="477">
        <f t="shared" ref="D390:D453" si="18">C390</f>
        <v>0</v>
      </c>
      <c r="E390" s="491">
        <f t="shared" ref="E390:E453" si="19">E$3</f>
        <v>2.5062855099878264E-2</v>
      </c>
      <c r="F390" s="477">
        <f t="shared" ref="F390:F453" si="20">E390*D390</f>
        <v>0</v>
      </c>
    </row>
    <row r="391" spans="1:6">
      <c r="A391">
        <v>7405</v>
      </c>
      <c r="B391" t="s">
        <v>437</v>
      </c>
      <c r="C391" s="478"/>
      <c r="D391" s="477">
        <f t="shared" si="18"/>
        <v>0</v>
      </c>
      <c r="E391" s="491">
        <f t="shared" si="19"/>
        <v>2.5062855099878264E-2</v>
      </c>
      <c r="F391" s="477">
        <f t="shared" si="20"/>
        <v>0</v>
      </c>
    </row>
    <row r="392" spans="1:6">
      <c r="A392">
        <v>7410</v>
      </c>
      <c r="B392" t="s">
        <v>1077</v>
      </c>
      <c r="C392" s="478"/>
      <c r="D392" s="477">
        <f t="shared" si="18"/>
        <v>0</v>
      </c>
      <c r="E392" s="491">
        <f t="shared" si="19"/>
        <v>2.5062855099878264E-2</v>
      </c>
      <c r="F392" s="477">
        <f t="shared" si="20"/>
        <v>0</v>
      </c>
    </row>
    <row r="393" spans="1:6">
      <c r="A393">
        <v>7415</v>
      </c>
      <c r="B393" t="s">
        <v>1078</v>
      </c>
      <c r="C393" s="478"/>
      <c r="D393" s="477">
        <f t="shared" si="18"/>
        <v>0</v>
      </c>
      <c r="E393" s="491">
        <f t="shared" si="19"/>
        <v>2.5062855099878264E-2</v>
      </c>
      <c r="F393" s="477">
        <f t="shared" si="20"/>
        <v>0</v>
      </c>
    </row>
    <row r="394" spans="1:6">
      <c r="A394">
        <v>7420</v>
      </c>
      <c r="B394" t="s">
        <v>438</v>
      </c>
      <c r="C394" s="478"/>
      <c r="D394" s="477">
        <f t="shared" si="18"/>
        <v>0</v>
      </c>
      <c r="E394" s="491">
        <f t="shared" si="19"/>
        <v>2.5062855099878264E-2</v>
      </c>
      <c r="F394" s="477">
        <f t="shared" si="20"/>
        <v>0</v>
      </c>
    </row>
    <row r="395" spans="1:6">
      <c r="A395">
        <v>7425</v>
      </c>
      <c r="B395" t="s">
        <v>439</v>
      </c>
      <c r="C395" s="478"/>
      <c r="D395" s="477">
        <f t="shared" si="18"/>
        <v>0</v>
      </c>
      <c r="E395" s="491">
        <f t="shared" si="19"/>
        <v>2.5062855099878264E-2</v>
      </c>
      <c r="F395" s="477">
        <f t="shared" si="20"/>
        <v>0</v>
      </c>
    </row>
    <row r="396" spans="1:6">
      <c r="A396">
        <v>7430</v>
      </c>
      <c r="B396" t="s">
        <v>440</v>
      </c>
      <c r="C396" s="478"/>
      <c r="D396" s="477">
        <f t="shared" si="18"/>
        <v>0</v>
      </c>
      <c r="E396" s="491">
        <f t="shared" si="19"/>
        <v>2.5062855099878264E-2</v>
      </c>
      <c r="F396" s="477">
        <f t="shared" si="20"/>
        <v>0</v>
      </c>
    </row>
    <row r="397" spans="1:6">
      <c r="A397">
        <v>7435</v>
      </c>
      <c r="B397" t="s">
        <v>441</v>
      </c>
      <c r="C397" s="478"/>
      <c r="D397" s="477">
        <f t="shared" si="18"/>
        <v>0</v>
      </c>
      <c r="E397" s="491">
        <f t="shared" si="19"/>
        <v>2.5062855099878264E-2</v>
      </c>
      <c r="F397" s="477">
        <f t="shared" si="20"/>
        <v>0</v>
      </c>
    </row>
    <row r="398" spans="1:6">
      <c r="A398">
        <v>7440</v>
      </c>
      <c r="B398" t="s">
        <v>442</v>
      </c>
      <c r="C398" s="478"/>
      <c r="D398" s="477">
        <f t="shared" si="18"/>
        <v>0</v>
      </c>
      <c r="E398" s="491">
        <f t="shared" si="19"/>
        <v>2.5062855099878264E-2</v>
      </c>
      <c r="F398" s="477">
        <f t="shared" si="20"/>
        <v>0</v>
      </c>
    </row>
    <row r="399" spans="1:6">
      <c r="A399">
        <v>7445</v>
      </c>
      <c r="B399" t="s">
        <v>443</v>
      </c>
      <c r="C399" s="478"/>
      <c r="D399" s="477">
        <f t="shared" si="18"/>
        <v>0</v>
      </c>
      <c r="E399" s="491">
        <f t="shared" si="19"/>
        <v>2.5062855099878264E-2</v>
      </c>
      <c r="F399" s="477">
        <f t="shared" si="20"/>
        <v>0</v>
      </c>
    </row>
    <row r="400" spans="1:6">
      <c r="A400">
        <v>7450</v>
      </c>
      <c r="B400" t="s">
        <v>444</v>
      </c>
      <c r="C400" s="478"/>
      <c r="D400" s="477">
        <f t="shared" si="18"/>
        <v>0</v>
      </c>
      <c r="E400" s="491">
        <f t="shared" si="19"/>
        <v>2.5062855099878264E-2</v>
      </c>
      <c r="F400" s="477">
        <f t="shared" si="20"/>
        <v>0</v>
      </c>
    </row>
    <row r="401" spans="1:6">
      <c r="B401" t="s">
        <v>219</v>
      </c>
      <c r="C401" s="478"/>
      <c r="D401" s="477">
        <f t="shared" si="18"/>
        <v>0</v>
      </c>
      <c r="E401" s="491">
        <f t="shared" si="19"/>
        <v>2.5062855099878264E-2</v>
      </c>
      <c r="F401" s="477">
        <f t="shared" si="20"/>
        <v>0</v>
      </c>
    </row>
    <row r="402" spans="1:6">
      <c r="B402" t="s">
        <v>220</v>
      </c>
      <c r="C402" s="478"/>
      <c r="D402" s="477">
        <f t="shared" si="18"/>
        <v>0</v>
      </c>
      <c r="E402" s="491">
        <f t="shared" si="19"/>
        <v>2.5062855099878264E-2</v>
      </c>
      <c r="F402" s="477">
        <f t="shared" si="20"/>
        <v>0</v>
      </c>
    </row>
    <row r="403" spans="1:6">
      <c r="A403">
        <v>7470</v>
      </c>
      <c r="B403" t="s">
        <v>445</v>
      </c>
      <c r="C403" s="478"/>
      <c r="D403" s="477">
        <f t="shared" si="18"/>
        <v>0</v>
      </c>
      <c r="E403" s="491">
        <f t="shared" si="19"/>
        <v>2.5062855099878264E-2</v>
      </c>
      <c r="F403" s="477">
        <f t="shared" si="20"/>
        <v>0</v>
      </c>
    </row>
    <row r="404" spans="1:6">
      <c r="A404">
        <v>7475</v>
      </c>
      <c r="B404" t="s">
        <v>446</v>
      </c>
      <c r="C404" s="478"/>
      <c r="D404" s="477">
        <f t="shared" si="18"/>
        <v>0</v>
      </c>
      <c r="E404" s="491">
        <f t="shared" si="19"/>
        <v>2.5062855099878264E-2</v>
      </c>
      <c r="F404" s="477">
        <f t="shared" si="20"/>
        <v>0</v>
      </c>
    </row>
    <row r="405" spans="1:6">
      <c r="A405">
        <v>7480</v>
      </c>
      <c r="B405" t="s">
        <v>447</v>
      </c>
      <c r="C405" s="478"/>
      <c r="D405" s="477">
        <f t="shared" si="18"/>
        <v>0</v>
      </c>
      <c r="E405" s="491">
        <f t="shared" si="19"/>
        <v>2.5062855099878264E-2</v>
      </c>
      <c r="F405" s="477">
        <f t="shared" si="20"/>
        <v>0</v>
      </c>
    </row>
    <row r="406" spans="1:6">
      <c r="A406">
        <v>7485</v>
      </c>
      <c r="B406" t="s">
        <v>448</v>
      </c>
      <c r="C406" s="478"/>
      <c r="D406" s="477">
        <f t="shared" si="18"/>
        <v>0</v>
      </c>
      <c r="E406" s="491">
        <f t="shared" si="19"/>
        <v>2.5062855099878264E-2</v>
      </c>
      <c r="F406" s="477">
        <f t="shared" si="20"/>
        <v>0</v>
      </c>
    </row>
    <row r="407" spans="1:6">
      <c r="B407" t="s">
        <v>220</v>
      </c>
      <c r="C407" s="478"/>
      <c r="D407" s="477">
        <f t="shared" si="18"/>
        <v>0</v>
      </c>
      <c r="E407" s="491">
        <f t="shared" si="19"/>
        <v>2.5062855099878264E-2</v>
      </c>
      <c r="F407" s="477">
        <f t="shared" si="20"/>
        <v>0</v>
      </c>
    </row>
    <row r="408" spans="1:6">
      <c r="A408">
        <v>7495</v>
      </c>
      <c r="B408" t="s">
        <v>449</v>
      </c>
      <c r="C408" s="478"/>
      <c r="D408" s="477">
        <f t="shared" si="18"/>
        <v>0</v>
      </c>
      <c r="E408" s="491">
        <f t="shared" si="19"/>
        <v>2.5062855099878264E-2</v>
      </c>
      <c r="F408" s="477">
        <f t="shared" si="20"/>
        <v>0</v>
      </c>
    </row>
    <row r="409" spans="1:6">
      <c r="B409" t="s">
        <v>212</v>
      </c>
      <c r="C409" s="478">
        <v>520068.56</v>
      </c>
      <c r="D409" s="477">
        <f t="shared" si="18"/>
        <v>520068.56</v>
      </c>
      <c r="E409" s="491">
        <f t="shared" si="19"/>
        <v>2.5062855099878264E-2</v>
      </c>
      <c r="F409" s="477">
        <f t="shared" si="20"/>
        <v>13034.402961282345</v>
      </c>
    </row>
    <row r="410" spans="1:6">
      <c r="B410" t="s">
        <v>221</v>
      </c>
      <c r="C410" s="478"/>
      <c r="D410" s="477">
        <f t="shared" si="18"/>
        <v>0</v>
      </c>
      <c r="E410" s="491">
        <f t="shared" si="19"/>
        <v>2.5062855099878264E-2</v>
      </c>
      <c r="F410" s="477">
        <f t="shared" si="20"/>
        <v>0</v>
      </c>
    </row>
    <row r="411" spans="1:6">
      <c r="B411" t="s">
        <v>222</v>
      </c>
      <c r="C411" s="478"/>
      <c r="D411" s="477">
        <f t="shared" si="18"/>
        <v>0</v>
      </c>
      <c r="E411" s="491">
        <f t="shared" si="19"/>
        <v>2.5062855099878264E-2</v>
      </c>
      <c r="F411" s="477">
        <f t="shared" si="20"/>
        <v>0</v>
      </c>
    </row>
    <row r="412" spans="1:6">
      <c r="A412">
        <v>7510</v>
      </c>
      <c r="B412" t="s">
        <v>450</v>
      </c>
      <c r="C412" s="478">
        <v>108501.64</v>
      </c>
      <c r="D412" s="477">
        <f t="shared" si="18"/>
        <v>108501.64</v>
      </c>
      <c r="E412" s="491">
        <f t="shared" si="19"/>
        <v>2.5062855099878264E-2</v>
      </c>
      <c r="F412" s="477">
        <f t="shared" si="20"/>
        <v>2719.3608814191552</v>
      </c>
    </row>
    <row r="413" spans="1:6">
      <c r="A413">
        <v>7515</v>
      </c>
      <c r="B413" t="s">
        <v>451</v>
      </c>
      <c r="C413" s="478">
        <v>3673.85</v>
      </c>
      <c r="D413" s="477">
        <f t="shared" si="18"/>
        <v>3673.85</v>
      </c>
      <c r="E413" s="491">
        <f t="shared" si="19"/>
        <v>2.5062855099878264E-2</v>
      </c>
      <c r="F413" s="477">
        <f t="shared" si="20"/>
        <v>92.077170208687761</v>
      </c>
    </row>
    <row r="414" spans="1:6">
      <c r="A414">
        <v>7520</v>
      </c>
      <c r="B414" t="s">
        <v>452</v>
      </c>
      <c r="C414" s="478">
        <v>20767.36</v>
      </c>
      <c r="D414" s="477">
        <f t="shared" si="18"/>
        <v>20767.36</v>
      </c>
      <c r="E414" s="491">
        <f t="shared" si="19"/>
        <v>2.5062855099878264E-2</v>
      </c>
      <c r="F414" s="477">
        <f t="shared" si="20"/>
        <v>520.48933448700791</v>
      </c>
    </row>
    <row r="415" spans="1:6">
      <c r="B415" t="s">
        <v>222</v>
      </c>
      <c r="C415" s="478">
        <v>132942.85</v>
      </c>
      <c r="D415" s="477">
        <f t="shared" si="18"/>
        <v>132942.85</v>
      </c>
      <c r="E415" s="491">
        <f t="shared" si="19"/>
        <v>2.5062855099878264E-2</v>
      </c>
      <c r="F415" s="477">
        <f t="shared" si="20"/>
        <v>3331.9273861148513</v>
      </c>
    </row>
    <row r="416" spans="1:6">
      <c r="B416" t="s">
        <v>223</v>
      </c>
      <c r="C416" s="478"/>
      <c r="D416" s="477">
        <f t="shared" si="18"/>
        <v>0</v>
      </c>
      <c r="E416" s="491">
        <f t="shared" si="19"/>
        <v>2.5062855099878264E-2</v>
      </c>
      <c r="F416" s="477">
        <f t="shared" si="20"/>
        <v>0</v>
      </c>
    </row>
    <row r="417" spans="1:6">
      <c r="A417">
        <v>7535</v>
      </c>
      <c r="B417" t="s">
        <v>453</v>
      </c>
      <c r="C417" s="478">
        <v>60</v>
      </c>
      <c r="D417" s="477">
        <f t="shared" si="18"/>
        <v>60</v>
      </c>
      <c r="E417" s="491">
        <f t="shared" si="19"/>
        <v>2.5062855099878264E-2</v>
      </c>
      <c r="F417" s="477">
        <f t="shared" si="20"/>
        <v>1.5037713059926958</v>
      </c>
    </row>
    <row r="418" spans="1:6">
      <c r="A418">
        <v>7540</v>
      </c>
      <c r="B418" t="s">
        <v>454</v>
      </c>
      <c r="C418" s="478"/>
      <c r="D418" s="477">
        <f t="shared" si="18"/>
        <v>0</v>
      </c>
      <c r="E418" s="491">
        <f t="shared" si="19"/>
        <v>2.5062855099878264E-2</v>
      </c>
      <c r="F418" s="477">
        <f t="shared" si="20"/>
        <v>0</v>
      </c>
    </row>
    <row r="419" spans="1:6">
      <c r="A419">
        <v>7545</v>
      </c>
      <c r="B419" t="s">
        <v>455</v>
      </c>
      <c r="C419" s="478"/>
      <c r="D419" s="477">
        <f t="shared" si="18"/>
        <v>0</v>
      </c>
      <c r="E419" s="491">
        <f t="shared" si="19"/>
        <v>2.5062855099878264E-2</v>
      </c>
      <c r="F419" s="477">
        <f t="shared" si="20"/>
        <v>0</v>
      </c>
    </row>
    <row r="420" spans="1:6">
      <c r="A420">
        <v>7550</v>
      </c>
      <c r="B420" t="s">
        <v>456</v>
      </c>
      <c r="C420" s="478">
        <v>-16134.29</v>
      </c>
      <c r="D420" s="477">
        <f t="shared" si="18"/>
        <v>-16134.29</v>
      </c>
      <c r="E420" s="491">
        <f t="shared" si="19"/>
        <v>2.5062855099878264E-2</v>
      </c>
      <c r="F420" s="477">
        <f t="shared" si="20"/>
        <v>-404.3713724094149</v>
      </c>
    </row>
    <row r="421" spans="1:6">
      <c r="A421">
        <v>7555</v>
      </c>
      <c r="B421" t="s">
        <v>457</v>
      </c>
      <c r="C421" s="478">
        <v>33911.29</v>
      </c>
      <c r="D421" s="477">
        <f t="shared" si="18"/>
        <v>33911.29</v>
      </c>
      <c r="E421" s="491">
        <f t="shared" si="19"/>
        <v>2.5062855099878264E-2</v>
      </c>
      <c r="F421" s="477">
        <f t="shared" si="20"/>
        <v>849.91374751995079</v>
      </c>
    </row>
    <row r="422" spans="1:6">
      <c r="A422">
        <v>7560</v>
      </c>
      <c r="B422" t="s">
        <v>458</v>
      </c>
      <c r="C422" s="478"/>
      <c r="D422" s="477">
        <f t="shared" si="18"/>
        <v>0</v>
      </c>
      <c r="E422" s="491">
        <f t="shared" si="19"/>
        <v>2.5062855099878264E-2</v>
      </c>
      <c r="F422" s="477">
        <f t="shared" si="20"/>
        <v>0</v>
      </c>
    </row>
    <row r="423" spans="1:6">
      <c r="A423">
        <v>7565</v>
      </c>
      <c r="B423" t="s">
        <v>459</v>
      </c>
      <c r="C423" s="478"/>
      <c r="D423" s="477">
        <f t="shared" si="18"/>
        <v>0</v>
      </c>
      <c r="E423" s="491">
        <f t="shared" si="19"/>
        <v>2.5062855099878264E-2</v>
      </c>
      <c r="F423" s="477">
        <f t="shared" si="20"/>
        <v>0</v>
      </c>
    </row>
    <row r="424" spans="1:6">
      <c r="A424">
        <v>7570</v>
      </c>
      <c r="B424" t="s">
        <v>460</v>
      </c>
      <c r="C424" s="478"/>
      <c r="D424" s="477">
        <f t="shared" si="18"/>
        <v>0</v>
      </c>
      <c r="E424" s="491">
        <f t="shared" si="19"/>
        <v>2.5062855099878264E-2</v>
      </c>
      <c r="F424" s="477">
        <f t="shared" si="20"/>
        <v>0</v>
      </c>
    </row>
    <row r="425" spans="1:6">
      <c r="B425" t="s">
        <v>223</v>
      </c>
      <c r="C425" s="478">
        <v>17837</v>
      </c>
      <c r="D425" s="477">
        <f t="shared" si="18"/>
        <v>17837</v>
      </c>
      <c r="E425" s="491">
        <f t="shared" si="19"/>
        <v>2.5062855099878264E-2</v>
      </c>
      <c r="F425" s="477">
        <f t="shared" si="20"/>
        <v>447.04614641652859</v>
      </c>
    </row>
    <row r="426" spans="1:6">
      <c r="B426" t="s">
        <v>221</v>
      </c>
      <c r="C426" s="478">
        <v>150779.85</v>
      </c>
      <c r="D426" s="477">
        <f t="shared" si="18"/>
        <v>150779.85</v>
      </c>
      <c r="E426" s="491">
        <f t="shared" si="19"/>
        <v>2.5062855099878264E-2</v>
      </c>
      <c r="F426" s="477">
        <f t="shared" si="20"/>
        <v>3778.97353253138</v>
      </c>
    </row>
    <row r="427" spans="1:6">
      <c r="B427" t="s">
        <v>224</v>
      </c>
      <c r="C427" s="478"/>
      <c r="D427" s="477">
        <f t="shared" si="18"/>
        <v>0</v>
      </c>
      <c r="E427" s="491">
        <f t="shared" si="19"/>
        <v>2.5062855099878264E-2</v>
      </c>
      <c r="F427" s="477">
        <f t="shared" si="20"/>
        <v>0</v>
      </c>
    </row>
    <row r="428" spans="1:6">
      <c r="A428">
        <v>7585</v>
      </c>
      <c r="B428" t="s">
        <v>461</v>
      </c>
      <c r="C428" s="478"/>
      <c r="D428" s="477">
        <f t="shared" si="18"/>
        <v>0</v>
      </c>
      <c r="E428" s="491">
        <f t="shared" si="19"/>
        <v>2.5062855099878264E-2</v>
      </c>
      <c r="F428" s="477">
        <f t="shared" si="20"/>
        <v>0</v>
      </c>
    </row>
    <row r="429" spans="1:6">
      <c r="A429">
        <v>7590</v>
      </c>
      <c r="B429" t="s">
        <v>462</v>
      </c>
      <c r="C429" s="478"/>
      <c r="D429" s="477">
        <f t="shared" si="18"/>
        <v>0</v>
      </c>
      <c r="E429" s="491">
        <f t="shared" si="19"/>
        <v>2.5062855099878264E-2</v>
      </c>
      <c r="F429" s="477">
        <f t="shared" si="20"/>
        <v>0</v>
      </c>
    </row>
    <row r="430" spans="1:6">
      <c r="A430">
        <v>7595</v>
      </c>
      <c r="B430" t="s">
        <v>463</v>
      </c>
      <c r="C430" s="478"/>
      <c r="D430" s="477">
        <f t="shared" si="18"/>
        <v>0</v>
      </c>
      <c r="E430" s="491">
        <f t="shared" si="19"/>
        <v>2.5062855099878264E-2</v>
      </c>
      <c r="F430" s="477">
        <f t="shared" si="20"/>
        <v>0</v>
      </c>
    </row>
    <row r="431" spans="1:6">
      <c r="A431">
        <v>7600</v>
      </c>
      <c r="B431" t="s">
        <v>464</v>
      </c>
      <c r="C431" s="478"/>
      <c r="D431" s="477">
        <f t="shared" si="18"/>
        <v>0</v>
      </c>
      <c r="E431" s="491">
        <f t="shared" si="19"/>
        <v>2.5062855099878264E-2</v>
      </c>
      <c r="F431" s="477">
        <f t="shared" si="20"/>
        <v>0</v>
      </c>
    </row>
    <row r="432" spans="1:6">
      <c r="A432">
        <v>7605</v>
      </c>
      <c r="B432" t="s">
        <v>465</v>
      </c>
      <c r="C432" s="478"/>
      <c r="D432" s="477">
        <f t="shared" si="18"/>
        <v>0</v>
      </c>
      <c r="E432" s="491">
        <f t="shared" si="19"/>
        <v>2.5062855099878264E-2</v>
      </c>
      <c r="F432" s="477">
        <f t="shared" si="20"/>
        <v>0</v>
      </c>
    </row>
    <row r="433" spans="1:6">
      <c r="A433">
        <v>7610</v>
      </c>
      <c r="B433" t="s">
        <v>466</v>
      </c>
      <c r="C433" s="478"/>
      <c r="D433" s="477">
        <f t="shared" si="18"/>
        <v>0</v>
      </c>
      <c r="E433" s="491">
        <f t="shared" si="19"/>
        <v>2.5062855099878264E-2</v>
      </c>
      <c r="F433" s="477">
        <f t="shared" si="20"/>
        <v>0</v>
      </c>
    </row>
    <row r="434" spans="1:6">
      <c r="B434" t="s">
        <v>224</v>
      </c>
      <c r="C434" s="478"/>
      <c r="D434" s="477">
        <f t="shared" si="18"/>
        <v>0</v>
      </c>
      <c r="E434" s="491">
        <f t="shared" si="19"/>
        <v>2.5062855099878264E-2</v>
      </c>
      <c r="F434" s="477">
        <f t="shared" si="20"/>
        <v>0</v>
      </c>
    </row>
    <row r="435" spans="1:6">
      <c r="B435" t="s">
        <v>187</v>
      </c>
      <c r="C435" s="478">
        <v>5612356.9900000002</v>
      </c>
      <c r="D435" s="477">
        <f t="shared" si="18"/>
        <v>5612356.9900000002</v>
      </c>
      <c r="E435" s="491">
        <f t="shared" si="19"/>
        <v>2.5062855099878264E-2</v>
      </c>
      <c r="F435" s="477">
        <f t="shared" si="20"/>
        <v>140661.69000915892</v>
      </c>
    </row>
    <row r="436" spans="1:6">
      <c r="B436" t="s">
        <v>186</v>
      </c>
      <c r="C436" s="478">
        <v>5612356.9900000002</v>
      </c>
      <c r="D436" s="477">
        <f t="shared" si="18"/>
        <v>5612356.9900000002</v>
      </c>
      <c r="E436" s="491">
        <f t="shared" si="19"/>
        <v>2.5062855099878264E-2</v>
      </c>
      <c r="F436" s="477">
        <f t="shared" si="20"/>
        <v>140661.69000915892</v>
      </c>
    </row>
    <row r="437" spans="1:6">
      <c r="B437" t="s">
        <v>225</v>
      </c>
      <c r="C437" s="478"/>
      <c r="D437" s="477">
        <f t="shared" si="18"/>
        <v>0</v>
      </c>
      <c r="E437" s="491">
        <f t="shared" si="19"/>
        <v>2.5062855099878264E-2</v>
      </c>
      <c r="F437" s="477">
        <f t="shared" si="20"/>
        <v>0</v>
      </c>
    </row>
    <row r="438" spans="1:6">
      <c r="B438" t="s">
        <v>226</v>
      </c>
      <c r="C438" s="478"/>
      <c r="D438" s="477">
        <f t="shared" si="18"/>
        <v>0</v>
      </c>
      <c r="E438" s="491">
        <f t="shared" si="19"/>
        <v>2.5062855099878264E-2</v>
      </c>
      <c r="F438" s="477">
        <f t="shared" si="20"/>
        <v>0</v>
      </c>
    </row>
    <row r="439" spans="1:6">
      <c r="B439" t="s">
        <v>227</v>
      </c>
      <c r="C439" s="478"/>
      <c r="D439" s="477">
        <f t="shared" si="18"/>
        <v>0</v>
      </c>
      <c r="E439" s="491">
        <f t="shared" si="19"/>
        <v>2.5062855099878264E-2</v>
      </c>
      <c r="F439" s="477">
        <f t="shared" si="20"/>
        <v>0</v>
      </c>
    </row>
    <row r="440" spans="1:6">
      <c r="A440">
        <v>7635</v>
      </c>
      <c r="B440" t="s">
        <v>467</v>
      </c>
      <c r="C440" s="478"/>
      <c r="D440" s="477">
        <f t="shared" si="18"/>
        <v>0</v>
      </c>
      <c r="E440" s="491">
        <f t="shared" si="19"/>
        <v>2.5062855099878264E-2</v>
      </c>
      <c r="F440" s="477">
        <f t="shared" si="20"/>
        <v>0</v>
      </c>
    </row>
    <row r="441" spans="1:6">
      <c r="A441">
        <v>7640</v>
      </c>
      <c r="B441" t="s">
        <v>468</v>
      </c>
      <c r="C441" s="478"/>
      <c r="D441" s="477">
        <f t="shared" si="18"/>
        <v>0</v>
      </c>
      <c r="E441" s="491">
        <f t="shared" si="19"/>
        <v>2.5062855099878264E-2</v>
      </c>
      <c r="F441" s="477">
        <f t="shared" si="20"/>
        <v>0</v>
      </c>
    </row>
    <row r="442" spans="1:6">
      <c r="A442">
        <v>7645</v>
      </c>
      <c r="B442" t="s">
        <v>599</v>
      </c>
      <c r="C442" s="478"/>
      <c r="D442" s="477">
        <f t="shared" si="18"/>
        <v>0</v>
      </c>
      <c r="E442" s="491">
        <f t="shared" si="19"/>
        <v>2.5062855099878264E-2</v>
      </c>
      <c r="F442" s="477">
        <f t="shared" si="20"/>
        <v>0</v>
      </c>
    </row>
    <row r="443" spans="1:6">
      <c r="B443" t="s">
        <v>228</v>
      </c>
      <c r="C443" s="478"/>
      <c r="D443" s="477">
        <f t="shared" si="18"/>
        <v>0</v>
      </c>
      <c r="E443" s="491">
        <f t="shared" si="19"/>
        <v>2.5062855099878264E-2</v>
      </c>
      <c r="F443" s="477">
        <f t="shared" si="20"/>
        <v>0</v>
      </c>
    </row>
    <row r="444" spans="1:6">
      <c r="A444">
        <v>7655</v>
      </c>
      <c r="B444" t="s">
        <v>600</v>
      </c>
      <c r="C444" s="478"/>
      <c r="D444" s="477">
        <f t="shared" si="18"/>
        <v>0</v>
      </c>
      <c r="E444" s="491">
        <f t="shared" si="19"/>
        <v>2.5062855099878264E-2</v>
      </c>
      <c r="F444" s="477">
        <f t="shared" si="20"/>
        <v>0</v>
      </c>
    </row>
    <row r="445" spans="1:6">
      <c r="A445">
        <v>7660</v>
      </c>
      <c r="B445" t="s">
        <v>601</v>
      </c>
      <c r="C445" s="478"/>
      <c r="D445" s="477">
        <f t="shared" si="18"/>
        <v>0</v>
      </c>
      <c r="E445" s="491">
        <f t="shared" si="19"/>
        <v>2.5062855099878264E-2</v>
      </c>
      <c r="F445" s="477">
        <f t="shared" si="20"/>
        <v>0</v>
      </c>
    </row>
    <row r="446" spans="1:6">
      <c r="A446">
        <v>7665</v>
      </c>
      <c r="B446" t="s">
        <v>602</v>
      </c>
      <c r="C446" s="478"/>
      <c r="D446" s="477">
        <f t="shared" si="18"/>
        <v>0</v>
      </c>
      <c r="E446" s="491">
        <f t="shared" si="19"/>
        <v>2.5062855099878264E-2</v>
      </c>
      <c r="F446" s="477">
        <f t="shared" si="20"/>
        <v>0</v>
      </c>
    </row>
    <row r="447" spans="1:6">
      <c r="A447">
        <v>7670</v>
      </c>
      <c r="B447" t="s">
        <v>603</v>
      </c>
      <c r="C447" s="478"/>
      <c r="D447" s="477">
        <f t="shared" si="18"/>
        <v>0</v>
      </c>
      <c r="E447" s="491">
        <f t="shared" si="19"/>
        <v>2.5062855099878264E-2</v>
      </c>
      <c r="F447" s="477">
        <f t="shared" si="20"/>
        <v>0</v>
      </c>
    </row>
    <row r="448" spans="1:6">
      <c r="B448" t="s">
        <v>228</v>
      </c>
      <c r="C448" s="478"/>
      <c r="D448" s="477">
        <f t="shared" si="18"/>
        <v>0</v>
      </c>
      <c r="E448" s="491">
        <f t="shared" si="19"/>
        <v>2.5062855099878264E-2</v>
      </c>
      <c r="F448" s="477">
        <f t="shared" si="20"/>
        <v>0</v>
      </c>
    </row>
    <row r="449" spans="1:6">
      <c r="B449" t="s">
        <v>229</v>
      </c>
      <c r="C449" s="478"/>
      <c r="D449" s="477">
        <f t="shared" si="18"/>
        <v>0</v>
      </c>
      <c r="E449" s="491">
        <f t="shared" si="19"/>
        <v>2.5062855099878264E-2</v>
      </c>
      <c r="F449" s="477">
        <f t="shared" si="20"/>
        <v>0</v>
      </c>
    </row>
    <row r="450" spans="1:6">
      <c r="A450">
        <v>7680</v>
      </c>
      <c r="B450" t="s">
        <v>604</v>
      </c>
      <c r="C450" s="478"/>
      <c r="D450" s="477">
        <f t="shared" si="18"/>
        <v>0</v>
      </c>
      <c r="E450" s="491">
        <f t="shared" si="19"/>
        <v>2.5062855099878264E-2</v>
      </c>
      <c r="F450" s="477">
        <f t="shared" si="20"/>
        <v>0</v>
      </c>
    </row>
    <row r="451" spans="1:6">
      <c r="A451">
        <v>7685</v>
      </c>
      <c r="B451" t="s">
        <v>605</v>
      </c>
      <c r="C451" s="478"/>
      <c r="D451" s="477">
        <f t="shared" si="18"/>
        <v>0</v>
      </c>
      <c r="E451" s="491">
        <f t="shared" si="19"/>
        <v>2.5062855099878264E-2</v>
      </c>
      <c r="F451" s="477">
        <f t="shared" si="20"/>
        <v>0</v>
      </c>
    </row>
    <row r="452" spans="1:6">
      <c r="A452">
        <v>7690</v>
      </c>
      <c r="B452" t="s">
        <v>606</v>
      </c>
      <c r="C452" s="478"/>
      <c r="D452" s="477">
        <f t="shared" si="18"/>
        <v>0</v>
      </c>
      <c r="E452" s="491">
        <f t="shared" si="19"/>
        <v>2.5062855099878264E-2</v>
      </c>
      <c r="F452" s="477">
        <f t="shared" si="20"/>
        <v>0</v>
      </c>
    </row>
    <row r="453" spans="1:6">
      <c r="A453">
        <v>7691</v>
      </c>
      <c r="B453" t="s">
        <v>607</v>
      </c>
      <c r="C453" s="478"/>
      <c r="D453" s="477">
        <f t="shared" si="18"/>
        <v>0</v>
      </c>
      <c r="E453" s="491">
        <f t="shared" si="19"/>
        <v>2.5062855099878264E-2</v>
      </c>
      <c r="F453" s="477">
        <f t="shared" si="20"/>
        <v>0</v>
      </c>
    </row>
    <row r="454" spans="1:6">
      <c r="A454">
        <v>7692</v>
      </c>
      <c r="B454" t="s">
        <v>608</v>
      </c>
      <c r="C454" s="478"/>
      <c r="D454" s="477">
        <f t="shared" ref="D454:D513" si="21">C454</f>
        <v>0</v>
      </c>
      <c r="E454" s="491">
        <f t="shared" ref="E454:E513" si="22">E$3</f>
        <v>2.5062855099878264E-2</v>
      </c>
      <c r="F454" s="477">
        <f t="shared" ref="F454:F513" si="23">E454*D454</f>
        <v>0</v>
      </c>
    </row>
    <row r="455" spans="1:6">
      <c r="A455">
        <v>7693</v>
      </c>
      <c r="B455" t="s">
        <v>609</v>
      </c>
      <c r="C455" s="478"/>
      <c r="D455" s="477">
        <f t="shared" si="21"/>
        <v>0</v>
      </c>
      <c r="E455" s="491">
        <f t="shared" si="22"/>
        <v>2.5062855099878264E-2</v>
      </c>
      <c r="F455" s="477">
        <f t="shared" si="23"/>
        <v>0</v>
      </c>
    </row>
    <row r="456" spans="1:6">
      <c r="B456" t="s">
        <v>229</v>
      </c>
      <c r="C456" s="478"/>
      <c r="D456" s="477">
        <f t="shared" si="21"/>
        <v>0</v>
      </c>
      <c r="E456" s="491">
        <f t="shared" si="22"/>
        <v>2.5062855099878264E-2</v>
      </c>
      <c r="F456" s="477">
        <f t="shared" si="23"/>
        <v>0</v>
      </c>
    </row>
    <row r="457" spans="1:6">
      <c r="B457" t="s">
        <v>227</v>
      </c>
      <c r="C457" s="478"/>
      <c r="D457" s="477">
        <f t="shared" si="21"/>
        <v>0</v>
      </c>
      <c r="E457" s="491">
        <f t="shared" si="22"/>
        <v>2.5062855099878264E-2</v>
      </c>
      <c r="F457" s="477">
        <f t="shared" si="23"/>
        <v>0</v>
      </c>
    </row>
    <row r="458" spans="1:6">
      <c r="B458" t="s">
        <v>226</v>
      </c>
      <c r="C458" s="478"/>
      <c r="D458" s="477">
        <f t="shared" si="21"/>
        <v>0</v>
      </c>
      <c r="E458" s="491">
        <f t="shared" si="22"/>
        <v>2.5062855099878264E-2</v>
      </c>
      <c r="F458" s="477">
        <f t="shared" si="23"/>
        <v>0</v>
      </c>
    </row>
    <row r="459" spans="1:6">
      <c r="B459" t="s">
        <v>230</v>
      </c>
      <c r="C459" s="478"/>
      <c r="D459" s="477">
        <f t="shared" si="21"/>
        <v>0</v>
      </c>
      <c r="E459" s="491">
        <f t="shared" si="22"/>
        <v>2.5062855099878264E-2</v>
      </c>
      <c r="F459" s="477">
        <f t="shared" si="23"/>
        <v>0</v>
      </c>
    </row>
    <row r="460" spans="1:6">
      <c r="B460" t="s">
        <v>231</v>
      </c>
      <c r="C460" s="478"/>
      <c r="D460" s="477">
        <f t="shared" si="21"/>
        <v>0</v>
      </c>
      <c r="E460" s="491">
        <f t="shared" si="22"/>
        <v>2.5062855099878264E-2</v>
      </c>
      <c r="F460" s="477">
        <f t="shared" si="23"/>
        <v>0</v>
      </c>
    </row>
    <row r="461" spans="1:6">
      <c r="A461">
        <v>7705</v>
      </c>
      <c r="B461" t="s">
        <v>610</v>
      </c>
      <c r="C461" s="478"/>
      <c r="D461" s="477">
        <f t="shared" si="21"/>
        <v>0</v>
      </c>
      <c r="E461" s="491">
        <f t="shared" si="22"/>
        <v>2.5062855099878264E-2</v>
      </c>
      <c r="F461" s="477">
        <f t="shared" si="23"/>
        <v>0</v>
      </c>
    </row>
    <row r="462" spans="1:6">
      <c r="A462">
        <v>7710</v>
      </c>
      <c r="B462" t="s">
        <v>611</v>
      </c>
      <c r="C462" s="478"/>
      <c r="D462" s="477">
        <f t="shared" si="21"/>
        <v>0</v>
      </c>
      <c r="E462" s="491">
        <f t="shared" si="22"/>
        <v>2.5062855099878264E-2</v>
      </c>
      <c r="F462" s="477">
        <f t="shared" si="23"/>
        <v>0</v>
      </c>
    </row>
    <row r="463" spans="1:6">
      <c r="B463" t="s">
        <v>232</v>
      </c>
      <c r="C463" s="478"/>
      <c r="D463" s="477">
        <f t="shared" si="21"/>
        <v>0</v>
      </c>
      <c r="E463" s="491">
        <f t="shared" si="22"/>
        <v>2.5062855099878264E-2</v>
      </c>
      <c r="F463" s="477">
        <f t="shared" si="23"/>
        <v>0</v>
      </c>
    </row>
    <row r="464" spans="1:6">
      <c r="A464">
        <v>7720</v>
      </c>
      <c r="B464" t="s">
        <v>612</v>
      </c>
      <c r="C464" s="478"/>
      <c r="D464" s="477">
        <f t="shared" si="21"/>
        <v>0</v>
      </c>
      <c r="E464" s="491">
        <f t="shared" si="22"/>
        <v>2.5062855099878264E-2</v>
      </c>
      <c r="F464" s="477">
        <f t="shared" si="23"/>
        <v>0</v>
      </c>
    </row>
    <row r="465" spans="1:6">
      <c r="A465">
        <v>7720</v>
      </c>
      <c r="B465" t="s">
        <v>613</v>
      </c>
      <c r="C465" s="478"/>
      <c r="D465" s="477">
        <f t="shared" si="21"/>
        <v>0</v>
      </c>
      <c r="E465" s="491">
        <f t="shared" si="22"/>
        <v>2.5062855099878264E-2</v>
      </c>
      <c r="F465" s="477">
        <f t="shared" si="23"/>
        <v>0</v>
      </c>
    </row>
    <row r="466" spans="1:6">
      <c r="A466">
        <v>7720</v>
      </c>
      <c r="B466" t="s">
        <v>614</v>
      </c>
      <c r="C466" s="478"/>
      <c r="D466" s="477">
        <f t="shared" si="21"/>
        <v>0</v>
      </c>
      <c r="E466" s="491">
        <f t="shared" si="22"/>
        <v>2.5062855099878264E-2</v>
      </c>
      <c r="F466" s="477">
        <f t="shared" si="23"/>
        <v>0</v>
      </c>
    </row>
    <row r="467" spans="1:6">
      <c r="A467">
        <v>7720</v>
      </c>
      <c r="B467" t="s">
        <v>615</v>
      </c>
      <c r="C467" s="478"/>
      <c r="D467" s="477">
        <f t="shared" si="21"/>
        <v>0</v>
      </c>
      <c r="E467" s="491">
        <f t="shared" si="22"/>
        <v>2.5062855099878264E-2</v>
      </c>
      <c r="F467" s="477">
        <f t="shared" si="23"/>
        <v>0</v>
      </c>
    </row>
    <row r="468" spans="1:6">
      <c r="A468">
        <v>7720</v>
      </c>
      <c r="B468" t="s">
        <v>616</v>
      </c>
      <c r="C468" s="478"/>
      <c r="D468" s="477">
        <f t="shared" si="21"/>
        <v>0</v>
      </c>
      <c r="E468" s="491">
        <f t="shared" si="22"/>
        <v>2.5062855099878264E-2</v>
      </c>
      <c r="F468" s="477">
        <f t="shared" si="23"/>
        <v>0</v>
      </c>
    </row>
    <row r="469" spans="1:6">
      <c r="A469">
        <v>7720</v>
      </c>
      <c r="B469" t="s">
        <v>617</v>
      </c>
      <c r="C469" s="478"/>
      <c r="D469" s="477">
        <f t="shared" si="21"/>
        <v>0</v>
      </c>
      <c r="E469" s="491">
        <f t="shared" si="22"/>
        <v>2.5062855099878264E-2</v>
      </c>
      <c r="F469" s="477">
        <f t="shared" si="23"/>
        <v>0</v>
      </c>
    </row>
    <row r="470" spans="1:6">
      <c r="A470">
        <v>7720</v>
      </c>
      <c r="B470" t="s">
        <v>618</v>
      </c>
      <c r="C470" s="478"/>
      <c r="D470" s="477">
        <f t="shared" si="21"/>
        <v>0</v>
      </c>
      <c r="E470" s="491">
        <f t="shared" si="22"/>
        <v>2.5062855099878264E-2</v>
      </c>
      <c r="F470" s="477">
        <f t="shared" si="23"/>
        <v>0</v>
      </c>
    </row>
    <row r="471" spans="1:6">
      <c r="A471">
        <v>7720</v>
      </c>
      <c r="B471" t="s">
        <v>619</v>
      </c>
      <c r="C471" s="478"/>
      <c r="D471" s="477">
        <f t="shared" si="21"/>
        <v>0</v>
      </c>
      <c r="E471" s="491">
        <f t="shared" si="22"/>
        <v>2.5062855099878264E-2</v>
      </c>
      <c r="F471" s="477">
        <f t="shared" si="23"/>
        <v>0</v>
      </c>
    </row>
    <row r="472" spans="1:6">
      <c r="A472">
        <v>7720</v>
      </c>
      <c r="B472" t="s">
        <v>620</v>
      </c>
      <c r="C472" s="478"/>
      <c r="D472" s="477">
        <f t="shared" si="21"/>
        <v>0</v>
      </c>
      <c r="E472" s="491">
        <f t="shared" si="22"/>
        <v>2.5062855099878264E-2</v>
      </c>
      <c r="F472" s="477">
        <f t="shared" si="23"/>
        <v>0</v>
      </c>
    </row>
    <row r="473" spans="1:6">
      <c r="A473">
        <v>7720</v>
      </c>
      <c r="B473" t="s">
        <v>621</v>
      </c>
      <c r="C473" s="478"/>
      <c r="D473" s="477">
        <f t="shared" si="21"/>
        <v>0</v>
      </c>
      <c r="E473" s="491">
        <f t="shared" si="22"/>
        <v>2.5062855099878264E-2</v>
      </c>
      <c r="F473" s="477">
        <f t="shared" si="23"/>
        <v>0</v>
      </c>
    </row>
    <row r="474" spans="1:6">
      <c r="A474">
        <v>7720</v>
      </c>
      <c r="B474" t="s">
        <v>1041</v>
      </c>
      <c r="C474" s="478"/>
      <c r="D474" s="477">
        <f t="shared" si="21"/>
        <v>0</v>
      </c>
      <c r="E474" s="491">
        <f t="shared" si="22"/>
        <v>2.5062855099878264E-2</v>
      </c>
      <c r="F474" s="477">
        <f t="shared" si="23"/>
        <v>0</v>
      </c>
    </row>
    <row r="475" spans="1:6">
      <c r="A475">
        <v>7720</v>
      </c>
      <c r="B475" t="s">
        <v>1042</v>
      </c>
      <c r="C475" s="478"/>
      <c r="D475" s="477">
        <f t="shared" si="21"/>
        <v>0</v>
      </c>
      <c r="E475" s="491">
        <f t="shared" si="22"/>
        <v>2.5062855099878264E-2</v>
      </c>
      <c r="F475" s="477">
        <f t="shared" si="23"/>
        <v>0</v>
      </c>
    </row>
    <row r="476" spans="1:6">
      <c r="A476">
        <v>7720</v>
      </c>
      <c r="B476" t="s">
        <v>1043</v>
      </c>
      <c r="C476" s="478"/>
      <c r="D476" s="477">
        <f t="shared" si="21"/>
        <v>0</v>
      </c>
      <c r="E476" s="491">
        <f t="shared" si="22"/>
        <v>2.5062855099878264E-2</v>
      </c>
      <c r="F476" s="477">
        <f t="shared" si="23"/>
        <v>0</v>
      </c>
    </row>
    <row r="477" spans="1:6">
      <c r="A477">
        <v>7720</v>
      </c>
      <c r="B477" t="s">
        <v>1044</v>
      </c>
      <c r="C477" s="478"/>
      <c r="D477" s="477">
        <f t="shared" si="21"/>
        <v>0</v>
      </c>
      <c r="E477" s="491">
        <f t="shared" si="22"/>
        <v>2.5062855099878264E-2</v>
      </c>
      <c r="F477" s="477">
        <f t="shared" si="23"/>
        <v>0</v>
      </c>
    </row>
    <row r="478" spans="1:6">
      <c r="A478">
        <v>7720</v>
      </c>
      <c r="B478" t="s">
        <v>1045</v>
      </c>
      <c r="C478" s="478"/>
      <c r="D478" s="477">
        <f t="shared" si="21"/>
        <v>0</v>
      </c>
      <c r="E478" s="491">
        <f t="shared" si="22"/>
        <v>2.5062855099878264E-2</v>
      </c>
      <c r="F478" s="477">
        <f t="shared" si="23"/>
        <v>0</v>
      </c>
    </row>
    <row r="479" spans="1:6">
      <c r="A479">
        <v>7720</v>
      </c>
      <c r="B479" t="s">
        <v>1046</v>
      </c>
      <c r="C479" s="478"/>
      <c r="D479" s="477">
        <f t="shared" si="21"/>
        <v>0</v>
      </c>
      <c r="E479" s="491">
        <f t="shared" si="22"/>
        <v>2.5062855099878264E-2</v>
      </c>
      <c r="F479" s="477">
        <f t="shared" si="23"/>
        <v>0</v>
      </c>
    </row>
    <row r="480" spans="1:6">
      <c r="A480">
        <v>7720</v>
      </c>
      <c r="B480" t="s">
        <v>1047</v>
      </c>
      <c r="C480" s="478"/>
      <c r="D480" s="477">
        <f t="shared" si="21"/>
        <v>0</v>
      </c>
      <c r="E480" s="491">
        <f t="shared" si="22"/>
        <v>2.5062855099878264E-2</v>
      </c>
      <c r="F480" s="477">
        <f t="shared" si="23"/>
        <v>0</v>
      </c>
    </row>
    <row r="481" spans="1:12">
      <c r="A481">
        <v>7720</v>
      </c>
      <c r="B481" t="s">
        <v>1048</v>
      </c>
      <c r="C481" s="478"/>
      <c r="D481" s="477">
        <f t="shared" si="21"/>
        <v>0</v>
      </c>
      <c r="E481" s="491">
        <f t="shared" si="22"/>
        <v>2.5062855099878264E-2</v>
      </c>
      <c r="F481" s="477">
        <f t="shared" si="23"/>
        <v>0</v>
      </c>
    </row>
    <row r="482" spans="1:12">
      <c r="A482">
        <v>7720</v>
      </c>
      <c r="B482" t="s">
        <v>1049</v>
      </c>
      <c r="C482" s="478"/>
      <c r="D482" s="477">
        <f t="shared" si="21"/>
        <v>0</v>
      </c>
      <c r="E482" s="491">
        <f t="shared" si="22"/>
        <v>2.5062855099878264E-2</v>
      </c>
      <c r="F482" s="477">
        <f t="shared" si="23"/>
        <v>0</v>
      </c>
    </row>
    <row r="483" spans="1:12">
      <c r="B483" t="s">
        <v>232</v>
      </c>
      <c r="C483" s="478"/>
      <c r="D483" s="477">
        <f t="shared" si="21"/>
        <v>0</v>
      </c>
      <c r="E483" s="491">
        <f t="shared" si="22"/>
        <v>2.5062855099878264E-2</v>
      </c>
      <c r="F483" s="477">
        <f t="shared" si="23"/>
        <v>0</v>
      </c>
    </row>
    <row r="484" spans="1:12">
      <c r="A484">
        <v>7725</v>
      </c>
      <c r="B484" t="s">
        <v>133</v>
      </c>
      <c r="C484" s="478"/>
      <c r="D484" s="477">
        <f t="shared" si="21"/>
        <v>0</v>
      </c>
      <c r="E484" s="491">
        <f t="shared" si="22"/>
        <v>2.5062855099878264E-2</v>
      </c>
      <c r="F484" s="477">
        <f t="shared" si="23"/>
        <v>0</v>
      </c>
    </row>
    <row r="485" spans="1:12">
      <c r="B485" t="s">
        <v>233</v>
      </c>
      <c r="C485" s="478"/>
      <c r="D485" s="477">
        <f t="shared" si="21"/>
        <v>0</v>
      </c>
      <c r="E485" s="491">
        <f t="shared" si="22"/>
        <v>2.5062855099878264E-2</v>
      </c>
      <c r="F485" s="477">
        <f t="shared" si="23"/>
        <v>0</v>
      </c>
    </row>
    <row r="486" spans="1:12">
      <c r="A486">
        <v>7735</v>
      </c>
      <c r="B486" t="s">
        <v>134</v>
      </c>
      <c r="C486" s="478"/>
      <c r="D486" s="477">
        <f t="shared" si="21"/>
        <v>0</v>
      </c>
      <c r="E486" s="491">
        <f t="shared" si="22"/>
        <v>2.5062855099878264E-2</v>
      </c>
      <c r="F486" s="477">
        <f t="shared" si="23"/>
        <v>0</v>
      </c>
    </row>
    <row r="487" spans="1:12">
      <c r="A487">
        <v>7735</v>
      </c>
      <c r="B487" t="s">
        <v>135</v>
      </c>
      <c r="C487" s="478"/>
      <c r="D487" s="477">
        <f t="shared" si="21"/>
        <v>0</v>
      </c>
      <c r="E487" s="491">
        <f t="shared" si="22"/>
        <v>2.5062855099878264E-2</v>
      </c>
      <c r="F487" s="477">
        <f t="shared" si="23"/>
        <v>0</v>
      </c>
    </row>
    <row r="488" spans="1:12">
      <c r="A488">
        <v>7735</v>
      </c>
      <c r="B488" t="s">
        <v>136</v>
      </c>
      <c r="C488" s="478">
        <v>35658.050000000003</v>
      </c>
      <c r="D488" s="477">
        <f t="shared" si="21"/>
        <v>35658.050000000003</v>
      </c>
      <c r="E488" s="491">
        <f t="shared" si="22"/>
        <v>2.5062855099878264E-2</v>
      </c>
      <c r="F488" s="477">
        <f t="shared" si="23"/>
        <v>893.69254029421415</v>
      </c>
      <c r="L488" s="477">
        <v>409767.18011112564</v>
      </c>
    </row>
    <row r="489" spans="1:12">
      <c r="A489">
        <v>7735</v>
      </c>
      <c r="B489" t="s">
        <v>137</v>
      </c>
      <c r="C489" s="478"/>
      <c r="D489" s="477">
        <f t="shared" si="21"/>
        <v>0</v>
      </c>
      <c r="E489" s="491">
        <f t="shared" si="22"/>
        <v>2.5062855099878264E-2</v>
      </c>
      <c r="F489" s="477">
        <f t="shared" si="23"/>
        <v>0</v>
      </c>
    </row>
    <row r="490" spans="1:12">
      <c r="A490">
        <v>7735</v>
      </c>
      <c r="B490" t="s">
        <v>138</v>
      </c>
      <c r="C490" s="478"/>
      <c r="D490" s="477">
        <f t="shared" si="21"/>
        <v>0</v>
      </c>
      <c r="E490" s="491">
        <f t="shared" si="22"/>
        <v>2.5062855099878264E-2</v>
      </c>
      <c r="F490" s="477">
        <f t="shared" si="23"/>
        <v>0</v>
      </c>
    </row>
    <row r="491" spans="1:12">
      <c r="A491">
        <v>7735</v>
      </c>
      <c r="B491" t="s">
        <v>139</v>
      </c>
      <c r="C491" s="478"/>
      <c r="D491" s="477">
        <f t="shared" si="21"/>
        <v>0</v>
      </c>
      <c r="E491" s="491">
        <f t="shared" si="22"/>
        <v>2.5062855099878264E-2</v>
      </c>
      <c r="F491" s="477">
        <f t="shared" si="23"/>
        <v>0</v>
      </c>
    </row>
    <row r="492" spans="1:12">
      <c r="A492">
        <v>7735</v>
      </c>
      <c r="B492" t="s">
        <v>140</v>
      </c>
      <c r="C492" s="478"/>
      <c r="D492" s="477">
        <f t="shared" si="21"/>
        <v>0</v>
      </c>
      <c r="E492" s="491">
        <f t="shared" si="22"/>
        <v>2.5062855099878264E-2</v>
      </c>
      <c r="F492" s="477">
        <f t="shared" si="23"/>
        <v>0</v>
      </c>
    </row>
    <row r="493" spans="1:12">
      <c r="A493">
        <v>7735</v>
      </c>
      <c r="B493" t="s">
        <v>141</v>
      </c>
      <c r="C493" s="478"/>
      <c r="D493" s="477">
        <f t="shared" si="21"/>
        <v>0</v>
      </c>
      <c r="E493" s="491">
        <f t="shared" si="22"/>
        <v>2.5062855099878264E-2</v>
      </c>
      <c r="F493" s="477">
        <f t="shared" si="23"/>
        <v>0</v>
      </c>
    </row>
    <row r="494" spans="1:12">
      <c r="A494">
        <v>7735</v>
      </c>
      <c r="B494" t="s">
        <v>142</v>
      </c>
      <c r="C494" s="478"/>
      <c r="D494" s="477">
        <f t="shared" si="21"/>
        <v>0</v>
      </c>
      <c r="E494" s="491">
        <f t="shared" si="22"/>
        <v>2.5062855099878264E-2</v>
      </c>
      <c r="F494" s="477">
        <f t="shared" si="23"/>
        <v>0</v>
      </c>
    </row>
    <row r="495" spans="1:12">
      <c r="A495">
        <v>7735</v>
      </c>
      <c r="B495" t="s">
        <v>143</v>
      </c>
      <c r="C495" s="478"/>
      <c r="D495" s="477">
        <f t="shared" si="21"/>
        <v>0</v>
      </c>
      <c r="E495" s="491">
        <f t="shared" si="22"/>
        <v>2.5062855099878264E-2</v>
      </c>
      <c r="F495" s="477">
        <f t="shared" si="23"/>
        <v>0</v>
      </c>
    </row>
    <row r="496" spans="1:12">
      <c r="B496" t="s">
        <v>233</v>
      </c>
      <c r="C496" s="478">
        <v>35658.050000000003</v>
      </c>
      <c r="D496" s="477">
        <f t="shared" si="21"/>
        <v>35658.050000000003</v>
      </c>
      <c r="E496" s="491">
        <f t="shared" si="22"/>
        <v>2.5062855099878264E-2</v>
      </c>
      <c r="F496" s="477">
        <f t="shared" si="23"/>
        <v>893.69254029421415</v>
      </c>
    </row>
    <row r="497" spans="1:6">
      <c r="B497" t="s">
        <v>231</v>
      </c>
      <c r="C497" s="478">
        <v>35658.050000000003</v>
      </c>
      <c r="D497" s="477">
        <f t="shared" si="21"/>
        <v>35658.050000000003</v>
      </c>
      <c r="E497" s="491">
        <f t="shared" si="22"/>
        <v>2.5062855099878264E-2</v>
      </c>
      <c r="F497" s="477">
        <f t="shared" si="23"/>
        <v>893.69254029421415</v>
      </c>
    </row>
    <row r="498" spans="1:6">
      <c r="B498" t="s">
        <v>234</v>
      </c>
      <c r="C498" s="478"/>
      <c r="D498" s="477">
        <f t="shared" si="21"/>
        <v>0</v>
      </c>
      <c r="E498" s="491">
        <f t="shared" si="22"/>
        <v>2.5062855099878264E-2</v>
      </c>
      <c r="F498" s="477">
        <f t="shared" si="23"/>
        <v>0</v>
      </c>
    </row>
    <row r="499" spans="1:6">
      <c r="A499">
        <v>7750</v>
      </c>
      <c r="B499" t="s">
        <v>144</v>
      </c>
      <c r="C499" s="478"/>
      <c r="D499" s="477">
        <f t="shared" si="21"/>
        <v>0</v>
      </c>
      <c r="E499" s="491">
        <f t="shared" si="22"/>
        <v>2.5062855099878264E-2</v>
      </c>
      <c r="F499" s="477">
        <f t="shared" si="23"/>
        <v>0</v>
      </c>
    </row>
    <row r="500" spans="1:6">
      <c r="B500" t="s">
        <v>234</v>
      </c>
      <c r="C500" s="478"/>
      <c r="D500" s="477">
        <f t="shared" si="21"/>
        <v>0</v>
      </c>
      <c r="E500" s="491">
        <f t="shared" si="22"/>
        <v>2.5062855099878264E-2</v>
      </c>
      <c r="F500" s="477">
        <f t="shared" si="23"/>
        <v>0</v>
      </c>
    </row>
    <row r="501" spans="1:6">
      <c r="B501" t="s">
        <v>235</v>
      </c>
      <c r="C501" s="478"/>
      <c r="D501" s="477">
        <f t="shared" si="21"/>
        <v>0</v>
      </c>
      <c r="E501" s="491">
        <f t="shared" si="22"/>
        <v>2.5062855099878264E-2</v>
      </c>
      <c r="F501" s="477">
        <f t="shared" si="23"/>
        <v>0</v>
      </c>
    </row>
    <row r="502" spans="1:6">
      <c r="A502">
        <v>7765</v>
      </c>
      <c r="B502" t="s">
        <v>145</v>
      </c>
      <c r="C502" s="478"/>
      <c r="D502" s="477">
        <f t="shared" si="21"/>
        <v>0</v>
      </c>
      <c r="E502" s="491">
        <f t="shared" si="22"/>
        <v>2.5062855099878264E-2</v>
      </c>
      <c r="F502" s="477">
        <f t="shared" si="23"/>
        <v>0</v>
      </c>
    </row>
    <row r="503" spans="1:6">
      <c r="B503" t="s">
        <v>236</v>
      </c>
      <c r="C503" s="478"/>
      <c r="D503" s="477">
        <f t="shared" si="21"/>
        <v>0</v>
      </c>
      <c r="E503" s="491">
        <f t="shared" si="22"/>
        <v>2.5062855099878264E-2</v>
      </c>
      <c r="F503" s="477">
        <f t="shared" si="23"/>
        <v>0</v>
      </c>
    </row>
    <row r="504" spans="1:6">
      <c r="A504">
        <v>7775</v>
      </c>
      <c r="B504" t="s">
        <v>146</v>
      </c>
      <c r="C504" s="478"/>
      <c r="D504" s="477">
        <f t="shared" si="21"/>
        <v>0</v>
      </c>
      <c r="E504" s="491">
        <f t="shared" si="22"/>
        <v>2.5062855099878264E-2</v>
      </c>
      <c r="F504" s="477">
        <f t="shared" si="23"/>
        <v>0</v>
      </c>
    </row>
    <row r="505" spans="1:6">
      <c r="A505">
        <v>7780</v>
      </c>
      <c r="B505" t="s">
        <v>147</v>
      </c>
      <c r="C505" s="478"/>
      <c r="D505" s="477">
        <f t="shared" si="21"/>
        <v>0</v>
      </c>
      <c r="E505" s="491">
        <f t="shared" si="22"/>
        <v>2.5062855099878264E-2</v>
      </c>
      <c r="F505" s="477">
        <f t="shared" si="23"/>
        <v>0</v>
      </c>
    </row>
    <row r="506" spans="1:6">
      <c r="A506">
        <v>7785</v>
      </c>
      <c r="B506" t="s">
        <v>148</v>
      </c>
      <c r="C506" s="478"/>
      <c r="D506" s="477">
        <f t="shared" si="21"/>
        <v>0</v>
      </c>
      <c r="E506" s="491">
        <f t="shared" si="22"/>
        <v>2.5062855099878264E-2</v>
      </c>
      <c r="F506" s="477">
        <f t="shared" si="23"/>
        <v>0</v>
      </c>
    </row>
    <row r="507" spans="1:6">
      <c r="A507">
        <v>7790</v>
      </c>
      <c r="B507" t="s">
        <v>149</v>
      </c>
      <c r="C507" s="478"/>
      <c r="D507" s="477">
        <f t="shared" si="21"/>
        <v>0</v>
      </c>
      <c r="E507" s="491">
        <f t="shared" si="22"/>
        <v>2.5062855099878264E-2</v>
      </c>
      <c r="F507" s="477">
        <f t="shared" si="23"/>
        <v>0</v>
      </c>
    </row>
    <row r="508" spans="1:6">
      <c r="A508">
        <v>7795</v>
      </c>
      <c r="B508" t="s">
        <v>150</v>
      </c>
      <c r="C508" s="478"/>
      <c r="D508" s="477">
        <f t="shared" si="21"/>
        <v>0</v>
      </c>
      <c r="E508" s="491">
        <f t="shared" si="22"/>
        <v>2.5062855099878264E-2</v>
      </c>
      <c r="F508" s="477">
        <f t="shared" si="23"/>
        <v>0</v>
      </c>
    </row>
    <row r="509" spans="1:6">
      <c r="B509" t="s">
        <v>236</v>
      </c>
      <c r="C509" s="478"/>
      <c r="D509" s="477">
        <f t="shared" si="21"/>
        <v>0</v>
      </c>
      <c r="E509" s="491">
        <f t="shared" si="22"/>
        <v>2.5062855099878264E-2</v>
      </c>
      <c r="F509" s="477">
        <f t="shared" si="23"/>
        <v>0</v>
      </c>
    </row>
    <row r="510" spans="1:6">
      <c r="B510" t="s">
        <v>235</v>
      </c>
      <c r="C510" s="478"/>
      <c r="D510" s="477">
        <f t="shared" si="21"/>
        <v>0</v>
      </c>
      <c r="E510" s="491">
        <f t="shared" si="22"/>
        <v>2.5062855099878264E-2</v>
      </c>
      <c r="F510" s="477">
        <f t="shared" si="23"/>
        <v>0</v>
      </c>
    </row>
    <row r="511" spans="1:6">
      <c r="B511" t="s">
        <v>230</v>
      </c>
      <c r="C511" s="478">
        <v>35658.050000000003</v>
      </c>
      <c r="D511" s="477">
        <f t="shared" si="21"/>
        <v>35658.050000000003</v>
      </c>
      <c r="E511" s="491">
        <f t="shared" si="22"/>
        <v>2.5062855099878264E-2</v>
      </c>
      <c r="F511" s="477">
        <f t="shared" si="23"/>
        <v>893.69254029421415</v>
      </c>
    </row>
    <row r="512" spans="1:6">
      <c r="B512" t="s">
        <v>225</v>
      </c>
      <c r="C512" s="478">
        <v>35658.050000000003</v>
      </c>
      <c r="D512" s="477">
        <f t="shared" si="21"/>
        <v>35658.050000000003</v>
      </c>
      <c r="E512" s="491">
        <f t="shared" si="22"/>
        <v>2.5062855099878264E-2</v>
      </c>
      <c r="F512" s="477">
        <f t="shared" si="23"/>
        <v>893.69254029421415</v>
      </c>
    </row>
    <row r="513" spans="2:6">
      <c r="B513" t="s">
        <v>237</v>
      </c>
      <c r="C513" s="478">
        <v>5648015.04</v>
      </c>
      <c r="D513" s="477">
        <f t="shared" si="21"/>
        <v>5648015.04</v>
      </c>
      <c r="E513" s="491">
        <f t="shared" si="22"/>
        <v>2.5062855099878264E-2</v>
      </c>
      <c r="F513" s="477">
        <f t="shared" si="23"/>
        <v>141555.38254945315</v>
      </c>
    </row>
  </sheetData>
  <phoneticPr fontId="42" type="noConversion"/>
  <pageMargins left="0.7" right="0.7" top="0.75" bottom="0.75" header="0.3" footer="0.3"/>
  <pageSetup scale="89" orientation="portrait" r:id="rId1"/>
  <colBreaks count="1" manualBreakCount="1">
    <brk id="3" max="51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A1:Q50"/>
  <sheetViews>
    <sheetView view="pageBreakPreview" zoomScaleNormal="100" zoomScaleSheetLayoutView="100" workbookViewId="0">
      <selection activeCell="F25" sqref="F25"/>
    </sheetView>
  </sheetViews>
  <sheetFormatPr defaultColWidth="12.5" defaultRowHeight="12.75"/>
  <cols>
    <col min="1" max="1" width="3.375" style="1213" customWidth="1"/>
    <col min="2" max="2" width="34.125" style="1213" customWidth="1"/>
    <col min="3" max="3" width="1.875" style="1213" customWidth="1"/>
    <col min="4" max="4" width="4.375" style="1213" customWidth="1"/>
    <col min="5" max="5" width="1.875" style="1213" customWidth="1"/>
    <col min="6" max="6" width="14" style="1216" customWidth="1"/>
    <col min="7" max="7" width="6.125" style="1213" customWidth="1"/>
    <col min="8" max="8" width="3.375" style="1213" customWidth="1"/>
    <col min="9" max="9" width="34.125" style="1213" customWidth="1"/>
    <col min="10" max="10" width="1.875" style="1213" customWidth="1"/>
    <col min="11" max="11" width="5.625" style="1213" customWidth="1"/>
    <col min="12" max="12" width="1.625" style="1213" bestFit="1" customWidth="1"/>
    <col min="13" max="13" width="17.375" style="1216" customWidth="1"/>
    <col min="14" max="14" width="12.5" style="1161" customWidth="1"/>
    <col min="15" max="16" width="18.25" style="1161" hidden="1" customWidth="1"/>
    <col min="17" max="17" width="0" style="1161" hidden="1" customWidth="1"/>
    <col min="18" max="16384" width="12.5" style="1161"/>
  </cols>
  <sheetData>
    <row r="1" spans="1:17" ht="19.5" customHeight="1">
      <c r="B1" s="1780" t="str">
        <f>'Input Schedule'!G6</f>
        <v>WATER SERVICE CORPORATION OF KENTUCKY</v>
      </c>
      <c r="C1" s="1780"/>
      <c r="D1" s="1780"/>
      <c r="E1" s="1780"/>
      <c r="F1" s="1780"/>
      <c r="G1" s="1780"/>
      <c r="H1" s="1780"/>
      <c r="I1" s="1780"/>
      <c r="M1" s="1316" t="s">
        <v>825</v>
      </c>
      <c r="O1" s="1215" t="s">
        <v>822</v>
      </c>
      <c r="P1" s="1215" t="s">
        <v>104</v>
      </c>
    </row>
    <row r="2" spans="1:17" ht="19.5" customHeight="1">
      <c r="A2" s="1161"/>
      <c r="B2" s="1306"/>
      <c r="C2" s="1306"/>
      <c r="D2" s="1306"/>
      <c r="E2" s="1306"/>
      <c r="F2" s="1307" t="s">
        <v>2188</v>
      </c>
      <c r="G2" s="1306"/>
      <c r="H2" s="1306"/>
      <c r="I2" s="1306"/>
      <c r="M2" s="1214"/>
      <c r="O2" s="1215"/>
      <c r="P2" s="1215"/>
    </row>
    <row r="3" spans="1:17">
      <c r="B3" s="1161"/>
      <c r="C3" s="1161"/>
      <c r="F3" s="1307" t="s">
        <v>814</v>
      </c>
      <c r="G3" s="1297"/>
      <c r="H3" s="1298"/>
      <c r="O3" s="1153">
        <v>0.50711929045450554</v>
      </c>
      <c r="P3" s="1153">
        <v>0.49288070954549446</v>
      </c>
    </row>
    <row r="4" spans="1:17">
      <c r="B4" s="1161"/>
      <c r="C4" s="1161"/>
      <c r="F4" s="1779" t="str">
        <f>'Input Schedule'!G9</f>
        <v>Test Year 12/31/2012</v>
      </c>
      <c r="G4" s="1779"/>
      <c r="H4" s="1779"/>
    </row>
    <row r="5" spans="1:17">
      <c r="B5" s="1161"/>
      <c r="C5" s="1161"/>
      <c r="F5" s="1217"/>
      <c r="G5" s="1218"/>
    </row>
    <row r="6" spans="1:17">
      <c r="B6" s="1161"/>
      <c r="C6" s="1218"/>
      <c r="F6" s="1217"/>
    </row>
    <row r="7" spans="1:17">
      <c r="B7" s="1219" t="s">
        <v>1166</v>
      </c>
      <c r="F7" s="1217"/>
      <c r="I7" s="1213" t="s">
        <v>1226</v>
      </c>
    </row>
    <row r="8" spans="1:17">
      <c r="F8" s="1220"/>
      <c r="I8" s="1213" t="str">
        <f>"==================================="</f>
        <v>===================================</v>
      </c>
    </row>
    <row r="9" spans="1:17">
      <c r="A9" s="1213" t="s">
        <v>792</v>
      </c>
      <c r="F9" s="1220"/>
      <c r="H9" s="1213" t="s">
        <v>156</v>
      </c>
    </row>
    <row r="10" spans="1:17">
      <c r="B10" s="1213" t="s">
        <v>822</v>
      </c>
      <c r="E10" s="1213" t="s">
        <v>784</v>
      </c>
      <c r="F10" s="1221">
        <f>'Linked TB'!E69+'Linked TB'!E73+'Linked TB'!E80</f>
        <v>10657790.149999999</v>
      </c>
    </row>
    <row r="11" spans="1:17">
      <c r="B11" s="1213" t="s">
        <v>104</v>
      </c>
      <c r="F11" s="946">
        <v>0</v>
      </c>
      <c r="I11" s="1213" t="s">
        <v>509</v>
      </c>
      <c r="L11" s="1213" t="s">
        <v>784</v>
      </c>
      <c r="M11" s="1216">
        <f>-'Linked TB'!E321-'Linked TB'!E322-'Linked TB'!E323</f>
        <v>5068941.41</v>
      </c>
      <c r="O11" s="1222">
        <f>$M11*O$3</f>
        <v>2570557.9711946608</v>
      </c>
      <c r="P11" s="1222">
        <f>$M11*P$3</f>
        <v>2498383.4388053394</v>
      </c>
      <c r="Q11" s="1223">
        <f>O11+P11-M11</f>
        <v>0</v>
      </c>
    </row>
    <row r="12" spans="1:17">
      <c r="F12" s="1220"/>
      <c r="I12" s="1213" t="s">
        <v>788</v>
      </c>
      <c r="M12" s="1216">
        <f>-'Linked TB'!E324-'Linked TB'!E677</f>
        <v>-822378.98000000021</v>
      </c>
      <c r="O12" s="1222">
        <f>$M12*O$3</f>
        <v>-417044.2448223001</v>
      </c>
      <c r="P12" s="1222">
        <f>$M12*P$3</f>
        <v>-405334.73517770012</v>
      </c>
      <c r="Q12" s="1223">
        <f>O12+P12-M12</f>
        <v>0</v>
      </c>
    </row>
    <row r="13" spans="1:17">
      <c r="B13" s="1213" t="s">
        <v>391</v>
      </c>
      <c r="E13" s="1213" t="s">
        <v>784</v>
      </c>
      <c r="F13" s="946">
        <f>SUM(F9:F12)</f>
        <v>10657790.149999999</v>
      </c>
      <c r="M13" s="1224"/>
    </row>
    <row r="14" spans="1:17">
      <c r="F14" s="1220"/>
      <c r="I14" s="1213" t="s">
        <v>391</v>
      </c>
      <c r="L14" s="1213" t="s">
        <v>784</v>
      </c>
      <c r="M14" s="1225">
        <f>SUM(M11:M13)</f>
        <v>4246562.43</v>
      </c>
      <c r="O14" s="1226">
        <f>SUM(O11:O13)</f>
        <v>2153513.7263723607</v>
      </c>
      <c r="P14" s="1226">
        <f>SUM(P11:P13)</f>
        <v>2093048.7036276392</v>
      </c>
      <c r="Q14" s="1223">
        <f>O14+P14-M14</f>
        <v>0</v>
      </c>
    </row>
    <row r="15" spans="1:17">
      <c r="A15" s="1213" t="s">
        <v>897</v>
      </c>
      <c r="F15" s="1221">
        <f>'Linked TB'!E161</f>
        <v>-5010382.18</v>
      </c>
      <c r="M15" s="1227"/>
    </row>
    <row r="16" spans="1:17">
      <c r="A16" s="1213" t="s">
        <v>638</v>
      </c>
      <c r="F16" s="1221">
        <v>0</v>
      </c>
      <c r="H16" s="1213" t="s">
        <v>387</v>
      </c>
    </row>
    <row r="17" spans="1:17">
      <c r="F17" s="1220"/>
      <c r="I17" s="1213" t="s">
        <v>656</v>
      </c>
      <c r="M17" s="1216">
        <f>-SUM('Linked TB'!E270:E273,'Linked TB'!E275)</f>
        <v>343218.67</v>
      </c>
      <c r="O17" s="1222">
        <f t="shared" ref="O17:P22" si="0">$M17*O$3</f>
        <v>174052.80840113907</v>
      </c>
      <c r="P17" s="1222">
        <f t="shared" si="0"/>
        <v>169165.86159886091</v>
      </c>
      <c r="Q17" s="1223">
        <f t="shared" ref="Q17:Q22" si="1">O17+P17-M17</f>
        <v>0</v>
      </c>
    </row>
    <row r="18" spans="1:17">
      <c r="B18" s="1213" t="s">
        <v>391</v>
      </c>
      <c r="E18" s="1213" t="s">
        <v>784</v>
      </c>
      <c r="F18" s="946">
        <f>SUM(F15:F17)</f>
        <v>-5010382.18</v>
      </c>
      <c r="I18" s="1213" t="s">
        <v>782</v>
      </c>
      <c r="M18" s="1216">
        <f>-'Linked TB'!E292-'Linked TB'!E305</f>
        <v>-21952.379999999997</v>
      </c>
      <c r="O18" s="1222">
        <f t="shared" si="0"/>
        <v>-11132.475369387677</v>
      </c>
      <c r="P18" s="1222">
        <f t="shared" si="0"/>
        <v>-10819.90463061232</v>
      </c>
      <c r="Q18" s="1223">
        <f t="shared" si="1"/>
        <v>0</v>
      </c>
    </row>
    <row r="19" spans="1:17">
      <c r="F19" s="1220"/>
      <c r="I19" s="1213" t="s">
        <v>1227</v>
      </c>
      <c r="M19" s="1216">
        <f>-'Linked TB'!E286</f>
        <v>56298.68</v>
      </c>
      <c r="O19" s="1222">
        <f t="shared" si="0"/>
        <v>28550.146655125263</v>
      </c>
      <c r="P19" s="1222">
        <f t="shared" si="0"/>
        <v>27748.533344874737</v>
      </c>
      <c r="Q19" s="1223">
        <f t="shared" si="1"/>
        <v>0</v>
      </c>
    </row>
    <row r="20" spans="1:17">
      <c r="F20" s="1221"/>
      <c r="I20" s="1213" t="s">
        <v>773</v>
      </c>
      <c r="M20" s="1216">
        <f>-'Linked TB'!E309</f>
        <v>5274.48</v>
      </c>
      <c r="O20" s="1222">
        <f t="shared" si="0"/>
        <v>2674.7905551164804</v>
      </c>
      <c r="P20" s="1222">
        <f t="shared" si="0"/>
        <v>2599.6894448835192</v>
      </c>
      <c r="Q20" s="1223">
        <f t="shared" si="1"/>
        <v>0</v>
      </c>
    </row>
    <row r="21" spans="1:17">
      <c r="A21" s="1213" t="s">
        <v>774</v>
      </c>
      <c r="E21" s="1213" t="s">
        <v>784</v>
      </c>
      <c r="F21" s="946">
        <f>F13+F18</f>
        <v>5647407.9699999988</v>
      </c>
      <c r="I21" s="1213" t="s">
        <v>805</v>
      </c>
      <c r="M21" s="1216">
        <f>-'Linked TB'!E274-'Linked TB'!E281</f>
        <v>1209997.23</v>
      </c>
      <c r="O21" s="1222">
        <f t="shared" si="0"/>
        <v>613612.93672951718</v>
      </c>
      <c r="P21" s="1222">
        <f t="shared" si="0"/>
        <v>596384.2932704828</v>
      </c>
      <c r="Q21" s="1223">
        <f t="shared" si="1"/>
        <v>0</v>
      </c>
    </row>
    <row r="22" spans="1:17">
      <c r="F22" s="1220"/>
      <c r="I22" s="1213" t="s">
        <v>1228</v>
      </c>
      <c r="M22" s="1228">
        <v>0</v>
      </c>
      <c r="O22" s="1222">
        <f t="shared" si="0"/>
        <v>0</v>
      </c>
      <c r="P22" s="1222">
        <f t="shared" si="0"/>
        <v>0</v>
      </c>
      <c r="Q22" s="1223">
        <f t="shared" si="1"/>
        <v>0</v>
      </c>
    </row>
    <row r="23" spans="1:17">
      <c r="F23" s="1220"/>
      <c r="M23" s="1224"/>
    </row>
    <row r="24" spans="1:17">
      <c r="F24" s="1221"/>
      <c r="I24" s="1213" t="s">
        <v>391</v>
      </c>
      <c r="L24" s="1213" t="s">
        <v>784</v>
      </c>
      <c r="M24" s="1225">
        <f>SUM(M17:M22)</f>
        <v>1592836.68</v>
      </c>
      <c r="O24" s="1226">
        <f>SUM(O17:O22)</f>
        <v>807758.20697151031</v>
      </c>
      <c r="P24" s="1226">
        <f>SUM(P17:P22)</f>
        <v>785078.47302848962</v>
      </c>
      <c r="Q24" s="1223">
        <f>O24+P24-M24</f>
        <v>0</v>
      </c>
    </row>
    <row r="25" spans="1:17">
      <c r="A25" s="1213" t="s">
        <v>1139</v>
      </c>
      <c r="F25" s="1221">
        <f>'Linked TB'!E166</f>
        <v>-146419.74</v>
      </c>
      <c r="M25" s="1224"/>
    </row>
    <row r="26" spans="1:17">
      <c r="A26" s="1213" t="s">
        <v>580</v>
      </c>
      <c r="F26" s="946">
        <v>0</v>
      </c>
      <c r="H26" s="1213" t="s">
        <v>399</v>
      </c>
    </row>
    <row r="27" spans="1:17">
      <c r="F27" s="1220"/>
      <c r="I27" s="1213" t="s">
        <v>822</v>
      </c>
      <c r="M27" s="1197">
        <f>-'Linked TB'!E231</f>
        <v>113080.53</v>
      </c>
      <c r="O27" s="1222">
        <f>$M27*O$3</f>
        <v>57345.318137819428</v>
      </c>
      <c r="P27" s="1222">
        <f>$M27*P$3</f>
        <v>55735.211862180571</v>
      </c>
      <c r="Q27" s="1223">
        <f>O27+P27-M27</f>
        <v>0</v>
      </c>
    </row>
    <row r="28" spans="1:17">
      <c r="B28" s="1213" t="s">
        <v>391</v>
      </c>
      <c r="E28" s="1213" t="s">
        <v>784</v>
      </c>
      <c r="F28" s="946">
        <f>SUM(F25:F27)</f>
        <v>-146419.74</v>
      </c>
      <c r="I28" s="1213" t="s">
        <v>104</v>
      </c>
      <c r="M28" s="1197">
        <v>0</v>
      </c>
      <c r="O28" s="1222">
        <f>$M28*O$3</f>
        <v>0</v>
      </c>
      <c r="P28" s="1222">
        <f>$M28*P$3</f>
        <v>0</v>
      </c>
      <c r="Q28" s="1223">
        <f>O28+P28-M28</f>
        <v>0</v>
      </c>
    </row>
    <row r="29" spans="1:17">
      <c r="F29" s="1220"/>
      <c r="M29" s="1224"/>
    </row>
    <row r="30" spans="1:17">
      <c r="F30" s="1220"/>
      <c r="I30" s="1213" t="s">
        <v>391</v>
      </c>
      <c r="L30" s="1213" t="s">
        <v>784</v>
      </c>
      <c r="M30" s="1229">
        <f>SUM(M27:M29)</f>
        <v>113080.53</v>
      </c>
      <c r="O30" s="1226">
        <f>SUM(O27:O29)</f>
        <v>57345.318137819428</v>
      </c>
      <c r="P30" s="1226">
        <f>SUM(P27:P29)</f>
        <v>55735.211862180571</v>
      </c>
      <c r="Q30" s="1223">
        <f>O30+P30-M30</f>
        <v>0</v>
      </c>
    </row>
    <row r="31" spans="1:17">
      <c r="A31" s="1213" t="s">
        <v>882</v>
      </c>
      <c r="F31" s="1221">
        <f>'Linked TB'!E98</f>
        <v>-1.1641532182693481E-10</v>
      </c>
      <c r="M31" s="1224"/>
    </row>
    <row r="32" spans="1:17">
      <c r="A32" s="1213" t="s">
        <v>918</v>
      </c>
      <c r="F32" s="946">
        <v>0</v>
      </c>
      <c r="H32" s="1213" t="s">
        <v>835</v>
      </c>
    </row>
    <row r="33" spans="1:17">
      <c r="F33" s="1220"/>
      <c r="I33" s="1213" t="s">
        <v>822</v>
      </c>
      <c r="M33" s="1216">
        <f>-'Linked TB'!E250</f>
        <v>165215.81</v>
      </c>
      <c r="O33" s="1222">
        <f>$M33*O$3</f>
        <v>83784.124339066402</v>
      </c>
      <c r="P33" s="1222">
        <f>$M33*P$3</f>
        <v>81431.685660933595</v>
      </c>
      <c r="Q33" s="1223">
        <f>O33+P33-M33</f>
        <v>0</v>
      </c>
    </row>
    <row r="34" spans="1:17">
      <c r="B34" s="1213" t="s">
        <v>391</v>
      </c>
      <c r="E34" s="1213" t="s">
        <v>784</v>
      </c>
      <c r="F34" s="946">
        <f>SUM(F31:F33)</f>
        <v>-1.1641532182693481E-10</v>
      </c>
      <c r="I34" s="1213" t="s">
        <v>104</v>
      </c>
      <c r="M34" s="1197">
        <v>0</v>
      </c>
      <c r="O34" s="1222">
        <f>$M34*O$3</f>
        <v>0</v>
      </c>
      <c r="P34" s="1222">
        <f>$M34*P$3</f>
        <v>0</v>
      </c>
      <c r="Q34" s="1223">
        <f>O34+P34-M34</f>
        <v>0</v>
      </c>
    </row>
    <row r="35" spans="1:17">
      <c r="F35" s="1220"/>
      <c r="M35" s="1224"/>
    </row>
    <row r="36" spans="1:17">
      <c r="A36" s="1213" t="s">
        <v>115</v>
      </c>
      <c r="F36" s="1221"/>
      <c r="I36" s="1213" t="s">
        <v>391</v>
      </c>
      <c r="L36" s="1213" t="s">
        <v>784</v>
      </c>
      <c r="M36" s="1225">
        <f>SUM(M33:M35)</f>
        <v>165215.81</v>
      </c>
      <c r="O36" s="1226">
        <f>SUM(O33:O35)</f>
        <v>83784.124339066402</v>
      </c>
      <c r="P36" s="1226">
        <f>SUM(P33:P35)</f>
        <v>81431.685660933595</v>
      </c>
      <c r="Q36" s="1223">
        <f>O36+P36-M36</f>
        <v>0</v>
      </c>
    </row>
    <row r="37" spans="1:17">
      <c r="B37" s="1213" t="s">
        <v>1</v>
      </c>
      <c r="F37" s="1221">
        <f>'Linked TB'!E171</f>
        <v>23077.73</v>
      </c>
      <c r="M37" s="1224"/>
    </row>
    <row r="38" spans="1:17">
      <c r="B38" s="1213" t="s">
        <v>1145</v>
      </c>
      <c r="F38" s="1221">
        <f>'Linked TB'!E180</f>
        <v>1065126.48</v>
      </c>
      <c r="H38" s="1213" t="s">
        <v>907</v>
      </c>
    </row>
    <row r="39" spans="1:17">
      <c r="B39" s="1213" t="s">
        <v>130</v>
      </c>
      <c r="F39" s="946">
        <f>'Linked TB'!E185+'Linked TB'!E189</f>
        <v>14019</v>
      </c>
      <c r="I39" s="1213" t="s">
        <v>930</v>
      </c>
      <c r="M39" s="1197">
        <v>0</v>
      </c>
      <c r="O39" s="1222">
        <f t="shared" ref="O39:P41" si="2">$M39*O$3</f>
        <v>0</v>
      </c>
      <c r="P39" s="1222">
        <f t="shared" si="2"/>
        <v>0</v>
      </c>
      <c r="Q39" s="1223">
        <f>O39+P39-M39</f>
        <v>0</v>
      </c>
    </row>
    <row r="40" spans="1:17">
      <c r="F40" s="1220"/>
      <c r="I40" s="1213" t="s">
        <v>668</v>
      </c>
      <c r="M40" s="1216">
        <f>-'Linked TB'!E259</f>
        <v>598243.80000000005</v>
      </c>
      <c r="O40" s="1222">
        <f t="shared" si="2"/>
        <v>303380.97137480712</v>
      </c>
      <c r="P40" s="1222">
        <f t="shared" si="2"/>
        <v>294862.82862519292</v>
      </c>
      <c r="Q40" s="1223">
        <f>O40+P40-M40</f>
        <v>0</v>
      </c>
    </row>
    <row r="41" spans="1:17">
      <c r="B41" s="1213" t="s">
        <v>391</v>
      </c>
      <c r="E41" s="1213" t="s">
        <v>784</v>
      </c>
      <c r="F41" s="946">
        <f>SUM(F37:F40)</f>
        <v>1102223.21</v>
      </c>
      <c r="I41" s="1213" t="s">
        <v>914</v>
      </c>
      <c r="M41" s="1216">
        <f>-'Linked TB'!E268</f>
        <v>67338.12</v>
      </c>
      <c r="O41" s="1222">
        <f t="shared" si="2"/>
        <v>34148.459634940344</v>
      </c>
      <c r="P41" s="1222">
        <f t="shared" si="2"/>
        <v>33189.660365059652</v>
      </c>
      <c r="Q41" s="1223">
        <f>O41+P41-M41</f>
        <v>0</v>
      </c>
    </row>
    <row r="42" spans="1:17">
      <c r="F42" s="1220"/>
    </row>
    <row r="43" spans="1:17">
      <c r="F43" s="1220"/>
      <c r="M43" s="1224"/>
    </row>
    <row r="44" spans="1:17">
      <c r="A44" s="1213" t="s">
        <v>124</v>
      </c>
      <c r="F44" s="946">
        <f>'Linked TB'!E208+'Linked TB'!E223</f>
        <v>180065.93</v>
      </c>
      <c r="I44" s="1213" t="s">
        <v>391</v>
      </c>
      <c r="L44" s="1213" t="s">
        <v>784</v>
      </c>
      <c r="M44" s="1225">
        <f>SUM(M38:M43)</f>
        <v>665581.92000000004</v>
      </c>
      <c r="O44" s="1226">
        <f>SUM(O38:O43)</f>
        <v>337529.43100974744</v>
      </c>
      <c r="P44" s="1226">
        <f>SUM(P38:P43)</f>
        <v>328052.4889902526</v>
      </c>
      <c r="Q44" s="1223">
        <f>O44+P44-M44</f>
        <v>0</v>
      </c>
    </row>
    <row r="45" spans="1:17">
      <c r="F45" s="1220"/>
      <c r="M45" s="1224"/>
    </row>
    <row r="46" spans="1:17" ht="13.5" thickBot="1">
      <c r="A46" s="1213" t="s">
        <v>1066</v>
      </c>
      <c r="E46" s="1213" t="s">
        <v>784</v>
      </c>
      <c r="F46" s="1230">
        <f>F21+F28+F34+F41+F44</f>
        <v>6783277.3699999982</v>
      </c>
      <c r="H46" s="1213" t="s">
        <v>834</v>
      </c>
      <c r="L46" s="1213" t="s">
        <v>784</v>
      </c>
      <c r="M46" s="1231">
        <f>M14+M24+M30+M36+M44</f>
        <v>6783277.3699999992</v>
      </c>
      <c r="O46" s="1232">
        <f>O14+O24+O30+O36+O44</f>
        <v>3439930.8068305044</v>
      </c>
      <c r="P46" s="1232">
        <f>P14+P24+P30+P36+P44</f>
        <v>3343346.5631694952</v>
      </c>
      <c r="Q46" s="1223">
        <f>O46+P46-M46</f>
        <v>0</v>
      </c>
    </row>
    <row r="47" spans="1:17" ht="13.5" thickTop="1">
      <c r="F47" s="1220">
        <v>0</v>
      </c>
      <c r="M47" s="1197">
        <f>F46-M46</f>
        <v>0</v>
      </c>
      <c r="N47" s="1161" t="s">
        <v>1229</v>
      </c>
      <c r="O47" s="1233"/>
      <c r="P47" s="1233"/>
      <c r="Q47" s="1234"/>
    </row>
    <row r="49" spans="1:13" hidden="1">
      <c r="A49" s="1235"/>
      <c r="M49" s="1216">
        <f>F46-M46</f>
        <v>0</v>
      </c>
    </row>
    <row r="50" spans="1:13">
      <c r="A50" s="1235"/>
      <c r="B50" s="1161"/>
      <c r="C50" s="1161"/>
      <c r="D50" s="1161"/>
      <c r="E50" s="1161"/>
      <c r="F50" s="1161"/>
      <c r="G50" s="1161"/>
      <c r="H50" s="1161"/>
      <c r="I50" s="1161"/>
      <c r="J50" s="1161"/>
      <c r="K50" s="1161"/>
      <c r="L50" s="1161"/>
      <c r="M50" s="1161"/>
    </row>
  </sheetData>
  <mergeCells count="2">
    <mergeCell ref="F4:H4"/>
    <mergeCell ref="B1:I1"/>
  </mergeCells>
  <phoneticPr fontId="26" type="noConversion"/>
  <printOptions horizontalCentered="1"/>
  <pageMargins left="0.25" right="0" top="0.25" bottom="0" header="0.5" footer="0.5"/>
  <pageSetup scale="94" orientation="landscape" horizontalDpi="4294967292" verticalDpi="4294967292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513"/>
  <sheetViews>
    <sheetView workbookViewId="0">
      <selection activeCell="D26" sqref="D26"/>
    </sheetView>
  </sheetViews>
  <sheetFormatPr defaultRowHeight="12"/>
  <cols>
    <col min="1" max="1" width="12.625" bestFit="1" customWidth="1"/>
    <col min="2" max="2" width="40.75" bestFit="1" customWidth="1"/>
    <col min="3" max="3" width="16" style="478" bestFit="1" customWidth="1"/>
    <col min="4" max="4" width="15" bestFit="1" customWidth="1"/>
    <col min="5" max="5" width="8.875" bestFit="1" customWidth="1"/>
    <col min="6" max="6" width="13" bestFit="1" customWidth="1"/>
  </cols>
  <sheetData>
    <row r="1" spans="1:6" ht="13.5" thickBot="1">
      <c r="A1" t="s">
        <v>238</v>
      </c>
      <c r="B1" t="s">
        <v>176</v>
      </c>
      <c r="C1" s="479"/>
      <c r="D1" s="480" t="s">
        <v>177</v>
      </c>
      <c r="E1" s="481" t="s">
        <v>391</v>
      </c>
    </row>
    <row r="2" spans="1:6" ht="12.75">
      <c r="B2" t="s">
        <v>178</v>
      </c>
      <c r="C2" s="482" t="s">
        <v>179</v>
      </c>
      <c r="D2" s="483">
        <v>7305</v>
      </c>
      <c r="E2" s="484">
        <v>289300</v>
      </c>
    </row>
    <row r="3" spans="1:6" ht="13.5" thickBot="1">
      <c r="C3" s="485" t="s">
        <v>180</v>
      </c>
      <c r="D3" s="486">
        <f>D2/E2</f>
        <v>2.5250604908399584E-2</v>
      </c>
      <c r="E3" s="487">
        <f>SUM(D3:D3)</f>
        <v>2.5250604908399584E-2</v>
      </c>
    </row>
    <row r="4" spans="1:6">
      <c r="B4" t="s">
        <v>239</v>
      </c>
    </row>
    <row r="5" spans="1:6" ht="26.25">
      <c r="A5" s="488" t="s">
        <v>182</v>
      </c>
      <c r="B5" s="488" t="s">
        <v>830</v>
      </c>
      <c r="C5" s="488" t="s">
        <v>183</v>
      </c>
      <c r="D5" s="489" t="s">
        <v>184</v>
      </c>
      <c r="E5" s="489" t="s">
        <v>185</v>
      </c>
      <c r="F5" s="490" t="s">
        <v>90</v>
      </c>
    </row>
    <row r="6" spans="1:6">
      <c r="B6" t="s">
        <v>186</v>
      </c>
      <c r="D6" s="477" t="e">
        <v>#REF!</v>
      </c>
      <c r="E6" s="491">
        <f t="shared" ref="E6:E69" si="0">E$3</f>
        <v>2.5250604908399584E-2</v>
      </c>
      <c r="F6" s="477" t="e">
        <f t="shared" ref="F6:F69" si="1">E6*D6</f>
        <v>#REF!</v>
      </c>
    </row>
    <row r="7" spans="1:6">
      <c r="B7" t="s">
        <v>187</v>
      </c>
      <c r="D7" s="477" t="e">
        <v>#REF!</v>
      </c>
      <c r="E7" s="491">
        <f t="shared" si="0"/>
        <v>2.5250604908399584E-2</v>
      </c>
      <c r="F7" s="477" t="e">
        <f t="shared" si="1"/>
        <v>#REF!</v>
      </c>
    </row>
    <row r="8" spans="1:6">
      <c r="B8" t="s">
        <v>188</v>
      </c>
      <c r="D8" s="477" t="e">
        <v>#REF!</v>
      </c>
      <c r="E8" s="491">
        <f t="shared" si="0"/>
        <v>2.5250604908399584E-2</v>
      </c>
      <c r="F8" s="477" t="e">
        <f t="shared" si="1"/>
        <v>#REF!</v>
      </c>
    </row>
    <row r="9" spans="1:6">
      <c r="B9" t="s">
        <v>189</v>
      </c>
      <c r="D9" s="477" t="e">
        <v>#REF!</v>
      </c>
      <c r="E9" s="491">
        <f t="shared" si="0"/>
        <v>2.5250604908399584E-2</v>
      </c>
      <c r="F9" s="477" t="e">
        <f t="shared" si="1"/>
        <v>#REF!</v>
      </c>
    </row>
    <row r="10" spans="1:6">
      <c r="A10">
        <v>5430</v>
      </c>
      <c r="B10" t="s">
        <v>937</v>
      </c>
      <c r="D10" s="477" t="e">
        <v>#REF!</v>
      </c>
      <c r="E10" s="491">
        <f t="shared" si="0"/>
        <v>2.5250604908399584E-2</v>
      </c>
      <c r="F10" s="477" t="e">
        <f t="shared" si="1"/>
        <v>#REF!</v>
      </c>
    </row>
    <row r="11" spans="1:6">
      <c r="A11">
        <v>5435</v>
      </c>
      <c r="B11" t="s">
        <v>938</v>
      </c>
      <c r="D11" s="477" t="e">
        <v>#REF!</v>
      </c>
      <c r="E11" s="491">
        <f t="shared" si="0"/>
        <v>2.5250604908399584E-2</v>
      </c>
      <c r="F11" s="477" t="e">
        <f t="shared" si="1"/>
        <v>#REF!</v>
      </c>
    </row>
    <row r="12" spans="1:6">
      <c r="A12">
        <v>5440</v>
      </c>
      <c r="B12" t="s">
        <v>939</v>
      </c>
      <c r="D12" s="477" t="e">
        <v>#REF!</v>
      </c>
      <c r="E12" s="491">
        <f t="shared" si="0"/>
        <v>2.5250604908399584E-2</v>
      </c>
      <c r="F12" s="477" t="e">
        <f t="shared" si="1"/>
        <v>#REF!</v>
      </c>
    </row>
    <row r="13" spans="1:6">
      <c r="A13">
        <v>5445</v>
      </c>
      <c r="B13" t="s">
        <v>940</v>
      </c>
      <c r="D13" s="477" t="e">
        <v>#REF!</v>
      </c>
      <c r="E13" s="491">
        <f t="shared" si="0"/>
        <v>2.5250604908399584E-2</v>
      </c>
      <c r="F13" s="477" t="e">
        <f t="shared" si="1"/>
        <v>#REF!</v>
      </c>
    </row>
    <row r="14" spans="1:6">
      <c r="B14" t="s">
        <v>189</v>
      </c>
      <c r="D14" s="477" t="e">
        <v>#REF!</v>
      </c>
      <c r="E14" s="491">
        <f t="shared" si="0"/>
        <v>2.5250604908399584E-2</v>
      </c>
      <c r="F14" s="477" t="e">
        <f t="shared" si="1"/>
        <v>#REF!</v>
      </c>
    </row>
    <row r="15" spans="1:6">
      <c r="B15" t="s">
        <v>190</v>
      </c>
      <c r="D15" s="477" t="e">
        <v>#REF!</v>
      </c>
      <c r="E15" s="491">
        <f t="shared" si="0"/>
        <v>2.5250604908399584E-2</v>
      </c>
      <c r="F15" s="477" t="e">
        <f t="shared" si="1"/>
        <v>#REF!</v>
      </c>
    </row>
    <row r="16" spans="1:6">
      <c r="A16">
        <v>5455</v>
      </c>
      <c r="B16" t="s">
        <v>941</v>
      </c>
      <c r="D16" s="477" t="e">
        <v>#REF!</v>
      </c>
      <c r="E16" s="491">
        <f t="shared" si="0"/>
        <v>2.5250604908399584E-2</v>
      </c>
      <c r="F16" s="477" t="e">
        <f t="shared" si="1"/>
        <v>#REF!</v>
      </c>
    </row>
    <row r="17" spans="1:6">
      <c r="A17">
        <v>5460</v>
      </c>
      <c r="B17" t="s">
        <v>942</v>
      </c>
      <c r="D17" s="477" t="e">
        <v>#REF!</v>
      </c>
      <c r="E17" s="491">
        <f t="shared" si="0"/>
        <v>2.5250604908399584E-2</v>
      </c>
      <c r="F17" s="477" t="e">
        <f t="shared" si="1"/>
        <v>#REF!</v>
      </c>
    </row>
    <row r="18" spans="1:6">
      <c r="B18" t="s">
        <v>190</v>
      </c>
      <c r="D18" s="477" t="e">
        <v>#REF!</v>
      </c>
      <c r="E18" s="491">
        <f t="shared" si="0"/>
        <v>2.5250604908399584E-2</v>
      </c>
      <c r="F18" s="477" t="e">
        <f t="shared" si="1"/>
        <v>#REF!</v>
      </c>
    </row>
    <row r="19" spans="1:6">
      <c r="B19" t="s">
        <v>191</v>
      </c>
      <c r="D19" s="477" t="e">
        <v>#REF!</v>
      </c>
      <c r="E19" s="491">
        <f t="shared" si="0"/>
        <v>2.5250604908399584E-2</v>
      </c>
      <c r="F19" s="477" t="e">
        <f t="shared" si="1"/>
        <v>#REF!</v>
      </c>
    </row>
    <row r="20" spans="1:6">
      <c r="A20">
        <v>5465</v>
      </c>
      <c r="B20" t="s">
        <v>943</v>
      </c>
      <c r="D20" s="477" t="e">
        <v>#REF!</v>
      </c>
      <c r="E20" s="491">
        <f t="shared" si="0"/>
        <v>2.5250604908399584E-2</v>
      </c>
      <c r="F20" s="477" t="e">
        <f t="shared" si="1"/>
        <v>#REF!</v>
      </c>
    </row>
    <row r="21" spans="1:6">
      <c r="A21">
        <v>5465</v>
      </c>
      <c r="B21" t="s">
        <v>944</v>
      </c>
      <c r="D21" s="477" t="e">
        <v>#REF!</v>
      </c>
      <c r="E21" s="491">
        <f t="shared" si="0"/>
        <v>2.5250604908399584E-2</v>
      </c>
      <c r="F21" s="477" t="e">
        <f t="shared" si="1"/>
        <v>#REF!</v>
      </c>
    </row>
    <row r="22" spans="1:6">
      <c r="A22">
        <v>5465</v>
      </c>
      <c r="B22" t="s">
        <v>945</v>
      </c>
      <c r="D22" s="477" t="e">
        <v>#REF!</v>
      </c>
      <c r="E22" s="491">
        <f t="shared" si="0"/>
        <v>2.5250604908399584E-2</v>
      </c>
      <c r="F22" s="477" t="e">
        <f t="shared" si="1"/>
        <v>#REF!</v>
      </c>
    </row>
    <row r="23" spans="1:6">
      <c r="A23">
        <v>5465</v>
      </c>
      <c r="B23" t="s">
        <v>946</v>
      </c>
      <c r="D23" s="477" t="e">
        <v>#REF!</v>
      </c>
      <c r="E23" s="491">
        <f t="shared" si="0"/>
        <v>2.5250604908399584E-2</v>
      </c>
      <c r="F23" s="477" t="e">
        <f t="shared" si="1"/>
        <v>#REF!</v>
      </c>
    </row>
    <row r="24" spans="1:6">
      <c r="B24" t="s">
        <v>191</v>
      </c>
      <c r="D24" s="477" t="e">
        <v>#REF!</v>
      </c>
      <c r="E24" s="491">
        <f t="shared" si="0"/>
        <v>2.5250604908399584E-2</v>
      </c>
      <c r="F24" s="477" t="e">
        <f t="shared" si="1"/>
        <v>#REF!</v>
      </c>
    </row>
    <row r="25" spans="1:6">
      <c r="B25" t="s">
        <v>192</v>
      </c>
      <c r="D25" s="477" t="e">
        <v>#REF!</v>
      </c>
      <c r="E25" s="491">
        <f t="shared" si="0"/>
        <v>2.5250604908399584E-2</v>
      </c>
      <c r="F25" s="477" t="e">
        <f t="shared" si="1"/>
        <v>#REF!</v>
      </c>
    </row>
    <row r="26" spans="1:6">
      <c r="A26">
        <v>5470</v>
      </c>
      <c r="B26" t="s">
        <v>947</v>
      </c>
      <c r="D26" s="477" t="e">
        <v>#REF!</v>
      </c>
      <c r="E26" s="491">
        <f t="shared" si="0"/>
        <v>2.5250604908399584E-2</v>
      </c>
      <c r="F26" s="477" t="e">
        <f t="shared" si="1"/>
        <v>#REF!</v>
      </c>
    </row>
    <row r="27" spans="1:6">
      <c r="A27">
        <v>5470</v>
      </c>
      <c r="B27" t="s">
        <v>948</v>
      </c>
      <c r="D27" s="477" t="e">
        <v>#REF!</v>
      </c>
      <c r="E27" s="491">
        <f t="shared" si="0"/>
        <v>2.5250604908399584E-2</v>
      </c>
      <c r="F27" s="477" t="e">
        <f t="shared" si="1"/>
        <v>#REF!</v>
      </c>
    </row>
    <row r="28" spans="1:6">
      <c r="A28">
        <v>5470</v>
      </c>
      <c r="B28" t="s">
        <v>949</v>
      </c>
      <c r="D28" s="477" t="e">
        <v>#REF!</v>
      </c>
      <c r="E28" s="491">
        <f t="shared" si="0"/>
        <v>2.5250604908399584E-2</v>
      </c>
      <c r="F28" s="477" t="e">
        <f t="shared" si="1"/>
        <v>#REF!</v>
      </c>
    </row>
    <row r="29" spans="1:6">
      <c r="A29">
        <v>5470</v>
      </c>
      <c r="B29" t="s">
        <v>950</v>
      </c>
      <c r="D29" s="477" t="e">
        <v>#REF!</v>
      </c>
      <c r="E29" s="491">
        <f t="shared" si="0"/>
        <v>2.5250604908399584E-2</v>
      </c>
      <c r="F29" s="477" t="e">
        <f t="shared" si="1"/>
        <v>#REF!</v>
      </c>
    </row>
    <row r="30" spans="1:6">
      <c r="A30">
        <v>5470</v>
      </c>
      <c r="B30" t="s">
        <v>951</v>
      </c>
      <c r="D30" s="477" t="e">
        <v>#REF!</v>
      </c>
      <c r="E30" s="491">
        <f t="shared" si="0"/>
        <v>2.5250604908399584E-2</v>
      </c>
      <c r="F30" s="477" t="e">
        <f t="shared" si="1"/>
        <v>#REF!</v>
      </c>
    </row>
    <row r="31" spans="1:6">
      <c r="A31">
        <v>5470</v>
      </c>
      <c r="B31" t="s">
        <v>951</v>
      </c>
      <c r="D31" s="477" t="e">
        <v>#REF!</v>
      </c>
      <c r="E31" s="491">
        <f t="shared" si="0"/>
        <v>2.5250604908399584E-2</v>
      </c>
      <c r="F31" s="477" t="e">
        <f t="shared" si="1"/>
        <v>#REF!</v>
      </c>
    </row>
    <row r="32" spans="1:6">
      <c r="B32" t="s">
        <v>192</v>
      </c>
      <c r="D32" s="477" t="e">
        <v>#REF!</v>
      </c>
      <c r="E32" s="491">
        <f t="shared" si="0"/>
        <v>2.5250604908399584E-2</v>
      </c>
      <c r="F32" s="477" t="e">
        <f t="shared" si="1"/>
        <v>#REF!</v>
      </c>
    </row>
    <row r="33" spans="1:6">
      <c r="B33" t="s">
        <v>193</v>
      </c>
      <c r="D33" s="477" t="e">
        <v>#REF!</v>
      </c>
      <c r="E33" s="491">
        <f t="shared" si="0"/>
        <v>2.5250604908399584E-2</v>
      </c>
      <c r="F33" s="477" t="e">
        <f t="shared" si="1"/>
        <v>#REF!</v>
      </c>
    </row>
    <row r="34" spans="1:6">
      <c r="A34">
        <v>5480</v>
      </c>
      <c r="B34" t="s">
        <v>952</v>
      </c>
      <c r="D34" s="477" t="e">
        <v>#REF!</v>
      </c>
      <c r="E34" s="491">
        <f t="shared" si="0"/>
        <v>2.5250604908399584E-2</v>
      </c>
      <c r="F34" s="477" t="e">
        <f t="shared" si="1"/>
        <v>#REF!</v>
      </c>
    </row>
    <row r="35" spans="1:6">
      <c r="A35">
        <v>5485</v>
      </c>
      <c r="B35" t="s">
        <v>953</v>
      </c>
      <c r="D35" s="477" t="e">
        <v>#REF!</v>
      </c>
      <c r="E35" s="491">
        <f t="shared" si="0"/>
        <v>2.5250604908399584E-2</v>
      </c>
      <c r="F35" s="477" t="e">
        <f t="shared" si="1"/>
        <v>#REF!</v>
      </c>
    </row>
    <row r="36" spans="1:6">
      <c r="A36">
        <v>5490</v>
      </c>
      <c r="B36" t="s">
        <v>954</v>
      </c>
      <c r="D36" s="477" t="e">
        <v>#REF!</v>
      </c>
      <c r="E36" s="491">
        <f t="shared" si="0"/>
        <v>2.5250604908399584E-2</v>
      </c>
      <c r="F36" s="477" t="e">
        <f t="shared" si="1"/>
        <v>#REF!</v>
      </c>
    </row>
    <row r="37" spans="1:6">
      <c r="B37" t="s">
        <v>193</v>
      </c>
      <c r="D37" s="477" t="e">
        <v>#REF!</v>
      </c>
      <c r="E37" s="491">
        <f t="shared" si="0"/>
        <v>2.5250604908399584E-2</v>
      </c>
      <c r="F37" s="477" t="e">
        <f t="shared" si="1"/>
        <v>#REF!</v>
      </c>
    </row>
    <row r="38" spans="1:6">
      <c r="A38">
        <v>5495</v>
      </c>
      <c r="B38" t="s">
        <v>955</v>
      </c>
      <c r="D38" s="477" t="e">
        <v>#REF!</v>
      </c>
      <c r="E38" s="491">
        <f t="shared" si="0"/>
        <v>2.5250604908399584E-2</v>
      </c>
      <c r="F38" s="477" t="e">
        <f t="shared" si="1"/>
        <v>#REF!</v>
      </c>
    </row>
    <row r="39" spans="1:6">
      <c r="B39" t="s">
        <v>194</v>
      </c>
      <c r="D39" s="477" t="e">
        <v>#REF!</v>
      </c>
      <c r="E39" s="491">
        <f t="shared" si="0"/>
        <v>2.5250604908399584E-2</v>
      </c>
      <c r="F39" s="477" t="e">
        <f t="shared" si="1"/>
        <v>#REF!</v>
      </c>
    </row>
    <row r="40" spans="1:6">
      <c r="A40">
        <v>5505</v>
      </c>
      <c r="B40" t="s">
        <v>956</v>
      </c>
      <c r="C40" s="478">
        <v>8793</v>
      </c>
      <c r="D40" s="477">
        <v>8203.84</v>
      </c>
      <c r="E40" s="491">
        <f t="shared" si="0"/>
        <v>2.5250604908399584E-2</v>
      </c>
      <c r="F40" s="477">
        <f t="shared" si="1"/>
        <v>207.15192257172484</v>
      </c>
    </row>
    <row r="41" spans="1:6">
      <c r="A41">
        <v>5510</v>
      </c>
      <c r="B41" t="s">
        <v>957</v>
      </c>
      <c r="D41" s="477" t="e">
        <v>#REF!</v>
      </c>
      <c r="E41" s="491">
        <f t="shared" si="0"/>
        <v>2.5250604908399584E-2</v>
      </c>
      <c r="F41" s="477" t="e">
        <f t="shared" si="1"/>
        <v>#REF!</v>
      </c>
    </row>
    <row r="42" spans="1:6">
      <c r="A42">
        <v>5515</v>
      </c>
      <c r="B42" t="s">
        <v>958</v>
      </c>
      <c r="D42" s="477" t="e">
        <v>#REF!</v>
      </c>
      <c r="E42" s="491">
        <f t="shared" si="0"/>
        <v>2.5250604908399584E-2</v>
      </c>
      <c r="F42" s="477" t="e">
        <f t="shared" si="1"/>
        <v>#REF!</v>
      </c>
    </row>
    <row r="43" spans="1:6">
      <c r="B43" t="s">
        <v>194</v>
      </c>
      <c r="C43" s="478">
        <v>8793</v>
      </c>
      <c r="D43" s="477">
        <v>8203.84</v>
      </c>
      <c r="E43" s="491">
        <f t="shared" si="0"/>
        <v>2.5250604908399584E-2</v>
      </c>
      <c r="F43" s="477">
        <f t="shared" si="1"/>
        <v>207.15192257172484</v>
      </c>
    </row>
    <row r="44" spans="1:6">
      <c r="B44" t="s">
        <v>195</v>
      </c>
      <c r="D44" s="477" t="e">
        <v>#REF!</v>
      </c>
      <c r="E44" s="491">
        <f t="shared" si="0"/>
        <v>2.5250604908399584E-2</v>
      </c>
      <c r="F44" s="477" t="e">
        <f t="shared" si="1"/>
        <v>#REF!</v>
      </c>
    </row>
    <row r="45" spans="1:6">
      <c r="A45">
        <v>5525</v>
      </c>
      <c r="B45" t="s">
        <v>959</v>
      </c>
      <c r="C45" s="478">
        <v>18533.14</v>
      </c>
      <c r="D45" s="477">
        <v>4841.4499999999989</v>
      </c>
      <c r="E45" s="491">
        <f t="shared" si="0"/>
        <v>2.5250604908399584E-2</v>
      </c>
      <c r="F45" s="477">
        <f t="shared" si="1"/>
        <v>122.24954113377115</v>
      </c>
    </row>
    <row r="46" spans="1:6">
      <c r="A46">
        <v>5530</v>
      </c>
      <c r="B46" t="s">
        <v>960</v>
      </c>
      <c r="C46" s="478">
        <v>3908.95</v>
      </c>
      <c r="D46" s="477">
        <v>587.09999999999991</v>
      </c>
      <c r="E46" s="491">
        <f t="shared" si="0"/>
        <v>2.5250604908399584E-2</v>
      </c>
      <c r="F46" s="477">
        <f t="shared" si="1"/>
        <v>14.824630141721393</v>
      </c>
    </row>
    <row r="47" spans="1:6">
      <c r="A47">
        <v>5535</v>
      </c>
      <c r="B47" t="s">
        <v>961</v>
      </c>
      <c r="C47" s="478">
        <v>69627.27</v>
      </c>
      <c r="D47" s="477">
        <v>48150.8</v>
      </c>
      <c r="E47" s="491">
        <f t="shared" si="0"/>
        <v>2.5250604908399584E-2</v>
      </c>
      <c r="F47" s="477">
        <f t="shared" si="1"/>
        <v>1215.8368268233667</v>
      </c>
    </row>
    <row r="48" spans="1:6">
      <c r="A48">
        <v>5540</v>
      </c>
      <c r="B48" t="s">
        <v>962</v>
      </c>
      <c r="C48" s="478">
        <v>457039.35</v>
      </c>
      <c r="D48" s="477">
        <v>231254.02999999997</v>
      </c>
      <c r="E48" s="491">
        <f t="shared" si="0"/>
        <v>2.5250604908399584E-2</v>
      </c>
      <c r="F48" s="477">
        <f t="shared" si="1"/>
        <v>5839.3041450051842</v>
      </c>
    </row>
    <row r="49" spans="1:6">
      <c r="A49">
        <v>5545</v>
      </c>
      <c r="B49" t="s">
        <v>963</v>
      </c>
      <c r="C49" s="478">
        <v>23485.48</v>
      </c>
      <c r="D49" s="477">
        <v>22706.61</v>
      </c>
      <c r="E49" s="491">
        <f t="shared" si="0"/>
        <v>2.5250604908399584E-2</v>
      </c>
      <c r="F49" s="477">
        <f t="shared" si="1"/>
        <v>573.35563791911511</v>
      </c>
    </row>
    <row r="50" spans="1:6">
      <c r="B50" t="s">
        <v>195</v>
      </c>
      <c r="C50" s="478">
        <v>572594.18999999994</v>
      </c>
      <c r="D50" s="477">
        <v>307539.98999999993</v>
      </c>
      <c r="E50" s="491">
        <f t="shared" si="0"/>
        <v>2.5250604908399584E-2</v>
      </c>
      <c r="F50" s="477">
        <f t="shared" si="1"/>
        <v>7765.570781023157</v>
      </c>
    </row>
    <row r="51" spans="1:6">
      <c r="B51" t="s">
        <v>196</v>
      </c>
      <c r="D51" s="477" t="e">
        <v>#REF!</v>
      </c>
      <c r="E51" s="491">
        <f t="shared" si="0"/>
        <v>2.5250604908399584E-2</v>
      </c>
      <c r="F51" s="477" t="e">
        <f t="shared" si="1"/>
        <v>#REF!</v>
      </c>
    </row>
    <row r="52" spans="1:6">
      <c r="A52">
        <v>5625</v>
      </c>
      <c r="B52" t="s">
        <v>964</v>
      </c>
      <c r="C52" s="478">
        <v>336775</v>
      </c>
      <c r="D52" s="477">
        <v>168388</v>
      </c>
      <c r="E52" s="491">
        <f t="shared" si="0"/>
        <v>2.5250604908399584E-2</v>
      </c>
      <c r="F52" s="477">
        <f t="shared" si="1"/>
        <v>4251.8988593155891</v>
      </c>
    </row>
    <row r="53" spans="1:6">
      <c r="A53">
        <v>5630</v>
      </c>
      <c r="B53" t="s">
        <v>965</v>
      </c>
      <c r="C53" s="478">
        <v>17195.400000000001</v>
      </c>
      <c r="D53" s="477">
        <v>8364.0000000000018</v>
      </c>
      <c r="E53" s="491">
        <f t="shared" si="0"/>
        <v>2.5250604908399584E-2</v>
      </c>
      <c r="F53" s="477">
        <f t="shared" si="1"/>
        <v>211.19605945385416</v>
      </c>
    </row>
    <row r="54" spans="1:6">
      <c r="A54">
        <v>5635</v>
      </c>
      <c r="B54" t="s">
        <v>966</v>
      </c>
      <c r="C54" s="478">
        <v>140937.99</v>
      </c>
      <c r="D54" s="477">
        <v>64059.909999999989</v>
      </c>
      <c r="E54" s="491">
        <f t="shared" si="0"/>
        <v>2.5250604908399584E-2</v>
      </c>
      <c r="F54" s="477">
        <f t="shared" si="1"/>
        <v>1617.5514778776353</v>
      </c>
    </row>
    <row r="55" spans="1:6">
      <c r="A55">
        <v>5640</v>
      </c>
      <c r="B55" t="s">
        <v>967</v>
      </c>
      <c r="D55" s="477" t="e">
        <v>#REF!</v>
      </c>
      <c r="E55" s="491">
        <f t="shared" si="0"/>
        <v>2.5250604908399584E-2</v>
      </c>
      <c r="F55" s="477" t="e">
        <f t="shared" si="1"/>
        <v>#REF!</v>
      </c>
    </row>
    <row r="56" spans="1:6">
      <c r="A56">
        <v>5645</v>
      </c>
      <c r="B56" t="s">
        <v>469</v>
      </c>
      <c r="C56" s="478">
        <v>-473002.8</v>
      </c>
      <c r="D56" s="477">
        <v>-255886.07999999999</v>
      </c>
      <c r="E56" s="491">
        <f t="shared" si="0"/>
        <v>2.5250604908399584E-2</v>
      </c>
      <c r="F56" s="477">
        <f t="shared" si="1"/>
        <v>-6461.2783076391279</v>
      </c>
    </row>
    <row r="57" spans="1:6">
      <c r="A57">
        <v>5650</v>
      </c>
      <c r="B57" t="s">
        <v>470</v>
      </c>
      <c r="C57" s="478">
        <v>22166.03</v>
      </c>
      <c r="D57" s="477">
        <v>9794.739999999998</v>
      </c>
      <c r="E57" s="491">
        <f t="shared" si="0"/>
        <v>2.5250604908399584E-2</v>
      </c>
      <c r="F57" s="477">
        <f t="shared" si="1"/>
        <v>247.3231099204977</v>
      </c>
    </row>
    <row r="58" spans="1:6">
      <c r="A58">
        <v>5655</v>
      </c>
      <c r="B58" t="s">
        <v>471</v>
      </c>
      <c r="C58" s="478">
        <v>2030264.13</v>
      </c>
      <c r="D58" s="477">
        <v>1009450.6599999999</v>
      </c>
      <c r="E58" s="491">
        <f t="shared" si="0"/>
        <v>2.5250604908399584E-2</v>
      </c>
      <c r="F58" s="477">
        <f t="shared" si="1"/>
        <v>25489.239790183197</v>
      </c>
    </row>
    <row r="59" spans="1:6">
      <c r="A59">
        <v>5660</v>
      </c>
      <c r="B59" t="s">
        <v>472</v>
      </c>
      <c r="C59" s="478">
        <v>253720.58</v>
      </c>
      <c r="D59" s="477">
        <v>78359.31</v>
      </c>
      <c r="E59" s="491">
        <f t="shared" si="0"/>
        <v>2.5250604908399584E-2</v>
      </c>
      <c r="F59" s="477">
        <f t="shared" si="1"/>
        <v>1978.6199777048046</v>
      </c>
    </row>
    <row r="60" spans="1:6">
      <c r="A60">
        <v>5665</v>
      </c>
      <c r="B60" t="s">
        <v>473</v>
      </c>
      <c r="C60" s="478">
        <v>230797</v>
      </c>
      <c r="D60" s="477">
        <v>115399</v>
      </c>
      <c r="E60" s="491">
        <f t="shared" si="0"/>
        <v>2.5250604908399584E-2</v>
      </c>
      <c r="F60" s="477">
        <f t="shared" si="1"/>
        <v>2913.8945558244036</v>
      </c>
    </row>
    <row r="61" spans="1:6">
      <c r="A61">
        <v>5670</v>
      </c>
      <c r="B61" t="s">
        <v>474</v>
      </c>
      <c r="C61" s="478">
        <v>67485.03</v>
      </c>
      <c r="D61" s="477">
        <v>29095.839999999997</v>
      </c>
      <c r="E61" s="491">
        <f t="shared" si="0"/>
        <v>2.5250604908399584E-2</v>
      </c>
      <c r="F61" s="477">
        <f t="shared" si="1"/>
        <v>734.68756031800888</v>
      </c>
    </row>
    <row r="62" spans="1:6">
      <c r="A62">
        <v>5675</v>
      </c>
      <c r="B62" t="s">
        <v>1080</v>
      </c>
      <c r="C62" s="478">
        <v>-719.73</v>
      </c>
      <c r="D62" s="477">
        <v>-1275.98</v>
      </c>
      <c r="E62" s="491">
        <f t="shared" si="0"/>
        <v>2.5250604908399584E-2</v>
      </c>
      <c r="F62" s="477">
        <f t="shared" si="1"/>
        <v>-32.219266851019704</v>
      </c>
    </row>
    <row r="63" spans="1:6">
      <c r="A63">
        <v>5680</v>
      </c>
      <c r="B63" t="s">
        <v>1081</v>
      </c>
      <c r="C63" s="478">
        <v>-1739.59</v>
      </c>
      <c r="D63" s="477">
        <v>-996.41</v>
      </c>
      <c r="E63" s="491">
        <f t="shared" si="0"/>
        <v>2.5250604908399584E-2</v>
      </c>
      <c r="F63" s="477">
        <f t="shared" si="1"/>
        <v>-25.15995523677843</v>
      </c>
    </row>
    <row r="64" spans="1:6">
      <c r="A64">
        <v>5685</v>
      </c>
      <c r="B64" t="s">
        <v>1082</v>
      </c>
      <c r="D64" s="477" t="e">
        <v>#REF!</v>
      </c>
      <c r="E64" s="491">
        <f t="shared" si="0"/>
        <v>2.5250604908399584E-2</v>
      </c>
      <c r="F64" s="477" t="e">
        <f t="shared" si="1"/>
        <v>#REF!</v>
      </c>
    </row>
    <row r="65" spans="1:6">
      <c r="A65">
        <v>5690</v>
      </c>
      <c r="B65" t="s">
        <v>1083</v>
      </c>
      <c r="C65" s="478">
        <v>14884.43</v>
      </c>
      <c r="D65" s="477">
        <v>12173.7</v>
      </c>
      <c r="E65" s="491">
        <f t="shared" si="0"/>
        <v>2.5250604908399584E-2</v>
      </c>
      <c r="F65" s="477">
        <f t="shared" si="1"/>
        <v>307.39328897338402</v>
      </c>
    </row>
    <row r="66" spans="1:6">
      <c r="B66" t="s">
        <v>196</v>
      </c>
      <c r="C66" s="478">
        <v>2638763.4700000002</v>
      </c>
      <c r="D66" s="477">
        <v>1236926.6900000002</v>
      </c>
      <c r="E66" s="491">
        <f t="shared" si="0"/>
        <v>2.5250604908399584E-2</v>
      </c>
      <c r="F66" s="477">
        <f t="shared" si="1"/>
        <v>31233.147149844455</v>
      </c>
    </row>
    <row r="67" spans="1:6">
      <c r="B67" t="s">
        <v>197</v>
      </c>
      <c r="D67" s="477" t="e">
        <v>#REF!</v>
      </c>
      <c r="E67" s="491">
        <f t="shared" si="0"/>
        <v>2.5250604908399584E-2</v>
      </c>
      <c r="F67" s="477" t="e">
        <f t="shared" si="1"/>
        <v>#REF!</v>
      </c>
    </row>
    <row r="68" spans="1:6">
      <c r="A68">
        <v>5700</v>
      </c>
      <c r="B68" t="s">
        <v>1084</v>
      </c>
      <c r="D68" s="477" t="e">
        <v>#REF!</v>
      </c>
      <c r="E68" s="491">
        <f t="shared" si="0"/>
        <v>2.5250604908399584E-2</v>
      </c>
      <c r="F68" s="477" t="e">
        <f t="shared" si="1"/>
        <v>#REF!</v>
      </c>
    </row>
    <row r="69" spans="1:6">
      <c r="A69">
        <v>5705</v>
      </c>
      <c r="B69" t="s">
        <v>1085</v>
      </c>
      <c r="D69" s="477" t="e">
        <v>#REF!</v>
      </c>
      <c r="E69" s="491">
        <f t="shared" si="0"/>
        <v>2.5250604908399584E-2</v>
      </c>
      <c r="F69" s="477" t="e">
        <f t="shared" si="1"/>
        <v>#REF!</v>
      </c>
    </row>
    <row r="70" spans="1:6">
      <c r="A70">
        <v>5710</v>
      </c>
      <c r="B70" t="s">
        <v>1086</v>
      </c>
      <c r="D70" s="477" t="e">
        <v>#REF!</v>
      </c>
      <c r="E70" s="491">
        <f t="shared" ref="E70:E133" si="2">E$3</f>
        <v>2.5250604908399584E-2</v>
      </c>
      <c r="F70" s="477" t="e">
        <f t="shared" ref="F70:F133" si="3">E70*D70</f>
        <v>#REF!</v>
      </c>
    </row>
    <row r="71" spans="1:6">
      <c r="A71">
        <v>5715</v>
      </c>
      <c r="B71" t="s">
        <v>1087</v>
      </c>
      <c r="C71" s="478">
        <v>1268732.48</v>
      </c>
      <c r="D71" s="477">
        <v>595502.59</v>
      </c>
      <c r="E71" s="491">
        <f t="shared" si="2"/>
        <v>2.5250604908399584E-2</v>
      </c>
      <c r="F71" s="477">
        <f t="shared" si="3"/>
        <v>15036.800622018663</v>
      </c>
    </row>
    <row r="72" spans="1:6">
      <c r="B72" t="s">
        <v>197</v>
      </c>
      <c r="C72" s="478">
        <v>1268732.48</v>
      </c>
      <c r="D72" s="477">
        <v>595502.59</v>
      </c>
      <c r="E72" s="491">
        <f t="shared" si="2"/>
        <v>2.5250604908399584E-2</v>
      </c>
      <c r="F72" s="477">
        <f t="shared" si="3"/>
        <v>15036.800622018663</v>
      </c>
    </row>
    <row r="73" spans="1:6">
      <c r="B73" t="s">
        <v>198</v>
      </c>
      <c r="D73" s="477" t="e">
        <v>#REF!</v>
      </c>
      <c r="E73" s="491">
        <f t="shared" si="2"/>
        <v>2.5250604908399584E-2</v>
      </c>
      <c r="F73" s="477" t="e">
        <f t="shared" si="3"/>
        <v>#REF!</v>
      </c>
    </row>
    <row r="74" spans="1:6">
      <c r="A74">
        <v>5735</v>
      </c>
      <c r="B74" t="s">
        <v>1088</v>
      </c>
      <c r="C74" s="478">
        <v>414881.04</v>
      </c>
      <c r="D74" s="477">
        <v>130567.67999999999</v>
      </c>
      <c r="E74" s="491">
        <f t="shared" si="2"/>
        <v>2.5250604908399584E-2</v>
      </c>
      <c r="F74" s="477">
        <f t="shared" si="3"/>
        <v>3296.9129014863461</v>
      </c>
    </row>
    <row r="75" spans="1:6">
      <c r="A75">
        <v>5740</v>
      </c>
      <c r="B75" t="s">
        <v>1089</v>
      </c>
      <c r="C75" s="478">
        <v>83211.199999999997</v>
      </c>
      <c r="D75" s="477">
        <v>59765.2</v>
      </c>
      <c r="E75" s="491">
        <f t="shared" si="2"/>
        <v>2.5250604908399584E-2</v>
      </c>
      <c r="F75" s="477">
        <f t="shared" si="3"/>
        <v>1509.1074524714827</v>
      </c>
    </row>
    <row r="76" spans="1:6">
      <c r="A76">
        <v>5745</v>
      </c>
      <c r="B76" t="s">
        <v>1090</v>
      </c>
      <c r="C76" s="478">
        <v>-2873.34</v>
      </c>
      <c r="D76" s="477">
        <v>27980.09</v>
      </c>
      <c r="E76" s="491">
        <f t="shared" si="2"/>
        <v>2.5250604908399584E-2</v>
      </c>
      <c r="F76" s="477">
        <f t="shared" si="3"/>
        <v>706.51419789146212</v>
      </c>
    </row>
    <row r="77" spans="1:6">
      <c r="A77">
        <v>5750</v>
      </c>
      <c r="B77" t="s">
        <v>1091</v>
      </c>
      <c r="C77" s="478">
        <v>13095.52</v>
      </c>
      <c r="D77" s="477">
        <v>7288.89</v>
      </c>
      <c r="E77" s="491">
        <f t="shared" si="2"/>
        <v>2.5250604908399584E-2</v>
      </c>
      <c r="F77" s="477">
        <f t="shared" si="3"/>
        <v>184.04888161078466</v>
      </c>
    </row>
    <row r="78" spans="1:6">
      <c r="A78">
        <v>5755</v>
      </c>
      <c r="B78" t="s">
        <v>1092</v>
      </c>
      <c r="C78" s="478">
        <v>2586.98</v>
      </c>
      <c r="D78" s="477">
        <v>73.5</v>
      </c>
      <c r="E78" s="491">
        <f t="shared" si="2"/>
        <v>2.5250604908399584E-2</v>
      </c>
      <c r="F78" s="477">
        <f t="shared" si="3"/>
        <v>1.8559194607673695</v>
      </c>
    </row>
    <row r="79" spans="1:6">
      <c r="A79">
        <v>5760</v>
      </c>
      <c r="B79" t="s">
        <v>1093</v>
      </c>
      <c r="C79" s="478">
        <v>2325</v>
      </c>
      <c r="D79" s="477">
        <v>0</v>
      </c>
      <c r="E79" s="491">
        <f t="shared" si="2"/>
        <v>2.5250604908399584E-2</v>
      </c>
      <c r="F79" s="477">
        <f t="shared" si="3"/>
        <v>0</v>
      </c>
    </row>
    <row r="80" spans="1:6">
      <c r="B80" t="s">
        <v>198</v>
      </c>
      <c r="C80" s="478">
        <v>513226.4</v>
      </c>
      <c r="D80" s="477">
        <v>225675.36000000004</v>
      </c>
      <c r="E80" s="491">
        <f t="shared" si="2"/>
        <v>2.5250604908399584E-2</v>
      </c>
      <c r="F80" s="477">
        <f t="shared" si="3"/>
        <v>5698.4393529208446</v>
      </c>
    </row>
    <row r="81" spans="1:6">
      <c r="B81" t="s">
        <v>199</v>
      </c>
      <c r="D81" s="477" t="e">
        <v>#REF!</v>
      </c>
      <c r="E81" s="491">
        <f t="shared" si="2"/>
        <v>2.5250604908399584E-2</v>
      </c>
      <c r="F81" s="477" t="e">
        <f t="shared" si="3"/>
        <v>#REF!</v>
      </c>
    </row>
    <row r="82" spans="1:6">
      <c r="A82">
        <v>5785</v>
      </c>
      <c r="B82" t="s">
        <v>1094</v>
      </c>
      <c r="D82" s="477" t="e">
        <v>#REF!</v>
      </c>
      <c r="E82" s="491">
        <f t="shared" si="2"/>
        <v>2.5250604908399584E-2</v>
      </c>
      <c r="F82" s="477" t="e">
        <f t="shared" si="3"/>
        <v>#REF!</v>
      </c>
    </row>
    <row r="83" spans="1:6">
      <c r="A83">
        <v>5790</v>
      </c>
      <c r="B83" t="s">
        <v>1095</v>
      </c>
      <c r="C83" s="478">
        <v>171582.52</v>
      </c>
      <c r="D83" s="477">
        <v>16406.75</v>
      </c>
      <c r="E83" s="491">
        <f t="shared" si="2"/>
        <v>2.5250604908399584E-2</v>
      </c>
      <c r="F83" s="477">
        <f t="shared" si="3"/>
        <v>414.28036208088486</v>
      </c>
    </row>
    <row r="84" spans="1:6">
      <c r="A84">
        <v>5795</v>
      </c>
      <c r="B84" t="s">
        <v>1096</v>
      </c>
      <c r="D84" s="477" t="e">
        <v>#REF!</v>
      </c>
      <c r="E84" s="491">
        <f t="shared" si="2"/>
        <v>2.5250604908399584E-2</v>
      </c>
      <c r="F84" s="477" t="e">
        <f t="shared" si="3"/>
        <v>#REF!</v>
      </c>
    </row>
    <row r="85" spans="1:6">
      <c r="A85">
        <v>5800</v>
      </c>
      <c r="B85" t="s">
        <v>1097</v>
      </c>
      <c r="C85" s="478">
        <v>8949.25</v>
      </c>
      <c r="D85" s="477">
        <v>0</v>
      </c>
      <c r="E85" s="491">
        <f t="shared" si="2"/>
        <v>2.5250604908399584E-2</v>
      </c>
      <c r="F85" s="477">
        <f t="shared" si="3"/>
        <v>0</v>
      </c>
    </row>
    <row r="86" spans="1:6">
      <c r="A86">
        <v>5805</v>
      </c>
      <c r="B86" t="s">
        <v>1098</v>
      </c>
      <c r="D86" s="477" t="e">
        <v>#REF!</v>
      </c>
      <c r="E86" s="491">
        <f t="shared" si="2"/>
        <v>2.5250604908399584E-2</v>
      </c>
      <c r="F86" s="477" t="e">
        <f t="shared" si="3"/>
        <v>#REF!</v>
      </c>
    </row>
    <row r="87" spans="1:6">
      <c r="A87">
        <v>5810</v>
      </c>
      <c r="B87" t="s">
        <v>1099</v>
      </c>
      <c r="C87" s="478">
        <v>310.95</v>
      </c>
      <c r="D87" s="477">
        <v>181</v>
      </c>
      <c r="E87" s="491">
        <f t="shared" si="2"/>
        <v>2.5250604908399584E-2</v>
      </c>
      <c r="F87" s="477">
        <f t="shared" si="3"/>
        <v>4.5703594884203245</v>
      </c>
    </row>
    <row r="88" spans="1:6">
      <c r="A88">
        <v>5815</v>
      </c>
      <c r="B88" t="s">
        <v>1100</v>
      </c>
      <c r="D88" s="477" t="e">
        <v>#REF!</v>
      </c>
      <c r="E88" s="491">
        <f t="shared" si="2"/>
        <v>2.5250604908399584E-2</v>
      </c>
      <c r="F88" s="477" t="e">
        <f t="shared" si="3"/>
        <v>#REF!</v>
      </c>
    </row>
    <row r="89" spans="1:6">
      <c r="A89">
        <v>5820</v>
      </c>
      <c r="B89" t="s">
        <v>1101</v>
      </c>
      <c r="C89" s="478">
        <v>64401.42</v>
      </c>
      <c r="D89" s="477">
        <v>12681.849999999999</v>
      </c>
      <c r="E89" s="491">
        <f t="shared" si="2"/>
        <v>2.5250604908399584E-2</v>
      </c>
      <c r="F89" s="477">
        <f t="shared" si="3"/>
        <v>320.22438385758721</v>
      </c>
    </row>
    <row r="90" spans="1:6">
      <c r="A90">
        <v>5825</v>
      </c>
      <c r="B90" t="s">
        <v>1102</v>
      </c>
      <c r="C90" s="478">
        <v>22732.9</v>
      </c>
      <c r="D90" s="477">
        <v>12371.220000000001</v>
      </c>
      <c r="E90" s="491">
        <f t="shared" si="2"/>
        <v>2.5250604908399584E-2</v>
      </c>
      <c r="F90" s="477">
        <f t="shared" si="3"/>
        <v>312.38078845489116</v>
      </c>
    </row>
    <row r="91" spans="1:6">
      <c r="B91" t="s">
        <v>199</v>
      </c>
      <c r="C91" s="478">
        <v>267977.03999999998</v>
      </c>
      <c r="D91" s="477">
        <v>41640.819999999978</v>
      </c>
      <c r="E91" s="491">
        <f t="shared" si="2"/>
        <v>2.5250604908399584E-2</v>
      </c>
      <c r="F91" s="477">
        <f t="shared" si="3"/>
        <v>1051.4558938817829</v>
      </c>
    </row>
    <row r="92" spans="1:6">
      <c r="B92" t="s">
        <v>200</v>
      </c>
      <c r="D92" s="477" t="e">
        <v>#REF!</v>
      </c>
      <c r="E92" s="491">
        <f t="shared" si="2"/>
        <v>2.5250604908399584E-2</v>
      </c>
      <c r="F92" s="477" t="e">
        <f t="shared" si="3"/>
        <v>#REF!</v>
      </c>
    </row>
    <row r="93" spans="1:6">
      <c r="A93">
        <v>5855</v>
      </c>
      <c r="B93" t="s">
        <v>1103</v>
      </c>
      <c r="C93" s="478">
        <v>1132.53</v>
      </c>
      <c r="D93" s="477">
        <v>0</v>
      </c>
      <c r="E93" s="491">
        <f t="shared" si="2"/>
        <v>2.5250604908399584E-2</v>
      </c>
      <c r="F93" s="477">
        <f t="shared" si="3"/>
        <v>0</v>
      </c>
    </row>
    <row r="94" spans="1:6">
      <c r="A94">
        <v>5860</v>
      </c>
      <c r="B94" t="s">
        <v>1104</v>
      </c>
      <c r="C94" s="478">
        <v>1878.15</v>
      </c>
      <c r="D94" s="477">
        <v>913.38000000000011</v>
      </c>
      <c r="E94" s="491">
        <f t="shared" si="2"/>
        <v>2.5250604908399584E-2</v>
      </c>
      <c r="F94" s="477">
        <f t="shared" si="3"/>
        <v>23.063397511234015</v>
      </c>
    </row>
    <row r="95" spans="1:6">
      <c r="A95">
        <v>5865</v>
      </c>
      <c r="B95" t="s">
        <v>1105</v>
      </c>
      <c r="C95" s="478">
        <v>2085.62</v>
      </c>
      <c r="D95" s="477">
        <v>0</v>
      </c>
      <c r="E95" s="491">
        <f t="shared" si="2"/>
        <v>2.5250604908399584E-2</v>
      </c>
      <c r="F95" s="477">
        <f t="shared" si="3"/>
        <v>0</v>
      </c>
    </row>
    <row r="96" spans="1:6">
      <c r="A96">
        <v>5870</v>
      </c>
      <c r="B96" t="s">
        <v>1106</v>
      </c>
      <c r="D96" s="477" t="e">
        <v>#REF!</v>
      </c>
      <c r="E96" s="491">
        <f t="shared" si="2"/>
        <v>2.5250604908399584E-2</v>
      </c>
      <c r="F96" s="477" t="e">
        <f t="shared" si="3"/>
        <v>#REF!</v>
      </c>
    </row>
    <row r="97" spans="1:6">
      <c r="A97">
        <v>5875</v>
      </c>
      <c r="B97" t="s">
        <v>1107</v>
      </c>
      <c r="C97" s="478">
        <v>507.13</v>
      </c>
      <c r="D97" s="477" t="e">
        <v>#REF!</v>
      </c>
      <c r="E97" s="491">
        <f t="shared" si="2"/>
        <v>2.5250604908399584E-2</v>
      </c>
      <c r="F97" s="477" t="e">
        <f t="shared" si="3"/>
        <v>#REF!</v>
      </c>
    </row>
    <row r="98" spans="1:6">
      <c r="A98">
        <v>5880</v>
      </c>
      <c r="B98" t="s">
        <v>1108</v>
      </c>
      <c r="C98" s="478">
        <v>1993.1</v>
      </c>
      <c r="D98" s="477">
        <v>1124.4699999999998</v>
      </c>
      <c r="E98" s="491">
        <f t="shared" si="2"/>
        <v>2.5250604908399584E-2</v>
      </c>
      <c r="F98" s="477">
        <f t="shared" si="3"/>
        <v>28.393547701348076</v>
      </c>
    </row>
    <row r="99" spans="1:6">
      <c r="A99">
        <v>5885</v>
      </c>
      <c r="B99" t="s">
        <v>1109</v>
      </c>
      <c r="C99" s="478">
        <v>2425.1799999999998</v>
      </c>
      <c r="D99" s="477">
        <v>1311.1</v>
      </c>
      <c r="E99" s="491">
        <f t="shared" si="2"/>
        <v>2.5250604908399584E-2</v>
      </c>
      <c r="F99" s="477">
        <f t="shared" si="3"/>
        <v>33.106068095402691</v>
      </c>
    </row>
    <row r="100" spans="1:6">
      <c r="A100">
        <v>5890</v>
      </c>
      <c r="B100" t="s">
        <v>1110</v>
      </c>
      <c r="C100" s="478">
        <v>1900.26</v>
      </c>
      <c r="D100" s="477">
        <v>1047.71</v>
      </c>
      <c r="E100" s="491">
        <f t="shared" si="2"/>
        <v>2.5250604908399584E-2</v>
      </c>
      <c r="F100" s="477">
        <f t="shared" si="3"/>
        <v>26.455311268579329</v>
      </c>
    </row>
    <row r="101" spans="1:6">
      <c r="A101">
        <v>5895</v>
      </c>
      <c r="B101" t="s">
        <v>1111</v>
      </c>
      <c r="C101" s="478">
        <v>345.47</v>
      </c>
      <c r="D101" s="477">
        <v>336.68</v>
      </c>
      <c r="E101" s="491">
        <f t="shared" si="2"/>
        <v>2.5250604908399584E-2</v>
      </c>
      <c r="F101" s="477">
        <f t="shared" si="3"/>
        <v>8.5013736605599721</v>
      </c>
    </row>
    <row r="102" spans="1:6">
      <c r="A102">
        <v>5900</v>
      </c>
      <c r="B102" t="s">
        <v>1112</v>
      </c>
      <c r="C102" s="478">
        <v>46081.25</v>
      </c>
      <c r="D102" s="477">
        <v>22148.799999999999</v>
      </c>
      <c r="E102" s="491">
        <f t="shared" si="2"/>
        <v>2.5250604908399584E-2</v>
      </c>
      <c r="F102" s="477">
        <f t="shared" si="3"/>
        <v>559.27059799516064</v>
      </c>
    </row>
    <row r="103" spans="1:6">
      <c r="B103" t="s">
        <v>200</v>
      </c>
      <c r="C103" s="478">
        <v>58348.69</v>
      </c>
      <c r="D103" s="477">
        <v>27389.270000000004</v>
      </c>
      <c r="E103" s="491">
        <f t="shared" si="2"/>
        <v>2.5250604908399584E-2</v>
      </c>
      <c r="F103" s="477">
        <f t="shared" si="3"/>
        <v>691.59563549948155</v>
      </c>
    </row>
    <row r="104" spans="1:6">
      <c r="B104" t="s">
        <v>201</v>
      </c>
      <c r="D104" s="477" t="e">
        <v>#REF!</v>
      </c>
      <c r="E104" s="491">
        <f t="shared" si="2"/>
        <v>2.5250604908399584E-2</v>
      </c>
      <c r="F104" s="477" t="e">
        <f t="shared" si="3"/>
        <v>#REF!</v>
      </c>
    </row>
    <row r="105" spans="1:6">
      <c r="A105">
        <v>5930</v>
      </c>
      <c r="B105" t="s">
        <v>1113</v>
      </c>
      <c r="C105" s="478">
        <v>17896.87</v>
      </c>
      <c r="D105" s="477">
        <v>8358.7199999999993</v>
      </c>
      <c r="E105" s="491">
        <f t="shared" si="2"/>
        <v>2.5250604908399584E-2</v>
      </c>
      <c r="F105" s="477">
        <f t="shared" si="3"/>
        <v>211.06273625993776</v>
      </c>
    </row>
    <row r="106" spans="1:6">
      <c r="A106">
        <v>5935</v>
      </c>
      <c r="B106" t="s">
        <v>1114</v>
      </c>
      <c r="C106" s="478">
        <v>5051.49</v>
      </c>
      <c r="D106" s="477">
        <v>1990.58</v>
      </c>
      <c r="E106" s="491">
        <f t="shared" si="2"/>
        <v>2.5250604908399584E-2</v>
      </c>
      <c r="F106" s="477">
        <f t="shared" si="3"/>
        <v>50.26334911856204</v>
      </c>
    </row>
    <row r="107" spans="1:6">
      <c r="A107">
        <v>5940</v>
      </c>
      <c r="B107" t="s">
        <v>1115</v>
      </c>
      <c r="C107" s="478">
        <v>515.67999999999995</v>
      </c>
      <c r="D107" s="477">
        <v>173.35999999999996</v>
      </c>
      <c r="E107" s="491">
        <f t="shared" si="2"/>
        <v>2.5250604908399584E-2</v>
      </c>
      <c r="F107" s="477">
        <f t="shared" si="3"/>
        <v>4.3774448669201504</v>
      </c>
    </row>
    <row r="108" spans="1:6">
      <c r="A108">
        <v>5945</v>
      </c>
      <c r="B108" t="s">
        <v>1116</v>
      </c>
      <c r="C108" s="478">
        <v>214512.64000000001</v>
      </c>
      <c r="D108" s="477">
        <v>114529.25000000001</v>
      </c>
      <c r="E108" s="491">
        <f t="shared" si="2"/>
        <v>2.5250604908399584E-2</v>
      </c>
      <c r="F108" s="477">
        <f t="shared" si="3"/>
        <v>2891.9328422053236</v>
      </c>
    </row>
    <row r="109" spans="1:6">
      <c r="A109">
        <v>5950</v>
      </c>
      <c r="B109" t="s">
        <v>1117</v>
      </c>
      <c r="C109" s="478">
        <v>2630.15</v>
      </c>
      <c r="D109" s="477">
        <v>316.44000000000005</v>
      </c>
      <c r="E109" s="491">
        <f t="shared" si="2"/>
        <v>2.5250604908399584E-2</v>
      </c>
      <c r="F109" s="477">
        <f t="shared" si="3"/>
        <v>7.9903014172139661</v>
      </c>
    </row>
    <row r="110" spans="1:6">
      <c r="A110">
        <v>5955</v>
      </c>
      <c r="B110" t="s">
        <v>1118</v>
      </c>
      <c r="C110" s="478">
        <v>12956</v>
      </c>
      <c r="D110" s="477">
        <v>2519</v>
      </c>
      <c r="E110" s="491">
        <f t="shared" si="2"/>
        <v>2.5250604908399584E-2</v>
      </c>
      <c r="F110" s="477">
        <f t="shared" si="3"/>
        <v>63.606273764258553</v>
      </c>
    </row>
    <row r="111" spans="1:6">
      <c r="A111">
        <v>5960</v>
      </c>
      <c r="B111" t="s">
        <v>1119</v>
      </c>
      <c r="C111" s="478">
        <v>4415.6000000000004</v>
      </c>
      <c r="D111" s="477">
        <v>272</v>
      </c>
      <c r="E111" s="491">
        <f t="shared" si="2"/>
        <v>2.5250604908399584E-2</v>
      </c>
      <c r="F111" s="477">
        <f t="shared" si="3"/>
        <v>6.8681645350846869</v>
      </c>
    </row>
    <row r="112" spans="1:6">
      <c r="A112">
        <v>5965</v>
      </c>
      <c r="B112" t="s">
        <v>1120</v>
      </c>
      <c r="C112" s="478">
        <v>20512.39</v>
      </c>
      <c r="D112" s="477">
        <v>10991.68</v>
      </c>
      <c r="E112" s="491">
        <f t="shared" si="2"/>
        <v>2.5250604908399584E-2</v>
      </c>
      <c r="F112" s="477">
        <f t="shared" si="3"/>
        <v>277.54656895955753</v>
      </c>
    </row>
    <row r="113" spans="1:6">
      <c r="A113">
        <v>5970</v>
      </c>
      <c r="B113" t="s">
        <v>1121</v>
      </c>
      <c r="C113" s="478">
        <v>18552.02</v>
      </c>
      <c r="D113" s="477">
        <v>7525</v>
      </c>
      <c r="E113" s="491">
        <f t="shared" si="2"/>
        <v>2.5250604908399584E-2</v>
      </c>
      <c r="F113" s="477">
        <f t="shared" si="3"/>
        <v>190.01080193570687</v>
      </c>
    </row>
    <row r="114" spans="1:6">
      <c r="A114">
        <v>5975</v>
      </c>
      <c r="B114" t="s">
        <v>312</v>
      </c>
      <c r="C114" s="478">
        <v>12415.11</v>
      </c>
      <c r="D114" s="477">
        <v>10061.91</v>
      </c>
      <c r="E114" s="491">
        <f t="shared" si="2"/>
        <v>2.5250604908399584E-2</v>
      </c>
      <c r="F114" s="477">
        <f t="shared" si="3"/>
        <v>254.06931403387486</v>
      </c>
    </row>
    <row r="115" spans="1:6">
      <c r="A115">
        <v>5980</v>
      </c>
      <c r="B115" t="s">
        <v>313</v>
      </c>
      <c r="D115" s="477" t="e">
        <v>#REF!</v>
      </c>
      <c r="E115" s="491">
        <f t="shared" si="2"/>
        <v>2.5250604908399584E-2</v>
      </c>
      <c r="F115" s="477" t="e">
        <f t="shared" si="3"/>
        <v>#REF!</v>
      </c>
    </row>
    <row r="116" spans="1:6">
      <c r="A116">
        <v>5985</v>
      </c>
      <c r="B116" t="s">
        <v>314</v>
      </c>
      <c r="D116" s="477" t="e">
        <v>#REF!</v>
      </c>
      <c r="E116" s="491">
        <f t="shared" si="2"/>
        <v>2.5250604908399584E-2</v>
      </c>
      <c r="F116" s="477" t="e">
        <f t="shared" si="3"/>
        <v>#REF!</v>
      </c>
    </row>
    <row r="117" spans="1:6">
      <c r="B117" t="s">
        <v>201</v>
      </c>
      <c r="C117" s="478">
        <v>309457.95</v>
      </c>
      <c r="D117" s="477">
        <v>156737.94</v>
      </c>
      <c r="E117" s="491">
        <f t="shared" si="2"/>
        <v>2.5250604908399584E-2</v>
      </c>
      <c r="F117" s="477">
        <f t="shared" si="3"/>
        <v>3957.7277970964396</v>
      </c>
    </row>
    <row r="118" spans="1:6">
      <c r="B118" t="s">
        <v>202</v>
      </c>
      <c r="D118" s="477" t="e">
        <v>#REF!</v>
      </c>
      <c r="E118" s="491">
        <f t="shared" si="2"/>
        <v>2.5250604908399584E-2</v>
      </c>
      <c r="F118" s="477" t="e">
        <f t="shared" si="3"/>
        <v>#REF!</v>
      </c>
    </row>
    <row r="119" spans="1:6">
      <c r="A119">
        <v>6005</v>
      </c>
      <c r="B119" t="s">
        <v>315</v>
      </c>
      <c r="D119" s="477" t="e">
        <v>#REF!</v>
      </c>
      <c r="E119" s="491">
        <f t="shared" si="2"/>
        <v>2.5250604908399584E-2</v>
      </c>
      <c r="F119" s="477" t="e">
        <f t="shared" si="3"/>
        <v>#REF!</v>
      </c>
    </row>
    <row r="120" spans="1:6">
      <c r="A120">
        <v>6010</v>
      </c>
      <c r="B120" t="s">
        <v>316</v>
      </c>
      <c r="C120" s="478">
        <v>81500</v>
      </c>
      <c r="D120" s="477">
        <v>-25500</v>
      </c>
      <c r="E120" s="491">
        <f t="shared" si="2"/>
        <v>2.5250604908399584E-2</v>
      </c>
      <c r="F120" s="477">
        <f t="shared" si="3"/>
        <v>-643.89042516418942</v>
      </c>
    </row>
    <row r="121" spans="1:6">
      <c r="A121">
        <v>6015</v>
      </c>
      <c r="B121" t="s">
        <v>317</v>
      </c>
      <c r="C121" s="478">
        <v>349</v>
      </c>
      <c r="D121" s="477" t="e">
        <v>#REF!</v>
      </c>
      <c r="E121" s="491">
        <f t="shared" si="2"/>
        <v>2.5250604908399584E-2</v>
      </c>
      <c r="F121" s="477" t="e">
        <f t="shared" si="3"/>
        <v>#REF!</v>
      </c>
    </row>
    <row r="122" spans="1:6">
      <c r="A122">
        <v>6020</v>
      </c>
      <c r="B122" t="s">
        <v>318</v>
      </c>
      <c r="D122" s="477" t="e">
        <v>#REF!</v>
      </c>
      <c r="E122" s="491">
        <f t="shared" si="2"/>
        <v>2.5250604908399584E-2</v>
      </c>
      <c r="F122" s="477" t="e">
        <f t="shared" si="3"/>
        <v>#REF!</v>
      </c>
    </row>
    <row r="123" spans="1:6">
      <c r="A123">
        <v>6025</v>
      </c>
      <c r="B123" t="s">
        <v>319</v>
      </c>
      <c r="C123" s="478">
        <v>47522.58</v>
      </c>
      <c r="D123" s="477">
        <v>41573.75</v>
      </c>
      <c r="E123" s="491">
        <f t="shared" si="2"/>
        <v>2.5250604908399584E-2</v>
      </c>
      <c r="F123" s="477">
        <f t="shared" si="3"/>
        <v>1049.7623358105773</v>
      </c>
    </row>
    <row r="124" spans="1:6">
      <c r="A124">
        <v>6030</v>
      </c>
      <c r="B124" t="s">
        <v>320</v>
      </c>
      <c r="D124" s="477" t="e">
        <v>#REF!</v>
      </c>
      <c r="E124" s="491">
        <f t="shared" si="2"/>
        <v>2.5250604908399584E-2</v>
      </c>
      <c r="F124" s="477" t="e">
        <f t="shared" si="3"/>
        <v>#REF!</v>
      </c>
    </row>
    <row r="125" spans="1:6">
      <c r="A125">
        <v>6035</v>
      </c>
      <c r="B125" t="s">
        <v>321</v>
      </c>
      <c r="C125" s="478">
        <v>35258.44</v>
      </c>
      <c r="D125" s="477">
        <v>17927.530000000002</v>
      </c>
      <c r="E125" s="491">
        <f t="shared" si="2"/>
        <v>2.5250604908399584E-2</v>
      </c>
      <c r="F125" s="477">
        <f t="shared" si="3"/>
        <v>452.68097701348086</v>
      </c>
    </row>
    <row r="126" spans="1:6">
      <c r="A126">
        <v>6040</v>
      </c>
      <c r="B126" t="s">
        <v>322</v>
      </c>
      <c r="C126" s="478">
        <v>41000</v>
      </c>
      <c r="D126" s="477">
        <v>20500</v>
      </c>
      <c r="E126" s="491">
        <f t="shared" si="2"/>
        <v>2.5250604908399584E-2</v>
      </c>
      <c r="F126" s="477">
        <f t="shared" si="3"/>
        <v>517.63740062219142</v>
      </c>
    </row>
    <row r="127" spans="1:6">
      <c r="A127">
        <v>6045</v>
      </c>
      <c r="B127" t="s">
        <v>323</v>
      </c>
      <c r="C127" s="478">
        <v>114965.71</v>
      </c>
      <c r="D127" s="477">
        <v>77358.850000000006</v>
      </c>
      <c r="E127" s="491">
        <f t="shared" si="2"/>
        <v>2.5250604908399584E-2</v>
      </c>
      <c r="F127" s="477">
        <f t="shared" si="3"/>
        <v>1953.3577575181473</v>
      </c>
    </row>
    <row r="128" spans="1:6">
      <c r="A128">
        <v>6050</v>
      </c>
      <c r="B128" t="s">
        <v>324</v>
      </c>
      <c r="C128" s="478">
        <v>112485.39</v>
      </c>
      <c r="D128" s="477">
        <v>23011.350000000006</v>
      </c>
      <c r="E128" s="491">
        <f t="shared" si="2"/>
        <v>2.5250604908399584E-2</v>
      </c>
      <c r="F128" s="477">
        <f t="shared" si="3"/>
        <v>581.05050725890089</v>
      </c>
    </row>
    <row r="129" spans="1:6">
      <c r="B129" t="s">
        <v>202</v>
      </c>
      <c r="C129" s="478">
        <v>433081.12</v>
      </c>
      <c r="D129" s="477">
        <v>155220.47999999998</v>
      </c>
      <c r="E129" s="491">
        <f t="shared" si="2"/>
        <v>2.5250604908399584E-2</v>
      </c>
      <c r="F129" s="477">
        <f t="shared" si="3"/>
        <v>3919.4110141721389</v>
      </c>
    </row>
    <row r="130" spans="1:6">
      <c r="B130" t="s">
        <v>203</v>
      </c>
      <c r="D130" s="477" t="e">
        <v>#REF!</v>
      </c>
      <c r="E130" s="491">
        <f t="shared" si="2"/>
        <v>2.5250604908399584E-2</v>
      </c>
      <c r="F130" s="477" t="e">
        <f t="shared" si="3"/>
        <v>#REF!</v>
      </c>
    </row>
    <row r="131" spans="1:6">
      <c r="A131">
        <v>6065</v>
      </c>
      <c r="B131" t="s">
        <v>325</v>
      </c>
      <c r="D131" s="477" t="e">
        <v>#REF!</v>
      </c>
      <c r="E131" s="491">
        <f t="shared" si="2"/>
        <v>2.5250604908399584E-2</v>
      </c>
      <c r="F131" s="477" t="e">
        <f t="shared" si="3"/>
        <v>#REF!</v>
      </c>
    </row>
    <row r="132" spans="1:6">
      <c r="A132">
        <v>6070</v>
      </c>
      <c r="B132" t="s">
        <v>326</v>
      </c>
      <c r="D132" s="477" t="e">
        <v>#REF!</v>
      </c>
      <c r="E132" s="491">
        <f t="shared" si="2"/>
        <v>2.5250604908399584E-2</v>
      </c>
      <c r="F132" s="477" t="e">
        <f t="shared" si="3"/>
        <v>#REF!</v>
      </c>
    </row>
    <row r="133" spans="1:6">
      <c r="A133">
        <v>6075</v>
      </c>
      <c r="B133" t="s">
        <v>327</v>
      </c>
      <c r="D133" s="477" t="e">
        <v>#REF!</v>
      </c>
      <c r="E133" s="491">
        <f t="shared" si="2"/>
        <v>2.5250604908399584E-2</v>
      </c>
      <c r="F133" s="477" t="e">
        <f t="shared" si="3"/>
        <v>#REF!</v>
      </c>
    </row>
    <row r="134" spans="1:6">
      <c r="B134" t="s">
        <v>203</v>
      </c>
      <c r="D134" s="477" t="e">
        <v>#REF!</v>
      </c>
      <c r="E134" s="491">
        <f t="shared" ref="E134:E197" si="4">E$3</f>
        <v>2.5250604908399584E-2</v>
      </c>
      <c r="F134" s="477" t="e">
        <f t="shared" ref="F134:F197" si="5">E134*D134</f>
        <v>#REF!</v>
      </c>
    </row>
    <row r="135" spans="1:6">
      <c r="B135" t="s">
        <v>204</v>
      </c>
      <c r="D135" s="477" t="e">
        <v>#REF!</v>
      </c>
      <c r="E135" s="491">
        <f t="shared" si="4"/>
        <v>2.5250604908399584E-2</v>
      </c>
      <c r="F135" s="477" t="e">
        <f t="shared" si="5"/>
        <v>#REF!</v>
      </c>
    </row>
    <row r="136" spans="1:6">
      <c r="A136">
        <v>6090</v>
      </c>
      <c r="B136" t="s">
        <v>328</v>
      </c>
      <c r="D136" s="477" t="e">
        <v>#REF!</v>
      </c>
      <c r="E136" s="491">
        <f t="shared" si="4"/>
        <v>2.5250604908399584E-2</v>
      </c>
      <c r="F136" s="477" t="e">
        <f t="shared" si="5"/>
        <v>#REF!</v>
      </c>
    </row>
    <row r="137" spans="1:6">
      <c r="B137" t="s">
        <v>204</v>
      </c>
      <c r="D137" s="477" t="e">
        <v>#REF!</v>
      </c>
      <c r="E137" s="491">
        <f t="shared" si="4"/>
        <v>2.5250604908399584E-2</v>
      </c>
      <c r="F137" s="477" t="e">
        <f t="shared" si="5"/>
        <v>#REF!</v>
      </c>
    </row>
    <row r="138" spans="1:6">
      <c r="B138" t="s">
        <v>205</v>
      </c>
      <c r="D138" s="477" t="e">
        <v>#REF!</v>
      </c>
      <c r="E138" s="491">
        <f t="shared" si="4"/>
        <v>2.5250604908399584E-2</v>
      </c>
      <c r="F138" s="477" t="e">
        <f t="shared" si="5"/>
        <v>#REF!</v>
      </c>
    </row>
    <row r="139" spans="1:6">
      <c r="A139">
        <v>6105</v>
      </c>
      <c r="B139" t="s">
        <v>744</v>
      </c>
      <c r="C139" s="478">
        <v>122627.46</v>
      </c>
      <c r="D139" s="477">
        <v>43689.030000000013</v>
      </c>
      <c r="E139" s="491">
        <f t="shared" si="4"/>
        <v>2.5250604908399584E-2</v>
      </c>
      <c r="F139" s="477">
        <f t="shared" si="5"/>
        <v>1103.1744353612171</v>
      </c>
    </row>
    <row r="140" spans="1:6">
      <c r="A140">
        <v>6110</v>
      </c>
      <c r="B140" t="s">
        <v>745</v>
      </c>
      <c r="C140" s="478">
        <v>691115.12</v>
      </c>
      <c r="D140" s="477">
        <v>344191</v>
      </c>
      <c r="E140" s="491">
        <f t="shared" si="4"/>
        <v>2.5250604908399584E-2</v>
      </c>
      <c r="F140" s="477">
        <f t="shared" si="5"/>
        <v>8691.0309540269609</v>
      </c>
    </row>
    <row r="141" spans="1:6">
      <c r="A141">
        <v>6115</v>
      </c>
      <c r="B141" t="s">
        <v>746</v>
      </c>
      <c r="C141" s="478">
        <v>105559.61</v>
      </c>
      <c r="D141" s="477">
        <v>52341.58</v>
      </c>
      <c r="E141" s="491">
        <f t="shared" si="4"/>
        <v>2.5250604908399584E-2</v>
      </c>
      <c r="F141" s="477">
        <f t="shared" si="5"/>
        <v>1321.6565568613896</v>
      </c>
    </row>
    <row r="142" spans="1:6">
      <c r="A142">
        <v>6120</v>
      </c>
      <c r="B142" t="s">
        <v>747</v>
      </c>
      <c r="C142" s="478">
        <v>982200.34</v>
      </c>
      <c r="D142" s="477">
        <v>428825.14</v>
      </c>
      <c r="E142" s="491">
        <f t="shared" si="4"/>
        <v>2.5250604908399584E-2</v>
      </c>
      <c r="F142" s="477">
        <f t="shared" si="5"/>
        <v>10828.094184929139</v>
      </c>
    </row>
    <row r="143" spans="1:6">
      <c r="A143">
        <v>6125</v>
      </c>
      <c r="B143" t="s">
        <v>748</v>
      </c>
      <c r="C143" s="478">
        <v>129054.03</v>
      </c>
      <c r="D143" s="477">
        <v>48103.179999999993</v>
      </c>
      <c r="E143" s="491">
        <f t="shared" si="4"/>
        <v>2.5250604908399584E-2</v>
      </c>
      <c r="F143" s="477">
        <f t="shared" si="5"/>
        <v>1214.6343930176286</v>
      </c>
    </row>
    <row r="144" spans="1:6">
      <c r="A144">
        <v>6130</v>
      </c>
      <c r="B144" t="s">
        <v>749</v>
      </c>
      <c r="C144" s="478">
        <v>166222.38</v>
      </c>
      <c r="D144" s="477">
        <v>89364.48000000001</v>
      </c>
      <c r="E144" s="491">
        <f t="shared" si="4"/>
        <v>2.5250604908399584E-2</v>
      </c>
      <c r="F144" s="477">
        <f t="shared" si="5"/>
        <v>2256.5071773245768</v>
      </c>
    </row>
    <row r="145" spans="1:6">
      <c r="A145">
        <v>6135</v>
      </c>
      <c r="B145" t="s">
        <v>750</v>
      </c>
      <c r="C145" s="478">
        <v>220214.15</v>
      </c>
      <c r="D145" s="477">
        <v>112016.43</v>
      </c>
      <c r="E145" s="491">
        <f t="shared" si="4"/>
        <v>2.5250604908399584E-2</v>
      </c>
      <c r="F145" s="477">
        <f t="shared" si="5"/>
        <v>2828.4826171793984</v>
      </c>
    </row>
    <row r="146" spans="1:6">
      <c r="A146">
        <v>6140</v>
      </c>
      <c r="B146" t="s">
        <v>751</v>
      </c>
      <c r="C146" s="478">
        <v>342632.84</v>
      </c>
      <c r="D146" s="477">
        <v>138842.89000000001</v>
      </c>
      <c r="E146" s="491">
        <f t="shared" si="4"/>
        <v>2.5250604908399584E-2</v>
      </c>
      <c r="F146" s="477">
        <f t="shared" si="5"/>
        <v>3505.8669597303838</v>
      </c>
    </row>
    <row r="147" spans="1:6">
      <c r="A147">
        <v>6145</v>
      </c>
      <c r="B147" t="s">
        <v>752</v>
      </c>
      <c r="C147" s="478">
        <v>6791.4</v>
      </c>
      <c r="D147" s="477">
        <v>0</v>
      </c>
      <c r="E147" s="491">
        <f t="shared" si="4"/>
        <v>2.5250604908399584E-2</v>
      </c>
      <c r="F147" s="477">
        <f t="shared" si="5"/>
        <v>0</v>
      </c>
    </row>
    <row r="148" spans="1:6">
      <c r="A148">
        <v>6150</v>
      </c>
      <c r="B148" t="s">
        <v>753</v>
      </c>
      <c r="D148" s="477" t="e">
        <v>#REF!</v>
      </c>
      <c r="E148" s="491">
        <f t="shared" si="4"/>
        <v>2.5250604908399584E-2</v>
      </c>
      <c r="F148" s="477" t="e">
        <f t="shared" si="5"/>
        <v>#REF!</v>
      </c>
    </row>
    <row r="149" spans="1:6">
      <c r="A149">
        <v>6155</v>
      </c>
      <c r="B149" t="s">
        <v>754</v>
      </c>
      <c r="C149" s="478">
        <v>160</v>
      </c>
      <c r="D149" s="477">
        <v>0</v>
      </c>
      <c r="E149" s="491">
        <f t="shared" si="4"/>
        <v>2.5250604908399584E-2</v>
      </c>
      <c r="F149" s="477">
        <f t="shared" si="5"/>
        <v>0</v>
      </c>
    </row>
    <row r="150" spans="1:6">
      <c r="A150">
        <v>6160</v>
      </c>
      <c r="B150" t="s">
        <v>755</v>
      </c>
      <c r="D150" s="477" t="e">
        <v>#REF!</v>
      </c>
      <c r="E150" s="491">
        <f t="shared" si="4"/>
        <v>2.5250604908399584E-2</v>
      </c>
      <c r="F150" s="477" t="e">
        <f t="shared" si="5"/>
        <v>#REF!</v>
      </c>
    </row>
    <row r="151" spans="1:6">
      <c r="A151">
        <v>6165</v>
      </c>
      <c r="B151" t="s">
        <v>756</v>
      </c>
      <c r="D151" s="477" t="e">
        <v>#REF!</v>
      </c>
      <c r="E151" s="491">
        <f t="shared" si="4"/>
        <v>2.5250604908399584E-2</v>
      </c>
      <c r="F151" s="477" t="e">
        <f t="shared" si="5"/>
        <v>#REF!</v>
      </c>
    </row>
    <row r="152" spans="1:6">
      <c r="A152">
        <v>6170</v>
      </c>
      <c r="B152" t="s">
        <v>757</v>
      </c>
      <c r="D152" s="477" t="e">
        <v>#REF!</v>
      </c>
      <c r="E152" s="491">
        <f t="shared" si="4"/>
        <v>2.5250604908399584E-2</v>
      </c>
      <c r="F152" s="477" t="e">
        <f t="shared" si="5"/>
        <v>#REF!</v>
      </c>
    </row>
    <row r="153" spans="1:6">
      <c r="B153" t="s">
        <v>205</v>
      </c>
      <c r="C153" s="478">
        <v>2766577.33</v>
      </c>
      <c r="D153" s="477">
        <v>1257373.73</v>
      </c>
      <c r="E153" s="491">
        <f t="shared" si="4"/>
        <v>2.5250604908399584E-2</v>
      </c>
      <c r="F153" s="477">
        <f t="shared" si="5"/>
        <v>31749.447278430693</v>
      </c>
    </row>
    <row r="154" spans="1:6">
      <c r="B154" t="s">
        <v>206</v>
      </c>
      <c r="D154" s="477" t="e">
        <v>#REF!</v>
      </c>
      <c r="E154" s="491">
        <f t="shared" si="4"/>
        <v>2.5250604908399584E-2</v>
      </c>
      <c r="F154" s="477" t="e">
        <f t="shared" si="5"/>
        <v>#REF!</v>
      </c>
    </row>
    <row r="155" spans="1:6">
      <c r="A155">
        <v>6185</v>
      </c>
      <c r="B155" t="s">
        <v>758</v>
      </c>
      <c r="C155" s="478">
        <v>102355.74</v>
      </c>
      <c r="D155" s="477">
        <v>12525.740000000005</v>
      </c>
      <c r="E155" s="491">
        <f t="shared" si="4"/>
        <v>2.5250604908399584E-2</v>
      </c>
      <c r="F155" s="477">
        <f t="shared" si="5"/>
        <v>316.28251192533713</v>
      </c>
    </row>
    <row r="156" spans="1:6">
      <c r="A156">
        <v>6190</v>
      </c>
      <c r="B156" t="s">
        <v>759</v>
      </c>
      <c r="C156" s="478">
        <v>21690.47</v>
      </c>
      <c r="D156" s="477">
        <v>11974.6</v>
      </c>
      <c r="E156" s="491">
        <f t="shared" si="4"/>
        <v>2.5250604908399584E-2</v>
      </c>
      <c r="F156" s="477">
        <f t="shared" si="5"/>
        <v>302.36589353612169</v>
      </c>
    </row>
    <row r="157" spans="1:6">
      <c r="A157">
        <v>6195</v>
      </c>
      <c r="B157" t="s">
        <v>760</v>
      </c>
      <c r="C157" s="478">
        <v>11104.28</v>
      </c>
      <c r="D157" s="477">
        <v>2078.7800000000007</v>
      </c>
      <c r="E157" s="491">
        <f t="shared" si="4"/>
        <v>2.5250604908399584E-2</v>
      </c>
      <c r="F157" s="477">
        <f t="shared" si="5"/>
        <v>52.490452471482904</v>
      </c>
    </row>
    <row r="158" spans="1:6">
      <c r="A158">
        <v>6200</v>
      </c>
      <c r="B158" t="s">
        <v>761</v>
      </c>
      <c r="C158" s="478">
        <v>11601.7</v>
      </c>
      <c r="D158" s="477">
        <v>8603.2800000000007</v>
      </c>
      <c r="E158" s="491">
        <f t="shared" si="4"/>
        <v>2.5250604908399584E-2</v>
      </c>
      <c r="F158" s="477">
        <f t="shared" si="5"/>
        <v>217.238024196336</v>
      </c>
    </row>
    <row r="159" spans="1:6">
      <c r="A159">
        <v>6205</v>
      </c>
      <c r="B159" t="s">
        <v>762</v>
      </c>
      <c r="C159" s="478">
        <v>1255.42</v>
      </c>
      <c r="D159" s="477">
        <v>567.8900000000001</v>
      </c>
      <c r="E159" s="491">
        <f t="shared" si="4"/>
        <v>2.5250604908399584E-2</v>
      </c>
      <c r="F159" s="477">
        <f t="shared" si="5"/>
        <v>14.339566021431043</v>
      </c>
    </row>
    <row r="160" spans="1:6">
      <c r="A160">
        <v>6207</v>
      </c>
      <c r="B160" t="s">
        <v>763</v>
      </c>
      <c r="D160" s="477" t="e">
        <v>#REF!</v>
      </c>
      <c r="E160" s="491">
        <f t="shared" si="4"/>
        <v>2.5250604908399584E-2</v>
      </c>
      <c r="F160" s="477" t="e">
        <f t="shared" si="5"/>
        <v>#REF!</v>
      </c>
    </row>
    <row r="161" spans="1:6">
      <c r="B161" t="s">
        <v>206</v>
      </c>
      <c r="C161" s="478">
        <v>148007.60999999999</v>
      </c>
      <c r="D161" s="477">
        <v>35750.289999999979</v>
      </c>
      <c r="E161" s="491">
        <f t="shared" si="4"/>
        <v>2.5250604908399584E-2</v>
      </c>
      <c r="F161" s="477">
        <f t="shared" si="5"/>
        <v>902.71644815070806</v>
      </c>
    </row>
    <row r="162" spans="1:6">
      <c r="B162" t="s">
        <v>207</v>
      </c>
      <c r="D162" s="477" t="e">
        <v>#REF!</v>
      </c>
      <c r="E162" s="491">
        <f t="shared" si="4"/>
        <v>2.5250604908399584E-2</v>
      </c>
      <c r="F162" s="477" t="e">
        <f t="shared" si="5"/>
        <v>#REF!</v>
      </c>
    </row>
    <row r="163" spans="1:6">
      <c r="A163">
        <v>6215</v>
      </c>
      <c r="B163" t="s">
        <v>764</v>
      </c>
      <c r="C163" s="478">
        <v>-1066.58</v>
      </c>
      <c r="D163" s="477">
        <v>0</v>
      </c>
      <c r="E163" s="491">
        <f t="shared" si="4"/>
        <v>2.5250604908399584E-2</v>
      </c>
      <c r="F163" s="477">
        <f t="shared" si="5"/>
        <v>0</v>
      </c>
    </row>
    <row r="164" spans="1:6">
      <c r="A164">
        <v>6220</v>
      </c>
      <c r="B164" t="s">
        <v>765</v>
      </c>
      <c r="C164" s="478">
        <v>-132.6</v>
      </c>
      <c r="D164" s="477">
        <v>0</v>
      </c>
      <c r="E164" s="491">
        <f t="shared" si="4"/>
        <v>2.5250604908399584E-2</v>
      </c>
      <c r="F164" s="477">
        <f t="shared" si="5"/>
        <v>0</v>
      </c>
    </row>
    <row r="165" spans="1:6">
      <c r="A165">
        <v>6225</v>
      </c>
      <c r="B165" t="s">
        <v>766</v>
      </c>
      <c r="C165" s="478">
        <v>174.1</v>
      </c>
      <c r="D165" s="477">
        <v>96.1</v>
      </c>
      <c r="E165" s="491">
        <f t="shared" si="4"/>
        <v>2.5250604908399584E-2</v>
      </c>
      <c r="F165" s="477">
        <f t="shared" si="5"/>
        <v>2.4265831316971997</v>
      </c>
    </row>
    <row r="166" spans="1:6">
      <c r="A166">
        <v>6230</v>
      </c>
      <c r="B166" t="s">
        <v>767</v>
      </c>
      <c r="D166" s="477" t="e">
        <v>#REF!</v>
      </c>
      <c r="E166" s="491">
        <f t="shared" si="4"/>
        <v>2.5250604908399584E-2</v>
      </c>
      <c r="F166" s="477" t="e">
        <f t="shared" si="5"/>
        <v>#REF!</v>
      </c>
    </row>
    <row r="167" spans="1:6">
      <c r="B167" t="s">
        <v>207</v>
      </c>
      <c r="C167" s="478">
        <v>-1025.08</v>
      </c>
      <c r="D167" s="477">
        <v>96.100000000000136</v>
      </c>
      <c r="E167" s="491">
        <f t="shared" si="4"/>
        <v>2.5250604908399584E-2</v>
      </c>
      <c r="F167" s="477">
        <f t="shared" si="5"/>
        <v>2.4265831316972033</v>
      </c>
    </row>
    <row r="168" spans="1:6">
      <c r="B168" t="s">
        <v>208</v>
      </c>
      <c r="D168" s="477" t="e">
        <v>#REF!</v>
      </c>
      <c r="E168" s="491">
        <f t="shared" si="4"/>
        <v>2.5250604908399584E-2</v>
      </c>
      <c r="F168" s="477" t="e">
        <f t="shared" si="5"/>
        <v>#REF!</v>
      </c>
    </row>
    <row r="169" spans="1:6">
      <c r="A169">
        <v>6255</v>
      </c>
      <c r="B169" t="s">
        <v>768</v>
      </c>
      <c r="D169" s="477" t="e">
        <v>#REF!</v>
      </c>
      <c r="E169" s="491">
        <f t="shared" si="4"/>
        <v>2.5250604908399584E-2</v>
      </c>
      <c r="F169" s="477" t="e">
        <f t="shared" si="5"/>
        <v>#REF!</v>
      </c>
    </row>
    <row r="170" spans="1:6">
      <c r="A170">
        <v>6260</v>
      </c>
      <c r="B170" t="s">
        <v>769</v>
      </c>
      <c r="D170" s="477" t="e">
        <v>#REF!</v>
      </c>
      <c r="E170" s="491">
        <f t="shared" si="4"/>
        <v>2.5250604908399584E-2</v>
      </c>
      <c r="F170" s="477" t="e">
        <f t="shared" si="5"/>
        <v>#REF!</v>
      </c>
    </row>
    <row r="171" spans="1:6">
      <c r="A171">
        <v>6265</v>
      </c>
      <c r="B171" t="s">
        <v>329</v>
      </c>
      <c r="D171" s="477" t="e">
        <v>#REF!</v>
      </c>
      <c r="E171" s="491">
        <f t="shared" si="4"/>
        <v>2.5250604908399584E-2</v>
      </c>
      <c r="F171" s="477" t="e">
        <f t="shared" si="5"/>
        <v>#REF!</v>
      </c>
    </row>
    <row r="172" spans="1:6">
      <c r="A172">
        <v>6270</v>
      </c>
      <c r="B172" t="s">
        <v>330</v>
      </c>
      <c r="D172" s="477" t="e">
        <v>#REF!</v>
      </c>
      <c r="E172" s="491">
        <f t="shared" si="4"/>
        <v>2.5250604908399584E-2</v>
      </c>
      <c r="F172" s="477" t="e">
        <f t="shared" si="5"/>
        <v>#REF!</v>
      </c>
    </row>
    <row r="173" spans="1:6">
      <c r="B173" t="s">
        <v>208</v>
      </c>
      <c r="D173" s="477" t="e">
        <v>#REF!</v>
      </c>
      <c r="E173" s="491">
        <f t="shared" si="4"/>
        <v>2.5250604908399584E-2</v>
      </c>
      <c r="F173" s="477" t="e">
        <f t="shared" si="5"/>
        <v>#REF!</v>
      </c>
    </row>
    <row r="174" spans="1:6">
      <c r="B174" t="s">
        <v>209</v>
      </c>
      <c r="D174" s="477" t="e">
        <v>#REF!</v>
      </c>
      <c r="E174" s="491">
        <f t="shared" si="4"/>
        <v>2.5250604908399584E-2</v>
      </c>
      <c r="F174" s="477" t="e">
        <f t="shared" si="5"/>
        <v>#REF!</v>
      </c>
    </row>
    <row r="175" spans="1:6">
      <c r="A175">
        <v>6285</v>
      </c>
      <c r="B175" t="s">
        <v>331</v>
      </c>
      <c r="D175" s="477" t="e">
        <v>#REF!</v>
      </c>
      <c r="E175" s="491">
        <f t="shared" si="4"/>
        <v>2.5250604908399584E-2</v>
      </c>
      <c r="F175" s="477" t="e">
        <f t="shared" si="5"/>
        <v>#REF!</v>
      </c>
    </row>
    <row r="176" spans="1:6">
      <c r="A176">
        <v>6290</v>
      </c>
      <c r="B176" t="s">
        <v>332</v>
      </c>
      <c r="D176" s="477" t="e">
        <v>#REF!</v>
      </c>
      <c r="E176" s="491">
        <f t="shared" si="4"/>
        <v>2.5250604908399584E-2</v>
      </c>
      <c r="F176" s="477" t="e">
        <f t="shared" si="5"/>
        <v>#REF!</v>
      </c>
    </row>
    <row r="177" spans="1:6">
      <c r="A177">
        <v>6295</v>
      </c>
      <c r="B177" t="s">
        <v>333</v>
      </c>
      <c r="D177" s="477" t="e">
        <v>#REF!</v>
      </c>
      <c r="E177" s="491">
        <f t="shared" si="4"/>
        <v>2.5250604908399584E-2</v>
      </c>
      <c r="F177" s="477" t="e">
        <f t="shared" si="5"/>
        <v>#REF!</v>
      </c>
    </row>
    <row r="178" spans="1:6">
      <c r="A178">
        <v>6300</v>
      </c>
      <c r="B178" t="s">
        <v>334</v>
      </c>
      <c r="D178" s="477" t="e">
        <v>#REF!</v>
      </c>
      <c r="E178" s="491">
        <f t="shared" si="4"/>
        <v>2.5250604908399584E-2</v>
      </c>
      <c r="F178" s="477" t="e">
        <f t="shared" si="5"/>
        <v>#REF!</v>
      </c>
    </row>
    <row r="179" spans="1:6">
      <c r="A179">
        <v>6305</v>
      </c>
      <c r="B179" t="s">
        <v>335</v>
      </c>
      <c r="D179" s="477" t="e">
        <v>#REF!</v>
      </c>
      <c r="E179" s="491">
        <f t="shared" si="4"/>
        <v>2.5250604908399584E-2</v>
      </c>
      <c r="F179" s="477" t="e">
        <f t="shared" si="5"/>
        <v>#REF!</v>
      </c>
    </row>
    <row r="180" spans="1:6">
      <c r="A180">
        <v>6310</v>
      </c>
      <c r="B180" t="s">
        <v>336</v>
      </c>
      <c r="D180" s="477" t="e">
        <v>#REF!</v>
      </c>
      <c r="E180" s="491">
        <f t="shared" si="4"/>
        <v>2.5250604908399584E-2</v>
      </c>
      <c r="F180" s="477" t="e">
        <f t="shared" si="5"/>
        <v>#REF!</v>
      </c>
    </row>
    <row r="181" spans="1:6">
      <c r="B181" t="s">
        <v>209</v>
      </c>
      <c r="D181" s="477" t="e">
        <v>#REF!</v>
      </c>
      <c r="E181" s="491">
        <f t="shared" si="4"/>
        <v>2.5250604908399584E-2</v>
      </c>
      <c r="F181" s="477" t="e">
        <f t="shared" si="5"/>
        <v>#REF!</v>
      </c>
    </row>
    <row r="182" spans="1:6">
      <c r="B182" t="s">
        <v>210</v>
      </c>
      <c r="D182" s="477" t="e">
        <v>#REF!</v>
      </c>
      <c r="E182" s="491">
        <f t="shared" si="4"/>
        <v>2.5250604908399584E-2</v>
      </c>
      <c r="F182" s="477" t="e">
        <f t="shared" si="5"/>
        <v>#REF!</v>
      </c>
    </row>
    <row r="183" spans="1:6">
      <c r="A183">
        <v>6320</v>
      </c>
      <c r="B183" t="s">
        <v>337</v>
      </c>
      <c r="D183" s="477" t="e">
        <v>#REF!</v>
      </c>
      <c r="E183" s="491">
        <f t="shared" si="4"/>
        <v>2.5250604908399584E-2</v>
      </c>
      <c r="F183" s="477" t="e">
        <f t="shared" si="5"/>
        <v>#REF!</v>
      </c>
    </row>
    <row r="184" spans="1:6">
      <c r="A184">
        <v>6325</v>
      </c>
      <c r="B184" t="s">
        <v>338</v>
      </c>
      <c r="D184" s="477" t="e">
        <v>#REF!</v>
      </c>
      <c r="E184" s="491">
        <f t="shared" si="4"/>
        <v>2.5250604908399584E-2</v>
      </c>
      <c r="F184" s="477" t="e">
        <f t="shared" si="5"/>
        <v>#REF!</v>
      </c>
    </row>
    <row r="185" spans="1:6">
      <c r="A185">
        <v>6330</v>
      </c>
      <c r="B185" t="s">
        <v>339</v>
      </c>
      <c r="D185" s="477" t="e">
        <v>#REF!</v>
      </c>
      <c r="E185" s="491">
        <f t="shared" si="4"/>
        <v>2.5250604908399584E-2</v>
      </c>
      <c r="F185" s="477" t="e">
        <f t="shared" si="5"/>
        <v>#REF!</v>
      </c>
    </row>
    <row r="186" spans="1:6">
      <c r="A186">
        <v>6335</v>
      </c>
      <c r="B186" t="s">
        <v>340</v>
      </c>
      <c r="D186" s="477" t="e">
        <v>#REF!</v>
      </c>
      <c r="E186" s="491">
        <f t="shared" si="4"/>
        <v>2.5250604908399584E-2</v>
      </c>
      <c r="F186" s="477" t="e">
        <f t="shared" si="5"/>
        <v>#REF!</v>
      </c>
    </row>
    <row r="187" spans="1:6">
      <c r="A187">
        <v>6340</v>
      </c>
      <c r="B187" t="s">
        <v>341</v>
      </c>
      <c r="D187" s="477" t="e">
        <v>#REF!</v>
      </c>
      <c r="E187" s="491">
        <f t="shared" si="4"/>
        <v>2.5250604908399584E-2</v>
      </c>
      <c r="F187" s="477" t="e">
        <f t="shared" si="5"/>
        <v>#REF!</v>
      </c>
    </row>
    <row r="188" spans="1:6">
      <c r="A188">
        <v>6345</v>
      </c>
      <c r="B188" t="s">
        <v>342</v>
      </c>
      <c r="D188" s="477" t="e">
        <v>#REF!</v>
      </c>
      <c r="E188" s="491">
        <f t="shared" si="4"/>
        <v>2.5250604908399584E-2</v>
      </c>
      <c r="F188" s="477" t="e">
        <f t="shared" si="5"/>
        <v>#REF!</v>
      </c>
    </row>
    <row r="189" spans="1:6">
      <c r="B189" t="s">
        <v>210</v>
      </c>
      <c r="D189" s="477" t="e">
        <v>#REF!</v>
      </c>
      <c r="E189" s="491">
        <f t="shared" si="4"/>
        <v>2.5250604908399584E-2</v>
      </c>
      <c r="F189" s="477" t="e">
        <f t="shared" si="5"/>
        <v>#REF!</v>
      </c>
    </row>
    <row r="190" spans="1:6">
      <c r="B190" t="s">
        <v>211</v>
      </c>
      <c r="D190" s="477" t="e">
        <v>#REF!</v>
      </c>
      <c r="E190" s="491">
        <f t="shared" si="4"/>
        <v>2.5250604908399584E-2</v>
      </c>
      <c r="F190" s="477" t="e">
        <f t="shared" si="5"/>
        <v>#REF!</v>
      </c>
    </row>
    <row r="191" spans="1:6">
      <c r="A191">
        <v>6355</v>
      </c>
      <c r="B191" t="s">
        <v>343</v>
      </c>
      <c r="C191" s="478">
        <v>181255.07</v>
      </c>
      <c r="D191" s="477">
        <v>176286.77000000002</v>
      </c>
      <c r="E191" s="491">
        <f t="shared" si="4"/>
        <v>2.5250604908399584E-2</v>
      </c>
      <c r="F191" s="477">
        <f t="shared" si="5"/>
        <v>4451.3475798479094</v>
      </c>
    </row>
    <row r="192" spans="1:6">
      <c r="A192">
        <v>6360</v>
      </c>
      <c r="B192" t="s">
        <v>344</v>
      </c>
      <c r="D192" s="477" t="e">
        <v>#REF!</v>
      </c>
      <c r="E192" s="491">
        <f t="shared" si="4"/>
        <v>2.5250604908399584E-2</v>
      </c>
      <c r="F192" s="477" t="e">
        <f t="shared" si="5"/>
        <v>#REF!</v>
      </c>
    </row>
    <row r="193" spans="1:6">
      <c r="A193">
        <v>6365</v>
      </c>
      <c r="B193" t="s">
        <v>345</v>
      </c>
      <c r="D193" s="477" t="e">
        <v>#REF!</v>
      </c>
      <c r="E193" s="491">
        <f t="shared" si="4"/>
        <v>2.5250604908399584E-2</v>
      </c>
      <c r="F193" s="477" t="e">
        <f t="shared" si="5"/>
        <v>#REF!</v>
      </c>
    </row>
    <row r="194" spans="1:6">
      <c r="A194">
        <v>6370</v>
      </c>
      <c r="B194" t="s">
        <v>346</v>
      </c>
      <c r="D194" s="477" t="e">
        <v>#REF!</v>
      </c>
      <c r="E194" s="491">
        <f t="shared" si="4"/>
        <v>2.5250604908399584E-2</v>
      </c>
      <c r="F194" s="477" t="e">
        <f t="shared" si="5"/>
        <v>#REF!</v>
      </c>
    </row>
    <row r="195" spans="1:6">
      <c r="A195">
        <v>6375</v>
      </c>
      <c r="B195" t="s">
        <v>33</v>
      </c>
      <c r="D195" s="477" t="e">
        <v>#REF!</v>
      </c>
      <c r="E195" s="491">
        <f t="shared" si="4"/>
        <v>2.5250604908399584E-2</v>
      </c>
      <c r="F195" s="477" t="e">
        <f t="shared" si="5"/>
        <v>#REF!</v>
      </c>
    </row>
    <row r="196" spans="1:6">
      <c r="A196">
        <v>6380</v>
      </c>
      <c r="B196" t="s">
        <v>34</v>
      </c>
      <c r="D196" s="477" t="e">
        <v>#REF!</v>
      </c>
      <c r="E196" s="491">
        <f t="shared" si="4"/>
        <v>2.5250604908399584E-2</v>
      </c>
      <c r="F196" s="477" t="e">
        <f t="shared" si="5"/>
        <v>#REF!</v>
      </c>
    </row>
    <row r="197" spans="1:6">
      <c r="A197">
        <v>6385</v>
      </c>
      <c r="B197" t="s">
        <v>35</v>
      </c>
      <c r="C197" s="478">
        <v>63.18</v>
      </c>
      <c r="D197" s="477">
        <v>0</v>
      </c>
      <c r="E197" s="491">
        <f t="shared" si="4"/>
        <v>2.5250604908399584E-2</v>
      </c>
      <c r="F197" s="477">
        <f t="shared" si="5"/>
        <v>0</v>
      </c>
    </row>
    <row r="198" spans="1:6">
      <c r="A198">
        <v>6390</v>
      </c>
      <c r="B198" t="s">
        <v>36</v>
      </c>
      <c r="D198" s="477" t="e">
        <v>#REF!</v>
      </c>
      <c r="E198" s="491">
        <f t="shared" ref="E198:E261" si="6">E$3</f>
        <v>2.5250604908399584E-2</v>
      </c>
      <c r="F198" s="477" t="e">
        <f t="shared" ref="F198:F261" si="7">E198*D198</f>
        <v>#REF!</v>
      </c>
    </row>
    <row r="199" spans="1:6">
      <c r="B199" t="s">
        <v>211</v>
      </c>
      <c r="C199" s="478">
        <v>181318.25</v>
      </c>
      <c r="D199" s="477">
        <v>176286.77</v>
      </c>
      <c r="E199" s="491">
        <f t="shared" si="6"/>
        <v>2.5250604908399584E-2</v>
      </c>
      <c r="F199" s="477">
        <f t="shared" si="7"/>
        <v>4451.3475798479085</v>
      </c>
    </row>
    <row r="200" spans="1:6">
      <c r="A200">
        <v>6400</v>
      </c>
      <c r="B200" t="s">
        <v>37</v>
      </c>
      <c r="D200" s="477" t="e">
        <v>#REF!</v>
      </c>
      <c r="E200" s="491">
        <f t="shared" si="6"/>
        <v>2.5250604908399584E-2</v>
      </c>
      <c r="F200" s="477" t="e">
        <f t="shared" si="7"/>
        <v>#REF!</v>
      </c>
    </row>
    <row r="201" spans="1:6">
      <c r="A201">
        <v>6410</v>
      </c>
      <c r="B201" t="s">
        <v>38</v>
      </c>
      <c r="D201" s="477" t="e">
        <v>#REF!</v>
      </c>
      <c r="E201" s="491">
        <f t="shared" si="6"/>
        <v>2.5250604908399584E-2</v>
      </c>
      <c r="F201" s="477" t="e">
        <f t="shared" si="7"/>
        <v>#REF!</v>
      </c>
    </row>
    <row r="202" spans="1:6">
      <c r="B202" t="s">
        <v>188</v>
      </c>
      <c r="C202" s="478">
        <v>9165852.4499999993</v>
      </c>
      <c r="D202" s="477">
        <v>4224343.8699999992</v>
      </c>
      <c r="E202" s="491">
        <f t="shared" si="6"/>
        <v>2.5250604908399584E-2</v>
      </c>
      <c r="F202" s="477">
        <f t="shared" si="7"/>
        <v>106667.23805858968</v>
      </c>
    </row>
    <row r="203" spans="1:6">
      <c r="B203" t="s">
        <v>212</v>
      </c>
      <c r="D203" s="477" t="e">
        <v>#REF!</v>
      </c>
      <c r="E203" s="491">
        <f t="shared" si="6"/>
        <v>2.5250604908399584E-2</v>
      </c>
      <c r="F203" s="477" t="e">
        <f t="shared" si="7"/>
        <v>#REF!</v>
      </c>
    </row>
    <row r="204" spans="1:6">
      <c r="B204" t="s">
        <v>213</v>
      </c>
      <c r="D204" s="477" t="e">
        <v>#REF!</v>
      </c>
      <c r="E204" s="491">
        <f t="shared" si="6"/>
        <v>2.5250604908399584E-2</v>
      </c>
      <c r="F204" s="477" t="e">
        <f t="shared" si="7"/>
        <v>#REF!</v>
      </c>
    </row>
    <row r="205" spans="1:6">
      <c r="A205">
        <v>6445</v>
      </c>
      <c r="B205" t="s">
        <v>39</v>
      </c>
      <c r="D205" s="477" t="e">
        <v>#REF!</v>
      </c>
      <c r="E205" s="491">
        <f t="shared" si="6"/>
        <v>2.5250604908399584E-2</v>
      </c>
      <c r="F205" s="477" t="e">
        <f t="shared" si="7"/>
        <v>#REF!</v>
      </c>
    </row>
    <row r="206" spans="1:6">
      <c r="A206">
        <v>6450</v>
      </c>
      <c r="B206" t="s">
        <v>40</v>
      </c>
      <c r="D206" s="477" t="e">
        <v>#REF!</v>
      </c>
      <c r="E206" s="491">
        <f t="shared" si="6"/>
        <v>2.5250604908399584E-2</v>
      </c>
      <c r="F206" s="477" t="e">
        <f t="shared" si="7"/>
        <v>#REF!</v>
      </c>
    </row>
    <row r="207" spans="1:6">
      <c r="A207">
        <v>6455</v>
      </c>
      <c r="B207" t="s">
        <v>41</v>
      </c>
      <c r="D207" s="477" t="e">
        <v>#REF!</v>
      </c>
      <c r="E207" s="491">
        <f t="shared" si="6"/>
        <v>2.5250604908399584E-2</v>
      </c>
      <c r="F207" s="477" t="e">
        <f t="shared" si="7"/>
        <v>#REF!</v>
      </c>
    </row>
    <row r="208" spans="1:6">
      <c r="A208">
        <v>6460</v>
      </c>
      <c r="B208" t="s">
        <v>42</v>
      </c>
      <c r="D208" s="477" t="e">
        <v>#REF!</v>
      </c>
      <c r="E208" s="491">
        <f t="shared" si="6"/>
        <v>2.5250604908399584E-2</v>
      </c>
      <c r="F208" s="477" t="e">
        <f t="shared" si="7"/>
        <v>#REF!</v>
      </c>
    </row>
    <row r="209" spans="1:6">
      <c r="A209">
        <v>6465</v>
      </c>
      <c r="B209" t="s">
        <v>43</v>
      </c>
      <c r="D209" s="477" t="e">
        <v>#REF!</v>
      </c>
      <c r="E209" s="491">
        <f t="shared" si="6"/>
        <v>2.5250604908399584E-2</v>
      </c>
      <c r="F209" s="477" t="e">
        <f t="shared" si="7"/>
        <v>#REF!</v>
      </c>
    </row>
    <row r="210" spans="1:6">
      <c r="A210">
        <v>6470</v>
      </c>
      <c r="B210" t="s">
        <v>44</v>
      </c>
      <c r="D210" s="477" t="e">
        <v>#REF!</v>
      </c>
      <c r="E210" s="491">
        <f t="shared" si="6"/>
        <v>2.5250604908399584E-2</v>
      </c>
      <c r="F210" s="477" t="e">
        <f t="shared" si="7"/>
        <v>#REF!</v>
      </c>
    </row>
    <row r="211" spans="1:6">
      <c r="A211">
        <v>6475</v>
      </c>
      <c r="B211" t="s">
        <v>45</v>
      </c>
      <c r="D211" s="477" t="e">
        <v>#REF!</v>
      </c>
      <c r="E211" s="491">
        <f t="shared" si="6"/>
        <v>2.5250604908399584E-2</v>
      </c>
      <c r="F211" s="477" t="e">
        <f t="shared" si="7"/>
        <v>#REF!</v>
      </c>
    </row>
    <row r="212" spans="1:6">
      <c r="A212">
        <v>6480</v>
      </c>
      <c r="B212" t="s">
        <v>46</v>
      </c>
      <c r="D212" s="477" t="e">
        <v>#REF!</v>
      </c>
      <c r="E212" s="491">
        <f t="shared" si="6"/>
        <v>2.5250604908399584E-2</v>
      </c>
      <c r="F212" s="477" t="e">
        <f t="shared" si="7"/>
        <v>#REF!</v>
      </c>
    </row>
    <row r="213" spans="1:6">
      <c r="A213">
        <v>6485</v>
      </c>
      <c r="B213" t="s">
        <v>47</v>
      </c>
      <c r="D213" s="477" t="e">
        <v>#REF!</v>
      </c>
      <c r="E213" s="491">
        <f t="shared" si="6"/>
        <v>2.5250604908399584E-2</v>
      </c>
      <c r="F213" s="477" t="e">
        <f t="shared" si="7"/>
        <v>#REF!</v>
      </c>
    </row>
    <row r="214" spans="1:6">
      <c r="A214">
        <v>6490</v>
      </c>
      <c r="B214" t="s">
        <v>48</v>
      </c>
      <c r="D214" s="477" t="e">
        <v>#REF!</v>
      </c>
      <c r="E214" s="491">
        <f t="shared" si="6"/>
        <v>2.5250604908399584E-2</v>
      </c>
      <c r="F214" s="477" t="e">
        <f t="shared" si="7"/>
        <v>#REF!</v>
      </c>
    </row>
    <row r="215" spans="1:6">
      <c r="A215">
        <v>6495</v>
      </c>
      <c r="B215" t="s">
        <v>49</v>
      </c>
      <c r="D215" s="477" t="e">
        <v>#REF!</v>
      </c>
      <c r="E215" s="491">
        <f t="shared" si="6"/>
        <v>2.5250604908399584E-2</v>
      </c>
      <c r="F215" s="477" t="e">
        <f t="shared" si="7"/>
        <v>#REF!</v>
      </c>
    </row>
    <row r="216" spans="1:6">
      <c r="A216">
        <v>6500</v>
      </c>
      <c r="B216" t="s">
        <v>50</v>
      </c>
      <c r="D216" s="477" t="e">
        <v>#REF!</v>
      </c>
      <c r="E216" s="491">
        <f t="shared" si="6"/>
        <v>2.5250604908399584E-2</v>
      </c>
      <c r="F216" s="477" t="e">
        <f t="shared" si="7"/>
        <v>#REF!</v>
      </c>
    </row>
    <row r="217" spans="1:6">
      <c r="A217">
        <v>6505</v>
      </c>
      <c r="B217" t="s">
        <v>51</v>
      </c>
      <c r="D217" s="477" t="e">
        <v>#REF!</v>
      </c>
      <c r="E217" s="491">
        <f t="shared" si="6"/>
        <v>2.5250604908399584E-2</v>
      </c>
      <c r="F217" s="477" t="e">
        <f t="shared" si="7"/>
        <v>#REF!</v>
      </c>
    </row>
    <row r="218" spans="1:6">
      <c r="A218">
        <v>6510</v>
      </c>
      <c r="B218" t="s">
        <v>52</v>
      </c>
      <c r="D218" s="477" t="e">
        <v>#REF!</v>
      </c>
      <c r="E218" s="491">
        <f t="shared" si="6"/>
        <v>2.5250604908399584E-2</v>
      </c>
      <c r="F218" s="477" t="e">
        <f t="shared" si="7"/>
        <v>#REF!</v>
      </c>
    </row>
    <row r="219" spans="1:6">
      <c r="A219">
        <v>6515</v>
      </c>
      <c r="B219" t="s">
        <v>53</v>
      </c>
      <c r="D219" s="477" t="e">
        <v>#REF!</v>
      </c>
      <c r="E219" s="491">
        <f t="shared" si="6"/>
        <v>2.5250604908399584E-2</v>
      </c>
      <c r="F219" s="477" t="e">
        <f t="shared" si="7"/>
        <v>#REF!</v>
      </c>
    </row>
    <row r="220" spans="1:6">
      <c r="A220">
        <v>6520</v>
      </c>
      <c r="B220" t="s">
        <v>54</v>
      </c>
      <c r="D220" s="477" t="e">
        <v>#REF!</v>
      </c>
      <c r="E220" s="491">
        <f t="shared" si="6"/>
        <v>2.5250604908399584E-2</v>
      </c>
      <c r="F220" s="477" t="e">
        <f t="shared" si="7"/>
        <v>#REF!</v>
      </c>
    </row>
    <row r="221" spans="1:6">
      <c r="A221">
        <v>6525</v>
      </c>
      <c r="B221" t="s">
        <v>55</v>
      </c>
      <c r="D221" s="477" t="e">
        <v>#REF!</v>
      </c>
      <c r="E221" s="491">
        <f t="shared" si="6"/>
        <v>2.5250604908399584E-2</v>
      </c>
      <c r="F221" s="477" t="e">
        <f t="shared" si="7"/>
        <v>#REF!</v>
      </c>
    </row>
    <row r="222" spans="1:6">
      <c r="A222">
        <v>6530</v>
      </c>
      <c r="B222" t="s">
        <v>56</v>
      </c>
      <c r="D222" s="477" t="e">
        <v>#REF!</v>
      </c>
      <c r="E222" s="491">
        <f t="shared" si="6"/>
        <v>2.5250604908399584E-2</v>
      </c>
      <c r="F222" s="477" t="e">
        <f t="shared" si="7"/>
        <v>#REF!</v>
      </c>
    </row>
    <row r="223" spans="1:6">
      <c r="A223">
        <v>6535</v>
      </c>
      <c r="B223" t="s">
        <v>57</v>
      </c>
      <c r="D223" s="477" t="e">
        <v>#REF!</v>
      </c>
      <c r="E223" s="491">
        <f t="shared" si="6"/>
        <v>2.5250604908399584E-2</v>
      </c>
      <c r="F223" s="477" t="e">
        <f t="shared" si="7"/>
        <v>#REF!</v>
      </c>
    </row>
    <row r="224" spans="1:6">
      <c r="A224">
        <v>6540</v>
      </c>
      <c r="B224" t="s">
        <v>58</v>
      </c>
      <c r="D224" s="477" t="e">
        <v>#REF!</v>
      </c>
      <c r="E224" s="491">
        <f t="shared" si="6"/>
        <v>2.5250604908399584E-2</v>
      </c>
      <c r="F224" s="477" t="e">
        <f t="shared" si="7"/>
        <v>#REF!</v>
      </c>
    </row>
    <row r="225" spans="1:6">
      <c r="A225">
        <v>6545</v>
      </c>
      <c r="B225" t="s">
        <v>59</v>
      </c>
      <c r="D225" s="477" t="e">
        <v>#REF!</v>
      </c>
      <c r="E225" s="491">
        <f t="shared" si="6"/>
        <v>2.5250604908399584E-2</v>
      </c>
      <c r="F225" s="477" t="e">
        <f t="shared" si="7"/>
        <v>#REF!</v>
      </c>
    </row>
    <row r="226" spans="1:6">
      <c r="A226">
        <v>6550</v>
      </c>
      <c r="B226" t="s">
        <v>680</v>
      </c>
      <c r="D226" s="477" t="e">
        <v>#REF!</v>
      </c>
      <c r="E226" s="491">
        <f t="shared" si="6"/>
        <v>2.5250604908399584E-2</v>
      </c>
      <c r="F226" s="477" t="e">
        <f t="shared" si="7"/>
        <v>#REF!</v>
      </c>
    </row>
    <row r="227" spans="1:6">
      <c r="A227">
        <v>6555</v>
      </c>
      <c r="B227" t="s">
        <v>681</v>
      </c>
      <c r="D227" s="477" t="e">
        <v>#REF!</v>
      </c>
      <c r="E227" s="491">
        <f t="shared" si="6"/>
        <v>2.5250604908399584E-2</v>
      </c>
      <c r="F227" s="477" t="e">
        <f t="shared" si="7"/>
        <v>#REF!</v>
      </c>
    </row>
    <row r="228" spans="1:6">
      <c r="A228">
        <v>6560</v>
      </c>
      <c r="B228" t="s">
        <v>682</v>
      </c>
      <c r="D228" s="477" t="e">
        <v>#REF!</v>
      </c>
      <c r="E228" s="491">
        <f t="shared" si="6"/>
        <v>2.5250604908399584E-2</v>
      </c>
      <c r="F228" s="477" t="e">
        <f t="shared" si="7"/>
        <v>#REF!</v>
      </c>
    </row>
    <row r="229" spans="1:6">
      <c r="A229">
        <v>6565</v>
      </c>
      <c r="B229" t="s">
        <v>683</v>
      </c>
      <c r="D229" s="477" t="e">
        <v>#REF!</v>
      </c>
      <c r="E229" s="491">
        <f t="shared" si="6"/>
        <v>2.5250604908399584E-2</v>
      </c>
      <c r="F229" s="477" t="e">
        <f t="shared" si="7"/>
        <v>#REF!</v>
      </c>
    </row>
    <row r="230" spans="1:6">
      <c r="A230">
        <v>6570</v>
      </c>
      <c r="B230" t="s">
        <v>684</v>
      </c>
      <c r="D230" s="477" t="e">
        <v>#REF!</v>
      </c>
      <c r="E230" s="491">
        <f t="shared" si="6"/>
        <v>2.5250604908399584E-2</v>
      </c>
      <c r="F230" s="477" t="e">
        <f t="shared" si="7"/>
        <v>#REF!</v>
      </c>
    </row>
    <row r="231" spans="1:6">
      <c r="A231">
        <v>6575</v>
      </c>
      <c r="B231" t="s">
        <v>685</v>
      </c>
      <c r="D231" s="477" t="e">
        <v>#REF!</v>
      </c>
      <c r="E231" s="491">
        <f t="shared" si="6"/>
        <v>2.5250604908399584E-2</v>
      </c>
      <c r="F231" s="477" t="e">
        <f t="shared" si="7"/>
        <v>#REF!</v>
      </c>
    </row>
    <row r="232" spans="1:6">
      <c r="A232">
        <v>6580</v>
      </c>
      <c r="B232" t="s">
        <v>686</v>
      </c>
      <c r="C232" s="478">
        <v>20565.060000000001</v>
      </c>
      <c r="D232" s="477">
        <v>10300.500000000002</v>
      </c>
      <c r="E232" s="491">
        <f t="shared" si="6"/>
        <v>2.5250604908399584E-2</v>
      </c>
      <c r="F232" s="477">
        <f t="shared" si="7"/>
        <v>260.09385585896996</v>
      </c>
    </row>
    <row r="233" spans="1:6">
      <c r="A233">
        <v>6585</v>
      </c>
      <c r="B233" t="s">
        <v>687</v>
      </c>
      <c r="C233" s="478">
        <v>9716.17</v>
      </c>
      <c r="D233" s="477">
        <v>4858.08</v>
      </c>
      <c r="E233" s="491">
        <f t="shared" si="6"/>
        <v>2.5250604908399584E-2</v>
      </c>
      <c r="F233" s="477">
        <f t="shared" si="7"/>
        <v>122.66945869339784</v>
      </c>
    </row>
    <row r="234" spans="1:6">
      <c r="A234">
        <v>6590</v>
      </c>
      <c r="B234" t="s">
        <v>688</v>
      </c>
      <c r="D234" s="477" t="e">
        <v>#REF!</v>
      </c>
      <c r="E234" s="491">
        <f t="shared" si="6"/>
        <v>2.5250604908399584E-2</v>
      </c>
      <c r="F234" s="477" t="e">
        <f t="shared" si="7"/>
        <v>#REF!</v>
      </c>
    </row>
    <row r="235" spans="1:6">
      <c r="A235">
        <v>6595</v>
      </c>
      <c r="B235" t="s">
        <v>689</v>
      </c>
      <c r="C235" s="478">
        <v>157.38999999999999</v>
      </c>
      <c r="D235" s="477">
        <v>78.689999999999984</v>
      </c>
      <c r="E235" s="491">
        <f t="shared" si="6"/>
        <v>2.5250604908399584E-2</v>
      </c>
      <c r="F235" s="477">
        <f t="shared" si="7"/>
        <v>1.9869701002419629</v>
      </c>
    </row>
    <row r="236" spans="1:6">
      <c r="A236">
        <v>6600</v>
      </c>
      <c r="B236" t="s">
        <v>690</v>
      </c>
      <c r="D236" s="477" t="e">
        <v>#REF!</v>
      </c>
      <c r="E236" s="491">
        <f t="shared" si="6"/>
        <v>2.5250604908399584E-2</v>
      </c>
      <c r="F236" s="477" t="e">
        <f t="shared" si="7"/>
        <v>#REF!</v>
      </c>
    </row>
    <row r="237" spans="1:6">
      <c r="A237">
        <v>6605</v>
      </c>
      <c r="B237" t="s">
        <v>691</v>
      </c>
      <c r="D237" s="477" t="e">
        <v>#REF!</v>
      </c>
      <c r="E237" s="491">
        <f t="shared" si="6"/>
        <v>2.5250604908399584E-2</v>
      </c>
      <c r="F237" s="477" t="e">
        <f t="shared" si="7"/>
        <v>#REF!</v>
      </c>
    </row>
    <row r="238" spans="1:6">
      <c r="A238">
        <v>6610</v>
      </c>
      <c r="B238" t="s">
        <v>692</v>
      </c>
      <c r="C238" s="478">
        <v>2702.69</v>
      </c>
      <c r="D238" s="477">
        <v>1351.3500000000001</v>
      </c>
      <c r="E238" s="491">
        <f t="shared" si="6"/>
        <v>2.5250604908399584E-2</v>
      </c>
      <c r="F238" s="477">
        <f t="shared" si="7"/>
        <v>34.12240494296578</v>
      </c>
    </row>
    <row r="239" spans="1:6">
      <c r="A239">
        <v>6615</v>
      </c>
      <c r="B239" t="s">
        <v>693</v>
      </c>
      <c r="D239" s="477" t="e">
        <v>#REF!</v>
      </c>
      <c r="E239" s="491">
        <f t="shared" si="6"/>
        <v>2.5250604908399584E-2</v>
      </c>
      <c r="F239" s="477" t="e">
        <f t="shared" si="7"/>
        <v>#REF!</v>
      </c>
    </row>
    <row r="240" spans="1:6">
      <c r="A240">
        <v>6620</v>
      </c>
      <c r="B240" t="s">
        <v>694</v>
      </c>
      <c r="D240" s="477" t="e">
        <v>#REF!</v>
      </c>
      <c r="E240" s="491">
        <f t="shared" si="6"/>
        <v>2.5250604908399584E-2</v>
      </c>
      <c r="F240" s="477" t="e">
        <f t="shared" si="7"/>
        <v>#REF!</v>
      </c>
    </row>
    <row r="241" spans="1:6">
      <c r="B241" t="s">
        <v>213</v>
      </c>
      <c r="C241" s="478">
        <v>33141.31</v>
      </c>
      <c r="D241" s="477">
        <v>16588.62</v>
      </c>
      <c r="E241" s="491">
        <f t="shared" si="6"/>
        <v>2.5250604908399584E-2</v>
      </c>
      <c r="F241" s="477">
        <f t="shared" si="7"/>
        <v>418.87268959557548</v>
      </c>
    </row>
    <row r="242" spans="1:6">
      <c r="B242" t="s">
        <v>214</v>
      </c>
      <c r="D242" s="477" t="e">
        <v>#REF!</v>
      </c>
      <c r="E242" s="491">
        <f t="shared" si="6"/>
        <v>2.5250604908399584E-2</v>
      </c>
      <c r="F242" s="477" t="e">
        <f t="shared" si="7"/>
        <v>#REF!</v>
      </c>
    </row>
    <row r="243" spans="1:6">
      <c r="A243">
        <v>6640</v>
      </c>
      <c r="B243" t="s">
        <v>39</v>
      </c>
      <c r="D243" s="477" t="e">
        <v>#REF!</v>
      </c>
      <c r="E243" s="491">
        <f t="shared" si="6"/>
        <v>2.5250604908399584E-2</v>
      </c>
      <c r="F243" s="477" t="e">
        <f t="shared" si="7"/>
        <v>#REF!</v>
      </c>
    </row>
    <row r="244" spans="1:6">
      <c r="A244">
        <v>6645</v>
      </c>
      <c r="B244" t="s">
        <v>695</v>
      </c>
      <c r="D244" s="477" t="e">
        <v>#REF!</v>
      </c>
      <c r="E244" s="491">
        <f t="shared" si="6"/>
        <v>2.5250604908399584E-2</v>
      </c>
      <c r="F244" s="477" t="e">
        <f t="shared" si="7"/>
        <v>#REF!</v>
      </c>
    </row>
    <row r="245" spans="1:6">
      <c r="A245">
        <v>6650</v>
      </c>
      <c r="B245" t="s">
        <v>696</v>
      </c>
      <c r="D245" s="477" t="e">
        <v>#REF!</v>
      </c>
      <c r="E245" s="491">
        <f t="shared" si="6"/>
        <v>2.5250604908399584E-2</v>
      </c>
      <c r="F245" s="477" t="e">
        <f t="shared" si="7"/>
        <v>#REF!</v>
      </c>
    </row>
    <row r="246" spans="1:6">
      <c r="A246">
        <v>6655</v>
      </c>
      <c r="B246" t="s">
        <v>697</v>
      </c>
      <c r="D246" s="477" t="e">
        <v>#REF!</v>
      </c>
      <c r="E246" s="491">
        <f t="shared" si="6"/>
        <v>2.5250604908399584E-2</v>
      </c>
      <c r="F246" s="477" t="e">
        <f t="shared" si="7"/>
        <v>#REF!</v>
      </c>
    </row>
    <row r="247" spans="1:6">
      <c r="A247">
        <v>6660</v>
      </c>
      <c r="B247" t="s">
        <v>698</v>
      </c>
      <c r="D247" s="477" t="e">
        <v>#REF!</v>
      </c>
      <c r="E247" s="491">
        <f t="shared" si="6"/>
        <v>2.5250604908399584E-2</v>
      </c>
      <c r="F247" s="477" t="e">
        <f t="shared" si="7"/>
        <v>#REF!</v>
      </c>
    </row>
    <row r="248" spans="1:6">
      <c r="A248">
        <v>6665</v>
      </c>
      <c r="B248" t="s">
        <v>699</v>
      </c>
      <c r="D248" s="477" t="e">
        <v>#REF!</v>
      </c>
      <c r="E248" s="491">
        <f t="shared" si="6"/>
        <v>2.5250604908399584E-2</v>
      </c>
      <c r="F248" s="477" t="e">
        <f t="shared" si="7"/>
        <v>#REF!</v>
      </c>
    </row>
    <row r="249" spans="1:6">
      <c r="A249">
        <v>6670</v>
      </c>
      <c r="B249" t="s">
        <v>700</v>
      </c>
      <c r="D249" s="477" t="e">
        <v>#REF!</v>
      </c>
      <c r="E249" s="491">
        <f t="shared" si="6"/>
        <v>2.5250604908399584E-2</v>
      </c>
      <c r="F249" s="477" t="e">
        <f t="shared" si="7"/>
        <v>#REF!</v>
      </c>
    </row>
    <row r="250" spans="1:6">
      <c r="A250">
        <v>6675</v>
      </c>
      <c r="B250" t="s">
        <v>701</v>
      </c>
      <c r="D250" s="477" t="e">
        <v>#REF!</v>
      </c>
      <c r="E250" s="491">
        <f t="shared" si="6"/>
        <v>2.5250604908399584E-2</v>
      </c>
      <c r="F250" s="477" t="e">
        <f t="shared" si="7"/>
        <v>#REF!</v>
      </c>
    </row>
    <row r="251" spans="1:6">
      <c r="A251">
        <v>6680</v>
      </c>
      <c r="B251" t="s">
        <v>702</v>
      </c>
      <c r="D251" s="477" t="e">
        <v>#REF!</v>
      </c>
      <c r="E251" s="491">
        <f t="shared" si="6"/>
        <v>2.5250604908399584E-2</v>
      </c>
      <c r="F251" s="477" t="e">
        <f t="shared" si="7"/>
        <v>#REF!</v>
      </c>
    </row>
    <row r="252" spans="1:6">
      <c r="A252">
        <v>6685</v>
      </c>
      <c r="B252" t="s">
        <v>703</v>
      </c>
      <c r="D252" s="477" t="e">
        <v>#REF!</v>
      </c>
      <c r="E252" s="491">
        <f t="shared" si="6"/>
        <v>2.5250604908399584E-2</v>
      </c>
      <c r="F252" s="477" t="e">
        <f t="shared" si="7"/>
        <v>#REF!</v>
      </c>
    </row>
    <row r="253" spans="1:6">
      <c r="A253">
        <v>6690</v>
      </c>
      <c r="B253" t="s">
        <v>704</v>
      </c>
      <c r="D253" s="477" t="e">
        <v>#REF!</v>
      </c>
      <c r="E253" s="491">
        <f t="shared" si="6"/>
        <v>2.5250604908399584E-2</v>
      </c>
      <c r="F253" s="477" t="e">
        <f t="shared" si="7"/>
        <v>#REF!</v>
      </c>
    </row>
    <row r="254" spans="1:6">
      <c r="A254">
        <v>6695</v>
      </c>
      <c r="B254" t="s">
        <v>705</v>
      </c>
      <c r="D254" s="477" t="e">
        <v>#REF!</v>
      </c>
      <c r="E254" s="491">
        <f t="shared" si="6"/>
        <v>2.5250604908399584E-2</v>
      </c>
      <c r="F254" s="477" t="e">
        <f t="shared" si="7"/>
        <v>#REF!</v>
      </c>
    </row>
    <row r="255" spans="1:6">
      <c r="A255">
        <v>6700</v>
      </c>
      <c r="B255" t="s">
        <v>706</v>
      </c>
      <c r="D255" s="477" t="e">
        <v>#REF!</v>
      </c>
      <c r="E255" s="491">
        <f t="shared" si="6"/>
        <v>2.5250604908399584E-2</v>
      </c>
      <c r="F255" s="477" t="e">
        <f t="shared" si="7"/>
        <v>#REF!</v>
      </c>
    </row>
    <row r="256" spans="1:6">
      <c r="A256">
        <v>6705</v>
      </c>
      <c r="B256" t="s">
        <v>706</v>
      </c>
      <c r="D256" s="477" t="e">
        <v>#REF!</v>
      </c>
      <c r="E256" s="491">
        <f t="shared" si="6"/>
        <v>2.5250604908399584E-2</v>
      </c>
      <c r="F256" s="477" t="e">
        <f t="shared" si="7"/>
        <v>#REF!</v>
      </c>
    </row>
    <row r="257" spans="1:6">
      <c r="A257">
        <v>6710</v>
      </c>
      <c r="B257" t="s">
        <v>707</v>
      </c>
      <c r="D257" s="477" t="e">
        <v>#REF!</v>
      </c>
      <c r="E257" s="491">
        <f t="shared" si="6"/>
        <v>2.5250604908399584E-2</v>
      </c>
      <c r="F257" s="477" t="e">
        <f t="shared" si="7"/>
        <v>#REF!</v>
      </c>
    </row>
    <row r="258" spans="1:6">
      <c r="A258">
        <v>6715</v>
      </c>
      <c r="B258" t="s">
        <v>708</v>
      </c>
      <c r="D258" s="477" t="e">
        <v>#REF!</v>
      </c>
      <c r="E258" s="491">
        <f t="shared" si="6"/>
        <v>2.5250604908399584E-2</v>
      </c>
      <c r="F258" s="477" t="e">
        <f t="shared" si="7"/>
        <v>#REF!</v>
      </c>
    </row>
    <row r="259" spans="1:6">
      <c r="A259">
        <v>6720</v>
      </c>
      <c r="B259" t="s">
        <v>709</v>
      </c>
      <c r="D259" s="477" t="e">
        <v>#REF!</v>
      </c>
      <c r="E259" s="491">
        <f t="shared" si="6"/>
        <v>2.5250604908399584E-2</v>
      </c>
      <c r="F259" s="477" t="e">
        <f t="shared" si="7"/>
        <v>#REF!</v>
      </c>
    </row>
    <row r="260" spans="1:6">
      <c r="A260">
        <v>6725</v>
      </c>
      <c r="B260" t="s">
        <v>710</v>
      </c>
      <c r="D260" s="477" t="e">
        <v>#REF!</v>
      </c>
      <c r="E260" s="491">
        <f t="shared" si="6"/>
        <v>2.5250604908399584E-2</v>
      </c>
      <c r="F260" s="477" t="e">
        <f t="shared" si="7"/>
        <v>#REF!</v>
      </c>
    </row>
    <row r="261" spans="1:6">
      <c r="A261">
        <v>6730</v>
      </c>
      <c r="B261" t="s">
        <v>711</v>
      </c>
      <c r="D261" s="477" t="e">
        <v>#REF!</v>
      </c>
      <c r="E261" s="491">
        <f t="shared" si="6"/>
        <v>2.5250604908399584E-2</v>
      </c>
      <c r="F261" s="477" t="e">
        <f t="shared" si="7"/>
        <v>#REF!</v>
      </c>
    </row>
    <row r="262" spans="1:6">
      <c r="A262">
        <v>6735</v>
      </c>
      <c r="B262" t="s">
        <v>712</v>
      </c>
      <c r="D262" s="477" t="e">
        <v>#REF!</v>
      </c>
      <c r="E262" s="491">
        <f t="shared" ref="E262:E325" si="8">E$3</f>
        <v>2.5250604908399584E-2</v>
      </c>
      <c r="F262" s="477" t="e">
        <f t="shared" ref="F262:F325" si="9">E262*D262</f>
        <v>#REF!</v>
      </c>
    </row>
    <row r="263" spans="1:6">
      <c r="A263">
        <v>6740</v>
      </c>
      <c r="B263" t="s">
        <v>713</v>
      </c>
      <c r="D263" s="477" t="e">
        <v>#REF!</v>
      </c>
      <c r="E263" s="491">
        <f t="shared" si="8"/>
        <v>2.5250604908399584E-2</v>
      </c>
      <c r="F263" s="477" t="e">
        <f t="shared" si="9"/>
        <v>#REF!</v>
      </c>
    </row>
    <row r="264" spans="1:6">
      <c r="A264">
        <v>6745</v>
      </c>
      <c r="B264" t="s">
        <v>714</v>
      </c>
      <c r="D264" s="477" t="e">
        <v>#REF!</v>
      </c>
      <c r="E264" s="491">
        <f t="shared" si="8"/>
        <v>2.5250604908399584E-2</v>
      </c>
      <c r="F264" s="477" t="e">
        <f t="shared" si="9"/>
        <v>#REF!</v>
      </c>
    </row>
    <row r="265" spans="1:6">
      <c r="A265">
        <v>6750</v>
      </c>
      <c r="B265" t="s">
        <v>715</v>
      </c>
      <c r="D265" s="477" t="e">
        <v>#REF!</v>
      </c>
      <c r="E265" s="491">
        <f t="shared" si="8"/>
        <v>2.5250604908399584E-2</v>
      </c>
      <c r="F265" s="477" t="e">
        <f t="shared" si="9"/>
        <v>#REF!</v>
      </c>
    </row>
    <row r="266" spans="1:6">
      <c r="A266">
        <v>6755</v>
      </c>
      <c r="B266" t="s">
        <v>716</v>
      </c>
      <c r="D266" s="477" t="e">
        <v>#REF!</v>
      </c>
      <c r="E266" s="491">
        <f t="shared" si="8"/>
        <v>2.5250604908399584E-2</v>
      </c>
      <c r="F266" s="477" t="e">
        <f t="shared" si="9"/>
        <v>#REF!</v>
      </c>
    </row>
    <row r="267" spans="1:6">
      <c r="A267">
        <v>6760</v>
      </c>
      <c r="B267" t="s">
        <v>717</v>
      </c>
      <c r="D267" s="477" t="e">
        <v>#REF!</v>
      </c>
      <c r="E267" s="491">
        <f t="shared" si="8"/>
        <v>2.5250604908399584E-2</v>
      </c>
      <c r="F267" s="477" t="e">
        <f t="shared" si="9"/>
        <v>#REF!</v>
      </c>
    </row>
    <row r="268" spans="1:6">
      <c r="A268">
        <v>6765</v>
      </c>
      <c r="B268" t="s">
        <v>718</v>
      </c>
      <c r="D268" s="477" t="e">
        <v>#REF!</v>
      </c>
      <c r="E268" s="491">
        <f t="shared" si="8"/>
        <v>2.5250604908399584E-2</v>
      </c>
      <c r="F268" s="477" t="e">
        <f t="shared" si="9"/>
        <v>#REF!</v>
      </c>
    </row>
    <row r="269" spans="1:6">
      <c r="A269">
        <v>6770</v>
      </c>
      <c r="B269" t="s">
        <v>719</v>
      </c>
      <c r="D269" s="477" t="e">
        <v>#REF!</v>
      </c>
      <c r="E269" s="491">
        <f t="shared" si="8"/>
        <v>2.5250604908399584E-2</v>
      </c>
      <c r="F269" s="477" t="e">
        <f t="shared" si="9"/>
        <v>#REF!</v>
      </c>
    </row>
    <row r="270" spans="1:6">
      <c r="A270">
        <v>6775</v>
      </c>
      <c r="B270" t="s">
        <v>720</v>
      </c>
      <c r="D270" s="477" t="e">
        <v>#REF!</v>
      </c>
      <c r="E270" s="491">
        <f t="shared" si="8"/>
        <v>2.5250604908399584E-2</v>
      </c>
      <c r="F270" s="477" t="e">
        <f t="shared" si="9"/>
        <v>#REF!</v>
      </c>
    </row>
    <row r="271" spans="1:6">
      <c r="A271">
        <v>6780</v>
      </c>
      <c r="B271" t="s">
        <v>721</v>
      </c>
      <c r="D271" s="477" t="e">
        <v>#REF!</v>
      </c>
      <c r="E271" s="491">
        <f t="shared" si="8"/>
        <v>2.5250604908399584E-2</v>
      </c>
      <c r="F271" s="477" t="e">
        <f t="shared" si="9"/>
        <v>#REF!</v>
      </c>
    </row>
    <row r="272" spans="1:6">
      <c r="A272">
        <v>6785</v>
      </c>
      <c r="B272" t="s">
        <v>722</v>
      </c>
      <c r="D272" s="477" t="e">
        <v>#REF!</v>
      </c>
      <c r="E272" s="491">
        <f t="shared" si="8"/>
        <v>2.5250604908399584E-2</v>
      </c>
      <c r="F272" s="477" t="e">
        <f t="shared" si="9"/>
        <v>#REF!</v>
      </c>
    </row>
    <row r="273" spans="1:6">
      <c r="A273">
        <v>6790</v>
      </c>
      <c r="B273" t="s">
        <v>723</v>
      </c>
      <c r="D273" s="477" t="e">
        <v>#REF!</v>
      </c>
      <c r="E273" s="491">
        <f t="shared" si="8"/>
        <v>2.5250604908399584E-2</v>
      </c>
      <c r="F273" s="477" t="e">
        <f t="shared" si="9"/>
        <v>#REF!</v>
      </c>
    </row>
    <row r="274" spans="1:6">
      <c r="A274">
        <v>6795</v>
      </c>
      <c r="B274" t="s">
        <v>724</v>
      </c>
      <c r="D274" s="477" t="e">
        <v>#REF!</v>
      </c>
      <c r="E274" s="491">
        <f t="shared" si="8"/>
        <v>2.5250604908399584E-2</v>
      </c>
      <c r="F274" s="477" t="e">
        <f t="shared" si="9"/>
        <v>#REF!</v>
      </c>
    </row>
    <row r="275" spans="1:6">
      <c r="A275">
        <v>6800</v>
      </c>
      <c r="B275" t="s">
        <v>996</v>
      </c>
      <c r="D275" s="477" t="e">
        <v>#REF!</v>
      </c>
      <c r="E275" s="491">
        <f t="shared" si="8"/>
        <v>2.5250604908399584E-2</v>
      </c>
      <c r="F275" s="477" t="e">
        <f t="shared" si="9"/>
        <v>#REF!</v>
      </c>
    </row>
    <row r="276" spans="1:6">
      <c r="A276">
        <v>6805</v>
      </c>
      <c r="B276" t="s">
        <v>997</v>
      </c>
      <c r="D276" s="477" t="e">
        <v>#REF!</v>
      </c>
      <c r="E276" s="491">
        <f t="shared" si="8"/>
        <v>2.5250604908399584E-2</v>
      </c>
      <c r="F276" s="477" t="e">
        <f t="shared" si="9"/>
        <v>#REF!</v>
      </c>
    </row>
    <row r="277" spans="1:6">
      <c r="A277">
        <v>6810</v>
      </c>
      <c r="B277" t="s">
        <v>998</v>
      </c>
      <c r="D277" s="477" t="e">
        <v>#REF!</v>
      </c>
      <c r="E277" s="491">
        <f t="shared" si="8"/>
        <v>2.5250604908399584E-2</v>
      </c>
      <c r="F277" s="477" t="e">
        <f t="shared" si="9"/>
        <v>#REF!</v>
      </c>
    </row>
    <row r="278" spans="1:6">
      <c r="A278">
        <v>6815</v>
      </c>
      <c r="B278" t="s">
        <v>998</v>
      </c>
      <c r="D278" s="477" t="e">
        <v>#REF!</v>
      </c>
      <c r="E278" s="491">
        <f t="shared" si="8"/>
        <v>2.5250604908399584E-2</v>
      </c>
      <c r="F278" s="477" t="e">
        <f t="shared" si="9"/>
        <v>#REF!</v>
      </c>
    </row>
    <row r="279" spans="1:6">
      <c r="A279">
        <v>6820</v>
      </c>
      <c r="B279" t="s">
        <v>686</v>
      </c>
      <c r="D279" s="477" t="e">
        <v>#REF!</v>
      </c>
      <c r="E279" s="491">
        <f t="shared" si="8"/>
        <v>2.5250604908399584E-2</v>
      </c>
      <c r="F279" s="477" t="e">
        <f t="shared" si="9"/>
        <v>#REF!</v>
      </c>
    </row>
    <row r="280" spans="1:6">
      <c r="A280">
        <v>6825</v>
      </c>
      <c r="B280" t="s">
        <v>687</v>
      </c>
      <c r="D280" s="477" t="e">
        <v>#REF!</v>
      </c>
      <c r="E280" s="491">
        <f t="shared" si="8"/>
        <v>2.5250604908399584E-2</v>
      </c>
      <c r="F280" s="477" t="e">
        <f t="shared" si="9"/>
        <v>#REF!</v>
      </c>
    </row>
    <row r="281" spans="1:6">
      <c r="A281">
        <v>6830</v>
      </c>
      <c r="B281" t="s">
        <v>688</v>
      </c>
      <c r="D281" s="477" t="e">
        <v>#REF!</v>
      </c>
      <c r="E281" s="491">
        <f t="shared" si="8"/>
        <v>2.5250604908399584E-2</v>
      </c>
      <c r="F281" s="477" t="e">
        <f t="shared" si="9"/>
        <v>#REF!</v>
      </c>
    </row>
    <row r="282" spans="1:6">
      <c r="A282">
        <v>6835</v>
      </c>
      <c r="B282" t="s">
        <v>689</v>
      </c>
      <c r="D282" s="477" t="e">
        <v>#REF!</v>
      </c>
      <c r="E282" s="491">
        <f t="shared" si="8"/>
        <v>2.5250604908399584E-2</v>
      </c>
      <c r="F282" s="477" t="e">
        <f t="shared" si="9"/>
        <v>#REF!</v>
      </c>
    </row>
    <row r="283" spans="1:6">
      <c r="A283">
        <v>6840</v>
      </c>
      <c r="B283" t="s">
        <v>999</v>
      </c>
      <c r="D283" s="477" t="e">
        <v>#REF!</v>
      </c>
      <c r="E283" s="491">
        <f t="shared" si="8"/>
        <v>2.5250604908399584E-2</v>
      </c>
      <c r="F283" s="477" t="e">
        <f t="shared" si="9"/>
        <v>#REF!</v>
      </c>
    </row>
    <row r="284" spans="1:6">
      <c r="A284">
        <v>6845</v>
      </c>
      <c r="B284" t="s">
        <v>691</v>
      </c>
      <c r="D284" s="477" t="e">
        <v>#REF!</v>
      </c>
      <c r="E284" s="491">
        <f t="shared" si="8"/>
        <v>2.5250604908399584E-2</v>
      </c>
      <c r="F284" s="477" t="e">
        <f t="shared" si="9"/>
        <v>#REF!</v>
      </c>
    </row>
    <row r="285" spans="1:6">
      <c r="A285">
        <v>6850</v>
      </c>
      <c r="B285" t="s">
        <v>692</v>
      </c>
      <c r="D285" s="477" t="e">
        <v>#REF!</v>
      </c>
      <c r="E285" s="491">
        <f t="shared" si="8"/>
        <v>2.5250604908399584E-2</v>
      </c>
      <c r="F285" s="477" t="e">
        <f t="shared" si="9"/>
        <v>#REF!</v>
      </c>
    </row>
    <row r="286" spans="1:6">
      <c r="A286">
        <v>6855</v>
      </c>
      <c r="B286" t="s">
        <v>1000</v>
      </c>
      <c r="D286" s="477" t="e">
        <v>#REF!</v>
      </c>
      <c r="E286" s="491">
        <f t="shared" si="8"/>
        <v>2.5250604908399584E-2</v>
      </c>
      <c r="F286" s="477" t="e">
        <f t="shared" si="9"/>
        <v>#REF!</v>
      </c>
    </row>
    <row r="287" spans="1:6">
      <c r="A287">
        <v>6860</v>
      </c>
      <c r="B287" t="s">
        <v>1001</v>
      </c>
      <c r="D287" s="477" t="e">
        <v>#REF!</v>
      </c>
      <c r="E287" s="491">
        <f t="shared" si="8"/>
        <v>2.5250604908399584E-2</v>
      </c>
      <c r="F287" s="477" t="e">
        <f t="shared" si="9"/>
        <v>#REF!</v>
      </c>
    </row>
    <row r="288" spans="1:6">
      <c r="B288" t="s">
        <v>214</v>
      </c>
      <c r="D288" s="477" t="e">
        <v>#REF!</v>
      </c>
      <c r="E288" s="491">
        <f t="shared" si="8"/>
        <v>2.5250604908399584E-2</v>
      </c>
      <c r="F288" s="477" t="e">
        <f t="shared" si="9"/>
        <v>#REF!</v>
      </c>
    </row>
    <row r="289" spans="1:6">
      <c r="B289" t="s">
        <v>215</v>
      </c>
      <c r="D289" s="477" t="e">
        <v>#REF!</v>
      </c>
      <c r="E289" s="491">
        <f t="shared" si="8"/>
        <v>2.5250604908399584E-2</v>
      </c>
      <c r="F289" s="477" t="e">
        <f t="shared" si="9"/>
        <v>#REF!</v>
      </c>
    </row>
    <row r="290" spans="1:6">
      <c r="A290">
        <v>6875</v>
      </c>
      <c r="B290" t="s">
        <v>1002</v>
      </c>
      <c r="D290" s="477" t="e">
        <v>#REF!</v>
      </c>
      <c r="E290" s="491">
        <f t="shared" si="8"/>
        <v>2.5250604908399584E-2</v>
      </c>
      <c r="F290" s="477" t="e">
        <f t="shared" si="9"/>
        <v>#REF!</v>
      </c>
    </row>
    <row r="291" spans="1:6">
      <c r="A291">
        <v>6880</v>
      </c>
      <c r="B291" t="s">
        <v>1003</v>
      </c>
      <c r="D291" s="477" t="e">
        <v>#REF!</v>
      </c>
      <c r="E291" s="491">
        <f t="shared" si="8"/>
        <v>2.5250604908399584E-2</v>
      </c>
      <c r="F291" s="477" t="e">
        <f t="shared" si="9"/>
        <v>#REF!</v>
      </c>
    </row>
    <row r="292" spans="1:6">
      <c r="A292">
        <v>6885</v>
      </c>
      <c r="B292" t="s">
        <v>1004</v>
      </c>
      <c r="D292" s="477" t="e">
        <v>#REF!</v>
      </c>
      <c r="E292" s="491">
        <f t="shared" si="8"/>
        <v>2.5250604908399584E-2</v>
      </c>
      <c r="F292" s="477" t="e">
        <f t="shared" si="9"/>
        <v>#REF!</v>
      </c>
    </row>
    <row r="293" spans="1:6">
      <c r="A293">
        <v>6890</v>
      </c>
      <c r="B293" t="s">
        <v>1005</v>
      </c>
      <c r="D293" s="477" t="e">
        <v>#REF!</v>
      </c>
      <c r="E293" s="491">
        <f t="shared" si="8"/>
        <v>2.5250604908399584E-2</v>
      </c>
      <c r="F293" s="477" t="e">
        <f t="shared" si="9"/>
        <v>#REF!</v>
      </c>
    </row>
    <row r="294" spans="1:6">
      <c r="B294" t="s">
        <v>215</v>
      </c>
      <c r="D294" s="477" t="e">
        <v>#REF!</v>
      </c>
      <c r="E294" s="491">
        <f t="shared" si="8"/>
        <v>2.5250604908399584E-2</v>
      </c>
      <c r="F294" s="477" t="e">
        <f t="shared" si="9"/>
        <v>#REF!</v>
      </c>
    </row>
    <row r="295" spans="1:6">
      <c r="B295" t="s">
        <v>216</v>
      </c>
      <c r="D295" s="477" t="e">
        <v>#REF!</v>
      </c>
      <c r="E295" s="491">
        <f t="shared" si="8"/>
        <v>2.5250604908399584E-2</v>
      </c>
      <c r="F295" s="477" t="e">
        <f t="shared" si="9"/>
        <v>#REF!</v>
      </c>
    </row>
    <row r="296" spans="1:6">
      <c r="A296">
        <v>6905</v>
      </c>
      <c r="B296" t="s">
        <v>1006</v>
      </c>
      <c r="C296" s="478">
        <v>18319.39</v>
      </c>
      <c r="D296" s="477">
        <v>9980.6999999999989</v>
      </c>
      <c r="E296" s="491">
        <f t="shared" si="8"/>
        <v>2.5250604908399584E-2</v>
      </c>
      <c r="F296" s="477">
        <f t="shared" si="9"/>
        <v>252.01871240926371</v>
      </c>
    </row>
    <row r="297" spans="1:6">
      <c r="B297" t="s">
        <v>216</v>
      </c>
      <c r="C297" s="478">
        <v>18319.39</v>
      </c>
      <c r="D297" s="477">
        <v>9980.6999999999989</v>
      </c>
      <c r="E297" s="491">
        <f t="shared" si="8"/>
        <v>2.5250604908399584E-2</v>
      </c>
      <c r="F297" s="477">
        <f t="shared" si="9"/>
        <v>252.01871240926371</v>
      </c>
    </row>
    <row r="298" spans="1:6">
      <c r="B298" t="s">
        <v>217</v>
      </c>
      <c r="D298" s="477" t="e">
        <v>#REF!</v>
      </c>
      <c r="E298" s="491">
        <f t="shared" si="8"/>
        <v>2.5250604908399584E-2</v>
      </c>
      <c r="F298" s="477" t="e">
        <f t="shared" si="9"/>
        <v>#REF!</v>
      </c>
    </row>
    <row r="299" spans="1:6">
      <c r="A299">
        <v>6920</v>
      </c>
      <c r="B299" t="s">
        <v>1007</v>
      </c>
      <c r="C299" s="478">
        <v>919683.55</v>
      </c>
      <c r="D299" s="477">
        <v>424506.37000000005</v>
      </c>
      <c r="E299" s="491">
        <f t="shared" si="8"/>
        <v>2.5250604908399584E-2</v>
      </c>
      <c r="F299" s="477">
        <f t="shared" si="9"/>
        <v>10719.042629968892</v>
      </c>
    </row>
    <row r="300" spans="1:6">
      <c r="B300" t="s">
        <v>217</v>
      </c>
      <c r="C300" s="478">
        <v>919683.55</v>
      </c>
      <c r="D300" s="477">
        <v>424506.37000000005</v>
      </c>
      <c r="E300" s="491">
        <f t="shared" si="8"/>
        <v>2.5250604908399584E-2</v>
      </c>
      <c r="F300" s="477">
        <f t="shared" si="9"/>
        <v>10719.042629968892</v>
      </c>
    </row>
    <row r="301" spans="1:6">
      <c r="A301">
        <v>6940</v>
      </c>
      <c r="B301" t="s">
        <v>1008</v>
      </c>
      <c r="D301" s="477" t="e">
        <v>#REF!</v>
      </c>
      <c r="E301" s="491">
        <f t="shared" si="8"/>
        <v>2.5250604908399584E-2</v>
      </c>
      <c r="F301" s="477" t="e">
        <f t="shared" si="9"/>
        <v>#REF!</v>
      </c>
    </row>
    <row r="302" spans="1:6">
      <c r="A302">
        <v>6945</v>
      </c>
      <c r="B302" t="s">
        <v>1009</v>
      </c>
      <c r="D302" s="477" t="e">
        <v>#REF!</v>
      </c>
      <c r="E302" s="491">
        <f t="shared" si="8"/>
        <v>2.5250604908399584E-2</v>
      </c>
      <c r="F302" s="477" t="e">
        <f t="shared" si="9"/>
        <v>#REF!</v>
      </c>
    </row>
    <row r="303" spans="1:6">
      <c r="A303">
        <v>6950</v>
      </c>
      <c r="B303" t="s">
        <v>1010</v>
      </c>
      <c r="D303" s="477" t="e">
        <v>#REF!</v>
      </c>
      <c r="E303" s="491">
        <f t="shared" si="8"/>
        <v>2.5250604908399584E-2</v>
      </c>
      <c r="F303" s="477" t="e">
        <f t="shared" si="9"/>
        <v>#REF!</v>
      </c>
    </row>
    <row r="304" spans="1:6">
      <c r="A304">
        <v>6955</v>
      </c>
      <c r="B304" t="s">
        <v>1011</v>
      </c>
      <c r="D304" s="477" t="e">
        <v>#REF!</v>
      </c>
      <c r="E304" s="491">
        <f t="shared" si="8"/>
        <v>2.5250604908399584E-2</v>
      </c>
      <c r="F304" s="477" t="e">
        <f t="shared" si="9"/>
        <v>#REF!</v>
      </c>
    </row>
    <row r="305" spans="1:6">
      <c r="A305">
        <v>6960</v>
      </c>
      <c r="B305" t="s">
        <v>1012</v>
      </c>
      <c r="D305" s="477" t="e">
        <v>#REF!</v>
      </c>
      <c r="E305" s="491">
        <f t="shared" si="8"/>
        <v>2.5250604908399584E-2</v>
      </c>
      <c r="F305" s="477" t="e">
        <f t="shared" si="9"/>
        <v>#REF!</v>
      </c>
    </row>
    <row r="306" spans="1:6">
      <c r="A306">
        <v>6965</v>
      </c>
      <c r="B306" t="s">
        <v>1013</v>
      </c>
      <c r="D306" s="477" t="e">
        <v>#REF!</v>
      </c>
      <c r="E306" s="491">
        <f t="shared" si="8"/>
        <v>2.5250604908399584E-2</v>
      </c>
      <c r="F306" s="477" t="e">
        <f t="shared" si="9"/>
        <v>#REF!</v>
      </c>
    </row>
    <row r="307" spans="1:6">
      <c r="B307" t="s">
        <v>218</v>
      </c>
      <c r="D307" s="477" t="e">
        <v>#REF!</v>
      </c>
      <c r="E307" s="491">
        <f t="shared" si="8"/>
        <v>2.5250604908399584E-2</v>
      </c>
      <c r="F307" s="477" t="e">
        <f t="shared" si="9"/>
        <v>#REF!</v>
      </c>
    </row>
    <row r="308" spans="1:6">
      <c r="A308">
        <v>6985</v>
      </c>
      <c r="B308" t="s">
        <v>1014</v>
      </c>
      <c r="D308" s="477" t="e">
        <v>#REF!</v>
      </c>
      <c r="E308" s="491">
        <f t="shared" si="8"/>
        <v>2.5250604908399584E-2</v>
      </c>
      <c r="F308" s="477" t="e">
        <f t="shared" si="9"/>
        <v>#REF!</v>
      </c>
    </row>
    <row r="309" spans="1:6">
      <c r="A309">
        <v>6990</v>
      </c>
      <c r="B309" t="s">
        <v>1015</v>
      </c>
      <c r="D309" s="477" t="e">
        <v>#REF!</v>
      </c>
      <c r="E309" s="491">
        <f t="shared" si="8"/>
        <v>2.5250604908399584E-2</v>
      </c>
      <c r="F309" s="477" t="e">
        <f t="shared" si="9"/>
        <v>#REF!</v>
      </c>
    </row>
    <row r="310" spans="1:6">
      <c r="A310">
        <v>6995</v>
      </c>
      <c r="B310" t="s">
        <v>1016</v>
      </c>
      <c r="D310" s="477" t="e">
        <v>#REF!</v>
      </c>
      <c r="E310" s="491">
        <f t="shared" si="8"/>
        <v>2.5250604908399584E-2</v>
      </c>
      <c r="F310" s="477" t="e">
        <f t="shared" si="9"/>
        <v>#REF!</v>
      </c>
    </row>
    <row r="311" spans="1:6">
      <c r="A311">
        <v>7000</v>
      </c>
      <c r="B311" t="s">
        <v>1017</v>
      </c>
      <c r="D311" s="477" t="e">
        <v>#REF!</v>
      </c>
      <c r="E311" s="491">
        <f t="shared" si="8"/>
        <v>2.5250604908399584E-2</v>
      </c>
      <c r="F311" s="477" t="e">
        <f t="shared" si="9"/>
        <v>#REF!</v>
      </c>
    </row>
    <row r="312" spans="1:6">
      <c r="A312">
        <v>7005</v>
      </c>
      <c r="B312" t="s">
        <v>1018</v>
      </c>
      <c r="D312" s="477" t="e">
        <v>#REF!</v>
      </c>
      <c r="E312" s="491">
        <f t="shared" si="8"/>
        <v>2.5250604908399584E-2</v>
      </c>
      <c r="F312" s="477" t="e">
        <f t="shared" si="9"/>
        <v>#REF!</v>
      </c>
    </row>
    <row r="313" spans="1:6">
      <c r="A313">
        <v>7010</v>
      </c>
      <c r="B313" t="s">
        <v>1019</v>
      </c>
      <c r="D313" s="477" t="e">
        <v>#REF!</v>
      </c>
      <c r="E313" s="491">
        <f t="shared" si="8"/>
        <v>2.5250604908399584E-2</v>
      </c>
      <c r="F313" s="477" t="e">
        <f t="shared" si="9"/>
        <v>#REF!</v>
      </c>
    </row>
    <row r="314" spans="1:6">
      <c r="A314">
        <v>7015</v>
      </c>
      <c r="B314" t="s">
        <v>1020</v>
      </c>
      <c r="D314" s="477" t="e">
        <v>#REF!</v>
      </c>
      <c r="E314" s="491">
        <f t="shared" si="8"/>
        <v>2.5250604908399584E-2</v>
      </c>
      <c r="F314" s="477" t="e">
        <f t="shared" si="9"/>
        <v>#REF!</v>
      </c>
    </row>
    <row r="315" spans="1:6">
      <c r="A315">
        <v>7020</v>
      </c>
      <c r="B315" t="s">
        <v>1021</v>
      </c>
      <c r="D315" s="477" t="e">
        <v>#REF!</v>
      </c>
      <c r="E315" s="491">
        <f t="shared" si="8"/>
        <v>2.5250604908399584E-2</v>
      </c>
      <c r="F315" s="477" t="e">
        <f t="shared" si="9"/>
        <v>#REF!</v>
      </c>
    </row>
    <row r="316" spans="1:6">
      <c r="A316">
        <v>7025</v>
      </c>
      <c r="B316" t="s">
        <v>1022</v>
      </c>
      <c r="D316" s="477" t="e">
        <v>#REF!</v>
      </c>
      <c r="E316" s="491">
        <f t="shared" si="8"/>
        <v>2.5250604908399584E-2</v>
      </c>
      <c r="F316" s="477" t="e">
        <f t="shared" si="9"/>
        <v>#REF!</v>
      </c>
    </row>
    <row r="317" spans="1:6">
      <c r="A317">
        <v>7030</v>
      </c>
      <c r="B317" t="s">
        <v>1023</v>
      </c>
      <c r="D317" s="477" t="e">
        <v>#REF!</v>
      </c>
      <c r="E317" s="491">
        <f t="shared" si="8"/>
        <v>2.5250604908399584E-2</v>
      </c>
      <c r="F317" s="477" t="e">
        <f t="shared" si="9"/>
        <v>#REF!</v>
      </c>
    </row>
    <row r="318" spans="1:6">
      <c r="A318">
        <v>7035</v>
      </c>
      <c r="B318" t="s">
        <v>1024</v>
      </c>
      <c r="D318" s="477" t="e">
        <v>#REF!</v>
      </c>
      <c r="E318" s="491">
        <f t="shared" si="8"/>
        <v>2.5250604908399584E-2</v>
      </c>
      <c r="F318" s="477" t="e">
        <f t="shared" si="9"/>
        <v>#REF!</v>
      </c>
    </row>
    <row r="319" spans="1:6">
      <c r="A319">
        <v>7040</v>
      </c>
      <c r="B319" t="s">
        <v>1025</v>
      </c>
      <c r="D319" s="477" t="e">
        <v>#REF!</v>
      </c>
      <c r="E319" s="491">
        <f t="shared" si="8"/>
        <v>2.5250604908399584E-2</v>
      </c>
      <c r="F319" s="477" t="e">
        <f t="shared" si="9"/>
        <v>#REF!</v>
      </c>
    </row>
    <row r="320" spans="1:6">
      <c r="A320">
        <v>7045</v>
      </c>
      <c r="B320" t="s">
        <v>1026</v>
      </c>
      <c r="D320" s="477" t="e">
        <v>#REF!</v>
      </c>
      <c r="E320" s="491">
        <f t="shared" si="8"/>
        <v>2.5250604908399584E-2</v>
      </c>
      <c r="F320" s="477" t="e">
        <f t="shared" si="9"/>
        <v>#REF!</v>
      </c>
    </row>
    <row r="321" spans="1:6">
      <c r="A321">
        <v>7050</v>
      </c>
      <c r="B321" t="s">
        <v>1027</v>
      </c>
      <c r="D321" s="477" t="e">
        <v>#REF!</v>
      </c>
      <c r="E321" s="491">
        <f t="shared" si="8"/>
        <v>2.5250604908399584E-2</v>
      </c>
      <c r="F321" s="477" t="e">
        <f t="shared" si="9"/>
        <v>#REF!</v>
      </c>
    </row>
    <row r="322" spans="1:6">
      <c r="A322">
        <v>7055</v>
      </c>
      <c r="B322" t="s">
        <v>1028</v>
      </c>
      <c r="D322" s="477" t="e">
        <v>#REF!</v>
      </c>
      <c r="E322" s="491">
        <f t="shared" si="8"/>
        <v>2.5250604908399584E-2</v>
      </c>
      <c r="F322" s="477" t="e">
        <f t="shared" si="9"/>
        <v>#REF!</v>
      </c>
    </row>
    <row r="323" spans="1:6">
      <c r="A323">
        <v>7060</v>
      </c>
      <c r="B323" t="s">
        <v>1029</v>
      </c>
      <c r="D323" s="477" t="e">
        <v>#REF!</v>
      </c>
      <c r="E323" s="491">
        <f t="shared" si="8"/>
        <v>2.5250604908399584E-2</v>
      </c>
      <c r="F323" s="477" t="e">
        <f t="shared" si="9"/>
        <v>#REF!</v>
      </c>
    </row>
    <row r="324" spans="1:6">
      <c r="A324">
        <v>7065</v>
      </c>
      <c r="B324" t="s">
        <v>1030</v>
      </c>
      <c r="D324" s="477" t="e">
        <v>#REF!</v>
      </c>
      <c r="E324" s="491">
        <f t="shared" si="8"/>
        <v>2.5250604908399584E-2</v>
      </c>
      <c r="F324" s="477" t="e">
        <f t="shared" si="9"/>
        <v>#REF!</v>
      </c>
    </row>
    <row r="325" spans="1:6">
      <c r="A325">
        <v>7070</v>
      </c>
      <c r="B325" t="s">
        <v>1031</v>
      </c>
      <c r="D325" s="477" t="e">
        <v>#REF!</v>
      </c>
      <c r="E325" s="491">
        <f t="shared" si="8"/>
        <v>2.5250604908399584E-2</v>
      </c>
      <c r="F325" s="477" t="e">
        <f t="shared" si="9"/>
        <v>#REF!</v>
      </c>
    </row>
    <row r="326" spans="1:6">
      <c r="A326">
        <v>7075</v>
      </c>
      <c r="B326" t="s">
        <v>1032</v>
      </c>
      <c r="D326" s="477" t="e">
        <v>#REF!</v>
      </c>
      <c r="E326" s="491">
        <f t="shared" ref="E326:E389" si="10">E$3</f>
        <v>2.5250604908399584E-2</v>
      </c>
      <c r="F326" s="477" t="e">
        <f t="shared" ref="F326:F389" si="11">E326*D326</f>
        <v>#REF!</v>
      </c>
    </row>
    <row r="327" spans="1:6">
      <c r="A327">
        <v>7080</v>
      </c>
      <c r="B327" t="s">
        <v>1033</v>
      </c>
      <c r="D327" s="477" t="e">
        <v>#REF!</v>
      </c>
      <c r="E327" s="491">
        <f t="shared" si="10"/>
        <v>2.5250604908399584E-2</v>
      </c>
      <c r="F327" s="477" t="e">
        <f t="shared" si="11"/>
        <v>#REF!</v>
      </c>
    </row>
    <row r="328" spans="1:6">
      <c r="A328">
        <v>7085</v>
      </c>
      <c r="B328" t="s">
        <v>1034</v>
      </c>
      <c r="D328" s="477" t="e">
        <v>#REF!</v>
      </c>
      <c r="E328" s="491">
        <f t="shared" si="10"/>
        <v>2.5250604908399584E-2</v>
      </c>
      <c r="F328" s="477" t="e">
        <f t="shared" si="11"/>
        <v>#REF!</v>
      </c>
    </row>
    <row r="329" spans="1:6">
      <c r="A329">
        <v>7090</v>
      </c>
      <c r="B329" t="s">
        <v>1035</v>
      </c>
      <c r="D329" s="477" t="e">
        <v>#REF!</v>
      </c>
      <c r="E329" s="491">
        <f t="shared" si="10"/>
        <v>2.5250604908399584E-2</v>
      </c>
      <c r="F329" s="477" t="e">
        <f t="shared" si="11"/>
        <v>#REF!</v>
      </c>
    </row>
    <row r="330" spans="1:6">
      <c r="A330">
        <v>7095</v>
      </c>
      <c r="B330" t="s">
        <v>1036</v>
      </c>
      <c r="D330" s="477" t="e">
        <v>#REF!</v>
      </c>
      <c r="E330" s="491">
        <f t="shared" si="10"/>
        <v>2.5250604908399584E-2</v>
      </c>
      <c r="F330" s="477" t="e">
        <f t="shared" si="11"/>
        <v>#REF!</v>
      </c>
    </row>
    <row r="331" spans="1:6">
      <c r="A331">
        <v>7100</v>
      </c>
      <c r="B331" t="s">
        <v>1037</v>
      </c>
      <c r="D331" s="477" t="e">
        <v>#REF!</v>
      </c>
      <c r="E331" s="491">
        <f t="shared" si="10"/>
        <v>2.5250604908399584E-2</v>
      </c>
      <c r="F331" s="477" t="e">
        <f t="shared" si="11"/>
        <v>#REF!</v>
      </c>
    </row>
    <row r="332" spans="1:6">
      <c r="A332">
        <v>7105</v>
      </c>
      <c r="B332" t="s">
        <v>1038</v>
      </c>
      <c r="D332" s="477" t="e">
        <v>#REF!</v>
      </c>
      <c r="E332" s="491">
        <f t="shared" si="10"/>
        <v>2.5250604908399584E-2</v>
      </c>
      <c r="F332" s="477" t="e">
        <f t="shared" si="11"/>
        <v>#REF!</v>
      </c>
    </row>
    <row r="333" spans="1:6">
      <c r="A333">
        <v>7110</v>
      </c>
      <c r="B333" t="s">
        <v>1039</v>
      </c>
      <c r="D333" s="477" t="e">
        <v>#REF!</v>
      </c>
      <c r="E333" s="491">
        <f t="shared" si="10"/>
        <v>2.5250604908399584E-2</v>
      </c>
      <c r="F333" s="477" t="e">
        <f t="shared" si="11"/>
        <v>#REF!</v>
      </c>
    </row>
    <row r="334" spans="1:6">
      <c r="A334">
        <v>7115</v>
      </c>
      <c r="B334" t="s">
        <v>1071</v>
      </c>
      <c r="D334" s="477" t="e">
        <v>#REF!</v>
      </c>
      <c r="E334" s="491">
        <f t="shared" si="10"/>
        <v>2.5250604908399584E-2</v>
      </c>
      <c r="F334" s="477" t="e">
        <f t="shared" si="11"/>
        <v>#REF!</v>
      </c>
    </row>
    <row r="335" spans="1:6">
      <c r="A335">
        <v>7120</v>
      </c>
      <c r="B335" t="s">
        <v>1072</v>
      </c>
      <c r="D335" s="477" t="e">
        <v>#REF!</v>
      </c>
      <c r="E335" s="491">
        <f t="shared" si="10"/>
        <v>2.5250604908399584E-2</v>
      </c>
      <c r="F335" s="477" t="e">
        <f t="shared" si="11"/>
        <v>#REF!</v>
      </c>
    </row>
    <row r="336" spans="1:6">
      <c r="A336">
        <v>7125</v>
      </c>
      <c r="B336" t="s">
        <v>1073</v>
      </c>
      <c r="D336" s="477" t="e">
        <v>#REF!</v>
      </c>
      <c r="E336" s="491">
        <f t="shared" si="10"/>
        <v>2.5250604908399584E-2</v>
      </c>
      <c r="F336" s="477" t="e">
        <f t="shared" si="11"/>
        <v>#REF!</v>
      </c>
    </row>
    <row r="337" spans="1:6">
      <c r="A337">
        <v>7130</v>
      </c>
      <c r="B337" t="s">
        <v>1074</v>
      </c>
      <c r="D337" s="477" t="e">
        <v>#REF!</v>
      </c>
      <c r="E337" s="491">
        <f t="shared" si="10"/>
        <v>2.5250604908399584E-2</v>
      </c>
      <c r="F337" s="477" t="e">
        <f t="shared" si="11"/>
        <v>#REF!</v>
      </c>
    </row>
    <row r="338" spans="1:6">
      <c r="A338">
        <v>7135</v>
      </c>
      <c r="B338" t="s">
        <v>1075</v>
      </c>
      <c r="D338" s="477" t="e">
        <v>#REF!</v>
      </c>
      <c r="E338" s="491">
        <f t="shared" si="10"/>
        <v>2.5250604908399584E-2</v>
      </c>
      <c r="F338" s="477" t="e">
        <f t="shared" si="11"/>
        <v>#REF!</v>
      </c>
    </row>
    <row r="339" spans="1:6">
      <c r="A339">
        <v>7140</v>
      </c>
      <c r="B339" t="s">
        <v>1076</v>
      </c>
      <c r="D339" s="477" t="e">
        <v>#REF!</v>
      </c>
      <c r="E339" s="491">
        <f t="shared" si="10"/>
        <v>2.5250604908399584E-2</v>
      </c>
      <c r="F339" s="477" t="e">
        <f t="shared" si="11"/>
        <v>#REF!</v>
      </c>
    </row>
    <row r="340" spans="1:6">
      <c r="A340">
        <v>7145</v>
      </c>
      <c r="B340" t="s">
        <v>1077</v>
      </c>
      <c r="D340" s="477" t="e">
        <v>#REF!</v>
      </c>
      <c r="E340" s="491">
        <f t="shared" si="10"/>
        <v>2.5250604908399584E-2</v>
      </c>
      <c r="F340" s="477" t="e">
        <f t="shared" si="11"/>
        <v>#REF!</v>
      </c>
    </row>
    <row r="341" spans="1:6">
      <c r="A341">
        <v>7150</v>
      </c>
      <c r="B341" t="s">
        <v>1078</v>
      </c>
      <c r="D341" s="477" t="e">
        <v>#REF!</v>
      </c>
      <c r="E341" s="491">
        <f t="shared" si="10"/>
        <v>2.5250604908399584E-2</v>
      </c>
      <c r="F341" s="477" t="e">
        <f t="shared" si="11"/>
        <v>#REF!</v>
      </c>
    </row>
    <row r="342" spans="1:6">
      <c r="A342">
        <v>7155</v>
      </c>
      <c r="B342" t="s">
        <v>1079</v>
      </c>
      <c r="D342" s="477" t="e">
        <v>#REF!</v>
      </c>
      <c r="E342" s="491">
        <f t="shared" si="10"/>
        <v>2.5250604908399584E-2</v>
      </c>
      <c r="F342" s="477" t="e">
        <f t="shared" si="11"/>
        <v>#REF!</v>
      </c>
    </row>
    <row r="343" spans="1:6">
      <c r="A343">
        <v>7160</v>
      </c>
      <c r="B343" t="s">
        <v>108</v>
      </c>
      <c r="D343" s="477" t="e">
        <v>#REF!</v>
      </c>
      <c r="E343" s="491">
        <f t="shared" si="10"/>
        <v>2.5250604908399584E-2</v>
      </c>
      <c r="F343" s="477" t="e">
        <f t="shared" si="11"/>
        <v>#REF!</v>
      </c>
    </row>
    <row r="344" spans="1:6">
      <c r="A344">
        <v>7165</v>
      </c>
      <c r="B344" t="s">
        <v>109</v>
      </c>
      <c r="D344" s="477" t="e">
        <v>#REF!</v>
      </c>
      <c r="E344" s="491">
        <f t="shared" si="10"/>
        <v>2.5250604908399584E-2</v>
      </c>
      <c r="F344" s="477" t="e">
        <f t="shared" si="11"/>
        <v>#REF!</v>
      </c>
    </row>
    <row r="345" spans="1:6">
      <c r="A345">
        <v>7170</v>
      </c>
      <c r="B345" t="s">
        <v>110</v>
      </c>
      <c r="D345" s="477" t="e">
        <v>#REF!</v>
      </c>
      <c r="E345" s="491">
        <f t="shared" si="10"/>
        <v>2.5250604908399584E-2</v>
      </c>
      <c r="F345" s="477" t="e">
        <f t="shared" si="11"/>
        <v>#REF!</v>
      </c>
    </row>
    <row r="346" spans="1:6">
      <c r="A346">
        <v>7175</v>
      </c>
      <c r="B346" t="s">
        <v>111</v>
      </c>
      <c r="D346" s="477" t="e">
        <v>#REF!</v>
      </c>
      <c r="E346" s="491">
        <f t="shared" si="10"/>
        <v>2.5250604908399584E-2</v>
      </c>
      <c r="F346" s="477" t="e">
        <f t="shared" si="11"/>
        <v>#REF!</v>
      </c>
    </row>
    <row r="347" spans="1:6">
      <c r="A347">
        <v>7180</v>
      </c>
      <c r="B347" t="s">
        <v>112</v>
      </c>
      <c r="D347" s="477" t="e">
        <v>#REF!</v>
      </c>
      <c r="E347" s="491">
        <f t="shared" si="10"/>
        <v>2.5250604908399584E-2</v>
      </c>
      <c r="F347" s="477" t="e">
        <f t="shared" si="11"/>
        <v>#REF!</v>
      </c>
    </row>
    <row r="348" spans="1:6">
      <c r="A348">
        <v>7185</v>
      </c>
      <c r="B348" t="s">
        <v>991</v>
      </c>
      <c r="D348" s="477" t="e">
        <v>#REF!</v>
      </c>
      <c r="E348" s="491">
        <f t="shared" si="10"/>
        <v>2.5250604908399584E-2</v>
      </c>
      <c r="F348" s="477" t="e">
        <f t="shared" si="11"/>
        <v>#REF!</v>
      </c>
    </row>
    <row r="349" spans="1:6">
      <c r="B349" t="s">
        <v>218</v>
      </c>
      <c r="D349" s="477" t="e">
        <v>#REF!</v>
      </c>
      <c r="E349" s="491">
        <f t="shared" si="10"/>
        <v>2.5250604908399584E-2</v>
      </c>
      <c r="F349" s="477" t="e">
        <f t="shared" si="11"/>
        <v>#REF!</v>
      </c>
    </row>
    <row r="350" spans="1:6">
      <c r="B350" t="s">
        <v>219</v>
      </c>
      <c r="D350" s="477" t="e">
        <v>#REF!</v>
      </c>
      <c r="E350" s="491">
        <f t="shared" si="10"/>
        <v>2.5250604908399584E-2</v>
      </c>
      <c r="F350" s="477" t="e">
        <f t="shared" si="11"/>
        <v>#REF!</v>
      </c>
    </row>
    <row r="351" spans="1:6">
      <c r="A351">
        <v>7205</v>
      </c>
      <c r="B351" t="s">
        <v>1014</v>
      </c>
      <c r="D351" s="477" t="e">
        <v>#REF!</v>
      </c>
      <c r="E351" s="491">
        <f t="shared" si="10"/>
        <v>2.5250604908399584E-2</v>
      </c>
      <c r="F351" s="477" t="e">
        <f t="shared" si="11"/>
        <v>#REF!</v>
      </c>
    </row>
    <row r="352" spans="1:6">
      <c r="A352">
        <v>7210</v>
      </c>
      <c r="B352" t="s">
        <v>992</v>
      </c>
      <c r="D352" s="477" t="e">
        <v>#REF!</v>
      </c>
      <c r="E352" s="491">
        <f t="shared" si="10"/>
        <v>2.5250604908399584E-2</v>
      </c>
      <c r="F352" s="477" t="e">
        <f t="shared" si="11"/>
        <v>#REF!</v>
      </c>
    </row>
    <row r="353" spans="1:6">
      <c r="A353">
        <v>7215</v>
      </c>
      <c r="B353" t="s">
        <v>993</v>
      </c>
      <c r="D353" s="477" t="e">
        <v>#REF!</v>
      </c>
      <c r="E353" s="491">
        <f t="shared" si="10"/>
        <v>2.5250604908399584E-2</v>
      </c>
      <c r="F353" s="477" t="e">
        <f t="shared" si="11"/>
        <v>#REF!</v>
      </c>
    </row>
    <row r="354" spans="1:6">
      <c r="A354">
        <v>7220</v>
      </c>
      <c r="B354" t="s">
        <v>994</v>
      </c>
      <c r="D354" s="477" t="e">
        <v>#REF!</v>
      </c>
      <c r="E354" s="491">
        <f t="shared" si="10"/>
        <v>2.5250604908399584E-2</v>
      </c>
      <c r="F354" s="477" t="e">
        <f t="shared" si="11"/>
        <v>#REF!</v>
      </c>
    </row>
    <row r="355" spans="1:6">
      <c r="A355">
        <v>7225</v>
      </c>
      <c r="B355" t="s">
        <v>995</v>
      </c>
      <c r="D355" s="477" t="e">
        <v>#REF!</v>
      </c>
      <c r="E355" s="491">
        <f t="shared" si="10"/>
        <v>2.5250604908399584E-2</v>
      </c>
      <c r="F355" s="477" t="e">
        <f t="shared" si="11"/>
        <v>#REF!</v>
      </c>
    </row>
    <row r="356" spans="1:6">
      <c r="A356">
        <v>7230</v>
      </c>
      <c r="B356" t="s">
        <v>407</v>
      </c>
      <c r="D356" s="477" t="e">
        <v>#REF!</v>
      </c>
      <c r="E356" s="491">
        <f t="shared" si="10"/>
        <v>2.5250604908399584E-2</v>
      </c>
      <c r="F356" s="477" t="e">
        <f t="shared" si="11"/>
        <v>#REF!</v>
      </c>
    </row>
    <row r="357" spans="1:6">
      <c r="A357">
        <v>7235</v>
      </c>
      <c r="B357" t="s">
        <v>408</v>
      </c>
      <c r="D357" s="477" t="e">
        <v>#REF!</v>
      </c>
      <c r="E357" s="491">
        <f t="shared" si="10"/>
        <v>2.5250604908399584E-2</v>
      </c>
      <c r="F357" s="477" t="e">
        <f t="shared" si="11"/>
        <v>#REF!</v>
      </c>
    </row>
    <row r="358" spans="1:6">
      <c r="A358">
        <v>7240</v>
      </c>
      <c r="B358" t="s">
        <v>409</v>
      </c>
      <c r="D358" s="477" t="e">
        <v>#REF!</v>
      </c>
      <c r="E358" s="491">
        <f t="shared" si="10"/>
        <v>2.5250604908399584E-2</v>
      </c>
      <c r="F358" s="477" t="e">
        <f t="shared" si="11"/>
        <v>#REF!</v>
      </c>
    </row>
    <row r="359" spans="1:6">
      <c r="A359">
        <v>7245</v>
      </c>
      <c r="B359" t="s">
        <v>410</v>
      </c>
      <c r="D359" s="477" t="e">
        <v>#REF!</v>
      </c>
      <c r="E359" s="491">
        <f t="shared" si="10"/>
        <v>2.5250604908399584E-2</v>
      </c>
      <c r="F359" s="477" t="e">
        <f t="shared" si="11"/>
        <v>#REF!</v>
      </c>
    </row>
    <row r="360" spans="1:6">
      <c r="A360">
        <v>7250</v>
      </c>
      <c r="B360" t="s">
        <v>411</v>
      </c>
      <c r="D360" s="477" t="e">
        <v>#REF!</v>
      </c>
      <c r="E360" s="491">
        <f t="shared" si="10"/>
        <v>2.5250604908399584E-2</v>
      </c>
      <c r="F360" s="477" t="e">
        <f t="shared" si="11"/>
        <v>#REF!</v>
      </c>
    </row>
    <row r="361" spans="1:6">
      <c r="A361">
        <v>7255</v>
      </c>
      <c r="B361" t="s">
        <v>412</v>
      </c>
      <c r="D361" s="477" t="e">
        <v>#REF!</v>
      </c>
      <c r="E361" s="491">
        <f t="shared" si="10"/>
        <v>2.5250604908399584E-2</v>
      </c>
      <c r="F361" s="477" t="e">
        <f t="shared" si="11"/>
        <v>#REF!</v>
      </c>
    </row>
    <row r="362" spans="1:6">
      <c r="A362">
        <v>7260</v>
      </c>
      <c r="B362" t="s">
        <v>413</v>
      </c>
      <c r="D362" s="477" t="e">
        <v>#REF!</v>
      </c>
      <c r="E362" s="491">
        <f t="shared" si="10"/>
        <v>2.5250604908399584E-2</v>
      </c>
      <c r="F362" s="477" t="e">
        <f t="shared" si="11"/>
        <v>#REF!</v>
      </c>
    </row>
    <row r="363" spans="1:6">
      <c r="A363">
        <v>7265</v>
      </c>
      <c r="B363" t="s">
        <v>414</v>
      </c>
      <c r="D363" s="477" t="e">
        <v>#REF!</v>
      </c>
      <c r="E363" s="491">
        <f t="shared" si="10"/>
        <v>2.5250604908399584E-2</v>
      </c>
      <c r="F363" s="477" t="e">
        <f t="shared" si="11"/>
        <v>#REF!</v>
      </c>
    </row>
    <row r="364" spans="1:6">
      <c r="A364">
        <v>7270</v>
      </c>
      <c r="B364" t="s">
        <v>414</v>
      </c>
      <c r="D364" s="477" t="e">
        <v>#REF!</v>
      </c>
      <c r="E364" s="491">
        <f t="shared" si="10"/>
        <v>2.5250604908399584E-2</v>
      </c>
      <c r="F364" s="477" t="e">
        <f t="shared" si="11"/>
        <v>#REF!</v>
      </c>
    </row>
    <row r="365" spans="1:6">
      <c r="A365">
        <v>7275</v>
      </c>
      <c r="B365" t="s">
        <v>415</v>
      </c>
      <c r="D365" s="477" t="e">
        <v>#REF!</v>
      </c>
      <c r="E365" s="491">
        <f t="shared" si="10"/>
        <v>2.5250604908399584E-2</v>
      </c>
      <c r="F365" s="477" t="e">
        <f t="shared" si="11"/>
        <v>#REF!</v>
      </c>
    </row>
    <row r="366" spans="1:6">
      <c r="A366">
        <v>7280</v>
      </c>
      <c r="B366" t="s">
        <v>416</v>
      </c>
      <c r="D366" s="477" t="e">
        <v>#REF!</v>
      </c>
      <c r="E366" s="491">
        <f t="shared" si="10"/>
        <v>2.5250604908399584E-2</v>
      </c>
      <c r="F366" s="477" t="e">
        <f t="shared" si="11"/>
        <v>#REF!</v>
      </c>
    </row>
    <row r="367" spans="1:6">
      <c r="A367">
        <v>7285</v>
      </c>
      <c r="B367" t="s">
        <v>417</v>
      </c>
      <c r="D367" s="477" t="e">
        <v>#REF!</v>
      </c>
      <c r="E367" s="491">
        <f t="shared" si="10"/>
        <v>2.5250604908399584E-2</v>
      </c>
      <c r="F367" s="477" t="e">
        <f t="shared" si="11"/>
        <v>#REF!</v>
      </c>
    </row>
    <row r="368" spans="1:6">
      <c r="A368">
        <v>7290</v>
      </c>
      <c r="B368" t="s">
        <v>418</v>
      </c>
      <c r="D368" s="477" t="e">
        <v>#REF!</v>
      </c>
      <c r="E368" s="491">
        <f t="shared" si="10"/>
        <v>2.5250604908399584E-2</v>
      </c>
      <c r="F368" s="477" t="e">
        <f t="shared" si="11"/>
        <v>#REF!</v>
      </c>
    </row>
    <row r="369" spans="1:6">
      <c r="A369">
        <v>7295</v>
      </c>
      <c r="B369" t="s">
        <v>419</v>
      </c>
      <c r="D369" s="477" t="e">
        <v>#REF!</v>
      </c>
      <c r="E369" s="491">
        <f t="shared" si="10"/>
        <v>2.5250604908399584E-2</v>
      </c>
      <c r="F369" s="477" t="e">
        <f t="shared" si="11"/>
        <v>#REF!</v>
      </c>
    </row>
    <row r="370" spans="1:6">
      <c r="A370">
        <v>7300</v>
      </c>
      <c r="B370" t="s">
        <v>420</v>
      </c>
      <c r="D370" s="477" t="e">
        <v>#REF!</v>
      </c>
      <c r="E370" s="491">
        <f t="shared" si="10"/>
        <v>2.5250604908399584E-2</v>
      </c>
      <c r="F370" s="477" t="e">
        <f t="shared" si="11"/>
        <v>#REF!</v>
      </c>
    </row>
    <row r="371" spans="1:6">
      <c r="A371">
        <v>7305</v>
      </c>
      <c r="B371" t="s">
        <v>421</v>
      </c>
      <c r="D371" s="477" t="e">
        <v>#REF!</v>
      </c>
      <c r="E371" s="491">
        <f t="shared" si="10"/>
        <v>2.5250604908399584E-2</v>
      </c>
      <c r="F371" s="477" t="e">
        <f t="shared" si="11"/>
        <v>#REF!</v>
      </c>
    </row>
    <row r="372" spans="1:6">
      <c r="A372">
        <v>7310</v>
      </c>
      <c r="B372" t="s">
        <v>422</v>
      </c>
      <c r="D372" s="477" t="e">
        <v>#REF!</v>
      </c>
      <c r="E372" s="491">
        <f t="shared" si="10"/>
        <v>2.5250604908399584E-2</v>
      </c>
      <c r="F372" s="477" t="e">
        <f t="shared" si="11"/>
        <v>#REF!</v>
      </c>
    </row>
    <row r="373" spans="1:6">
      <c r="A373">
        <v>7315</v>
      </c>
      <c r="B373" t="s">
        <v>423</v>
      </c>
      <c r="D373" s="477" t="e">
        <v>#REF!</v>
      </c>
      <c r="E373" s="491">
        <f t="shared" si="10"/>
        <v>2.5250604908399584E-2</v>
      </c>
      <c r="F373" s="477" t="e">
        <f t="shared" si="11"/>
        <v>#REF!</v>
      </c>
    </row>
    <row r="374" spans="1:6">
      <c r="A374">
        <v>7320</v>
      </c>
      <c r="B374" t="s">
        <v>424</v>
      </c>
      <c r="D374" s="477" t="e">
        <v>#REF!</v>
      </c>
      <c r="E374" s="491">
        <f t="shared" si="10"/>
        <v>2.5250604908399584E-2</v>
      </c>
      <c r="F374" s="477" t="e">
        <f t="shared" si="11"/>
        <v>#REF!</v>
      </c>
    </row>
    <row r="375" spans="1:6">
      <c r="A375">
        <v>7325</v>
      </c>
      <c r="B375" t="s">
        <v>425</v>
      </c>
      <c r="D375" s="477" t="e">
        <v>#REF!</v>
      </c>
      <c r="E375" s="491">
        <f t="shared" si="10"/>
        <v>2.5250604908399584E-2</v>
      </c>
      <c r="F375" s="477" t="e">
        <f t="shared" si="11"/>
        <v>#REF!</v>
      </c>
    </row>
    <row r="376" spans="1:6">
      <c r="A376">
        <v>7330</v>
      </c>
      <c r="B376" t="s">
        <v>426</v>
      </c>
      <c r="D376" s="477" t="e">
        <v>#REF!</v>
      </c>
      <c r="E376" s="491">
        <f t="shared" si="10"/>
        <v>2.5250604908399584E-2</v>
      </c>
      <c r="F376" s="477" t="e">
        <f t="shared" si="11"/>
        <v>#REF!</v>
      </c>
    </row>
    <row r="377" spans="1:6">
      <c r="A377">
        <v>7335</v>
      </c>
      <c r="B377" t="s">
        <v>427</v>
      </c>
      <c r="D377" s="477" t="e">
        <v>#REF!</v>
      </c>
      <c r="E377" s="491">
        <f t="shared" si="10"/>
        <v>2.5250604908399584E-2</v>
      </c>
      <c r="F377" s="477" t="e">
        <f t="shared" si="11"/>
        <v>#REF!</v>
      </c>
    </row>
    <row r="378" spans="1:6">
      <c r="A378">
        <v>7340</v>
      </c>
      <c r="B378" t="s">
        <v>428</v>
      </c>
      <c r="D378" s="477" t="e">
        <v>#REF!</v>
      </c>
      <c r="E378" s="491">
        <f t="shared" si="10"/>
        <v>2.5250604908399584E-2</v>
      </c>
      <c r="F378" s="477" t="e">
        <f t="shared" si="11"/>
        <v>#REF!</v>
      </c>
    </row>
    <row r="379" spans="1:6">
      <c r="A379">
        <v>7345</v>
      </c>
      <c r="B379" t="s">
        <v>429</v>
      </c>
      <c r="D379" s="477" t="e">
        <v>#REF!</v>
      </c>
      <c r="E379" s="491">
        <f t="shared" si="10"/>
        <v>2.5250604908399584E-2</v>
      </c>
      <c r="F379" s="477" t="e">
        <f t="shared" si="11"/>
        <v>#REF!</v>
      </c>
    </row>
    <row r="380" spans="1:6">
      <c r="A380">
        <v>7350</v>
      </c>
      <c r="B380" t="s">
        <v>430</v>
      </c>
      <c r="D380" s="477" t="e">
        <v>#REF!</v>
      </c>
      <c r="E380" s="491">
        <f t="shared" si="10"/>
        <v>2.5250604908399584E-2</v>
      </c>
      <c r="F380" s="477" t="e">
        <f t="shared" si="11"/>
        <v>#REF!</v>
      </c>
    </row>
    <row r="381" spans="1:6">
      <c r="A381">
        <v>7355</v>
      </c>
      <c r="B381" t="s">
        <v>431</v>
      </c>
      <c r="D381" s="477" t="e">
        <v>#REF!</v>
      </c>
      <c r="E381" s="491">
        <f t="shared" si="10"/>
        <v>2.5250604908399584E-2</v>
      </c>
      <c r="F381" s="477" t="e">
        <f t="shared" si="11"/>
        <v>#REF!</v>
      </c>
    </row>
    <row r="382" spans="1:6">
      <c r="A382">
        <v>7360</v>
      </c>
      <c r="B382" t="s">
        <v>432</v>
      </c>
      <c r="D382" s="477" t="e">
        <v>#REF!</v>
      </c>
      <c r="E382" s="491">
        <f t="shared" si="10"/>
        <v>2.5250604908399584E-2</v>
      </c>
      <c r="F382" s="477" t="e">
        <f t="shared" si="11"/>
        <v>#REF!</v>
      </c>
    </row>
    <row r="383" spans="1:6">
      <c r="A383">
        <v>7365</v>
      </c>
      <c r="B383" t="s">
        <v>433</v>
      </c>
      <c r="D383" s="477" t="e">
        <v>#REF!</v>
      </c>
      <c r="E383" s="491">
        <f t="shared" si="10"/>
        <v>2.5250604908399584E-2</v>
      </c>
      <c r="F383" s="477" t="e">
        <f t="shared" si="11"/>
        <v>#REF!</v>
      </c>
    </row>
    <row r="384" spans="1:6">
      <c r="A384">
        <v>7370</v>
      </c>
      <c r="B384" t="s">
        <v>434</v>
      </c>
      <c r="D384" s="477" t="e">
        <v>#REF!</v>
      </c>
      <c r="E384" s="491">
        <f t="shared" si="10"/>
        <v>2.5250604908399584E-2</v>
      </c>
      <c r="F384" s="477" t="e">
        <f t="shared" si="11"/>
        <v>#REF!</v>
      </c>
    </row>
    <row r="385" spans="1:6">
      <c r="A385">
        <v>7375</v>
      </c>
      <c r="B385" t="s">
        <v>435</v>
      </c>
      <c r="D385" s="477" t="e">
        <v>#REF!</v>
      </c>
      <c r="E385" s="491">
        <f t="shared" si="10"/>
        <v>2.5250604908399584E-2</v>
      </c>
      <c r="F385" s="477" t="e">
        <f t="shared" si="11"/>
        <v>#REF!</v>
      </c>
    </row>
    <row r="386" spans="1:6">
      <c r="A386">
        <v>7380</v>
      </c>
      <c r="B386" t="s">
        <v>436</v>
      </c>
      <c r="D386" s="477" t="e">
        <v>#REF!</v>
      </c>
      <c r="E386" s="491">
        <f t="shared" si="10"/>
        <v>2.5250604908399584E-2</v>
      </c>
      <c r="F386" s="477" t="e">
        <f t="shared" si="11"/>
        <v>#REF!</v>
      </c>
    </row>
    <row r="387" spans="1:6">
      <c r="A387">
        <v>7385</v>
      </c>
      <c r="B387" t="s">
        <v>1072</v>
      </c>
      <c r="D387" s="477" t="e">
        <v>#REF!</v>
      </c>
      <c r="E387" s="491">
        <f t="shared" si="10"/>
        <v>2.5250604908399584E-2</v>
      </c>
      <c r="F387" s="477" t="e">
        <f t="shared" si="11"/>
        <v>#REF!</v>
      </c>
    </row>
    <row r="388" spans="1:6">
      <c r="A388">
        <v>7390</v>
      </c>
      <c r="B388" t="s">
        <v>1073</v>
      </c>
      <c r="D388" s="477" t="e">
        <v>#REF!</v>
      </c>
      <c r="E388" s="491">
        <f t="shared" si="10"/>
        <v>2.5250604908399584E-2</v>
      </c>
      <c r="F388" s="477" t="e">
        <f t="shared" si="11"/>
        <v>#REF!</v>
      </c>
    </row>
    <row r="389" spans="1:6">
      <c r="A389">
        <v>7395</v>
      </c>
      <c r="B389" t="s">
        <v>1074</v>
      </c>
      <c r="D389" s="477" t="e">
        <v>#REF!</v>
      </c>
      <c r="E389" s="491">
        <f t="shared" si="10"/>
        <v>2.5250604908399584E-2</v>
      </c>
      <c r="F389" s="477" t="e">
        <f t="shared" si="11"/>
        <v>#REF!</v>
      </c>
    </row>
    <row r="390" spans="1:6">
      <c r="A390">
        <v>7400</v>
      </c>
      <c r="B390" t="s">
        <v>1075</v>
      </c>
      <c r="D390" s="477" t="e">
        <v>#REF!</v>
      </c>
      <c r="E390" s="491">
        <f t="shared" ref="E390:E453" si="12">E$3</f>
        <v>2.5250604908399584E-2</v>
      </c>
      <c r="F390" s="477" t="e">
        <f t="shared" ref="F390:F453" si="13">E390*D390</f>
        <v>#REF!</v>
      </c>
    </row>
    <row r="391" spans="1:6">
      <c r="A391">
        <v>7405</v>
      </c>
      <c r="B391" t="s">
        <v>437</v>
      </c>
      <c r="D391" s="477" t="e">
        <v>#REF!</v>
      </c>
      <c r="E391" s="491">
        <f t="shared" si="12"/>
        <v>2.5250604908399584E-2</v>
      </c>
      <c r="F391" s="477" t="e">
        <f t="shared" si="13"/>
        <v>#REF!</v>
      </c>
    </row>
    <row r="392" spans="1:6">
      <c r="A392">
        <v>7410</v>
      </c>
      <c r="B392" t="s">
        <v>1077</v>
      </c>
      <c r="D392" s="477" t="e">
        <v>#REF!</v>
      </c>
      <c r="E392" s="491">
        <f t="shared" si="12"/>
        <v>2.5250604908399584E-2</v>
      </c>
      <c r="F392" s="477" t="e">
        <f t="shared" si="13"/>
        <v>#REF!</v>
      </c>
    </row>
    <row r="393" spans="1:6">
      <c r="A393">
        <v>7415</v>
      </c>
      <c r="B393" t="s">
        <v>1078</v>
      </c>
      <c r="D393" s="477" t="e">
        <v>#REF!</v>
      </c>
      <c r="E393" s="491">
        <f t="shared" si="12"/>
        <v>2.5250604908399584E-2</v>
      </c>
      <c r="F393" s="477" t="e">
        <f t="shared" si="13"/>
        <v>#REF!</v>
      </c>
    </row>
    <row r="394" spans="1:6">
      <c r="A394">
        <v>7420</v>
      </c>
      <c r="B394" t="s">
        <v>438</v>
      </c>
      <c r="D394" s="477" t="e">
        <v>#REF!</v>
      </c>
      <c r="E394" s="491">
        <f t="shared" si="12"/>
        <v>2.5250604908399584E-2</v>
      </c>
      <c r="F394" s="477" t="e">
        <f t="shared" si="13"/>
        <v>#REF!</v>
      </c>
    </row>
    <row r="395" spans="1:6">
      <c r="A395">
        <v>7425</v>
      </c>
      <c r="B395" t="s">
        <v>439</v>
      </c>
      <c r="D395" s="477" t="e">
        <v>#REF!</v>
      </c>
      <c r="E395" s="491">
        <f t="shared" si="12"/>
        <v>2.5250604908399584E-2</v>
      </c>
      <c r="F395" s="477" t="e">
        <f t="shared" si="13"/>
        <v>#REF!</v>
      </c>
    </row>
    <row r="396" spans="1:6">
      <c r="A396">
        <v>7430</v>
      </c>
      <c r="B396" t="s">
        <v>440</v>
      </c>
      <c r="D396" s="477" t="e">
        <v>#REF!</v>
      </c>
      <c r="E396" s="491">
        <f t="shared" si="12"/>
        <v>2.5250604908399584E-2</v>
      </c>
      <c r="F396" s="477" t="e">
        <f t="shared" si="13"/>
        <v>#REF!</v>
      </c>
    </row>
    <row r="397" spans="1:6">
      <c r="A397">
        <v>7435</v>
      </c>
      <c r="B397" t="s">
        <v>441</v>
      </c>
      <c r="D397" s="477" t="e">
        <v>#REF!</v>
      </c>
      <c r="E397" s="491">
        <f t="shared" si="12"/>
        <v>2.5250604908399584E-2</v>
      </c>
      <c r="F397" s="477" t="e">
        <f t="shared" si="13"/>
        <v>#REF!</v>
      </c>
    </row>
    <row r="398" spans="1:6">
      <c r="A398">
        <v>7440</v>
      </c>
      <c r="B398" t="s">
        <v>442</v>
      </c>
      <c r="D398" s="477" t="e">
        <v>#REF!</v>
      </c>
      <c r="E398" s="491">
        <f t="shared" si="12"/>
        <v>2.5250604908399584E-2</v>
      </c>
      <c r="F398" s="477" t="e">
        <f t="shared" si="13"/>
        <v>#REF!</v>
      </c>
    </row>
    <row r="399" spans="1:6">
      <c r="A399">
        <v>7445</v>
      </c>
      <c r="B399" t="s">
        <v>443</v>
      </c>
      <c r="D399" s="477" t="e">
        <v>#REF!</v>
      </c>
      <c r="E399" s="491">
        <f t="shared" si="12"/>
        <v>2.5250604908399584E-2</v>
      </c>
      <c r="F399" s="477" t="e">
        <f t="shared" si="13"/>
        <v>#REF!</v>
      </c>
    </row>
    <row r="400" spans="1:6">
      <c r="A400">
        <v>7450</v>
      </c>
      <c r="B400" t="s">
        <v>444</v>
      </c>
      <c r="D400" s="477" t="e">
        <v>#REF!</v>
      </c>
      <c r="E400" s="491">
        <f t="shared" si="12"/>
        <v>2.5250604908399584E-2</v>
      </c>
      <c r="F400" s="477" t="e">
        <f t="shared" si="13"/>
        <v>#REF!</v>
      </c>
    </row>
    <row r="401" spans="1:6">
      <c r="B401" t="s">
        <v>219</v>
      </c>
      <c r="D401" s="477" t="e">
        <v>#REF!</v>
      </c>
      <c r="E401" s="491">
        <f t="shared" si="12"/>
        <v>2.5250604908399584E-2</v>
      </c>
      <c r="F401" s="477" t="e">
        <f t="shared" si="13"/>
        <v>#REF!</v>
      </c>
    </row>
    <row r="402" spans="1:6">
      <c r="B402" t="s">
        <v>220</v>
      </c>
      <c r="D402" s="477" t="e">
        <v>#REF!</v>
      </c>
      <c r="E402" s="491">
        <f t="shared" si="12"/>
        <v>2.5250604908399584E-2</v>
      </c>
      <c r="F402" s="477" t="e">
        <f t="shared" si="13"/>
        <v>#REF!</v>
      </c>
    </row>
    <row r="403" spans="1:6">
      <c r="A403">
        <v>7470</v>
      </c>
      <c r="B403" t="s">
        <v>445</v>
      </c>
      <c r="D403" s="477" t="e">
        <v>#REF!</v>
      </c>
      <c r="E403" s="491">
        <f t="shared" si="12"/>
        <v>2.5250604908399584E-2</v>
      </c>
      <c r="F403" s="477" t="e">
        <f t="shared" si="13"/>
        <v>#REF!</v>
      </c>
    </row>
    <row r="404" spans="1:6">
      <c r="A404">
        <v>7475</v>
      </c>
      <c r="B404" t="s">
        <v>446</v>
      </c>
      <c r="D404" s="477" t="e">
        <v>#REF!</v>
      </c>
      <c r="E404" s="491">
        <f t="shared" si="12"/>
        <v>2.5250604908399584E-2</v>
      </c>
      <c r="F404" s="477" t="e">
        <f t="shared" si="13"/>
        <v>#REF!</v>
      </c>
    </row>
    <row r="405" spans="1:6">
      <c r="A405">
        <v>7480</v>
      </c>
      <c r="B405" t="s">
        <v>447</v>
      </c>
      <c r="D405" s="477" t="e">
        <v>#REF!</v>
      </c>
      <c r="E405" s="491">
        <f t="shared" si="12"/>
        <v>2.5250604908399584E-2</v>
      </c>
      <c r="F405" s="477" t="e">
        <f t="shared" si="13"/>
        <v>#REF!</v>
      </c>
    </row>
    <row r="406" spans="1:6">
      <c r="A406">
        <v>7485</v>
      </c>
      <c r="B406" t="s">
        <v>448</v>
      </c>
      <c r="D406" s="477" t="e">
        <v>#REF!</v>
      </c>
      <c r="E406" s="491">
        <f t="shared" si="12"/>
        <v>2.5250604908399584E-2</v>
      </c>
      <c r="F406" s="477" t="e">
        <f t="shared" si="13"/>
        <v>#REF!</v>
      </c>
    </row>
    <row r="407" spans="1:6">
      <c r="B407" t="s">
        <v>220</v>
      </c>
      <c r="D407" s="477" t="e">
        <v>#REF!</v>
      </c>
      <c r="E407" s="491">
        <f t="shared" si="12"/>
        <v>2.5250604908399584E-2</v>
      </c>
      <c r="F407" s="477" t="e">
        <f t="shared" si="13"/>
        <v>#REF!</v>
      </c>
    </row>
    <row r="408" spans="1:6">
      <c r="A408">
        <v>7495</v>
      </c>
      <c r="B408" t="s">
        <v>449</v>
      </c>
      <c r="D408" s="477" t="e">
        <v>#REF!</v>
      </c>
      <c r="E408" s="491">
        <f t="shared" si="12"/>
        <v>2.5250604908399584E-2</v>
      </c>
      <c r="F408" s="477" t="e">
        <f t="shared" si="13"/>
        <v>#REF!</v>
      </c>
    </row>
    <row r="409" spans="1:6">
      <c r="B409" t="s">
        <v>212</v>
      </c>
      <c r="C409" s="478">
        <v>971144.25</v>
      </c>
      <c r="D409" s="477">
        <v>451075.69</v>
      </c>
      <c r="E409" s="491">
        <f t="shared" si="12"/>
        <v>2.5250604908399584E-2</v>
      </c>
      <c r="F409" s="477">
        <f t="shared" si="13"/>
        <v>11389.934031973729</v>
      </c>
    </row>
    <row r="410" spans="1:6">
      <c r="B410" t="s">
        <v>221</v>
      </c>
      <c r="D410" s="477" t="e">
        <v>#REF!</v>
      </c>
      <c r="E410" s="491">
        <f t="shared" si="12"/>
        <v>2.5250604908399584E-2</v>
      </c>
      <c r="F410" s="477" t="e">
        <f t="shared" si="13"/>
        <v>#REF!</v>
      </c>
    </row>
    <row r="411" spans="1:6">
      <c r="B411" t="s">
        <v>222</v>
      </c>
      <c r="D411" s="477" t="e">
        <v>#REF!</v>
      </c>
      <c r="E411" s="491">
        <f t="shared" si="12"/>
        <v>2.5250604908399584E-2</v>
      </c>
      <c r="F411" s="477" t="e">
        <f t="shared" si="13"/>
        <v>#REF!</v>
      </c>
    </row>
    <row r="412" spans="1:6">
      <c r="A412">
        <v>7510</v>
      </c>
      <c r="B412" t="s">
        <v>450</v>
      </c>
      <c r="C412" s="478">
        <v>175717.55</v>
      </c>
      <c r="D412" s="477">
        <v>67215.909999999989</v>
      </c>
      <c r="E412" s="491">
        <f t="shared" si="12"/>
        <v>2.5250604908399584E-2</v>
      </c>
      <c r="F412" s="477">
        <f t="shared" si="13"/>
        <v>1697.2423869685445</v>
      </c>
    </row>
    <row r="413" spans="1:6">
      <c r="A413">
        <v>7515</v>
      </c>
      <c r="B413" t="s">
        <v>451</v>
      </c>
      <c r="C413" s="478">
        <v>3985.06</v>
      </c>
      <c r="D413" s="477">
        <v>311.21000000000004</v>
      </c>
      <c r="E413" s="491">
        <f t="shared" si="12"/>
        <v>2.5250604908399584E-2</v>
      </c>
      <c r="F413" s="477">
        <f t="shared" si="13"/>
        <v>7.8582407535430354</v>
      </c>
    </row>
    <row r="414" spans="1:6">
      <c r="A414">
        <v>7520</v>
      </c>
      <c r="B414" t="s">
        <v>452</v>
      </c>
      <c r="C414" s="478">
        <v>24100.03</v>
      </c>
      <c r="D414" s="477">
        <v>3332.6699999999983</v>
      </c>
      <c r="E414" s="491">
        <f t="shared" si="12"/>
        <v>2.5250604908399584E-2</v>
      </c>
      <c r="F414" s="477">
        <f t="shared" si="13"/>
        <v>84.151933460075995</v>
      </c>
    </row>
    <row r="415" spans="1:6">
      <c r="B415" t="s">
        <v>222</v>
      </c>
      <c r="C415" s="478">
        <v>203802.64</v>
      </c>
      <c r="D415" s="477">
        <v>70859.790000000008</v>
      </c>
      <c r="E415" s="491">
        <f t="shared" si="12"/>
        <v>2.5250604908399584E-2</v>
      </c>
      <c r="F415" s="477">
        <f t="shared" si="13"/>
        <v>1789.2525611821641</v>
      </c>
    </row>
    <row r="416" spans="1:6">
      <c r="B416" t="s">
        <v>223</v>
      </c>
      <c r="D416" s="477" t="e">
        <v>#REF!</v>
      </c>
      <c r="E416" s="491">
        <f t="shared" si="12"/>
        <v>2.5250604908399584E-2</v>
      </c>
      <c r="F416" s="477" t="e">
        <f t="shared" si="13"/>
        <v>#REF!</v>
      </c>
    </row>
    <row r="417" spans="1:6">
      <c r="A417">
        <v>7535</v>
      </c>
      <c r="B417" t="s">
        <v>453</v>
      </c>
      <c r="C417" s="478">
        <v>60</v>
      </c>
      <c r="D417" s="477">
        <v>0</v>
      </c>
      <c r="E417" s="491">
        <f t="shared" si="12"/>
        <v>2.5250604908399584E-2</v>
      </c>
      <c r="F417" s="477">
        <f t="shared" si="13"/>
        <v>0</v>
      </c>
    </row>
    <row r="418" spans="1:6">
      <c r="A418">
        <v>7540</v>
      </c>
      <c r="B418" t="s">
        <v>454</v>
      </c>
      <c r="D418" s="477" t="e">
        <v>#REF!</v>
      </c>
      <c r="E418" s="491">
        <f t="shared" si="12"/>
        <v>2.5250604908399584E-2</v>
      </c>
      <c r="F418" s="477" t="e">
        <f t="shared" si="13"/>
        <v>#REF!</v>
      </c>
    </row>
    <row r="419" spans="1:6">
      <c r="A419">
        <v>7545</v>
      </c>
      <c r="B419" t="s">
        <v>455</v>
      </c>
      <c r="D419" s="477" t="e">
        <v>#REF!</v>
      </c>
      <c r="E419" s="491">
        <f t="shared" si="12"/>
        <v>2.5250604908399584E-2</v>
      </c>
      <c r="F419" s="477" t="e">
        <f t="shared" si="13"/>
        <v>#REF!</v>
      </c>
    </row>
    <row r="420" spans="1:6">
      <c r="A420">
        <v>7550</v>
      </c>
      <c r="B420" t="s">
        <v>456</v>
      </c>
      <c r="C420" s="478">
        <v>1702.71</v>
      </c>
      <c r="D420" s="477">
        <v>17837</v>
      </c>
      <c r="E420" s="491">
        <f t="shared" si="12"/>
        <v>2.5250604908399584E-2</v>
      </c>
      <c r="F420" s="477">
        <f t="shared" si="13"/>
        <v>450.39503975112336</v>
      </c>
    </row>
    <row r="421" spans="1:6">
      <c r="A421">
        <v>7555</v>
      </c>
      <c r="B421" t="s">
        <v>457</v>
      </c>
      <c r="C421" s="478">
        <v>33911.29</v>
      </c>
      <c r="D421" s="477">
        <v>0</v>
      </c>
      <c r="E421" s="491">
        <f t="shared" si="12"/>
        <v>2.5250604908399584E-2</v>
      </c>
      <c r="F421" s="477">
        <f t="shared" si="13"/>
        <v>0</v>
      </c>
    </row>
    <row r="422" spans="1:6">
      <c r="A422">
        <v>7560</v>
      </c>
      <c r="B422" t="s">
        <v>458</v>
      </c>
      <c r="D422" s="477" t="e">
        <v>#REF!</v>
      </c>
      <c r="E422" s="491">
        <f t="shared" si="12"/>
        <v>2.5250604908399584E-2</v>
      </c>
      <c r="F422" s="477" t="e">
        <f t="shared" si="13"/>
        <v>#REF!</v>
      </c>
    </row>
    <row r="423" spans="1:6">
      <c r="A423">
        <v>7565</v>
      </c>
      <c r="B423" t="s">
        <v>459</v>
      </c>
      <c r="D423" s="477" t="e">
        <v>#REF!</v>
      </c>
      <c r="E423" s="491">
        <f t="shared" si="12"/>
        <v>2.5250604908399584E-2</v>
      </c>
      <c r="F423" s="477" t="e">
        <f t="shared" si="13"/>
        <v>#REF!</v>
      </c>
    </row>
    <row r="424" spans="1:6">
      <c r="A424">
        <v>7570</v>
      </c>
      <c r="B424" t="s">
        <v>460</v>
      </c>
      <c r="D424" s="477" t="e">
        <v>#REF!</v>
      </c>
      <c r="E424" s="491">
        <f t="shared" si="12"/>
        <v>2.5250604908399584E-2</v>
      </c>
      <c r="F424" s="477" t="e">
        <f t="shared" si="13"/>
        <v>#REF!</v>
      </c>
    </row>
    <row r="425" spans="1:6">
      <c r="B425" t="s">
        <v>223</v>
      </c>
      <c r="C425" s="478">
        <v>35674</v>
      </c>
      <c r="D425" s="477">
        <v>17837</v>
      </c>
      <c r="E425" s="491">
        <f t="shared" si="12"/>
        <v>2.5250604908399584E-2</v>
      </c>
      <c r="F425" s="477">
        <f t="shared" si="13"/>
        <v>450.39503975112336</v>
      </c>
    </row>
    <row r="426" spans="1:6">
      <c r="B426" t="s">
        <v>221</v>
      </c>
      <c r="C426" s="478">
        <v>239476.64</v>
      </c>
      <c r="D426" s="477">
        <v>88696.790000000008</v>
      </c>
      <c r="E426" s="491">
        <f t="shared" si="12"/>
        <v>2.5250604908399584E-2</v>
      </c>
      <c r="F426" s="477">
        <f t="shared" si="13"/>
        <v>2239.6476009332873</v>
      </c>
    </row>
    <row r="427" spans="1:6">
      <c r="B427" t="s">
        <v>224</v>
      </c>
      <c r="D427" s="477" t="e">
        <v>#REF!</v>
      </c>
      <c r="E427" s="491">
        <f t="shared" si="12"/>
        <v>2.5250604908399584E-2</v>
      </c>
      <c r="F427" s="477" t="e">
        <f t="shared" si="13"/>
        <v>#REF!</v>
      </c>
    </row>
    <row r="428" spans="1:6">
      <c r="A428">
        <v>7585</v>
      </c>
      <c r="B428" t="s">
        <v>461</v>
      </c>
      <c r="D428" s="477" t="e">
        <v>#REF!</v>
      </c>
      <c r="E428" s="491">
        <f t="shared" si="12"/>
        <v>2.5250604908399584E-2</v>
      </c>
      <c r="F428" s="477" t="e">
        <f t="shared" si="13"/>
        <v>#REF!</v>
      </c>
    </row>
    <row r="429" spans="1:6">
      <c r="A429">
        <v>7590</v>
      </c>
      <c r="B429" t="s">
        <v>462</v>
      </c>
      <c r="D429" s="477" t="e">
        <v>#REF!</v>
      </c>
      <c r="E429" s="491">
        <f t="shared" si="12"/>
        <v>2.5250604908399584E-2</v>
      </c>
      <c r="F429" s="477" t="e">
        <f t="shared" si="13"/>
        <v>#REF!</v>
      </c>
    </row>
    <row r="430" spans="1:6">
      <c r="A430">
        <v>7595</v>
      </c>
      <c r="B430" t="s">
        <v>463</v>
      </c>
      <c r="D430" s="477" t="e">
        <v>#REF!</v>
      </c>
      <c r="E430" s="491">
        <f t="shared" si="12"/>
        <v>2.5250604908399584E-2</v>
      </c>
      <c r="F430" s="477" t="e">
        <f t="shared" si="13"/>
        <v>#REF!</v>
      </c>
    </row>
    <row r="431" spans="1:6">
      <c r="A431">
        <v>7600</v>
      </c>
      <c r="B431" t="s">
        <v>464</v>
      </c>
      <c r="D431" s="477" t="e">
        <v>#REF!</v>
      </c>
      <c r="E431" s="491">
        <f t="shared" si="12"/>
        <v>2.5250604908399584E-2</v>
      </c>
      <c r="F431" s="477" t="e">
        <f t="shared" si="13"/>
        <v>#REF!</v>
      </c>
    </row>
    <row r="432" spans="1:6">
      <c r="A432">
        <v>7605</v>
      </c>
      <c r="B432" t="s">
        <v>465</v>
      </c>
      <c r="D432" s="477" t="e">
        <v>#REF!</v>
      </c>
      <c r="E432" s="491">
        <f t="shared" si="12"/>
        <v>2.5250604908399584E-2</v>
      </c>
      <c r="F432" s="477" t="e">
        <f t="shared" si="13"/>
        <v>#REF!</v>
      </c>
    </row>
    <row r="433" spans="1:6">
      <c r="A433">
        <v>7610</v>
      </c>
      <c r="B433" t="s">
        <v>466</v>
      </c>
      <c r="D433" s="477" t="e">
        <v>#REF!</v>
      </c>
      <c r="E433" s="491">
        <f t="shared" si="12"/>
        <v>2.5250604908399584E-2</v>
      </c>
      <c r="F433" s="477" t="e">
        <f t="shared" si="13"/>
        <v>#REF!</v>
      </c>
    </row>
    <row r="434" spans="1:6">
      <c r="B434" t="s">
        <v>224</v>
      </c>
      <c r="D434" s="477" t="e">
        <v>#REF!</v>
      </c>
      <c r="E434" s="491">
        <f t="shared" si="12"/>
        <v>2.5250604908399584E-2</v>
      </c>
      <c r="F434" s="477" t="e">
        <f t="shared" si="13"/>
        <v>#REF!</v>
      </c>
    </row>
    <row r="435" spans="1:6">
      <c r="B435" t="s">
        <v>187</v>
      </c>
      <c r="C435" s="478">
        <v>10376473.34</v>
      </c>
      <c r="D435" s="477">
        <v>4764116.3499999996</v>
      </c>
      <c r="E435" s="491">
        <f t="shared" si="12"/>
        <v>2.5250604908399584E-2</v>
      </c>
      <c r="F435" s="477">
        <f t="shared" si="13"/>
        <v>120296.8196914967</v>
      </c>
    </row>
    <row r="436" spans="1:6">
      <c r="B436" t="s">
        <v>186</v>
      </c>
      <c r="C436" s="478">
        <v>10376473.34</v>
      </c>
      <c r="D436" s="477">
        <v>4764116.3499999996</v>
      </c>
      <c r="E436" s="491">
        <f t="shared" si="12"/>
        <v>2.5250604908399584E-2</v>
      </c>
      <c r="F436" s="477">
        <f t="shared" si="13"/>
        <v>120296.8196914967</v>
      </c>
    </row>
    <row r="437" spans="1:6">
      <c r="B437" t="s">
        <v>225</v>
      </c>
      <c r="D437" s="477" t="e">
        <v>#REF!</v>
      </c>
      <c r="E437" s="491">
        <f t="shared" si="12"/>
        <v>2.5250604908399584E-2</v>
      </c>
      <c r="F437" s="477" t="e">
        <f t="shared" si="13"/>
        <v>#REF!</v>
      </c>
    </row>
    <row r="438" spans="1:6">
      <c r="B438" t="s">
        <v>226</v>
      </c>
      <c r="D438" s="477" t="e">
        <v>#REF!</v>
      </c>
      <c r="E438" s="491">
        <f t="shared" si="12"/>
        <v>2.5250604908399584E-2</v>
      </c>
      <c r="F438" s="477" t="e">
        <f t="shared" si="13"/>
        <v>#REF!</v>
      </c>
    </row>
    <row r="439" spans="1:6">
      <c r="B439" t="s">
        <v>227</v>
      </c>
      <c r="D439" s="477" t="e">
        <v>#REF!</v>
      </c>
      <c r="E439" s="491">
        <f t="shared" si="12"/>
        <v>2.5250604908399584E-2</v>
      </c>
      <c r="F439" s="477" t="e">
        <f t="shared" si="13"/>
        <v>#REF!</v>
      </c>
    </row>
    <row r="440" spans="1:6">
      <c r="A440">
        <v>7635</v>
      </c>
      <c r="B440" t="s">
        <v>467</v>
      </c>
      <c r="D440" s="477" t="e">
        <v>#REF!</v>
      </c>
      <c r="E440" s="491">
        <f t="shared" si="12"/>
        <v>2.5250604908399584E-2</v>
      </c>
      <c r="F440" s="477" t="e">
        <f t="shared" si="13"/>
        <v>#REF!</v>
      </c>
    </row>
    <row r="441" spans="1:6">
      <c r="A441">
        <v>7640</v>
      </c>
      <c r="B441" t="s">
        <v>468</v>
      </c>
      <c r="D441" s="477" t="e">
        <v>#REF!</v>
      </c>
      <c r="E441" s="491">
        <f t="shared" si="12"/>
        <v>2.5250604908399584E-2</v>
      </c>
      <c r="F441" s="477" t="e">
        <f t="shared" si="13"/>
        <v>#REF!</v>
      </c>
    </row>
    <row r="442" spans="1:6">
      <c r="A442">
        <v>7645</v>
      </c>
      <c r="B442" t="s">
        <v>599</v>
      </c>
      <c r="D442" s="477" t="e">
        <v>#REF!</v>
      </c>
      <c r="E442" s="491">
        <f t="shared" si="12"/>
        <v>2.5250604908399584E-2</v>
      </c>
      <c r="F442" s="477" t="e">
        <f t="shared" si="13"/>
        <v>#REF!</v>
      </c>
    </row>
    <row r="443" spans="1:6">
      <c r="B443" t="s">
        <v>228</v>
      </c>
      <c r="D443" s="477" t="e">
        <v>#REF!</v>
      </c>
      <c r="E443" s="491">
        <f t="shared" si="12"/>
        <v>2.5250604908399584E-2</v>
      </c>
      <c r="F443" s="477" t="e">
        <f t="shared" si="13"/>
        <v>#REF!</v>
      </c>
    </row>
    <row r="444" spans="1:6">
      <c r="A444">
        <v>7655</v>
      </c>
      <c r="B444" t="s">
        <v>600</v>
      </c>
      <c r="D444" s="477" t="e">
        <v>#REF!</v>
      </c>
      <c r="E444" s="491">
        <f t="shared" si="12"/>
        <v>2.5250604908399584E-2</v>
      </c>
      <c r="F444" s="477" t="e">
        <f t="shared" si="13"/>
        <v>#REF!</v>
      </c>
    </row>
    <row r="445" spans="1:6">
      <c r="A445">
        <v>7660</v>
      </c>
      <c r="B445" t="s">
        <v>601</v>
      </c>
      <c r="D445" s="477" t="e">
        <v>#REF!</v>
      </c>
      <c r="E445" s="491">
        <f t="shared" si="12"/>
        <v>2.5250604908399584E-2</v>
      </c>
      <c r="F445" s="477" t="e">
        <f t="shared" si="13"/>
        <v>#REF!</v>
      </c>
    </row>
    <row r="446" spans="1:6">
      <c r="A446">
        <v>7665</v>
      </c>
      <c r="B446" t="s">
        <v>602</v>
      </c>
      <c r="D446" s="477" t="e">
        <v>#REF!</v>
      </c>
      <c r="E446" s="491">
        <f t="shared" si="12"/>
        <v>2.5250604908399584E-2</v>
      </c>
      <c r="F446" s="477" t="e">
        <f t="shared" si="13"/>
        <v>#REF!</v>
      </c>
    </row>
    <row r="447" spans="1:6">
      <c r="A447">
        <v>7670</v>
      </c>
      <c r="B447" t="s">
        <v>603</v>
      </c>
      <c r="D447" s="477" t="e">
        <v>#REF!</v>
      </c>
      <c r="E447" s="491">
        <f t="shared" si="12"/>
        <v>2.5250604908399584E-2</v>
      </c>
      <c r="F447" s="477" t="e">
        <f t="shared" si="13"/>
        <v>#REF!</v>
      </c>
    </row>
    <row r="448" spans="1:6">
      <c r="B448" t="s">
        <v>228</v>
      </c>
      <c r="D448" s="477" t="e">
        <v>#REF!</v>
      </c>
      <c r="E448" s="491">
        <f t="shared" si="12"/>
        <v>2.5250604908399584E-2</v>
      </c>
      <c r="F448" s="477" t="e">
        <f t="shared" si="13"/>
        <v>#REF!</v>
      </c>
    </row>
    <row r="449" spans="1:6">
      <c r="B449" t="s">
        <v>229</v>
      </c>
      <c r="D449" s="477" t="e">
        <v>#REF!</v>
      </c>
      <c r="E449" s="491">
        <f t="shared" si="12"/>
        <v>2.5250604908399584E-2</v>
      </c>
      <c r="F449" s="477" t="e">
        <f t="shared" si="13"/>
        <v>#REF!</v>
      </c>
    </row>
    <row r="450" spans="1:6">
      <c r="A450">
        <v>7680</v>
      </c>
      <c r="B450" t="s">
        <v>604</v>
      </c>
      <c r="D450" s="477" t="e">
        <v>#REF!</v>
      </c>
      <c r="E450" s="491">
        <f t="shared" si="12"/>
        <v>2.5250604908399584E-2</v>
      </c>
      <c r="F450" s="477" t="e">
        <f t="shared" si="13"/>
        <v>#REF!</v>
      </c>
    </row>
    <row r="451" spans="1:6">
      <c r="A451">
        <v>7685</v>
      </c>
      <c r="B451" t="s">
        <v>605</v>
      </c>
      <c r="D451" s="477" t="e">
        <v>#REF!</v>
      </c>
      <c r="E451" s="491">
        <f t="shared" si="12"/>
        <v>2.5250604908399584E-2</v>
      </c>
      <c r="F451" s="477" t="e">
        <f t="shared" si="13"/>
        <v>#REF!</v>
      </c>
    </row>
    <row r="452" spans="1:6">
      <c r="A452">
        <v>7690</v>
      </c>
      <c r="B452" t="s">
        <v>606</v>
      </c>
      <c r="D452" s="477" t="e">
        <v>#REF!</v>
      </c>
      <c r="E452" s="491">
        <f t="shared" si="12"/>
        <v>2.5250604908399584E-2</v>
      </c>
      <c r="F452" s="477" t="e">
        <f t="shared" si="13"/>
        <v>#REF!</v>
      </c>
    </row>
    <row r="453" spans="1:6">
      <c r="A453">
        <v>7691</v>
      </c>
      <c r="B453" t="s">
        <v>607</v>
      </c>
      <c r="D453" s="477" t="e">
        <v>#REF!</v>
      </c>
      <c r="E453" s="491">
        <f t="shared" si="12"/>
        <v>2.5250604908399584E-2</v>
      </c>
      <c r="F453" s="477" t="e">
        <f t="shared" si="13"/>
        <v>#REF!</v>
      </c>
    </row>
    <row r="454" spans="1:6">
      <c r="A454">
        <v>7692</v>
      </c>
      <c r="B454" t="s">
        <v>608</v>
      </c>
      <c r="D454" s="477" t="e">
        <v>#REF!</v>
      </c>
      <c r="E454" s="491">
        <f t="shared" ref="E454:E513" si="14">E$3</f>
        <v>2.5250604908399584E-2</v>
      </c>
      <c r="F454" s="477" t="e">
        <f t="shared" ref="F454:F513" si="15">E454*D454</f>
        <v>#REF!</v>
      </c>
    </row>
    <row r="455" spans="1:6">
      <c r="A455">
        <v>7693</v>
      </c>
      <c r="B455" t="s">
        <v>609</v>
      </c>
      <c r="D455" s="477" t="e">
        <v>#REF!</v>
      </c>
      <c r="E455" s="491">
        <f t="shared" si="14"/>
        <v>2.5250604908399584E-2</v>
      </c>
      <c r="F455" s="477" t="e">
        <f t="shared" si="15"/>
        <v>#REF!</v>
      </c>
    </row>
    <row r="456" spans="1:6">
      <c r="B456" t="s">
        <v>229</v>
      </c>
      <c r="D456" s="477" t="e">
        <v>#REF!</v>
      </c>
      <c r="E456" s="491">
        <f t="shared" si="14"/>
        <v>2.5250604908399584E-2</v>
      </c>
      <c r="F456" s="477" t="e">
        <f t="shared" si="15"/>
        <v>#REF!</v>
      </c>
    </row>
    <row r="457" spans="1:6">
      <c r="B457" t="s">
        <v>227</v>
      </c>
      <c r="D457" s="477" t="e">
        <v>#REF!</v>
      </c>
      <c r="E457" s="491">
        <f t="shared" si="14"/>
        <v>2.5250604908399584E-2</v>
      </c>
      <c r="F457" s="477" t="e">
        <f t="shared" si="15"/>
        <v>#REF!</v>
      </c>
    </row>
    <row r="458" spans="1:6">
      <c r="B458" t="s">
        <v>226</v>
      </c>
      <c r="D458" s="477" t="e">
        <v>#REF!</v>
      </c>
      <c r="E458" s="491">
        <f t="shared" si="14"/>
        <v>2.5250604908399584E-2</v>
      </c>
      <c r="F458" s="477" t="e">
        <f t="shared" si="15"/>
        <v>#REF!</v>
      </c>
    </row>
    <row r="459" spans="1:6">
      <c r="B459" t="s">
        <v>230</v>
      </c>
      <c r="D459" s="477" t="e">
        <v>#REF!</v>
      </c>
      <c r="E459" s="491">
        <f t="shared" si="14"/>
        <v>2.5250604908399584E-2</v>
      </c>
      <c r="F459" s="477" t="e">
        <f t="shared" si="15"/>
        <v>#REF!</v>
      </c>
    </row>
    <row r="460" spans="1:6">
      <c r="B460" t="s">
        <v>231</v>
      </c>
      <c r="D460" s="477" t="e">
        <v>#REF!</v>
      </c>
      <c r="E460" s="491">
        <f t="shared" si="14"/>
        <v>2.5250604908399584E-2</v>
      </c>
      <c r="F460" s="477" t="e">
        <f t="shared" si="15"/>
        <v>#REF!</v>
      </c>
    </row>
    <row r="461" spans="1:6">
      <c r="A461">
        <v>7705</v>
      </c>
      <c r="B461" t="s">
        <v>610</v>
      </c>
      <c r="D461" s="477" t="e">
        <v>#REF!</v>
      </c>
      <c r="E461" s="491">
        <f t="shared" si="14"/>
        <v>2.5250604908399584E-2</v>
      </c>
      <c r="F461" s="477" t="e">
        <f t="shared" si="15"/>
        <v>#REF!</v>
      </c>
    </row>
    <row r="462" spans="1:6">
      <c r="A462">
        <v>7710</v>
      </c>
      <c r="B462" t="s">
        <v>611</v>
      </c>
      <c r="D462" s="477" t="e">
        <v>#REF!</v>
      </c>
      <c r="E462" s="491">
        <f t="shared" si="14"/>
        <v>2.5250604908399584E-2</v>
      </c>
      <c r="F462" s="477" t="e">
        <f t="shared" si="15"/>
        <v>#REF!</v>
      </c>
    </row>
    <row r="463" spans="1:6">
      <c r="B463" t="s">
        <v>232</v>
      </c>
      <c r="D463" s="477" t="e">
        <v>#REF!</v>
      </c>
      <c r="E463" s="491">
        <f t="shared" si="14"/>
        <v>2.5250604908399584E-2</v>
      </c>
      <c r="F463" s="477" t="e">
        <f t="shared" si="15"/>
        <v>#REF!</v>
      </c>
    </row>
    <row r="464" spans="1:6">
      <c r="A464">
        <v>7720</v>
      </c>
      <c r="B464" t="s">
        <v>612</v>
      </c>
      <c r="D464" s="477" t="e">
        <v>#REF!</v>
      </c>
      <c r="E464" s="491">
        <f t="shared" si="14"/>
        <v>2.5250604908399584E-2</v>
      </c>
      <c r="F464" s="477" t="e">
        <f t="shared" si="15"/>
        <v>#REF!</v>
      </c>
    </row>
    <row r="465" spans="1:6">
      <c r="A465">
        <v>7720</v>
      </c>
      <c r="B465" t="s">
        <v>613</v>
      </c>
      <c r="D465" s="477" t="e">
        <v>#REF!</v>
      </c>
      <c r="E465" s="491">
        <f t="shared" si="14"/>
        <v>2.5250604908399584E-2</v>
      </c>
      <c r="F465" s="477" t="e">
        <f t="shared" si="15"/>
        <v>#REF!</v>
      </c>
    </row>
    <row r="466" spans="1:6">
      <c r="A466">
        <v>7720</v>
      </c>
      <c r="B466" t="s">
        <v>614</v>
      </c>
      <c r="D466" s="477" t="e">
        <v>#REF!</v>
      </c>
      <c r="E466" s="491">
        <f t="shared" si="14"/>
        <v>2.5250604908399584E-2</v>
      </c>
      <c r="F466" s="477" t="e">
        <f t="shared" si="15"/>
        <v>#REF!</v>
      </c>
    </row>
    <row r="467" spans="1:6">
      <c r="A467">
        <v>7720</v>
      </c>
      <c r="B467" t="s">
        <v>615</v>
      </c>
      <c r="D467" s="477" t="e">
        <v>#REF!</v>
      </c>
      <c r="E467" s="491">
        <f t="shared" si="14"/>
        <v>2.5250604908399584E-2</v>
      </c>
      <c r="F467" s="477" t="e">
        <f t="shared" si="15"/>
        <v>#REF!</v>
      </c>
    </row>
    <row r="468" spans="1:6">
      <c r="A468">
        <v>7720</v>
      </c>
      <c r="B468" t="s">
        <v>616</v>
      </c>
      <c r="D468" s="477" t="e">
        <v>#REF!</v>
      </c>
      <c r="E468" s="491">
        <f t="shared" si="14"/>
        <v>2.5250604908399584E-2</v>
      </c>
      <c r="F468" s="477" t="e">
        <f t="shared" si="15"/>
        <v>#REF!</v>
      </c>
    </row>
    <row r="469" spans="1:6">
      <c r="A469">
        <v>7720</v>
      </c>
      <c r="B469" t="s">
        <v>617</v>
      </c>
      <c r="D469" s="477" t="e">
        <v>#REF!</v>
      </c>
      <c r="E469" s="491">
        <f t="shared" si="14"/>
        <v>2.5250604908399584E-2</v>
      </c>
      <c r="F469" s="477" t="e">
        <f t="shared" si="15"/>
        <v>#REF!</v>
      </c>
    </row>
    <row r="470" spans="1:6">
      <c r="A470">
        <v>7720</v>
      </c>
      <c r="B470" t="s">
        <v>618</v>
      </c>
      <c r="D470" s="477" t="e">
        <v>#REF!</v>
      </c>
      <c r="E470" s="491">
        <f t="shared" si="14"/>
        <v>2.5250604908399584E-2</v>
      </c>
      <c r="F470" s="477" t="e">
        <f t="shared" si="15"/>
        <v>#REF!</v>
      </c>
    </row>
    <row r="471" spans="1:6">
      <c r="A471">
        <v>7720</v>
      </c>
      <c r="B471" t="s">
        <v>619</v>
      </c>
      <c r="D471" s="477" t="e">
        <v>#REF!</v>
      </c>
      <c r="E471" s="491">
        <f t="shared" si="14"/>
        <v>2.5250604908399584E-2</v>
      </c>
      <c r="F471" s="477" t="e">
        <f t="shared" si="15"/>
        <v>#REF!</v>
      </c>
    </row>
    <row r="472" spans="1:6">
      <c r="A472">
        <v>7720</v>
      </c>
      <c r="B472" t="s">
        <v>620</v>
      </c>
      <c r="D472" s="477" t="e">
        <v>#REF!</v>
      </c>
      <c r="E472" s="491">
        <f t="shared" si="14"/>
        <v>2.5250604908399584E-2</v>
      </c>
      <c r="F472" s="477" t="e">
        <f t="shared" si="15"/>
        <v>#REF!</v>
      </c>
    </row>
    <row r="473" spans="1:6">
      <c r="A473">
        <v>7720</v>
      </c>
      <c r="B473" t="s">
        <v>621</v>
      </c>
      <c r="D473" s="477" t="e">
        <v>#REF!</v>
      </c>
      <c r="E473" s="491">
        <f t="shared" si="14"/>
        <v>2.5250604908399584E-2</v>
      </c>
      <c r="F473" s="477" t="e">
        <f t="shared" si="15"/>
        <v>#REF!</v>
      </c>
    </row>
    <row r="474" spans="1:6">
      <c r="A474">
        <v>7720</v>
      </c>
      <c r="B474" t="s">
        <v>1041</v>
      </c>
      <c r="D474" s="477" t="e">
        <v>#REF!</v>
      </c>
      <c r="E474" s="491">
        <f t="shared" si="14"/>
        <v>2.5250604908399584E-2</v>
      </c>
      <c r="F474" s="477" t="e">
        <f t="shared" si="15"/>
        <v>#REF!</v>
      </c>
    </row>
    <row r="475" spans="1:6">
      <c r="A475">
        <v>7720</v>
      </c>
      <c r="B475" t="s">
        <v>1042</v>
      </c>
      <c r="D475" s="477" t="e">
        <v>#REF!</v>
      </c>
      <c r="E475" s="491">
        <f t="shared" si="14"/>
        <v>2.5250604908399584E-2</v>
      </c>
      <c r="F475" s="477" t="e">
        <f t="shared" si="15"/>
        <v>#REF!</v>
      </c>
    </row>
    <row r="476" spans="1:6">
      <c r="A476">
        <v>7720</v>
      </c>
      <c r="B476" t="s">
        <v>1043</v>
      </c>
      <c r="D476" s="477" t="e">
        <v>#REF!</v>
      </c>
      <c r="E476" s="491">
        <f t="shared" si="14"/>
        <v>2.5250604908399584E-2</v>
      </c>
      <c r="F476" s="477" t="e">
        <f t="shared" si="15"/>
        <v>#REF!</v>
      </c>
    </row>
    <row r="477" spans="1:6">
      <c r="A477">
        <v>7720</v>
      </c>
      <c r="B477" t="s">
        <v>1044</v>
      </c>
      <c r="D477" s="477" t="e">
        <v>#REF!</v>
      </c>
      <c r="E477" s="491">
        <f t="shared" si="14"/>
        <v>2.5250604908399584E-2</v>
      </c>
      <c r="F477" s="477" t="e">
        <f t="shared" si="15"/>
        <v>#REF!</v>
      </c>
    </row>
    <row r="478" spans="1:6">
      <c r="A478">
        <v>7720</v>
      </c>
      <c r="B478" t="s">
        <v>1045</v>
      </c>
      <c r="D478" s="477" t="e">
        <v>#REF!</v>
      </c>
      <c r="E478" s="491">
        <f t="shared" si="14"/>
        <v>2.5250604908399584E-2</v>
      </c>
      <c r="F478" s="477" t="e">
        <f t="shared" si="15"/>
        <v>#REF!</v>
      </c>
    </row>
    <row r="479" spans="1:6">
      <c r="A479">
        <v>7720</v>
      </c>
      <c r="B479" t="s">
        <v>1046</v>
      </c>
      <c r="D479" s="477" t="e">
        <v>#REF!</v>
      </c>
      <c r="E479" s="491">
        <f t="shared" si="14"/>
        <v>2.5250604908399584E-2</v>
      </c>
      <c r="F479" s="477" t="e">
        <f t="shared" si="15"/>
        <v>#REF!</v>
      </c>
    </row>
    <row r="480" spans="1:6">
      <c r="A480">
        <v>7720</v>
      </c>
      <c r="B480" t="s">
        <v>1047</v>
      </c>
      <c r="D480" s="477" t="e">
        <v>#REF!</v>
      </c>
      <c r="E480" s="491">
        <f t="shared" si="14"/>
        <v>2.5250604908399584E-2</v>
      </c>
      <c r="F480" s="477" t="e">
        <f t="shared" si="15"/>
        <v>#REF!</v>
      </c>
    </row>
    <row r="481" spans="1:6">
      <c r="A481">
        <v>7720</v>
      </c>
      <c r="B481" t="s">
        <v>1048</v>
      </c>
      <c r="D481" s="477" t="e">
        <v>#REF!</v>
      </c>
      <c r="E481" s="491">
        <f t="shared" si="14"/>
        <v>2.5250604908399584E-2</v>
      </c>
      <c r="F481" s="477" t="e">
        <f t="shared" si="15"/>
        <v>#REF!</v>
      </c>
    </row>
    <row r="482" spans="1:6">
      <c r="A482">
        <v>7720</v>
      </c>
      <c r="B482" t="s">
        <v>1049</v>
      </c>
      <c r="D482" s="477" t="e">
        <v>#REF!</v>
      </c>
      <c r="E482" s="491">
        <f t="shared" si="14"/>
        <v>2.5250604908399584E-2</v>
      </c>
      <c r="F482" s="477" t="e">
        <f t="shared" si="15"/>
        <v>#REF!</v>
      </c>
    </row>
    <row r="483" spans="1:6">
      <c r="B483" t="s">
        <v>232</v>
      </c>
      <c r="D483" s="477" t="e">
        <v>#REF!</v>
      </c>
      <c r="E483" s="491">
        <f t="shared" si="14"/>
        <v>2.5250604908399584E-2</v>
      </c>
      <c r="F483" s="477" t="e">
        <f t="shared" si="15"/>
        <v>#REF!</v>
      </c>
    </row>
    <row r="484" spans="1:6">
      <c r="A484">
        <v>7725</v>
      </c>
      <c r="B484" t="s">
        <v>133</v>
      </c>
      <c r="D484" s="477" t="e">
        <v>#REF!</v>
      </c>
      <c r="E484" s="491">
        <f t="shared" si="14"/>
        <v>2.5250604908399584E-2</v>
      </c>
      <c r="F484" s="477" t="e">
        <f t="shared" si="15"/>
        <v>#REF!</v>
      </c>
    </row>
    <row r="485" spans="1:6">
      <c r="B485" t="s">
        <v>233</v>
      </c>
      <c r="D485" s="477" t="e">
        <v>#REF!</v>
      </c>
      <c r="E485" s="491">
        <f t="shared" si="14"/>
        <v>2.5250604908399584E-2</v>
      </c>
      <c r="F485" s="477" t="e">
        <f t="shared" si="15"/>
        <v>#REF!</v>
      </c>
    </row>
    <row r="486" spans="1:6">
      <c r="A486">
        <v>7735</v>
      </c>
      <c r="B486" t="s">
        <v>134</v>
      </c>
      <c r="D486" s="477" t="e">
        <v>#REF!</v>
      </c>
      <c r="E486" s="491">
        <f t="shared" si="14"/>
        <v>2.5250604908399584E-2</v>
      </c>
      <c r="F486" s="477" t="e">
        <f t="shared" si="15"/>
        <v>#REF!</v>
      </c>
    </row>
    <row r="487" spans="1:6">
      <c r="A487">
        <v>7735</v>
      </c>
      <c r="B487" t="s">
        <v>135</v>
      </c>
      <c r="D487" s="477" t="e">
        <v>#REF!</v>
      </c>
      <c r="E487" s="491">
        <f t="shared" si="14"/>
        <v>2.5250604908399584E-2</v>
      </c>
      <c r="F487" s="477" t="e">
        <f t="shared" si="15"/>
        <v>#REF!</v>
      </c>
    </row>
    <row r="488" spans="1:6">
      <c r="A488">
        <v>7735</v>
      </c>
      <c r="B488" t="s">
        <v>136</v>
      </c>
      <c r="C488" s="478">
        <v>30306.05</v>
      </c>
      <c r="D488" s="477">
        <v>-5352.0000000000036</v>
      </c>
      <c r="E488" s="491">
        <f t="shared" si="14"/>
        <v>2.5250604908399584E-2</v>
      </c>
      <c r="F488" s="477">
        <f t="shared" si="15"/>
        <v>-135.14123746975466</v>
      </c>
    </row>
    <row r="489" spans="1:6">
      <c r="A489">
        <v>7735</v>
      </c>
      <c r="B489" t="s">
        <v>137</v>
      </c>
      <c r="D489" s="477" t="e">
        <v>#REF!</v>
      </c>
      <c r="E489" s="491">
        <f t="shared" si="14"/>
        <v>2.5250604908399584E-2</v>
      </c>
      <c r="F489" s="477" t="e">
        <f t="shared" si="15"/>
        <v>#REF!</v>
      </c>
    </row>
    <row r="490" spans="1:6">
      <c r="A490">
        <v>7735</v>
      </c>
      <c r="B490" t="s">
        <v>138</v>
      </c>
      <c r="D490" s="477" t="e">
        <v>#REF!</v>
      </c>
      <c r="E490" s="491">
        <f t="shared" si="14"/>
        <v>2.5250604908399584E-2</v>
      </c>
      <c r="F490" s="477" t="e">
        <f t="shared" si="15"/>
        <v>#REF!</v>
      </c>
    </row>
    <row r="491" spans="1:6">
      <c r="A491">
        <v>7735</v>
      </c>
      <c r="B491" t="s">
        <v>139</v>
      </c>
      <c r="D491" s="477" t="e">
        <v>#REF!</v>
      </c>
      <c r="E491" s="491">
        <f t="shared" si="14"/>
        <v>2.5250604908399584E-2</v>
      </c>
      <c r="F491" s="477" t="e">
        <f t="shared" si="15"/>
        <v>#REF!</v>
      </c>
    </row>
    <row r="492" spans="1:6">
      <c r="A492">
        <v>7735</v>
      </c>
      <c r="B492" t="s">
        <v>140</v>
      </c>
      <c r="D492" s="477" t="e">
        <v>#REF!</v>
      </c>
      <c r="E492" s="491">
        <f t="shared" si="14"/>
        <v>2.5250604908399584E-2</v>
      </c>
      <c r="F492" s="477" t="e">
        <f t="shared" si="15"/>
        <v>#REF!</v>
      </c>
    </row>
    <row r="493" spans="1:6">
      <c r="A493">
        <v>7735</v>
      </c>
      <c r="B493" t="s">
        <v>141</v>
      </c>
      <c r="D493" s="477" t="e">
        <v>#REF!</v>
      </c>
      <c r="E493" s="491">
        <f t="shared" si="14"/>
        <v>2.5250604908399584E-2</v>
      </c>
      <c r="F493" s="477" t="e">
        <f t="shared" si="15"/>
        <v>#REF!</v>
      </c>
    </row>
    <row r="494" spans="1:6">
      <c r="A494">
        <v>7735</v>
      </c>
      <c r="B494" t="s">
        <v>142</v>
      </c>
      <c r="D494" s="477" t="e">
        <v>#REF!</v>
      </c>
      <c r="E494" s="491">
        <f t="shared" si="14"/>
        <v>2.5250604908399584E-2</v>
      </c>
      <c r="F494" s="477" t="e">
        <f t="shared" si="15"/>
        <v>#REF!</v>
      </c>
    </row>
    <row r="495" spans="1:6">
      <c r="A495">
        <v>7735</v>
      </c>
      <c r="B495" t="s">
        <v>143</v>
      </c>
      <c r="D495" s="477" t="e">
        <v>#REF!</v>
      </c>
      <c r="E495" s="491">
        <f t="shared" si="14"/>
        <v>2.5250604908399584E-2</v>
      </c>
      <c r="F495" s="477" t="e">
        <f t="shared" si="15"/>
        <v>#REF!</v>
      </c>
    </row>
    <row r="496" spans="1:6">
      <c r="B496" t="s">
        <v>233</v>
      </c>
      <c r="C496" s="478">
        <v>30306.05</v>
      </c>
      <c r="D496" s="477">
        <v>-5352.0000000000036</v>
      </c>
      <c r="E496" s="491">
        <f t="shared" si="14"/>
        <v>2.5250604908399584E-2</v>
      </c>
      <c r="F496" s="477">
        <f t="shared" si="15"/>
        <v>-135.14123746975466</v>
      </c>
    </row>
    <row r="497" spans="1:6">
      <c r="B497" t="s">
        <v>231</v>
      </c>
      <c r="C497" s="478">
        <v>30306.05</v>
      </c>
      <c r="D497" s="477">
        <v>-5352.0000000000036</v>
      </c>
      <c r="E497" s="491">
        <f t="shared" si="14"/>
        <v>2.5250604908399584E-2</v>
      </c>
      <c r="F497" s="477">
        <f t="shared" si="15"/>
        <v>-135.14123746975466</v>
      </c>
    </row>
    <row r="498" spans="1:6">
      <c r="B498" t="s">
        <v>234</v>
      </c>
      <c r="D498" s="477" t="e">
        <v>#REF!</v>
      </c>
      <c r="E498" s="491">
        <f t="shared" si="14"/>
        <v>2.5250604908399584E-2</v>
      </c>
      <c r="F498" s="477" t="e">
        <f t="shared" si="15"/>
        <v>#REF!</v>
      </c>
    </row>
    <row r="499" spans="1:6">
      <c r="A499">
        <v>7750</v>
      </c>
      <c r="B499" t="s">
        <v>144</v>
      </c>
      <c r="D499" s="477" t="e">
        <v>#REF!</v>
      </c>
      <c r="E499" s="491">
        <f t="shared" si="14"/>
        <v>2.5250604908399584E-2</v>
      </c>
      <c r="F499" s="477" t="e">
        <f t="shared" si="15"/>
        <v>#REF!</v>
      </c>
    </row>
    <row r="500" spans="1:6">
      <c r="B500" t="s">
        <v>234</v>
      </c>
      <c r="D500" s="477" t="e">
        <v>#REF!</v>
      </c>
      <c r="E500" s="491">
        <f t="shared" si="14"/>
        <v>2.5250604908399584E-2</v>
      </c>
      <c r="F500" s="477" t="e">
        <f t="shared" si="15"/>
        <v>#REF!</v>
      </c>
    </row>
    <row r="501" spans="1:6">
      <c r="B501" t="s">
        <v>235</v>
      </c>
      <c r="D501" s="477" t="e">
        <v>#REF!</v>
      </c>
      <c r="E501" s="491">
        <f t="shared" si="14"/>
        <v>2.5250604908399584E-2</v>
      </c>
      <c r="F501" s="477" t="e">
        <f t="shared" si="15"/>
        <v>#REF!</v>
      </c>
    </row>
    <row r="502" spans="1:6">
      <c r="A502">
        <v>7765</v>
      </c>
      <c r="B502" t="s">
        <v>145</v>
      </c>
      <c r="D502" s="477" t="e">
        <v>#REF!</v>
      </c>
      <c r="E502" s="491">
        <f t="shared" si="14"/>
        <v>2.5250604908399584E-2</v>
      </c>
      <c r="F502" s="477" t="e">
        <f t="shared" si="15"/>
        <v>#REF!</v>
      </c>
    </row>
    <row r="503" spans="1:6">
      <c r="B503" t="s">
        <v>236</v>
      </c>
      <c r="D503" s="477" t="e">
        <v>#REF!</v>
      </c>
      <c r="E503" s="491">
        <f t="shared" si="14"/>
        <v>2.5250604908399584E-2</v>
      </c>
      <c r="F503" s="477" t="e">
        <f t="shared" si="15"/>
        <v>#REF!</v>
      </c>
    </row>
    <row r="504" spans="1:6">
      <c r="A504">
        <v>7775</v>
      </c>
      <c r="B504" t="s">
        <v>146</v>
      </c>
      <c r="D504" s="477" t="e">
        <v>#REF!</v>
      </c>
      <c r="E504" s="491">
        <f t="shared" si="14"/>
        <v>2.5250604908399584E-2</v>
      </c>
      <c r="F504" s="477" t="e">
        <f t="shared" si="15"/>
        <v>#REF!</v>
      </c>
    </row>
    <row r="505" spans="1:6">
      <c r="A505">
        <v>7780</v>
      </c>
      <c r="B505" t="s">
        <v>147</v>
      </c>
      <c r="D505" s="477" t="e">
        <v>#REF!</v>
      </c>
      <c r="E505" s="491">
        <f t="shared" si="14"/>
        <v>2.5250604908399584E-2</v>
      </c>
      <c r="F505" s="477" t="e">
        <f t="shared" si="15"/>
        <v>#REF!</v>
      </c>
    </row>
    <row r="506" spans="1:6">
      <c r="A506">
        <v>7785</v>
      </c>
      <c r="B506" t="s">
        <v>148</v>
      </c>
      <c r="D506" s="477" t="e">
        <v>#REF!</v>
      </c>
      <c r="E506" s="491">
        <f t="shared" si="14"/>
        <v>2.5250604908399584E-2</v>
      </c>
      <c r="F506" s="477" t="e">
        <f t="shared" si="15"/>
        <v>#REF!</v>
      </c>
    </row>
    <row r="507" spans="1:6">
      <c r="A507">
        <v>7790</v>
      </c>
      <c r="B507" t="s">
        <v>149</v>
      </c>
      <c r="D507" s="477" t="e">
        <v>#REF!</v>
      </c>
      <c r="E507" s="491">
        <f t="shared" si="14"/>
        <v>2.5250604908399584E-2</v>
      </c>
      <c r="F507" s="477" t="e">
        <f t="shared" si="15"/>
        <v>#REF!</v>
      </c>
    </row>
    <row r="508" spans="1:6">
      <c r="A508">
        <v>7795</v>
      </c>
      <c r="B508" t="s">
        <v>150</v>
      </c>
      <c r="D508" s="477" t="e">
        <v>#REF!</v>
      </c>
      <c r="E508" s="491">
        <f t="shared" si="14"/>
        <v>2.5250604908399584E-2</v>
      </c>
      <c r="F508" s="477" t="e">
        <f t="shared" si="15"/>
        <v>#REF!</v>
      </c>
    </row>
    <row r="509" spans="1:6">
      <c r="B509" t="s">
        <v>236</v>
      </c>
      <c r="D509" s="477" t="e">
        <v>#REF!</v>
      </c>
      <c r="E509" s="491">
        <f t="shared" si="14"/>
        <v>2.5250604908399584E-2</v>
      </c>
      <c r="F509" s="477" t="e">
        <f t="shared" si="15"/>
        <v>#REF!</v>
      </c>
    </row>
    <row r="510" spans="1:6">
      <c r="B510" t="s">
        <v>235</v>
      </c>
      <c r="D510" s="477" t="e">
        <v>#REF!</v>
      </c>
      <c r="E510" s="491">
        <f t="shared" si="14"/>
        <v>2.5250604908399584E-2</v>
      </c>
      <c r="F510" s="477" t="e">
        <f t="shared" si="15"/>
        <v>#REF!</v>
      </c>
    </row>
    <row r="511" spans="1:6">
      <c r="B511" t="s">
        <v>230</v>
      </c>
      <c r="C511" s="478">
        <v>30306.05</v>
      </c>
      <c r="D511" s="477">
        <v>-5352.0000000000036</v>
      </c>
      <c r="E511" s="491">
        <f t="shared" si="14"/>
        <v>2.5250604908399584E-2</v>
      </c>
      <c r="F511" s="477">
        <f t="shared" si="15"/>
        <v>-135.14123746975466</v>
      </c>
    </row>
    <row r="512" spans="1:6">
      <c r="B512" t="s">
        <v>225</v>
      </c>
      <c r="C512" s="478">
        <v>30306.05</v>
      </c>
      <c r="D512" s="477">
        <v>-5352.0000000000036</v>
      </c>
      <c r="E512" s="491">
        <f t="shared" si="14"/>
        <v>2.5250604908399584E-2</v>
      </c>
      <c r="F512" s="477">
        <f t="shared" si="15"/>
        <v>-135.14123746975466</v>
      </c>
    </row>
    <row r="513" spans="2:6">
      <c r="B513" t="s">
        <v>237</v>
      </c>
      <c r="C513" s="478">
        <v>10406779.390000001</v>
      </c>
      <c r="D513" s="477">
        <v>4758764.3500000006</v>
      </c>
      <c r="E513" s="491">
        <f t="shared" si="14"/>
        <v>2.5250604908399584E-2</v>
      </c>
      <c r="F513" s="477">
        <f t="shared" si="15"/>
        <v>120161.67845402697</v>
      </c>
    </row>
  </sheetData>
  <phoneticPr fontId="42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4"/>
  <sheetViews>
    <sheetView view="pageBreakPreview" zoomScale="75" zoomScaleNormal="100" zoomScaleSheetLayoutView="75" workbookViewId="0">
      <selection activeCell="D26" sqref="D26"/>
    </sheetView>
  </sheetViews>
  <sheetFormatPr defaultRowHeight="12"/>
  <cols>
    <col min="1" max="1" width="38.75" bestFit="1" customWidth="1"/>
    <col min="2" max="2" width="15" bestFit="1" customWidth="1"/>
    <col min="3" max="3" width="3.25" customWidth="1"/>
    <col min="4" max="4" width="17.125" bestFit="1" customWidth="1"/>
    <col min="5" max="5" width="4.375" bestFit="1" customWidth="1"/>
    <col min="6" max="6" width="14.25" bestFit="1" customWidth="1"/>
    <col min="7" max="7" width="3.625" customWidth="1"/>
    <col min="8" max="8" width="15.75" bestFit="1" customWidth="1"/>
    <col min="9" max="9" width="11.375" bestFit="1" customWidth="1"/>
    <col min="14" max="14" width="26.625" customWidth="1"/>
  </cols>
  <sheetData>
    <row r="1" spans="1:9" ht="15.75">
      <c r="A1" s="685" t="e">
        <f>#REF!</f>
        <v>#REF!</v>
      </c>
      <c r="B1" s="686"/>
      <c r="C1" s="686"/>
      <c r="D1" s="686"/>
      <c r="E1" s="686"/>
      <c r="F1" s="686"/>
      <c r="G1" s="686"/>
      <c r="H1" s="686"/>
      <c r="I1" s="686"/>
    </row>
    <row r="2" spans="1:9" ht="15.75">
      <c r="A2" s="686" t="s">
        <v>725</v>
      </c>
      <c r="B2" s="686"/>
      <c r="C2" s="686"/>
      <c r="D2" s="686"/>
      <c r="E2" s="686"/>
      <c r="F2" s="686"/>
      <c r="G2" s="686"/>
      <c r="H2" s="686"/>
      <c r="I2" s="686"/>
    </row>
    <row r="3" spans="1:9" ht="15.75">
      <c r="A3" s="686" t="e">
        <f>#REF!</f>
        <v>#REF!</v>
      </c>
      <c r="B3" s="686"/>
      <c r="C3" s="686"/>
      <c r="D3" s="686"/>
      <c r="E3" s="686"/>
      <c r="F3" s="686"/>
      <c r="G3" s="686"/>
      <c r="H3" s="686"/>
      <c r="I3" s="686"/>
    </row>
    <row r="4" spans="1:9" ht="15.75">
      <c r="A4" s="686"/>
      <c r="B4" s="686"/>
      <c r="C4" s="686"/>
      <c r="D4" s="686"/>
      <c r="E4" s="686"/>
      <c r="F4" s="686"/>
      <c r="G4" s="686"/>
      <c r="H4" s="686"/>
      <c r="I4" s="686"/>
    </row>
    <row r="5" spans="1:9" ht="15.75">
      <c r="A5" s="686"/>
      <c r="B5" s="687"/>
      <c r="C5" s="687"/>
      <c r="D5" s="687" t="s">
        <v>732</v>
      </c>
      <c r="E5" s="687"/>
      <c r="F5" s="687" t="s">
        <v>895</v>
      </c>
      <c r="G5" s="687"/>
      <c r="H5" s="687" t="s">
        <v>83</v>
      </c>
      <c r="I5" s="687" t="s">
        <v>733</v>
      </c>
    </row>
    <row r="6" spans="1:9" ht="16.5" thickBot="1">
      <c r="A6" s="686"/>
      <c r="B6" s="687" t="s">
        <v>252</v>
      </c>
      <c r="C6" s="687"/>
      <c r="D6" s="687" t="s">
        <v>734</v>
      </c>
      <c r="E6" s="687"/>
      <c r="F6" s="687" t="s">
        <v>726</v>
      </c>
      <c r="G6" s="687"/>
      <c r="H6" s="687" t="s">
        <v>250</v>
      </c>
      <c r="I6" s="687" t="s">
        <v>889</v>
      </c>
    </row>
    <row r="7" spans="1:9" ht="15.75">
      <c r="A7" s="690" t="s">
        <v>727</v>
      </c>
      <c r="B7" s="691">
        <v>126569.41</v>
      </c>
      <c r="C7" s="691" t="s">
        <v>257</v>
      </c>
      <c r="D7" s="691">
        <v>4259.3599999999997</v>
      </c>
      <c r="E7" s="691" t="s">
        <v>258</v>
      </c>
      <c r="F7" s="691">
        <v>114672.65726546837</v>
      </c>
      <c r="G7" s="691" t="s">
        <v>259</v>
      </c>
      <c r="H7" s="691">
        <f>SUM(D7:F7)</f>
        <v>118932.01726546837</v>
      </c>
      <c r="I7" s="692">
        <f>H7-B7</f>
        <v>-7637.3927345316333</v>
      </c>
    </row>
    <row r="8" spans="1:9" ht="15.75">
      <c r="A8" s="693" t="s">
        <v>728</v>
      </c>
      <c r="B8" s="694">
        <v>-76134.69</v>
      </c>
      <c r="C8" s="694" t="s">
        <v>257</v>
      </c>
      <c r="D8" s="694">
        <v>0</v>
      </c>
      <c r="E8" s="694"/>
      <c r="F8" s="694">
        <v>-68759.43110179744</v>
      </c>
      <c r="G8" s="694" t="s">
        <v>1061</v>
      </c>
      <c r="H8" s="694">
        <f>SUM(D8:F8)</f>
        <v>-68759.43110179744</v>
      </c>
      <c r="I8" s="695">
        <f>H8-B8</f>
        <v>7375.2588982025627</v>
      </c>
    </row>
    <row r="9" spans="1:9" ht="15.75">
      <c r="A9" s="693"/>
      <c r="B9" s="696"/>
      <c r="C9" s="696"/>
      <c r="D9" s="696"/>
      <c r="E9" s="696"/>
      <c r="F9" s="696"/>
      <c r="G9" s="696"/>
      <c r="H9" s="696"/>
      <c r="I9" s="697"/>
    </row>
    <row r="10" spans="1:9" ht="15.75">
      <c r="A10" s="693" t="s">
        <v>729</v>
      </c>
      <c r="B10" s="694">
        <v>477956.02</v>
      </c>
      <c r="C10" s="694" t="s">
        <v>257</v>
      </c>
      <c r="D10" s="694">
        <v>470606.67</v>
      </c>
      <c r="E10" s="694" t="s">
        <v>258</v>
      </c>
      <c r="F10" s="694">
        <v>6637.4116296232278</v>
      </c>
      <c r="G10" s="694" t="s">
        <v>1062</v>
      </c>
      <c r="H10" s="694">
        <f>SUM(D10:F10)</f>
        <v>477244.08162962319</v>
      </c>
      <c r="I10" s="695">
        <f>H10-B10</f>
        <v>-711.93837037682533</v>
      </c>
    </row>
    <row r="11" spans="1:9" ht="15.75">
      <c r="A11" s="693" t="s">
        <v>730</v>
      </c>
      <c r="B11" s="694">
        <v>-416829.09</v>
      </c>
      <c r="C11" s="694" t="s">
        <v>257</v>
      </c>
      <c r="D11" s="694">
        <v>-412272.28</v>
      </c>
      <c r="E11" s="694" t="s">
        <v>258</v>
      </c>
      <c r="F11" s="694">
        <v>-4115.3832314206702</v>
      </c>
      <c r="G11" s="694" t="s">
        <v>1063</v>
      </c>
      <c r="H11" s="694">
        <f>SUM(D11:F11)</f>
        <v>-416387.66323142068</v>
      </c>
      <c r="I11" s="695">
        <f>H11-B11</f>
        <v>441.42676857934566</v>
      </c>
    </row>
    <row r="12" spans="1:9" ht="15.75">
      <c r="A12" s="693"/>
      <c r="B12" s="696"/>
      <c r="C12" s="696"/>
      <c r="D12" s="696"/>
      <c r="E12" s="696"/>
      <c r="F12" s="696"/>
      <c r="G12" s="696"/>
      <c r="H12" s="696"/>
      <c r="I12" s="697"/>
    </row>
    <row r="13" spans="1:9" ht="15.75">
      <c r="A13" s="693" t="s">
        <v>101</v>
      </c>
      <c r="B13" s="694">
        <v>518128.17</v>
      </c>
      <c r="C13" s="694" t="s">
        <v>257</v>
      </c>
      <c r="D13" s="694">
        <v>45816.600000000006</v>
      </c>
      <c r="E13" s="694" t="s">
        <v>1059</v>
      </c>
      <c r="F13" s="694">
        <v>426558.16444780503</v>
      </c>
      <c r="G13" s="694" t="s">
        <v>1064</v>
      </c>
      <c r="H13" s="694">
        <f>SUM(D13:F13)</f>
        <v>472374.76444780501</v>
      </c>
      <c r="I13" s="695">
        <f>H13-B13</f>
        <v>-45753.405552194978</v>
      </c>
    </row>
    <row r="14" spans="1:9" ht="15.75">
      <c r="A14" s="693" t="s">
        <v>731</v>
      </c>
      <c r="B14" s="689">
        <v>-122363.03</v>
      </c>
      <c r="C14" s="689" t="s">
        <v>257</v>
      </c>
      <c r="D14" s="689">
        <v>-25584.6</v>
      </c>
      <c r="E14" s="689" t="s">
        <v>1060</v>
      </c>
      <c r="F14" s="689">
        <v>-87403.383404942957</v>
      </c>
      <c r="G14" s="689" t="s">
        <v>1065</v>
      </c>
      <c r="H14" s="689">
        <f>SUM(D14:F14)</f>
        <v>-112987.98340494296</v>
      </c>
      <c r="I14" s="698">
        <f>H14-B14</f>
        <v>9375.046595057036</v>
      </c>
    </row>
    <row r="15" spans="1:9" ht="15.75">
      <c r="A15" s="693"/>
      <c r="B15" s="696"/>
      <c r="C15" s="696"/>
      <c r="D15" s="696"/>
      <c r="E15" s="696"/>
      <c r="F15" s="696"/>
      <c r="G15" s="696"/>
      <c r="H15" s="696"/>
      <c r="I15" s="697"/>
    </row>
    <row r="16" spans="1:9" ht="16.5" thickBot="1">
      <c r="A16" s="702"/>
      <c r="B16" s="700"/>
      <c r="C16" s="700"/>
      <c r="D16" s="700"/>
      <c r="E16" s="700"/>
      <c r="F16" s="700"/>
      <c r="G16" s="700"/>
      <c r="H16" s="700" t="s">
        <v>1058</v>
      </c>
      <c r="I16" s="701">
        <f>SUM(I7:I14)</f>
        <v>-36911.004395264492</v>
      </c>
    </row>
    <row r="17" spans="1:9" ht="16.5" thickBot="1">
      <c r="A17" s="686"/>
      <c r="B17" s="686"/>
      <c r="C17" s="686"/>
      <c r="D17" s="686"/>
      <c r="E17" s="686"/>
      <c r="F17" s="686"/>
      <c r="G17" s="686"/>
      <c r="H17" s="686"/>
      <c r="I17" s="688"/>
    </row>
    <row r="18" spans="1:9" ht="16.5" thickBot="1">
      <c r="A18" s="703" t="s">
        <v>735</v>
      </c>
      <c r="B18" s="704" t="s">
        <v>741</v>
      </c>
      <c r="C18" s="704"/>
      <c r="D18" s="704" t="s">
        <v>738</v>
      </c>
      <c r="E18" s="704"/>
      <c r="F18" s="704" t="s">
        <v>740</v>
      </c>
      <c r="G18" s="704"/>
      <c r="H18" s="705"/>
      <c r="I18" s="706"/>
    </row>
    <row r="19" spans="1:9" ht="15.75">
      <c r="A19" s="693"/>
      <c r="B19" s="707" t="s">
        <v>742</v>
      </c>
      <c r="C19" s="707"/>
      <c r="D19" s="707" t="s">
        <v>737</v>
      </c>
      <c r="E19" s="707"/>
      <c r="F19" s="707" t="s">
        <v>739</v>
      </c>
      <c r="G19" s="707"/>
      <c r="H19" s="696"/>
      <c r="I19" s="697"/>
    </row>
    <row r="20" spans="1:9" ht="16.5" thickBot="1">
      <c r="A20" s="699" t="s">
        <v>736</v>
      </c>
      <c r="B20" s="708">
        <v>7077652</v>
      </c>
      <c r="C20" s="708" t="s">
        <v>475</v>
      </c>
      <c r="D20" s="709">
        <f>'wp c3'!E3</f>
        <v>2.5250604908399584E-2</v>
      </c>
      <c r="E20" s="709"/>
      <c r="F20" s="710">
        <f>B20*D20</f>
        <v>178714.99433114415</v>
      </c>
      <c r="G20" s="710"/>
      <c r="H20" s="700"/>
      <c r="I20" s="711"/>
    </row>
    <row r="21" spans="1:9" ht="15.75">
      <c r="A21" s="686"/>
      <c r="B21" s="686"/>
      <c r="C21" s="686"/>
      <c r="D21" s="686"/>
      <c r="E21" s="686"/>
      <c r="F21" s="686"/>
      <c r="G21" s="686"/>
      <c r="H21" s="686"/>
      <c r="I21" s="686"/>
    </row>
    <row r="22" spans="1:9" ht="15.75">
      <c r="A22" s="686" t="s">
        <v>476</v>
      </c>
      <c r="B22" s="686"/>
      <c r="C22" s="686"/>
      <c r="D22" s="686"/>
      <c r="E22" s="686"/>
      <c r="F22" s="686"/>
      <c r="G22" s="686"/>
      <c r="H22" s="686"/>
      <c r="I22" s="686"/>
    </row>
    <row r="23" spans="1:9" ht="15.75">
      <c r="A23" s="686"/>
      <c r="B23" s="686"/>
      <c r="C23" s="686"/>
      <c r="D23" s="686"/>
      <c r="E23" s="686"/>
      <c r="F23" s="686"/>
      <c r="G23" s="686"/>
      <c r="H23" s="686"/>
      <c r="I23" s="686"/>
    </row>
    <row r="24" spans="1:9" ht="15.75">
      <c r="A24" s="686"/>
      <c r="B24" s="686"/>
      <c r="C24" s="686"/>
      <c r="D24" s="686"/>
      <c r="E24" s="686"/>
      <c r="F24" s="686"/>
      <c r="G24" s="686"/>
      <c r="H24" s="686"/>
      <c r="I24" s="686"/>
    </row>
  </sheetData>
  <phoneticPr fontId="0" type="noConversion"/>
  <pageMargins left="0.7" right="0.7" top="0.75" bottom="0.75" header="0.3" footer="0.3"/>
  <pageSetup scale="6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5"/>
  </sheetPr>
  <dimension ref="A1:AL65516"/>
  <sheetViews>
    <sheetView showGridLines="0" workbookViewId="0">
      <pane xSplit="2" ySplit="9" topLeftCell="F16" activePane="bottomRight" state="frozen"/>
      <selection activeCell="R7" sqref="R7"/>
      <selection pane="topRight" activeCell="R7" sqref="R7"/>
      <selection pane="bottomLeft" activeCell="R7" sqref="R7"/>
      <selection pane="bottomRight" activeCell="R7" sqref="R7"/>
    </sheetView>
  </sheetViews>
  <sheetFormatPr defaultColWidth="12.5" defaultRowHeight="13.5"/>
  <cols>
    <col min="1" max="1" width="9.5" style="513" customWidth="1"/>
    <col min="2" max="2" width="1.5" style="513" customWidth="1"/>
    <col min="3" max="3" width="7.25" style="513" bestFit="1" customWidth="1"/>
    <col min="4" max="4" width="1.5" style="513" customWidth="1"/>
    <col min="5" max="5" width="9.375" style="513" bestFit="1" customWidth="1"/>
    <col min="6" max="6" width="1.5" style="513" customWidth="1"/>
    <col min="7" max="7" width="8.75" style="513" bestFit="1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customWidth="1"/>
    <col min="15" max="15" width="13.875" style="513" customWidth="1"/>
    <col min="16" max="16" width="2.625" style="513" bestFit="1" customWidth="1"/>
    <col min="17" max="17" width="2.125" style="513" customWidth="1"/>
    <col min="18" max="18" width="12.5" style="513" customWidth="1"/>
    <col min="19" max="19" width="1.5" style="513" customWidth="1"/>
    <col min="20" max="20" width="12.5" style="513" customWidth="1"/>
    <col min="21" max="21" width="1.5" style="513" customWidth="1"/>
    <col min="22" max="22" width="12.5" style="513" customWidth="1"/>
    <col min="23" max="23" width="1.5" style="513" customWidth="1"/>
    <col min="24" max="24" width="12.5" style="513" customWidth="1"/>
    <col min="25" max="25" width="1.5" style="513" customWidth="1"/>
    <col min="26" max="26" width="12.5" style="513" customWidth="1"/>
    <col min="27" max="27" width="1.5" style="513" customWidth="1"/>
    <col min="28" max="28" width="12.5" style="513" customWidth="1"/>
    <col min="29" max="29" width="1.5" style="513" customWidth="1"/>
    <col min="30" max="16384" width="12.5" style="513"/>
  </cols>
  <sheetData>
    <row r="1" spans="1:38" ht="15">
      <c r="O1" s="514"/>
      <c r="P1" s="515"/>
      <c r="R1" s="516" t="s">
        <v>65</v>
      </c>
      <c r="S1" s="516"/>
      <c r="T1" s="517" t="s">
        <v>271</v>
      </c>
    </row>
    <row r="2" spans="1:38">
      <c r="O2" s="514"/>
      <c r="P2" s="515"/>
      <c r="R2" s="518" t="s">
        <v>294</v>
      </c>
      <c r="S2" s="518"/>
      <c r="T2" s="546" t="e">
        <f>'Sch.D&amp;E-REV'!K601</f>
        <v>#REF!</v>
      </c>
    </row>
    <row r="3" spans="1:38">
      <c r="A3" s="513" t="s">
        <v>273</v>
      </c>
      <c r="M3" s="520" t="s">
        <v>295</v>
      </c>
      <c r="P3" s="515"/>
      <c r="R3" s="518" t="s">
        <v>296</v>
      </c>
      <c r="S3" s="518"/>
      <c r="T3" s="595" t="e">
        <f>'Sch.D&amp;E-REV'!D594</f>
        <v>#REF!</v>
      </c>
    </row>
    <row r="4" spans="1:38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  <c r="R4" s="518" t="s">
        <v>275</v>
      </c>
      <c r="S4" s="518"/>
      <c r="T4" s="595" t="e">
        <f>'Sch.D&amp;E-REV'!D595</f>
        <v>#REF!</v>
      </c>
    </row>
    <row r="5" spans="1:38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  <c r="R5" s="518" t="s">
        <v>277</v>
      </c>
      <c r="S5" s="518"/>
      <c r="T5" s="595" t="e">
        <f>'Sch.D&amp;E-REV'!D596</f>
        <v>#REF!</v>
      </c>
    </row>
    <row r="6" spans="1:38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  <c r="R6" s="518" t="s">
        <v>280</v>
      </c>
      <c r="S6" s="518"/>
      <c r="T6" s="595" t="e">
        <f>'Sch.D&amp;E-REV'!D597</f>
        <v>#REF!</v>
      </c>
    </row>
    <row r="7" spans="1:38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  <c r="R7" s="518" t="s">
        <v>287</v>
      </c>
      <c r="S7" s="518"/>
      <c r="T7" s="595" t="e">
        <f>'Sch.D&amp;E-REV'!D598</f>
        <v>#REF!</v>
      </c>
    </row>
    <row r="8" spans="1:38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38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  <c r="T9" s="530"/>
      <c r="U9" s="530"/>
      <c r="V9" s="530"/>
      <c r="W9" s="530"/>
      <c r="X9" s="530"/>
      <c r="Y9" s="530"/>
      <c r="Z9" s="530"/>
      <c r="AA9" s="530"/>
      <c r="AB9" s="530">
        <v>100000</v>
      </c>
      <c r="AC9" s="530"/>
      <c r="AD9" s="530"/>
      <c r="AE9" s="530"/>
      <c r="AF9" s="530"/>
      <c r="AG9" s="530"/>
      <c r="AH9" s="530"/>
      <c r="AI9" s="530"/>
      <c r="AJ9" s="530"/>
      <c r="AK9" s="530"/>
      <c r="AL9" s="530"/>
    </row>
    <row r="10" spans="1:38">
      <c r="A10" s="531">
        <f t="shared" ref="A10:A24" si="0">P10*1000</f>
        <v>0</v>
      </c>
      <c r="B10" s="515"/>
      <c r="C10" s="532">
        <v>7</v>
      </c>
      <c r="D10" s="533"/>
      <c r="E10" s="533">
        <f>C10</f>
        <v>7</v>
      </c>
      <c r="F10" s="533"/>
      <c r="G10" s="533">
        <f t="shared" ref="G10:G24" si="1">A10*C10</f>
        <v>0</v>
      </c>
      <c r="H10" s="533"/>
      <c r="I10" s="533">
        <f>G10</f>
        <v>0</v>
      </c>
      <c r="J10" s="533"/>
      <c r="K10" s="533">
        <f t="shared" ref="K10:K24" si="2">$E$24-E10</f>
        <v>92</v>
      </c>
      <c r="L10" s="533"/>
      <c r="M10" s="533">
        <f t="shared" ref="M10:M24" si="3">(A10*K10)+I10</f>
        <v>0</v>
      </c>
      <c r="N10" s="515"/>
      <c r="O10" s="534">
        <f t="shared" ref="O10:O24" si="4">I10/$I$24</f>
        <v>0</v>
      </c>
      <c r="P10" s="532">
        <v>0</v>
      </c>
      <c r="R10" s="535"/>
      <c r="T10" s="536" t="e">
        <f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  <c r="U10" s="535"/>
      <c r="V10" s="535"/>
      <c r="W10" s="535"/>
      <c r="X10" s="535"/>
      <c r="Y10" s="535"/>
      <c r="Z10" s="535"/>
      <c r="AA10" s="535"/>
      <c r="AB10" s="535"/>
      <c r="AC10" s="535"/>
    </row>
    <row r="11" spans="1:38">
      <c r="A11" s="531">
        <f t="shared" si="0"/>
        <v>1000</v>
      </c>
      <c r="B11" s="515"/>
      <c r="C11" s="532">
        <v>8</v>
      </c>
      <c r="D11" s="533"/>
      <c r="E11" s="533">
        <f t="shared" ref="E11:E24" si="5">E10+C11</f>
        <v>15</v>
      </c>
      <c r="F11" s="533"/>
      <c r="G11" s="533">
        <f t="shared" si="1"/>
        <v>8000</v>
      </c>
      <c r="H11" s="533"/>
      <c r="I11" s="533">
        <f t="shared" ref="I11:I24" si="6">G11+I10</f>
        <v>8000</v>
      </c>
      <c r="J11" s="533"/>
      <c r="K11" s="533">
        <f t="shared" si="2"/>
        <v>84</v>
      </c>
      <c r="L11" s="533"/>
      <c r="M11" s="533">
        <f t="shared" si="3"/>
        <v>92000</v>
      </c>
      <c r="N11" s="515"/>
      <c r="O11" s="534">
        <f t="shared" si="4"/>
        <v>1.9230769230769232E-2</v>
      </c>
      <c r="P11" s="532">
        <v>1</v>
      </c>
      <c r="R11" s="535"/>
      <c r="T11" s="536" t="e">
        <f>IF(A11&lt;1000,C11*$T$2,IF(A11=1000,C11*$T$2,IF(AND(A11&lt;11000,A11&gt;6000),(C11*$T$2)+((A11-1000)*C11/1000*$T$3),IF(AND(A11&gt;10000,A11&lt;26000),(C11*$T$2)+(9*$T$3*C11)+((A11-10000)/1000*$T$4*C11),IF(AND(A11&lt;51000,A11&gt;25000),(C11*$T$2)+(9*$T$3*C11)+(15*$T$4*C11)+((A11-25000)/1000*$T$5*C11),IF(AND(A11&lt;101000,A11&gt;50000),(C11*$T$2)+(9*$T$3*C11)+(15*$T$4*C11)+(25*$T$5*C11)+((A11-50000)/1000*$T$6*C11),IF(A11&gt;100000,(C11*$T$2)+(9*$T$3*C11)+(15*$T$4*C11)+(25*$T$5*C11)+(50*$T$6*C11)+((A11-100000)/1000*$T$7*C11))))))))</f>
        <v>#REF!</v>
      </c>
      <c r="U11" s="535"/>
      <c r="V11" s="535"/>
      <c r="W11" s="535"/>
      <c r="X11" s="535"/>
      <c r="Y11" s="535"/>
      <c r="Z11" s="535"/>
      <c r="AA11" s="535"/>
      <c r="AB11" s="535"/>
      <c r="AC11" s="535"/>
    </row>
    <row r="12" spans="1:38">
      <c r="A12" s="531">
        <f t="shared" si="0"/>
        <v>2000</v>
      </c>
      <c r="B12" s="515"/>
      <c r="C12" s="532">
        <v>25</v>
      </c>
      <c r="D12" s="533"/>
      <c r="E12" s="533">
        <f t="shared" si="5"/>
        <v>40</v>
      </c>
      <c r="F12" s="533"/>
      <c r="G12" s="533">
        <f t="shared" si="1"/>
        <v>50000</v>
      </c>
      <c r="H12" s="533"/>
      <c r="I12" s="533">
        <f t="shared" si="6"/>
        <v>58000</v>
      </c>
      <c r="J12" s="533"/>
      <c r="K12" s="533">
        <f t="shared" si="2"/>
        <v>59</v>
      </c>
      <c r="L12" s="533"/>
      <c r="M12" s="533">
        <f t="shared" si="3"/>
        <v>176000</v>
      </c>
      <c r="N12" s="515"/>
      <c r="O12" s="534">
        <f t="shared" si="4"/>
        <v>0.13942307692307693</v>
      </c>
      <c r="P12" s="532">
        <v>2</v>
      </c>
      <c r="R12" s="535"/>
      <c r="T12" s="536" t="e">
        <f t="shared" ref="T12:T24" si="7">IF(A12&lt;1000,C12*$T$2,IF(A12=1000,C12*$T$2,IF(AND(A12&lt;11000,A12&gt;1000),(C12*$T$2)+((A12-1000)*C12/1000*$T$3),IF(AND(A12&gt;10000,A12&lt;26000),(C12*$T$2)+(9*$T$3*C12)+((A12-10000)/1000*$T$4*C12),IF(AND(A12&lt;51000,A12&gt;25000),(C12*$T$2)+(9*$T$3*C12)+(15*$T$4*C12)+((A12-25000)/1000*$T$5*C12),IF(AND(A12&lt;101000,A12&gt;50000),(C12*$T$2)+(9*$T$3*C12)+(15*$T$4*C12)+(25*$T$5*C12)+((A12-50000)/1000*$T$6*C12),IF(A12&gt;100000,(C12*$T$2)+(9*$T$3*C12)+(15*$T$4*C12)+(25*$T$5*C12)+(50*$T$6*C12)+((A12-100000)/1000*$T$7*C12))))))))</f>
        <v>#REF!</v>
      </c>
      <c r="U12" s="535"/>
      <c r="V12" s="535"/>
      <c r="W12" s="535"/>
      <c r="X12" s="535"/>
      <c r="Y12" s="535"/>
      <c r="Z12" s="535"/>
      <c r="AA12" s="535"/>
      <c r="AB12" s="535"/>
      <c r="AC12" s="535"/>
    </row>
    <row r="13" spans="1:38">
      <c r="A13" s="531">
        <f t="shared" si="0"/>
        <v>3000</v>
      </c>
      <c r="B13" s="515"/>
      <c r="C13" s="532">
        <v>15</v>
      </c>
      <c r="D13" s="533"/>
      <c r="E13" s="533">
        <f t="shared" si="5"/>
        <v>55</v>
      </c>
      <c r="F13" s="533"/>
      <c r="G13" s="533">
        <f t="shared" si="1"/>
        <v>45000</v>
      </c>
      <c r="H13" s="533"/>
      <c r="I13" s="533">
        <f t="shared" si="6"/>
        <v>103000</v>
      </c>
      <c r="J13" s="533"/>
      <c r="K13" s="533">
        <f t="shared" si="2"/>
        <v>44</v>
      </c>
      <c r="L13" s="533"/>
      <c r="M13" s="533">
        <f t="shared" si="3"/>
        <v>235000</v>
      </c>
      <c r="N13" s="515"/>
      <c r="O13" s="534">
        <f t="shared" si="4"/>
        <v>0.24759615384615385</v>
      </c>
      <c r="P13" s="532">
        <v>3</v>
      </c>
      <c r="R13" s="535"/>
      <c r="T13" s="536" t="e">
        <f t="shared" si="7"/>
        <v>#REF!</v>
      </c>
      <c r="U13" s="535"/>
      <c r="V13" s="535"/>
      <c r="W13" s="535"/>
      <c r="X13" s="535"/>
      <c r="Y13" s="535"/>
      <c r="Z13" s="535"/>
      <c r="AA13" s="535"/>
      <c r="AB13" s="535"/>
      <c r="AC13" s="535"/>
    </row>
    <row r="14" spans="1:38">
      <c r="A14" s="531">
        <f t="shared" si="0"/>
        <v>4000</v>
      </c>
      <c r="B14" s="515"/>
      <c r="C14" s="532">
        <v>6</v>
      </c>
      <c r="D14" s="533"/>
      <c r="E14" s="533">
        <f t="shared" si="5"/>
        <v>61</v>
      </c>
      <c r="F14" s="533"/>
      <c r="G14" s="533">
        <f t="shared" si="1"/>
        <v>24000</v>
      </c>
      <c r="H14" s="533"/>
      <c r="I14" s="533">
        <f t="shared" si="6"/>
        <v>127000</v>
      </c>
      <c r="J14" s="533"/>
      <c r="K14" s="533">
        <f t="shared" si="2"/>
        <v>38</v>
      </c>
      <c r="L14" s="533"/>
      <c r="M14" s="533">
        <f t="shared" si="3"/>
        <v>279000</v>
      </c>
      <c r="N14" s="515"/>
      <c r="O14" s="534">
        <f t="shared" si="4"/>
        <v>0.30528846153846156</v>
      </c>
      <c r="P14" s="532">
        <v>4</v>
      </c>
      <c r="R14" s="535"/>
      <c r="T14" s="536" t="e">
        <f t="shared" si="7"/>
        <v>#REF!</v>
      </c>
      <c r="U14" s="535"/>
      <c r="V14" s="535"/>
      <c r="W14" s="535"/>
      <c r="X14" s="535"/>
      <c r="Y14" s="535"/>
      <c r="Z14" s="535"/>
      <c r="AA14" s="535"/>
      <c r="AB14" s="535"/>
      <c r="AC14" s="535"/>
    </row>
    <row r="15" spans="1:38">
      <c r="A15" s="531">
        <f t="shared" si="0"/>
        <v>5000</v>
      </c>
      <c r="B15" s="515"/>
      <c r="C15" s="532">
        <v>9</v>
      </c>
      <c r="D15" s="533"/>
      <c r="E15" s="533">
        <f t="shared" si="5"/>
        <v>70</v>
      </c>
      <c r="F15" s="533"/>
      <c r="G15" s="533">
        <f t="shared" si="1"/>
        <v>45000</v>
      </c>
      <c r="H15" s="533"/>
      <c r="I15" s="533">
        <f t="shared" si="6"/>
        <v>172000</v>
      </c>
      <c r="J15" s="533"/>
      <c r="K15" s="533">
        <f t="shared" si="2"/>
        <v>29</v>
      </c>
      <c r="L15" s="533"/>
      <c r="M15" s="533">
        <f t="shared" si="3"/>
        <v>317000</v>
      </c>
      <c r="N15" s="515"/>
      <c r="O15" s="534">
        <f t="shared" si="4"/>
        <v>0.41346153846153844</v>
      </c>
      <c r="P15" s="532">
        <v>5</v>
      </c>
      <c r="R15" s="535"/>
      <c r="T15" s="536" t="e">
        <f t="shared" si="7"/>
        <v>#REF!</v>
      </c>
      <c r="U15" s="535"/>
      <c r="V15" s="535"/>
      <c r="W15" s="535"/>
      <c r="X15" s="535"/>
      <c r="Y15" s="535"/>
      <c r="Z15" s="535"/>
      <c r="AA15" s="535"/>
      <c r="AB15" s="535"/>
      <c r="AC15" s="535"/>
    </row>
    <row r="16" spans="1:38">
      <c r="A16" s="531">
        <f t="shared" si="0"/>
        <v>6000</v>
      </c>
      <c r="B16" s="515"/>
      <c r="C16" s="532">
        <v>7</v>
      </c>
      <c r="D16" s="533"/>
      <c r="E16" s="533">
        <f t="shared" si="5"/>
        <v>77</v>
      </c>
      <c r="F16" s="533"/>
      <c r="G16" s="533">
        <f t="shared" si="1"/>
        <v>42000</v>
      </c>
      <c r="H16" s="533"/>
      <c r="I16" s="533">
        <f t="shared" si="6"/>
        <v>214000</v>
      </c>
      <c r="J16" s="533"/>
      <c r="K16" s="533">
        <f t="shared" si="2"/>
        <v>22</v>
      </c>
      <c r="L16" s="533"/>
      <c r="M16" s="533">
        <f t="shared" si="3"/>
        <v>346000</v>
      </c>
      <c r="N16" s="515"/>
      <c r="O16" s="534">
        <f t="shared" si="4"/>
        <v>0.51442307692307687</v>
      </c>
      <c r="P16" s="532">
        <v>6</v>
      </c>
      <c r="R16" s="535"/>
      <c r="T16" s="536" t="e">
        <f t="shared" si="7"/>
        <v>#REF!</v>
      </c>
      <c r="U16" s="535"/>
      <c r="V16" s="535"/>
      <c r="W16" s="535"/>
      <c r="X16" s="535"/>
      <c r="Y16" s="535"/>
      <c r="Z16" s="535"/>
      <c r="AA16" s="535"/>
      <c r="AB16" s="535"/>
      <c r="AC16" s="535"/>
    </row>
    <row r="17" spans="1:29">
      <c r="A17" s="531">
        <f t="shared" si="0"/>
        <v>7000</v>
      </c>
      <c r="B17" s="515"/>
      <c r="C17" s="532">
        <v>8</v>
      </c>
      <c r="D17" s="533"/>
      <c r="E17" s="533">
        <f t="shared" si="5"/>
        <v>85</v>
      </c>
      <c r="F17" s="533"/>
      <c r="G17" s="533">
        <f t="shared" si="1"/>
        <v>56000</v>
      </c>
      <c r="H17" s="533"/>
      <c r="I17" s="533">
        <f t="shared" si="6"/>
        <v>270000</v>
      </c>
      <c r="J17" s="533"/>
      <c r="K17" s="533">
        <f t="shared" si="2"/>
        <v>14</v>
      </c>
      <c r="L17" s="533"/>
      <c r="M17" s="533">
        <f t="shared" si="3"/>
        <v>368000</v>
      </c>
      <c r="N17" s="515"/>
      <c r="O17" s="534">
        <f t="shared" si="4"/>
        <v>0.64903846153846156</v>
      </c>
      <c r="P17" s="532">
        <v>7</v>
      </c>
      <c r="R17" s="535"/>
      <c r="T17" s="536" t="e">
        <f t="shared" si="7"/>
        <v>#REF!</v>
      </c>
      <c r="U17" s="535"/>
      <c r="V17" s="535"/>
      <c r="W17" s="535"/>
      <c r="X17" s="535"/>
      <c r="Y17" s="535"/>
      <c r="Z17" s="535"/>
      <c r="AA17" s="535"/>
      <c r="AB17" s="535"/>
      <c r="AC17" s="535"/>
    </row>
    <row r="18" spans="1:29">
      <c r="A18" s="531">
        <f t="shared" si="0"/>
        <v>8000</v>
      </c>
      <c r="B18" s="515"/>
      <c r="C18" s="532">
        <v>5</v>
      </c>
      <c r="D18" s="533"/>
      <c r="E18" s="533">
        <f t="shared" si="5"/>
        <v>90</v>
      </c>
      <c r="F18" s="533"/>
      <c r="G18" s="533">
        <f t="shared" si="1"/>
        <v>40000</v>
      </c>
      <c r="H18" s="533"/>
      <c r="I18" s="533">
        <f t="shared" si="6"/>
        <v>310000</v>
      </c>
      <c r="J18" s="533"/>
      <c r="K18" s="533">
        <f t="shared" si="2"/>
        <v>9</v>
      </c>
      <c r="L18" s="533"/>
      <c r="M18" s="533">
        <f t="shared" si="3"/>
        <v>382000</v>
      </c>
      <c r="N18" s="515"/>
      <c r="O18" s="534">
        <f t="shared" si="4"/>
        <v>0.74519230769230771</v>
      </c>
      <c r="P18" s="532">
        <v>8</v>
      </c>
      <c r="R18" s="535"/>
      <c r="T18" s="536" t="e">
        <f t="shared" si="7"/>
        <v>#REF!</v>
      </c>
      <c r="U18" s="535"/>
      <c r="V18" s="535"/>
      <c r="W18" s="535"/>
      <c r="X18" s="535"/>
      <c r="Y18" s="535"/>
      <c r="Z18" s="535"/>
      <c r="AA18" s="535"/>
      <c r="AB18" s="535"/>
      <c r="AC18" s="535"/>
    </row>
    <row r="19" spans="1:29">
      <c r="A19" s="531">
        <f t="shared" si="0"/>
        <v>9000</v>
      </c>
      <c r="B19" s="515"/>
      <c r="C19" s="532">
        <v>1</v>
      </c>
      <c r="D19" s="533"/>
      <c r="E19" s="533">
        <f t="shared" si="5"/>
        <v>91</v>
      </c>
      <c r="F19" s="533"/>
      <c r="G19" s="533">
        <f t="shared" si="1"/>
        <v>9000</v>
      </c>
      <c r="H19" s="533"/>
      <c r="I19" s="533">
        <f t="shared" si="6"/>
        <v>319000</v>
      </c>
      <c r="J19" s="533"/>
      <c r="K19" s="533">
        <f t="shared" si="2"/>
        <v>8</v>
      </c>
      <c r="L19" s="533"/>
      <c r="M19" s="533">
        <f t="shared" si="3"/>
        <v>391000</v>
      </c>
      <c r="N19" s="515"/>
      <c r="O19" s="534">
        <f t="shared" si="4"/>
        <v>0.76682692307692313</v>
      </c>
      <c r="P19" s="532">
        <v>9</v>
      </c>
      <c r="R19" s="535"/>
      <c r="T19" s="536" t="e">
        <f t="shared" si="7"/>
        <v>#REF!</v>
      </c>
      <c r="U19" s="535"/>
      <c r="V19" s="535"/>
      <c r="W19" s="535"/>
      <c r="X19" s="535"/>
      <c r="Y19" s="535"/>
      <c r="Z19" s="535"/>
      <c r="AA19" s="535"/>
      <c r="AB19" s="535"/>
      <c r="AC19" s="535"/>
    </row>
    <row r="20" spans="1:29">
      <c r="A20" s="531">
        <f t="shared" si="0"/>
        <v>10000</v>
      </c>
      <c r="B20" s="515"/>
      <c r="C20" s="532">
        <v>1</v>
      </c>
      <c r="D20" s="533"/>
      <c r="E20" s="533">
        <f t="shared" si="5"/>
        <v>92</v>
      </c>
      <c r="F20" s="533"/>
      <c r="G20" s="533">
        <f t="shared" si="1"/>
        <v>10000</v>
      </c>
      <c r="H20" s="533"/>
      <c r="I20" s="533">
        <f t="shared" si="6"/>
        <v>329000</v>
      </c>
      <c r="J20" s="533"/>
      <c r="K20" s="533">
        <f t="shared" si="2"/>
        <v>7</v>
      </c>
      <c r="L20" s="533"/>
      <c r="M20" s="533">
        <f t="shared" si="3"/>
        <v>399000</v>
      </c>
      <c r="N20" s="537"/>
      <c r="O20" s="534">
        <f t="shared" si="4"/>
        <v>0.79086538461538458</v>
      </c>
      <c r="P20" s="532">
        <v>10</v>
      </c>
      <c r="R20" s="535"/>
      <c r="T20" s="536" t="e">
        <f t="shared" si="7"/>
        <v>#REF!</v>
      </c>
      <c r="U20" s="535"/>
      <c r="V20" s="535"/>
      <c r="W20" s="535"/>
      <c r="X20" s="535"/>
      <c r="Y20" s="535"/>
      <c r="Z20" s="535"/>
      <c r="AA20" s="535"/>
      <c r="AB20" s="535"/>
      <c r="AC20" s="535"/>
    </row>
    <row r="21" spans="1:29">
      <c r="A21" s="531">
        <f t="shared" si="0"/>
        <v>11000</v>
      </c>
      <c r="B21" s="515"/>
      <c r="C21" s="532">
        <v>3</v>
      </c>
      <c r="D21" s="533"/>
      <c r="E21" s="533">
        <f t="shared" si="5"/>
        <v>95</v>
      </c>
      <c r="F21" s="533"/>
      <c r="G21" s="533">
        <f t="shared" si="1"/>
        <v>33000</v>
      </c>
      <c r="H21" s="533"/>
      <c r="I21" s="533">
        <f t="shared" si="6"/>
        <v>362000</v>
      </c>
      <c r="J21" s="533"/>
      <c r="K21" s="533">
        <f t="shared" si="2"/>
        <v>4</v>
      </c>
      <c r="L21" s="533"/>
      <c r="M21" s="533">
        <f t="shared" si="3"/>
        <v>406000</v>
      </c>
      <c r="N21" s="515"/>
      <c r="O21" s="534">
        <f t="shared" si="4"/>
        <v>0.87019230769230771</v>
      </c>
      <c r="P21" s="532">
        <v>11</v>
      </c>
      <c r="R21" s="535"/>
      <c r="T21" s="536" t="e">
        <f t="shared" si="7"/>
        <v>#REF!</v>
      </c>
      <c r="U21" s="535"/>
      <c r="V21" s="535"/>
      <c r="W21" s="535"/>
      <c r="X21" s="535"/>
      <c r="Y21" s="535"/>
      <c r="Z21" s="535"/>
      <c r="AA21" s="535"/>
      <c r="AB21" s="535"/>
      <c r="AC21" s="535"/>
    </row>
    <row r="22" spans="1:29">
      <c r="A22" s="531">
        <f t="shared" si="0"/>
        <v>12000</v>
      </c>
      <c r="B22" s="515"/>
      <c r="C22" s="532">
        <v>2</v>
      </c>
      <c r="D22" s="533"/>
      <c r="E22" s="533">
        <f t="shared" si="5"/>
        <v>97</v>
      </c>
      <c r="F22" s="533"/>
      <c r="G22" s="533">
        <f t="shared" si="1"/>
        <v>24000</v>
      </c>
      <c r="H22" s="533"/>
      <c r="I22" s="533">
        <f t="shared" si="6"/>
        <v>386000</v>
      </c>
      <c r="J22" s="533"/>
      <c r="K22" s="533">
        <f t="shared" si="2"/>
        <v>2</v>
      </c>
      <c r="L22" s="533"/>
      <c r="M22" s="533">
        <f t="shared" si="3"/>
        <v>410000</v>
      </c>
      <c r="N22" s="515"/>
      <c r="O22" s="534">
        <f t="shared" si="4"/>
        <v>0.92788461538461542</v>
      </c>
      <c r="P22" s="532">
        <v>12</v>
      </c>
      <c r="R22" s="535"/>
      <c r="T22" s="536" t="e">
        <f t="shared" si="7"/>
        <v>#REF!</v>
      </c>
      <c r="U22" s="535"/>
      <c r="V22" s="535"/>
      <c r="W22" s="535"/>
      <c r="X22" s="535"/>
      <c r="Y22" s="535"/>
      <c r="Z22" s="535"/>
      <c r="AA22" s="535"/>
      <c r="AB22" s="535"/>
      <c r="AC22" s="535"/>
    </row>
    <row r="23" spans="1:29">
      <c r="A23" s="531">
        <f t="shared" si="0"/>
        <v>14000</v>
      </c>
      <c r="B23" s="515"/>
      <c r="C23" s="532">
        <v>1</v>
      </c>
      <c r="D23" s="533"/>
      <c r="E23" s="533">
        <f t="shared" si="5"/>
        <v>98</v>
      </c>
      <c r="F23" s="533"/>
      <c r="G23" s="533">
        <f t="shared" si="1"/>
        <v>14000</v>
      </c>
      <c r="H23" s="533"/>
      <c r="I23" s="533">
        <f t="shared" si="6"/>
        <v>400000</v>
      </c>
      <c r="J23" s="533"/>
      <c r="K23" s="533">
        <f t="shared" si="2"/>
        <v>1</v>
      </c>
      <c r="L23" s="533"/>
      <c r="M23" s="533">
        <f t="shared" si="3"/>
        <v>414000</v>
      </c>
      <c r="N23" s="515"/>
      <c r="O23" s="534">
        <f t="shared" si="4"/>
        <v>0.96153846153846156</v>
      </c>
      <c r="P23" s="532">
        <v>14</v>
      </c>
      <c r="R23" s="535"/>
      <c r="T23" s="536" t="e">
        <f t="shared" si="7"/>
        <v>#REF!</v>
      </c>
      <c r="U23" s="535"/>
      <c r="V23" s="535"/>
      <c r="W23" s="535"/>
      <c r="X23" s="535"/>
      <c r="Y23" s="535"/>
      <c r="Z23" s="535"/>
      <c r="AA23" s="535"/>
      <c r="AB23" s="535"/>
      <c r="AC23" s="535"/>
    </row>
    <row r="24" spans="1:29">
      <c r="A24" s="531">
        <f t="shared" si="0"/>
        <v>16000</v>
      </c>
      <c r="B24" s="525"/>
      <c r="C24" s="532">
        <v>1</v>
      </c>
      <c r="D24" s="525"/>
      <c r="E24" s="533">
        <f t="shared" si="5"/>
        <v>99</v>
      </c>
      <c r="F24" s="533"/>
      <c r="G24" s="533">
        <f t="shared" si="1"/>
        <v>16000</v>
      </c>
      <c r="H24" s="533"/>
      <c r="I24" s="533">
        <f t="shared" si="6"/>
        <v>416000</v>
      </c>
      <c r="J24" s="533"/>
      <c r="K24" s="533">
        <f t="shared" si="2"/>
        <v>0</v>
      </c>
      <c r="L24" s="533"/>
      <c r="M24" s="533">
        <f t="shared" si="3"/>
        <v>416000</v>
      </c>
      <c r="N24" s="515"/>
      <c r="O24" s="534">
        <f t="shared" si="4"/>
        <v>1</v>
      </c>
      <c r="P24" s="532">
        <v>16</v>
      </c>
      <c r="T24" s="536" t="e">
        <f t="shared" si="7"/>
        <v>#REF!</v>
      </c>
    </row>
    <row r="25" spans="1:29">
      <c r="A25" s="531"/>
      <c r="B25" s="525"/>
      <c r="C25" s="547"/>
      <c r="D25" s="525"/>
      <c r="E25" s="533"/>
      <c r="F25" s="533"/>
      <c r="G25" s="533"/>
      <c r="H25" s="533"/>
      <c r="I25" s="533"/>
      <c r="J25" s="525"/>
      <c r="K25" s="533"/>
      <c r="L25" s="533"/>
      <c r="M25" s="533"/>
      <c r="N25" s="515"/>
      <c r="O25" s="534"/>
      <c r="P25" s="532"/>
      <c r="T25" s="547"/>
    </row>
    <row r="26" spans="1:29">
      <c r="A26" s="531"/>
      <c r="B26" s="525"/>
      <c r="C26" s="547"/>
      <c r="D26" s="525"/>
      <c r="E26" s="533"/>
      <c r="F26" s="533"/>
      <c r="G26" s="533"/>
      <c r="H26" s="533"/>
      <c r="I26" s="533"/>
      <c r="J26" s="525"/>
      <c r="K26" s="533"/>
      <c r="L26" s="533"/>
      <c r="M26" s="533"/>
      <c r="N26" s="515"/>
      <c r="O26" s="534"/>
      <c r="P26" s="547"/>
      <c r="T26" s="548" t="e">
        <f>SUM(T10:T24)</f>
        <v>#REF!</v>
      </c>
    </row>
    <row r="27" spans="1:29" hidden="1">
      <c r="A27" s="531"/>
      <c r="B27" s="525"/>
      <c r="C27" s="547"/>
      <c r="D27" s="525"/>
      <c r="E27" s="533"/>
      <c r="F27" s="533"/>
      <c r="G27" s="533"/>
      <c r="H27" s="533"/>
      <c r="I27" s="533"/>
      <c r="J27" s="525"/>
      <c r="K27" s="533"/>
      <c r="L27" s="533"/>
      <c r="M27" s="533"/>
      <c r="N27" s="515"/>
      <c r="O27" s="534"/>
      <c r="P27" s="547"/>
      <c r="T27" s="547">
        <v>2197</v>
      </c>
    </row>
    <row r="28" spans="1:29" hidden="1">
      <c r="A28" s="531"/>
      <c r="B28" s="515"/>
      <c r="C28" s="547"/>
      <c r="D28" s="529"/>
      <c r="E28" s="533"/>
      <c r="F28" s="533"/>
      <c r="G28" s="533"/>
      <c r="H28" s="533"/>
      <c r="I28" s="533"/>
      <c r="J28" s="529"/>
      <c r="K28" s="533"/>
      <c r="L28" s="533"/>
      <c r="M28" s="533"/>
      <c r="N28" s="515"/>
      <c r="O28" s="534"/>
      <c r="P28" s="547"/>
      <c r="T28" s="549" t="e">
        <f>T26-T27</f>
        <v>#REF!</v>
      </c>
    </row>
    <row r="29" spans="1:29" hidden="1">
      <c r="A29" s="531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T29" s="550" t="e">
        <f>T28/T26</f>
        <v>#REF!</v>
      </c>
    </row>
    <row r="30" spans="1:29">
      <c r="A30" s="531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T30" s="547"/>
    </row>
    <row r="31" spans="1:29">
      <c r="A31" s="531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T31" s="547"/>
    </row>
    <row r="32" spans="1:29">
      <c r="A32" s="531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T32" s="547"/>
    </row>
    <row r="33" spans="1:20">
      <c r="A33" s="531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T33" s="547"/>
    </row>
    <row r="34" spans="1:20">
      <c r="A34" s="531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T34" s="547"/>
    </row>
    <row r="35" spans="1:20">
      <c r="A35" s="531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T35" s="547"/>
    </row>
    <row r="36" spans="1:20">
      <c r="A36" s="531"/>
      <c r="B36" s="515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T36" s="547"/>
    </row>
    <row r="37" spans="1:20">
      <c r="A37" s="531"/>
      <c r="B37" s="515"/>
      <c r="C37" s="547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  <c r="T37" s="547"/>
    </row>
    <row r="38" spans="1:20">
      <c r="A38" s="531"/>
      <c r="B38" s="515"/>
      <c r="C38" s="547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  <c r="T38" s="547"/>
    </row>
    <row r="39" spans="1:20">
      <c r="A39" s="531"/>
      <c r="B39" s="515"/>
      <c r="C39" s="547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  <c r="T39" s="547"/>
    </row>
    <row r="40" spans="1:20">
      <c r="A40" s="531"/>
      <c r="B40" s="515"/>
      <c r="C40" s="547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  <c r="T40" s="547"/>
    </row>
    <row r="65516" spans="20:20">
      <c r="T65516" s="551"/>
    </row>
  </sheetData>
  <phoneticPr fontId="54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showGridLines="0" topLeftCell="A16" workbookViewId="0">
      <pane xSplit="4" topLeftCell="L1" activePane="topRight" state="frozen"/>
      <selection activeCell="R7" sqref="R7"/>
      <selection pane="topRight" activeCell="R7" sqref="R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2.125" style="513" customWidth="1"/>
    <col min="18" max="18" width="12.5" style="513" customWidth="1"/>
    <col min="19" max="19" width="2.375" style="513" customWidth="1"/>
    <col min="20" max="16384" width="12.5" style="513"/>
  </cols>
  <sheetData>
    <row r="1" spans="1:20" ht="15">
      <c r="O1" s="514"/>
      <c r="P1" s="515"/>
      <c r="R1" s="516" t="s">
        <v>65</v>
      </c>
      <c r="S1" s="516"/>
      <c r="T1" s="517" t="s">
        <v>271</v>
      </c>
    </row>
    <row r="2" spans="1:20">
      <c r="O2" s="514"/>
      <c r="P2" s="515"/>
      <c r="R2" s="518" t="s">
        <v>294</v>
      </c>
      <c r="S2" s="518"/>
      <c r="T2" s="546" t="e">
        <f>'16003-170'!T2</f>
        <v>#REF!</v>
      </c>
    </row>
    <row r="3" spans="1:20">
      <c r="A3" s="513" t="s">
        <v>273</v>
      </c>
      <c r="M3" s="520" t="s">
        <v>295</v>
      </c>
      <c r="P3" s="515"/>
      <c r="R3" s="518" t="s">
        <v>296</v>
      </c>
      <c r="S3" s="518"/>
      <c r="T3" s="546" t="e">
        <f>'16003-170'!T3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  <c r="R4" s="518" t="s">
        <v>275</v>
      </c>
      <c r="S4" s="518"/>
      <c r="T4" s="546" t="e">
        <f>'16003-170'!T4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  <c r="R5" s="518" t="s">
        <v>277</v>
      </c>
      <c r="S5" s="518"/>
      <c r="T5" s="546" t="e">
        <f>'16003-170'!T5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  <c r="R6" s="518" t="s">
        <v>280</v>
      </c>
      <c r="S6" s="518"/>
      <c r="T6" s="546" t="e">
        <f>'16003-170'!T6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  <c r="R7" s="518" t="s">
        <v>287</v>
      </c>
      <c r="S7" s="518"/>
      <c r="T7" s="546" t="e">
        <f>'16003-170'!T7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  <c r="T9" s="530"/>
    </row>
    <row r="10" spans="1:20">
      <c r="A10" s="531">
        <f t="shared" ref="A10:A29" si="0">P10*1000</f>
        <v>0</v>
      </c>
      <c r="B10" s="515"/>
      <c r="C10" s="547">
        <v>5</v>
      </c>
      <c r="D10" s="533"/>
      <c r="E10" s="533">
        <f>C10</f>
        <v>5</v>
      </c>
      <c r="F10" s="533"/>
      <c r="G10" s="533">
        <f t="shared" ref="G10:G29" si="1">A10*C10</f>
        <v>0</v>
      </c>
      <c r="H10" s="533"/>
      <c r="I10" s="533">
        <f>G10</f>
        <v>0</v>
      </c>
      <c r="J10" s="533"/>
      <c r="K10" s="533">
        <f t="shared" ref="K10:K29" si="2">$E$29-E10</f>
        <v>90</v>
      </c>
      <c r="L10" s="533"/>
      <c r="M10" s="533">
        <f t="shared" ref="M10:M29" si="3">(A10*K10)+I10</f>
        <v>0</v>
      </c>
      <c r="N10" s="515"/>
      <c r="O10" s="534">
        <f t="shared" ref="O10:O29" si="4">I10/$I$29</f>
        <v>0</v>
      </c>
      <c r="P10" s="532">
        <v>0</v>
      </c>
      <c r="R10" s="535"/>
      <c r="T10" s="536" t="e">
        <f t="shared" ref="T10:T29" si="5">IF(A10&lt;6000,C10*$T$2,IF(A10=6000,C10*$T$2,IF(AND(A10&lt;11000,A10&gt;6000),(C10*$T$2)+((A10-6000)/1000*C10*$T$3),IF(AND(A10&gt;10000,A10&lt;26000),(C10*$T$2)+(4*$T$3*C10)+((A10-10000)/1000*$T$4*C10),IF(AND(A10&lt;51000,A10&gt;25000),(C10*$T$2)+(4*$T$3*C10)+(15*$T$4*C10)+((A10-25000)/1000*$T$5*C10),IF(AND(A10&lt;101000,A10&gt;50000),(C10*$T$2)+(4*$T$3*C10)+(15*$T$4*C10)+(25*$T$5*C10)+((A10-50000)/1000*$T$6*C10),IF(A10&gt;100000,(C10*$T$2)+(4*$T$3*C10)+(15*$T$4*C10)+(25*$T$5*C10)+(50*$T$6*C10)+((A10-100000)/1000*$T$7*C10))))))))</f>
        <v>#REF!</v>
      </c>
    </row>
    <row r="11" spans="1:20">
      <c r="A11" s="531">
        <f t="shared" si="0"/>
        <v>1000</v>
      </c>
      <c r="B11" s="515"/>
      <c r="C11" s="547">
        <v>7</v>
      </c>
      <c r="D11" s="533"/>
      <c r="E11" s="533">
        <f t="shared" ref="E11:E29" si="6">E10+C11</f>
        <v>12</v>
      </c>
      <c r="F11" s="533"/>
      <c r="G11" s="533">
        <f t="shared" si="1"/>
        <v>7000</v>
      </c>
      <c r="H11" s="533"/>
      <c r="I11" s="533">
        <f t="shared" ref="I11:I29" si="7">G11+I10</f>
        <v>7000</v>
      </c>
      <c r="J11" s="533"/>
      <c r="K11" s="533">
        <f t="shared" si="2"/>
        <v>83</v>
      </c>
      <c r="L11" s="533"/>
      <c r="M11" s="533">
        <f t="shared" si="3"/>
        <v>90000</v>
      </c>
      <c r="N11" s="515"/>
      <c r="O11" s="534">
        <f t="shared" si="4"/>
        <v>5.9372349448685328E-3</v>
      </c>
      <c r="P11" s="532">
        <v>1</v>
      </c>
      <c r="R11" s="535"/>
      <c r="T11" s="536" t="e">
        <f t="shared" si="5"/>
        <v>#REF!</v>
      </c>
    </row>
    <row r="12" spans="1:20">
      <c r="A12" s="531">
        <f t="shared" si="0"/>
        <v>2000</v>
      </c>
      <c r="B12" s="515"/>
      <c r="C12" s="547">
        <v>10</v>
      </c>
      <c r="D12" s="533"/>
      <c r="E12" s="533">
        <f t="shared" si="6"/>
        <v>22</v>
      </c>
      <c r="F12" s="533"/>
      <c r="G12" s="533">
        <f t="shared" si="1"/>
        <v>20000</v>
      </c>
      <c r="H12" s="533"/>
      <c r="I12" s="533">
        <f t="shared" si="7"/>
        <v>27000</v>
      </c>
      <c r="J12" s="533"/>
      <c r="K12" s="533">
        <f t="shared" si="2"/>
        <v>73</v>
      </c>
      <c r="L12" s="533"/>
      <c r="M12" s="533">
        <f t="shared" si="3"/>
        <v>173000</v>
      </c>
      <c r="N12" s="515"/>
      <c r="O12" s="534">
        <f t="shared" si="4"/>
        <v>2.2900763358778626E-2</v>
      </c>
      <c r="P12" s="532">
        <v>2</v>
      </c>
      <c r="R12" s="535"/>
      <c r="T12" s="536" t="e">
        <f t="shared" si="5"/>
        <v>#REF!</v>
      </c>
    </row>
    <row r="13" spans="1:20">
      <c r="A13" s="531">
        <f t="shared" si="0"/>
        <v>3000</v>
      </c>
      <c r="B13" s="515"/>
      <c r="C13" s="547">
        <v>13</v>
      </c>
      <c r="D13" s="533"/>
      <c r="E13" s="533">
        <f t="shared" si="6"/>
        <v>35</v>
      </c>
      <c r="F13" s="533"/>
      <c r="G13" s="533">
        <f t="shared" si="1"/>
        <v>39000</v>
      </c>
      <c r="H13" s="533"/>
      <c r="I13" s="533">
        <f t="shared" si="7"/>
        <v>66000</v>
      </c>
      <c r="J13" s="533"/>
      <c r="K13" s="533">
        <f t="shared" si="2"/>
        <v>60</v>
      </c>
      <c r="L13" s="533"/>
      <c r="M13" s="533">
        <f t="shared" si="3"/>
        <v>246000</v>
      </c>
      <c r="N13" s="515"/>
      <c r="O13" s="534">
        <f t="shared" si="4"/>
        <v>5.5979643765903309E-2</v>
      </c>
      <c r="P13" s="532">
        <v>3</v>
      </c>
      <c r="R13" s="535"/>
      <c r="T13" s="536" t="e">
        <f t="shared" si="5"/>
        <v>#REF!</v>
      </c>
    </row>
    <row r="14" spans="1:20">
      <c r="A14" s="531">
        <f t="shared" si="0"/>
        <v>4000</v>
      </c>
      <c r="B14" s="515"/>
      <c r="C14" s="547">
        <v>7</v>
      </c>
      <c r="D14" s="533"/>
      <c r="E14" s="533">
        <f t="shared" si="6"/>
        <v>42</v>
      </c>
      <c r="F14" s="533"/>
      <c r="G14" s="533">
        <f t="shared" si="1"/>
        <v>28000</v>
      </c>
      <c r="H14" s="533"/>
      <c r="I14" s="533">
        <f t="shared" si="7"/>
        <v>94000</v>
      </c>
      <c r="J14" s="533"/>
      <c r="K14" s="533">
        <f t="shared" si="2"/>
        <v>53</v>
      </c>
      <c r="L14" s="533"/>
      <c r="M14" s="533">
        <f t="shared" si="3"/>
        <v>306000</v>
      </c>
      <c r="N14" s="515"/>
      <c r="O14" s="534">
        <f t="shared" si="4"/>
        <v>7.9728583545377443E-2</v>
      </c>
      <c r="P14" s="532">
        <v>4</v>
      </c>
      <c r="R14" s="535"/>
      <c r="T14" s="536" t="e">
        <f t="shared" si="5"/>
        <v>#REF!</v>
      </c>
    </row>
    <row r="15" spans="1:20">
      <c r="A15" s="531">
        <f t="shared" si="0"/>
        <v>5000</v>
      </c>
      <c r="B15" s="515"/>
      <c r="C15" s="547">
        <v>3</v>
      </c>
      <c r="D15" s="533"/>
      <c r="E15" s="533">
        <f t="shared" si="6"/>
        <v>45</v>
      </c>
      <c r="F15" s="533"/>
      <c r="G15" s="533">
        <f t="shared" si="1"/>
        <v>15000</v>
      </c>
      <c r="H15" s="533"/>
      <c r="I15" s="533">
        <f t="shared" si="7"/>
        <v>109000</v>
      </c>
      <c r="J15" s="533"/>
      <c r="K15" s="533">
        <f t="shared" si="2"/>
        <v>50</v>
      </c>
      <c r="L15" s="533"/>
      <c r="M15" s="533">
        <f t="shared" si="3"/>
        <v>359000</v>
      </c>
      <c r="N15" s="515"/>
      <c r="O15" s="534">
        <f t="shared" si="4"/>
        <v>9.2451229855810002E-2</v>
      </c>
      <c r="P15" s="532">
        <v>5</v>
      </c>
      <c r="R15" s="535"/>
      <c r="T15" s="536" t="e">
        <f t="shared" si="5"/>
        <v>#REF!</v>
      </c>
    </row>
    <row r="16" spans="1:20">
      <c r="A16" s="531">
        <f t="shared" si="0"/>
        <v>6000</v>
      </c>
      <c r="B16" s="515"/>
      <c r="C16" s="547">
        <v>2</v>
      </c>
      <c r="D16" s="533"/>
      <c r="E16" s="533">
        <f t="shared" si="6"/>
        <v>47</v>
      </c>
      <c r="F16" s="533"/>
      <c r="G16" s="533">
        <f t="shared" si="1"/>
        <v>12000</v>
      </c>
      <c r="H16" s="533"/>
      <c r="I16" s="533">
        <f t="shared" si="7"/>
        <v>121000</v>
      </c>
      <c r="J16" s="533"/>
      <c r="K16" s="533">
        <f t="shared" si="2"/>
        <v>48</v>
      </c>
      <c r="L16" s="533"/>
      <c r="M16" s="533">
        <f t="shared" si="3"/>
        <v>409000</v>
      </c>
      <c r="N16" s="515"/>
      <c r="O16" s="534">
        <f t="shared" si="4"/>
        <v>0.10262934690415607</v>
      </c>
      <c r="P16" s="532">
        <v>6</v>
      </c>
      <c r="R16" s="535"/>
      <c r="T16" s="536" t="e">
        <f t="shared" si="5"/>
        <v>#REF!</v>
      </c>
    </row>
    <row r="17" spans="1:20">
      <c r="A17" s="531">
        <f t="shared" si="0"/>
        <v>7000</v>
      </c>
      <c r="B17" s="515"/>
      <c r="C17" s="547">
        <v>2</v>
      </c>
      <c r="D17" s="533"/>
      <c r="E17" s="533">
        <f t="shared" si="6"/>
        <v>49</v>
      </c>
      <c r="F17" s="533"/>
      <c r="G17" s="533">
        <f t="shared" si="1"/>
        <v>14000</v>
      </c>
      <c r="H17" s="533"/>
      <c r="I17" s="533">
        <f t="shared" si="7"/>
        <v>135000</v>
      </c>
      <c r="J17" s="533"/>
      <c r="K17" s="533">
        <f t="shared" si="2"/>
        <v>46</v>
      </c>
      <c r="L17" s="533"/>
      <c r="M17" s="533">
        <f t="shared" si="3"/>
        <v>457000</v>
      </c>
      <c r="N17" s="515"/>
      <c r="O17" s="534">
        <f t="shared" si="4"/>
        <v>0.11450381679389313</v>
      </c>
      <c r="P17" s="532">
        <v>7</v>
      </c>
      <c r="R17" s="535"/>
      <c r="T17" s="536" t="e">
        <f t="shared" si="5"/>
        <v>#REF!</v>
      </c>
    </row>
    <row r="18" spans="1:20">
      <c r="A18" s="531">
        <f t="shared" si="0"/>
        <v>8000</v>
      </c>
      <c r="B18" s="515"/>
      <c r="C18" s="547">
        <v>7</v>
      </c>
      <c r="D18" s="533"/>
      <c r="E18" s="533">
        <f t="shared" si="6"/>
        <v>56</v>
      </c>
      <c r="F18" s="533"/>
      <c r="G18" s="533">
        <f t="shared" si="1"/>
        <v>56000</v>
      </c>
      <c r="H18" s="533"/>
      <c r="I18" s="533">
        <f t="shared" si="7"/>
        <v>191000</v>
      </c>
      <c r="J18" s="533"/>
      <c r="K18" s="533">
        <f t="shared" si="2"/>
        <v>39</v>
      </c>
      <c r="L18" s="533"/>
      <c r="M18" s="533">
        <f t="shared" si="3"/>
        <v>503000</v>
      </c>
      <c r="N18" s="515"/>
      <c r="O18" s="534">
        <f t="shared" si="4"/>
        <v>0.1620016963528414</v>
      </c>
      <c r="P18" s="532">
        <v>8</v>
      </c>
      <c r="R18" s="535"/>
      <c r="T18" s="536" t="e">
        <f t="shared" si="5"/>
        <v>#REF!</v>
      </c>
    </row>
    <row r="19" spans="1:20">
      <c r="A19" s="531">
        <f t="shared" si="0"/>
        <v>9000</v>
      </c>
      <c r="B19" s="515"/>
      <c r="C19" s="547">
        <v>6</v>
      </c>
      <c r="D19" s="533"/>
      <c r="E19" s="533">
        <f t="shared" si="6"/>
        <v>62</v>
      </c>
      <c r="F19" s="533"/>
      <c r="G19" s="533">
        <f t="shared" si="1"/>
        <v>54000</v>
      </c>
      <c r="H19" s="533"/>
      <c r="I19" s="533">
        <f t="shared" si="7"/>
        <v>245000</v>
      </c>
      <c r="J19" s="533"/>
      <c r="K19" s="533">
        <f t="shared" si="2"/>
        <v>33</v>
      </c>
      <c r="L19" s="533"/>
      <c r="M19" s="533">
        <f t="shared" si="3"/>
        <v>542000</v>
      </c>
      <c r="N19" s="515"/>
      <c r="O19" s="534">
        <f t="shared" si="4"/>
        <v>0.20780322307039864</v>
      </c>
      <c r="P19" s="532">
        <v>9</v>
      </c>
      <c r="R19" s="535"/>
      <c r="T19" s="536" t="e">
        <f t="shared" si="5"/>
        <v>#REF!</v>
      </c>
    </row>
    <row r="20" spans="1:20">
      <c r="A20" s="531">
        <f t="shared" si="0"/>
        <v>10000</v>
      </c>
      <c r="B20" s="515"/>
      <c r="C20" s="547">
        <v>5</v>
      </c>
      <c r="D20" s="533"/>
      <c r="E20" s="533">
        <f t="shared" si="6"/>
        <v>67</v>
      </c>
      <c r="F20" s="533"/>
      <c r="G20" s="533">
        <f t="shared" si="1"/>
        <v>50000</v>
      </c>
      <c r="H20" s="533"/>
      <c r="I20" s="533">
        <f t="shared" si="7"/>
        <v>295000</v>
      </c>
      <c r="J20" s="533"/>
      <c r="K20" s="533">
        <f t="shared" si="2"/>
        <v>28</v>
      </c>
      <c r="L20" s="533"/>
      <c r="M20" s="533">
        <f t="shared" si="3"/>
        <v>575000</v>
      </c>
      <c r="N20" s="537"/>
      <c r="O20" s="534">
        <f t="shared" si="4"/>
        <v>0.25021204410517389</v>
      </c>
      <c r="P20" s="532">
        <v>10</v>
      </c>
      <c r="R20" s="535"/>
      <c r="T20" s="536" t="e">
        <f t="shared" si="5"/>
        <v>#REF!</v>
      </c>
    </row>
    <row r="21" spans="1:20">
      <c r="A21" s="531">
        <f t="shared" si="0"/>
        <v>12000</v>
      </c>
      <c r="B21" s="515"/>
      <c r="C21" s="547">
        <v>3</v>
      </c>
      <c r="D21" s="533"/>
      <c r="E21" s="533">
        <f t="shared" si="6"/>
        <v>70</v>
      </c>
      <c r="F21" s="533"/>
      <c r="G21" s="533">
        <f t="shared" si="1"/>
        <v>36000</v>
      </c>
      <c r="H21" s="533"/>
      <c r="I21" s="533">
        <f t="shared" si="7"/>
        <v>331000</v>
      </c>
      <c r="J21" s="533"/>
      <c r="K21" s="533">
        <f t="shared" si="2"/>
        <v>25</v>
      </c>
      <c r="L21" s="533"/>
      <c r="M21" s="533">
        <f t="shared" si="3"/>
        <v>631000</v>
      </c>
      <c r="N21" s="515"/>
      <c r="O21" s="534">
        <f t="shared" si="4"/>
        <v>0.28074639525021206</v>
      </c>
      <c r="P21" s="532">
        <v>12</v>
      </c>
      <c r="R21" s="535"/>
      <c r="T21" s="536" t="e">
        <f t="shared" si="5"/>
        <v>#REF!</v>
      </c>
    </row>
    <row r="22" spans="1:20">
      <c r="A22" s="531">
        <f t="shared" si="0"/>
        <v>15000</v>
      </c>
      <c r="B22" s="515"/>
      <c r="C22" s="547">
        <v>6</v>
      </c>
      <c r="D22" s="533"/>
      <c r="E22" s="533">
        <f t="shared" si="6"/>
        <v>76</v>
      </c>
      <c r="F22" s="533"/>
      <c r="G22" s="533">
        <f t="shared" si="1"/>
        <v>90000</v>
      </c>
      <c r="H22" s="533"/>
      <c r="I22" s="533">
        <f t="shared" si="7"/>
        <v>421000</v>
      </c>
      <c r="J22" s="533"/>
      <c r="K22" s="533">
        <f t="shared" si="2"/>
        <v>19</v>
      </c>
      <c r="L22" s="533"/>
      <c r="M22" s="533">
        <f t="shared" si="3"/>
        <v>706000</v>
      </c>
      <c r="N22" s="515"/>
      <c r="O22" s="534">
        <f t="shared" si="4"/>
        <v>0.35708227311280749</v>
      </c>
      <c r="P22" s="532">
        <v>15</v>
      </c>
      <c r="R22" s="535"/>
      <c r="T22" s="536" t="e">
        <f t="shared" si="5"/>
        <v>#REF!</v>
      </c>
    </row>
    <row r="23" spans="1:20">
      <c r="A23" s="531">
        <f t="shared" si="0"/>
        <v>17000</v>
      </c>
      <c r="B23" s="515"/>
      <c r="C23" s="547">
        <v>3</v>
      </c>
      <c r="D23" s="533"/>
      <c r="E23" s="533">
        <f t="shared" si="6"/>
        <v>79</v>
      </c>
      <c r="F23" s="533"/>
      <c r="G23" s="533">
        <f t="shared" si="1"/>
        <v>51000</v>
      </c>
      <c r="H23" s="533"/>
      <c r="I23" s="533">
        <f t="shared" si="7"/>
        <v>472000</v>
      </c>
      <c r="J23" s="533"/>
      <c r="K23" s="533">
        <f t="shared" si="2"/>
        <v>16</v>
      </c>
      <c r="L23" s="533"/>
      <c r="M23" s="533">
        <f t="shared" si="3"/>
        <v>744000</v>
      </c>
      <c r="N23" s="515"/>
      <c r="O23" s="534">
        <f t="shared" si="4"/>
        <v>0.40033927056827823</v>
      </c>
      <c r="P23" s="532">
        <v>17</v>
      </c>
      <c r="R23" s="535"/>
      <c r="T23" s="536" t="e">
        <f t="shared" si="5"/>
        <v>#REF!</v>
      </c>
    </row>
    <row r="24" spans="1:20">
      <c r="A24" s="531">
        <f t="shared" si="0"/>
        <v>23000</v>
      </c>
      <c r="C24" s="513">
        <v>3</v>
      </c>
      <c r="E24" s="533">
        <f t="shared" si="6"/>
        <v>82</v>
      </c>
      <c r="G24" s="530">
        <f t="shared" si="1"/>
        <v>69000</v>
      </c>
      <c r="I24" s="533">
        <f t="shared" si="7"/>
        <v>541000</v>
      </c>
      <c r="K24" s="533">
        <f t="shared" si="2"/>
        <v>13</v>
      </c>
      <c r="M24" s="533">
        <f t="shared" si="3"/>
        <v>840000</v>
      </c>
      <c r="O24" s="534">
        <f t="shared" si="4"/>
        <v>0.45886344359626802</v>
      </c>
      <c r="P24" s="532">
        <v>23</v>
      </c>
      <c r="R24" s="535"/>
      <c r="T24" s="536" t="e">
        <f t="shared" si="5"/>
        <v>#REF!</v>
      </c>
    </row>
    <row r="25" spans="1:20">
      <c r="A25" s="531">
        <f t="shared" si="0"/>
        <v>24000</v>
      </c>
      <c r="C25" s="513">
        <v>4</v>
      </c>
      <c r="E25" s="533">
        <f t="shared" si="6"/>
        <v>86</v>
      </c>
      <c r="G25" s="530">
        <f t="shared" si="1"/>
        <v>96000</v>
      </c>
      <c r="I25" s="533">
        <f t="shared" si="7"/>
        <v>637000</v>
      </c>
      <c r="K25" s="533">
        <f t="shared" si="2"/>
        <v>9</v>
      </c>
      <c r="M25" s="533">
        <f t="shared" si="3"/>
        <v>853000</v>
      </c>
      <c r="O25" s="534">
        <f t="shared" si="4"/>
        <v>0.54028837998303647</v>
      </c>
      <c r="P25" s="532">
        <v>24</v>
      </c>
      <c r="R25" s="535"/>
      <c r="T25" s="536" t="e">
        <f t="shared" si="5"/>
        <v>#REF!</v>
      </c>
    </row>
    <row r="26" spans="1:20">
      <c r="A26" s="531">
        <f t="shared" si="0"/>
        <v>28000</v>
      </c>
      <c r="C26" s="513">
        <v>5</v>
      </c>
      <c r="E26" s="533">
        <f t="shared" si="6"/>
        <v>91</v>
      </c>
      <c r="G26" s="530">
        <f t="shared" si="1"/>
        <v>140000</v>
      </c>
      <c r="I26" s="533">
        <f t="shared" si="7"/>
        <v>777000</v>
      </c>
      <c r="K26" s="533">
        <f t="shared" si="2"/>
        <v>4</v>
      </c>
      <c r="M26" s="533">
        <f t="shared" si="3"/>
        <v>889000</v>
      </c>
      <c r="O26" s="534">
        <f t="shared" si="4"/>
        <v>0.65903307888040707</v>
      </c>
      <c r="P26" s="532">
        <v>28</v>
      </c>
      <c r="T26" s="536" t="e">
        <f t="shared" si="5"/>
        <v>#REF!</v>
      </c>
    </row>
    <row r="27" spans="1:20">
      <c r="A27" s="531">
        <f t="shared" si="0"/>
        <v>46000</v>
      </c>
      <c r="C27" s="513">
        <v>1</v>
      </c>
      <c r="E27" s="533">
        <f t="shared" si="6"/>
        <v>92</v>
      </c>
      <c r="G27" s="530">
        <f t="shared" si="1"/>
        <v>46000</v>
      </c>
      <c r="I27" s="533">
        <f t="shared" si="7"/>
        <v>823000</v>
      </c>
      <c r="K27" s="533">
        <f t="shared" si="2"/>
        <v>3</v>
      </c>
      <c r="M27" s="533">
        <f t="shared" si="3"/>
        <v>961000</v>
      </c>
      <c r="O27" s="534">
        <f t="shared" si="4"/>
        <v>0.69804919423240031</v>
      </c>
      <c r="P27" s="532">
        <v>46</v>
      </c>
      <c r="T27" s="536" t="e">
        <f t="shared" si="5"/>
        <v>#REF!</v>
      </c>
    </row>
    <row r="28" spans="1:20">
      <c r="A28" s="531">
        <f t="shared" si="0"/>
        <v>118000</v>
      </c>
      <c r="C28" s="513">
        <v>1</v>
      </c>
      <c r="E28" s="533">
        <f t="shared" si="6"/>
        <v>93</v>
      </c>
      <c r="G28" s="530">
        <f t="shared" si="1"/>
        <v>118000</v>
      </c>
      <c r="I28" s="533">
        <f t="shared" si="7"/>
        <v>941000</v>
      </c>
      <c r="K28" s="533">
        <f t="shared" si="2"/>
        <v>2</v>
      </c>
      <c r="M28" s="533">
        <f t="shared" si="3"/>
        <v>1177000</v>
      </c>
      <c r="O28" s="534">
        <f t="shared" si="4"/>
        <v>0.79813401187446986</v>
      </c>
      <c r="P28" s="532">
        <v>118</v>
      </c>
      <c r="T28" s="536" t="e">
        <f t="shared" si="5"/>
        <v>#REF!</v>
      </c>
    </row>
    <row r="29" spans="1:20">
      <c r="A29" s="531">
        <f t="shared" si="0"/>
        <v>119000</v>
      </c>
      <c r="C29" s="513">
        <v>2</v>
      </c>
      <c r="E29" s="533">
        <f t="shared" si="6"/>
        <v>95</v>
      </c>
      <c r="G29" s="530">
        <f t="shared" si="1"/>
        <v>238000</v>
      </c>
      <c r="I29" s="533">
        <f t="shared" si="7"/>
        <v>1179000</v>
      </c>
      <c r="K29" s="533">
        <f t="shared" si="2"/>
        <v>0</v>
      </c>
      <c r="M29" s="533">
        <f t="shared" si="3"/>
        <v>1179000</v>
      </c>
      <c r="O29" s="534">
        <f t="shared" si="4"/>
        <v>1</v>
      </c>
      <c r="P29" s="532">
        <v>119</v>
      </c>
      <c r="T29" s="536" t="e">
        <f t="shared" si="5"/>
        <v>#REF!</v>
      </c>
    </row>
    <row r="31" spans="1:20">
      <c r="T31" s="539" t="e">
        <f>SUM(T10:T29)</f>
        <v>#REF!</v>
      </c>
    </row>
    <row r="32" spans="1:20" hidden="1">
      <c r="T32" s="513">
        <v>2752</v>
      </c>
    </row>
    <row r="33" spans="20:20" hidden="1">
      <c r="T33" s="540" t="e">
        <f>T31-T32</f>
        <v>#REF!</v>
      </c>
    </row>
    <row r="34" spans="20:20" hidden="1">
      <c r="T34" s="541" t="e">
        <f>T33/T31</f>
        <v>#REF!</v>
      </c>
    </row>
  </sheetData>
  <phoneticPr fontId="54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showGridLines="0" topLeftCell="A10" workbookViewId="0">
      <pane xSplit="4" topLeftCell="L1" activePane="topRight" state="frozen"/>
      <selection activeCell="R7" sqref="R7"/>
      <selection pane="topRight" activeCell="R7" sqref="R7"/>
    </sheetView>
  </sheetViews>
  <sheetFormatPr defaultColWidth="12.5" defaultRowHeight="13.5"/>
  <cols>
    <col min="1" max="1" width="16.125" style="513" customWidth="1"/>
    <col min="2" max="2" width="1.5" style="513" customWidth="1"/>
    <col min="3" max="3" width="12.5" style="513" customWidth="1"/>
    <col min="4" max="4" width="1.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2.125" style="513" customWidth="1"/>
    <col min="18" max="18" width="12.5" style="513" customWidth="1"/>
    <col min="19" max="19" width="2.375" style="513" customWidth="1"/>
    <col min="20" max="16384" width="12.5" style="513"/>
  </cols>
  <sheetData>
    <row r="1" spans="1:20" ht="15">
      <c r="O1" s="514"/>
      <c r="P1" s="515"/>
      <c r="R1" s="516" t="s">
        <v>65</v>
      </c>
      <c r="S1" s="516"/>
      <c r="T1" s="517" t="s">
        <v>271</v>
      </c>
    </row>
    <row r="2" spans="1:20">
      <c r="O2" s="514"/>
      <c r="P2" s="515"/>
      <c r="R2" s="518" t="s">
        <v>294</v>
      </c>
      <c r="S2" s="518"/>
      <c r="T2" s="546" t="e">
        <f>'16003-171'!T2</f>
        <v>#REF!</v>
      </c>
    </row>
    <row r="3" spans="1:20">
      <c r="A3" s="513" t="s">
        <v>273</v>
      </c>
      <c r="M3" s="520" t="s">
        <v>295</v>
      </c>
      <c r="P3" s="515"/>
      <c r="R3" s="518" t="s">
        <v>296</v>
      </c>
      <c r="S3" s="518"/>
      <c r="T3" s="546" t="e">
        <f>'16003-171'!T3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  <c r="R4" s="518" t="s">
        <v>275</v>
      </c>
      <c r="S4" s="518"/>
      <c r="T4" s="546" t="e">
        <f>'16003-171'!T4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  <c r="R5" s="518" t="s">
        <v>277</v>
      </c>
      <c r="S5" s="518"/>
      <c r="T5" s="546" t="e">
        <f>'16003-171'!T5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  <c r="R6" s="518" t="s">
        <v>280</v>
      </c>
      <c r="S6" s="518"/>
      <c r="T6" s="546" t="e">
        <f>'16003-171'!T6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  <c r="R7" s="518" t="s">
        <v>287</v>
      </c>
      <c r="S7" s="518"/>
      <c r="T7" s="546" t="e">
        <f>'16003-171'!T7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  <c r="T9" s="530"/>
    </row>
    <row r="10" spans="1:20">
      <c r="A10" s="531">
        <f t="shared" ref="A10:A25" si="0">P10*1000</f>
        <v>0</v>
      </c>
      <c r="B10" s="515"/>
      <c r="C10" s="547">
        <v>0</v>
      </c>
      <c r="D10" s="533"/>
      <c r="E10" s="533">
        <f>C10</f>
        <v>0</v>
      </c>
      <c r="F10" s="533"/>
      <c r="G10" s="533">
        <f t="shared" ref="G10:G25" si="1">A10*C10</f>
        <v>0</v>
      </c>
      <c r="H10" s="533"/>
      <c r="I10" s="533">
        <f>G10</f>
        <v>0</v>
      </c>
      <c r="J10" s="533"/>
      <c r="K10" s="533">
        <f t="shared" ref="K10:K25" si="2">$E$25-E10</f>
        <v>23</v>
      </c>
      <c r="L10" s="533"/>
      <c r="M10" s="533">
        <f t="shared" ref="M10:M25" si="3">(A10*K10)+I10</f>
        <v>0</v>
      </c>
      <c r="N10" s="515"/>
      <c r="O10" s="534">
        <f t="shared" ref="O10:O25" si="4">I10/$I$25</f>
        <v>0</v>
      </c>
      <c r="P10" s="532">
        <v>0</v>
      </c>
      <c r="R10" s="535"/>
      <c r="T10" s="536" t="e">
        <f t="shared" ref="T10:T25" si="5">IF(A10&lt;6000,C10*$T$2,IF(A10=6000,C10*$T$2,IF(AND(A10&lt;11000,A10&gt;6000),(C10*$T$2)+((A10-6000)/1000*C10*$T$3),IF(AND(A10&gt;10000,A10&lt;26000),(C10*$T$2)+(4*$T$3*C10)+((A10-10000)/1000*$T$4*C10),IF(AND(A10&lt;51000,A10&gt;25000),(C10*$T$2)+(4*$T$3*C10)+(15*$T$4*C10)+((A10-25000)/1000*$T$5*C10),IF(AND(A10&lt;101000,A10&gt;50000),(C10*$T$2)+(4*$T$3*C10)+(15*$T$4*C10)+(25*$T$5*C10)+((A10-50000)/1000*$T$6*C10),IF(A10&gt;100000,(C10*$T$2)+(4*$T$3*C10)+(15*$T$4*C10)+(25*$T$5*C10)+(50*$T$6*C10)+((A10-100000)/1000*$T$7*C10))))))))</f>
        <v>#REF!</v>
      </c>
    </row>
    <row r="11" spans="1:20">
      <c r="A11" s="531">
        <f t="shared" si="0"/>
        <v>1000</v>
      </c>
      <c r="B11" s="552"/>
      <c r="C11" s="547">
        <v>1</v>
      </c>
      <c r="D11" s="553"/>
      <c r="E11" s="533">
        <f t="shared" ref="E11:E25" si="6">E10+C11</f>
        <v>1</v>
      </c>
      <c r="F11" s="533"/>
      <c r="G11" s="533">
        <f t="shared" si="1"/>
        <v>1000</v>
      </c>
      <c r="H11" s="533"/>
      <c r="I11" s="533">
        <f t="shared" ref="I11:I25" si="7">G11+I10</f>
        <v>1000</v>
      </c>
      <c r="J11" s="533"/>
      <c r="K11" s="533">
        <f t="shared" si="2"/>
        <v>22</v>
      </c>
      <c r="L11" s="533"/>
      <c r="M11" s="533">
        <f t="shared" si="3"/>
        <v>23000</v>
      </c>
      <c r="N11" s="515"/>
      <c r="O11" s="534">
        <f t="shared" si="4"/>
        <v>4.2016806722689074E-3</v>
      </c>
      <c r="P11" s="532">
        <v>1</v>
      </c>
      <c r="R11" s="535"/>
      <c r="T11" s="536" t="e">
        <f t="shared" si="5"/>
        <v>#REF!</v>
      </c>
    </row>
    <row r="12" spans="1:20">
      <c r="A12" s="531">
        <f t="shared" si="0"/>
        <v>2000</v>
      </c>
      <c r="B12" s="552"/>
      <c r="C12" s="547">
        <v>2</v>
      </c>
      <c r="D12" s="553"/>
      <c r="E12" s="533">
        <f t="shared" si="6"/>
        <v>3</v>
      </c>
      <c r="F12" s="533"/>
      <c r="G12" s="533">
        <f t="shared" si="1"/>
        <v>4000</v>
      </c>
      <c r="H12" s="533"/>
      <c r="I12" s="533">
        <f t="shared" si="7"/>
        <v>5000</v>
      </c>
      <c r="J12" s="533"/>
      <c r="K12" s="533">
        <f t="shared" si="2"/>
        <v>20</v>
      </c>
      <c r="L12" s="533"/>
      <c r="M12" s="533">
        <f t="shared" si="3"/>
        <v>45000</v>
      </c>
      <c r="N12" s="515"/>
      <c r="O12" s="534">
        <f t="shared" si="4"/>
        <v>2.100840336134454E-2</v>
      </c>
      <c r="P12" s="532">
        <v>2</v>
      </c>
      <c r="R12" s="535"/>
      <c r="T12" s="536" t="e">
        <f t="shared" si="5"/>
        <v>#REF!</v>
      </c>
    </row>
    <row r="13" spans="1:20">
      <c r="A13" s="531">
        <f t="shared" si="0"/>
        <v>4000</v>
      </c>
      <c r="B13" s="552"/>
      <c r="C13" s="547">
        <v>1</v>
      </c>
      <c r="D13" s="553"/>
      <c r="E13" s="533">
        <f t="shared" si="6"/>
        <v>4</v>
      </c>
      <c r="F13" s="533"/>
      <c r="G13" s="533">
        <f t="shared" si="1"/>
        <v>4000</v>
      </c>
      <c r="H13" s="533"/>
      <c r="I13" s="533">
        <f t="shared" si="7"/>
        <v>9000</v>
      </c>
      <c r="J13" s="533"/>
      <c r="K13" s="533">
        <f t="shared" si="2"/>
        <v>19</v>
      </c>
      <c r="L13" s="533"/>
      <c r="M13" s="533">
        <f t="shared" si="3"/>
        <v>85000</v>
      </c>
      <c r="N13" s="515"/>
      <c r="O13" s="534">
        <f t="shared" si="4"/>
        <v>3.7815126050420166E-2</v>
      </c>
      <c r="P13" s="532">
        <v>4</v>
      </c>
      <c r="R13" s="535"/>
      <c r="T13" s="536" t="e">
        <f t="shared" si="5"/>
        <v>#REF!</v>
      </c>
    </row>
    <row r="14" spans="1:20">
      <c r="A14" s="531">
        <f t="shared" si="0"/>
        <v>6000</v>
      </c>
      <c r="B14" s="552"/>
      <c r="C14" s="547">
        <v>1</v>
      </c>
      <c r="D14" s="553"/>
      <c r="E14" s="533">
        <f t="shared" si="6"/>
        <v>5</v>
      </c>
      <c r="F14" s="533"/>
      <c r="G14" s="533">
        <f t="shared" si="1"/>
        <v>6000</v>
      </c>
      <c r="H14" s="533"/>
      <c r="I14" s="533">
        <f t="shared" si="7"/>
        <v>15000</v>
      </c>
      <c r="J14" s="533"/>
      <c r="K14" s="533">
        <f t="shared" si="2"/>
        <v>18</v>
      </c>
      <c r="L14" s="533"/>
      <c r="M14" s="533">
        <f t="shared" si="3"/>
        <v>123000</v>
      </c>
      <c r="N14" s="515"/>
      <c r="O14" s="534">
        <f t="shared" si="4"/>
        <v>6.3025210084033612E-2</v>
      </c>
      <c r="P14" s="532">
        <v>6</v>
      </c>
      <c r="R14" s="535"/>
      <c r="T14" s="536" t="e">
        <f t="shared" si="5"/>
        <v>#REF!</v>
      </c>
    </row>
    <row r="15" spans="1:20">
      <c r="A15" s="531">
        <f t="shared" si="0"/>
        <v>7000</v>
      </c>
      <c r="B15" s="552"/>
      <c r="C15" s="547">
        <v>3</v>
      </c>
      <c r="D15" s="553"/>
      <c r="E15" s="533">
        <f t="shared" si="6"/>
        <v>8</v>
      </c>
      <c r="F15" s="533"/>
      <c r="G15" s="533">
        <f t="shared" si="1"/>
        <v>21000</v>
      </c>
      <c r="H15" s="533"/>
      <c r="I15" s="533">
        <f t="shared" si="7"/>
        <v>36000</v>
      </c>
      <c r="J15" s="533"/>
      <c r="K15" s="533">
        <f t="shared" si="2"/>
        <v>15</v>
      </c>
      <c r="L15" s="533"/>
      <c r="M15" s="533">
        <f t="shared" si="3"/>
        <v>141000</v>
      </c>
      <c r="N15" s="515"/>
      <c r="O15" s="534">
        <f t="shared" si="4"/>
        <v>0.15126050420168066</v>
      </c>
      <c r="P15" s="532">
        <v>7</v>
      </c>
      <c r="R15" s="535"/>
      <c r="T15" s="536" t="e">
        <f t="shared" si="5"/>
        <v>#REF!</v>
      </c>
    </row>
    <row r="16" spans="1:20">
      <c r="A16" s="531">
        <f t="shared" si="0"/>
        <v>8000</v>
      </c>
      <c r="B16" s="552"/>
      <c r="C16" s="547">
        <v>1</v>
      </c>
      <c r="D16" s="553"/>
      <c r="E16" s="533">
        <f t="shared" si="6"/>
        <v>9</v>
      </c>
      <c r="F16" s="533"/>
      <c r="G16" s="533">
        <f t="shared" si="1"/>
        <v>8000</v>
      </c>
      <c r="H16" s="533"/>
      <c r="I16" s="533">
        <f t="shared" si="7"/>
        <v>44000</v>
      </c>
      <c r="J16" s="533"/>
      <c r="K16" s="533">
        <f t="shared" si="2"/>
        <v>14</v>
      </c>
      <c r="L16" s="533"/>
      <c r="M16" s="533">
        <f t="shared" si="3"/>
        <v>156000</v>
      </c>
      <c r="N16" s="515"/>
      <c r="O16" s="534">
        <f t="shared" si="4"/>
        <v>0.18487394957983194</v>
      </c>
      <c r="P16" s="532">
        <v>8</v>
      </c>
      <c r="R16" s="535"/>
      <c r="T16" s="536" t="e">
        <f t="shared" si="5"/>
        <v>#REF!</v>
      </c>
    </row>
    <row r="17" spans="1:20">
      <c r="A17" s="531">
        <f t="shared" si="0"/>
        <v>10000</v>
      </c>
      <c r="B17" s="552"/>
      <c r="C17" s="547">
        <v>3</v>
      </c>
      <c r="D17" s="553"/>
      <c r="E17" s="533">
        <f t="shared" si="6"/>
        <v>12</v>
      </c>
      <c r="F17" s="533"/>
      <c r="G17" s="533">
        <f t="shared" si="1"/>
        <v>30000</v>
      </c>
      <c r="H17" s="533"/>
      <c r="I17" s="533">
        <f t="shared" si="7"/>
        <v>74000</v>
      </c>
      <c r="J17" s="533"/>
      <c r="K17" s="533">
        <f t="shared" si="2"/>
        <v>11</v>
      </c>
      <c r="L17" s="533"/>
      <c r="M17" s="533">
        <f t="shared" si="3"/>
        <v>184000</v>
      </c>
      <c r="N17" s="515"/>
      <c r="O17" s="534">
        <f t="shared" si="4"/>
        <v>0.31092436974789917</v>
      </c>
      <c r="P17" s="532">
        <v>10</v>
      </c>
      <c r="R17" s="535"/>
      <c r="T17" s="536" t="e">
        <f t="shared" si="5"/>
        <v>#REF!</v>
      </c>
    </row>
    <row r="18" spans="1:20">
      <c r="A18" s="531">
        <f t="shared" si="0"/>
        <v>11000</v>
      </c>
      <c r="B18" s="552"/>
      <c r="C18" s="547">
        <v>1</v>
      </c>
      <c r="D18" s="553"/>
      <c r="E18" s="533">
        <f t="shared" si="6"/>
        <v>13</v>
      </c>
      <c r="F18" s="533"/>
      <c r="G18" s="533">
        <f t="shared" si="1"/>
        <v>11000</v>
      </c>
      <c r="H18" s="533"/>
      <c r="I18" s="533">
        <f t="shared" si="7"/>
        <v>85000</v>
      </c>
      <c r="J18" s="533"/>
      <c r="K18" s="533">
        <f t="shared" si="2"/>
        <v>10</v>
      </c>
      <c r="L18" s="533"/>
      <c r="M18" s="533">
        <f t="shared" si="3"/>
        <v>195000</v>
      </c>
      <c r="N18" s="515"/>
      <c r="O18" s="534">
        <f t="shared" si="4"/>
        <v>0.35714285714285715</v>
      </c>
      <c r="P18" s="532">
        <v>11</v>
      </c>
      <c r="R18" s="535"/>
      <c r="T18" s="536" t="e">
        <f t="shared" si="5"/>
        <v>#REF!</v>
      </c>
    </row>
    <row r="19" spans="1:20">
      <c r="A19" s="531">
        <f t="shared" si="0"/>
        <v>12000</v>
      </c>
      <c r="B19" s="515"/>
      <c r="C19" s="547">
        <v>1</v>
      </c>
      <c r="D19" s="553"/>
      <c r="E19" s="533">
        <f t="shared" si="6"/>
        <v>14</v>
      </c>
      <c r="F19" s="533"/>
      <c r="G19" s="533">
        <f t="shared" si="1"/>
        <v>12000</v>
      </c>
      <c r="H19" s="533"/>
      <c r="I19" s="533">
        <f t="shared" si="7"/>
        <v>97000</v>
      </c>
      <c r="J19" s="533"/>
      <c r="K19" s="533">
        <f t="shared" si="2"/>
        <v>9</v>
      </c>
      <c r="L19" s="533"/>
      <c r="M19" s="533">
        <f t="shared" si="3"/>
        <v>205000</v>
      </c>
      <c r="N19" s="515"/>
      <c r="O19" s="534">
        <f t="shared" si="4"/>
        <v>0.40756302521008403</v>
      </c>
      <c r="P19" s="532">
        <v>12</v>
      </c>
      <c r="R19" s="535"/>
      <c r="T19" s="536" t="e">
        <f t="shared" si="5"/>
        <v>#REF!</v>
      </c>
    </row>
    <row r="20" spans="1:20">
      <c r="A20" s="531">
        <f t="shared" si="0"/>
        <v>13000</v>
      </c>
      <c r="B20" s="515"/>
      <c r="C20" s="547">
        <v>1</v>
      </c>
      <c r="D20" s="533"/>
      <c r="E20" s="533">
        <f t="shared" si="6"/>
        <v>15</v>
      </c>
      <c r="F20" s="533"/>
      <c r="G20" s="533">
        <f t="shared" si="1"/>
        <v>13000</v>
      </c>
      <c r="H20" s="533"/>
      <c r="I20" s="533">
        <f t="shared" si="7"/>
        <v>110000</v>
      </c>
      <c r="J20" s="533"/>
      <c r="K20" s="533">
        <f t="shared" si="2"/>
        <v>8</v>
      </c>
      <c r="L20" s="533"/>
      <c r="M20" s="533">
        <f t="shared" si="3"/>
        <v>214000</v>
      </c>
      <c r="N20" s="537"/>
      <c r="O20" s="534">
        <f t="shared" si="4"/>
        <v>0.46218487394957986</v>
      </c>
      <c r="P20" s="532">
        <v>13</v>
      </c>
      <c r="R20" s="535"/>
      <c r="T20" s="536" t="e">
        <f t="shared" si="5"/>
        <v>#REF!</v>
      </c>
    </row>
    <row r="21" spans="1:20">
      <c r="A21" s="531">
        <f t="shared" si="0"/>
        <v>14000</v>
      </c>
      <c r="B21" s="515"/>
      <c r="C21" s="547">
        <v>2</v>
      </c>
      <c r="D21" s="533"/>
      <c r="E21" s="533">
        <f t="shared" si="6"/>
        <v>17</v>
      </c>
      <c r="F21" s="533"/>
      <c r="G21" s="533">
        <f t="shared" si="1"/>
        <v>28000</v>
      </c>
      <c r="H21" s="533"/>
      <c r="I21" s="533">
        <f t="shared" si="7"/>
        <v>138000</v>
      </c>
      <c r="J21" s="533"/>
      <c r="K21" s="533">
        <f t="shared" si="2"/>
        <v>6</v>
      </c>
      <c r="L21" s="533"/>
      <c r="M21" s="533">
        <f t="shared" si="3"/>
        <v>222000</v>
      </c>
      <c r="N21" s="515"/>
      <c r="O21" s="534">
        <f t="shared" si="4"/>
        <v>0.57983193277310929</v>
      </c>
      <c r="P21" s="532">
        <v>14</v>
      </c>
      <c r="R21" s="535"/>
      <c r="T21" s="536" t="e">
        <f t="shared" si="5"/>
        <v>#REF!</v>
      </c>
    </row>
    <row r="22" spans="1:20">
      <c r="A22" s="531">
        <f t="shared" si="0"/>
        <v>15000</v>
      </c>
      <c r="B22" s="515"/>
      <c r="C22" s="547">
        <v>1</v>
      </c>
      <c r="D22" s="533"/>
      <c r="E22" s="533">
        <f t="shared" si="6"/>
        <v>18</v>
      </c>
      <c r="F22" s="533"/>
      <c r="G22" s="533">
        <f t="shared" si="1"/>
        <v>15000</v>
      </c>
      <c r="H22" s="533"/>
      <c r="I22" s="533">
        <f t="shared" si="7"/>
        <v>153000</v>
      </c>
      <c r="J22" s="533"/>
      <c r="K22" s="533">
        <f t="shared" si="2"/>
        <v>5</v>
      </c>
      <c r="L22" s="533"/>
      <c r="M22" s="533">
        <f t="shared" si="3"/>
        <v>228000</v>
      </c>
      <c r="N22" s="515"/>
      <c r="O22" s="534">
        <f t="shared" si="4"/>
        <v>0.6428571428571429</v>
      </c>
      <c r="P22" s="532">
        <v>15</v>
      </c>
      <c r="R22" s="535"/>
      <c r="T22" s="536" t="e">
        <f t="shared" si="5"/>
        <v>#REF!</v>
      </c>
    </row>
    <row r="23" spans="1:20">
      <c r="A23" s="531">
        <f t="shared" si="0"/>
        <v>16000</v>
      </c>
      <c r="B23" s="515"/>
      <c r="C23" s="547">
        <v>1</v>
      </c>
      <c r="D23" s="533"/>
      <c r="E23" s="533">
        <f t="shared" si="6"/>
        <v>19</v>
      </c>
      <c r="F23" s="533"/>
      <c r="G23" s="533">
        <f t="shared" si="1"/>
        <v>16000</v>
      </c>
      <c r="H23" s="533"/>
      <c r="I23" s="533">
        <f t="shared" si="7"/>
        <v>169000</v>
      </c>
      <c r="J23" s="533"/>
      <c r="K23" s="533">
        <f t="shared" si="2"/>
        <v>4</v>
      </c>
      <c r="L23" s="533"/>
      <c r="M23" s="533">
        <f t="shared" si="3"/>
        <v>233000</v>
      </c>
      <c r="N23" s="515"/>
      <c r="O23" s="534">
        <f t="shared" si="4"/>
        <v>0.71008403361344541</v>
      </c>
      <c r="P23" s="532">
        <v>16</v>
      </c>
      <c r="R23" s="535"/>
      <c r="T23" s="536" t="e">
        <f t="shared" si="5"/>
        <v>#REF!</v>
      </c>
    </row>
    <row r="24" spans="1:20">
      <c r="A24" s="531">
        <f t="shared" si="0"/>
        <v>17000</v>
      </c>
      <c r="B24" s="515"/>
      <c r="C24" s="547">
        <v>3</v>
      </c>
      <c r="D24" s="533"/>
      <c r="E24" s="533">
        <f t="shared" si="6"/>
        <v>22</v>
      </c>
      <c r="F24" s="533"/>
      <c r="G24" s="533">
        <f t="shared" si="1"/>
        <v>51000</v>
      </c>
      <c r="H24" s="533"/>
      <c r="I24" s="533">
        <f t="shared" si="7"/>
        <v>220000</v>
      </c>
      <c r="J24" s="533"/>
      <c r="K24" s="533">
        <f t="shared" si="2"/>
        <v>1</v>
      </c>
      <c r="L24" s="533"/>
      <c r="M24" s="533">
        <f t="shared" si="3"/>
        <v>237000</v>
      </c>
      <c r="N24" s="515"/>
      <c r="O24" s="534">
        <f t="shared" si="4"/>
        <v>0.92436974789915971</v>
      </c>
      <c r="P24" s="532">
        <v>17</v>
      </c>
      <c r="R24" s="535"/>
      <c r="T24" s="536" t="e">
        <f t="shared" si="5"/>
        <v>#REF!</v>
      </c>
    </row>
    <row r="25" spans="1:20">
      <c r="A25" s="531">
        <f t="shared" si="0"/>
        <v>18000</v>
      </c>
      <c r="B25" s="515"/>
      <c r="C25" s="547">
        <v>1</v>
      </c>
      <c r="D25" s="533"/>
      <c r="E25" s="533">
        <f t="shared" si="6"/>
        <v>23</v>
      </c>
      <c r="F25" s="533"/>
      <c r="G25" s="533">
        <f t="shared" si="1"/>
        <v>18000</v>
      </c>
      <c r="H25" s="533"/>
      <c r="I25" s="533">
        <f t="shared" si="7"/>
        <v>238000</v>
      </c>
      <c r="J25" s="533"/>
      <c r="K25" s="533">
        <f t="shared" si="2"/>
        <v>0</v>
      </c>
      <c r="L25" s="533"/>
      <c r="M25" s="533">
        <f t="shared" si="3"/>
        <v>238000</v>
      </c>
      <c r="N25" s="515"/>
      <c r="O25" s="534">
        <f t="shared" si="4"/>
        <v>1</v>
      </c>
      <c r="P25" s="532">
        <v>18</v>
      </c>
      <c r="R25" s="535"/>
      <c r="T25" s="536" t="e">
        <f t="shared" si="5"/>
        <v>#REF!</v>
      </c>
    </row>
    <row r="26" spans="1:20">
      <c r="T26" s="536"/>
    </row>
    <row r="27" spans="1:20">
      <c r="T27" s="554" t="e">
        <f>SUM(T10:T25)</f>
        <v>#REF!</v>
      </c>
    </row>
    <row r="28" spans="1:20" hidden="1">
      <c r="T28" s="536">
        <v>1326</v>
      </c>
    </row>
    <row r="29" spans="1:20" hidden="1">
      <c r="T29" s="536" t="e">
        <f>T27-T28</f>
        <v>#REF!</v>
      </c>
    </row>
    <row r="30" spans="1:20" hidden="1">
      <c r="T30" s="555" t="e">
        <f>T29/T27</f>
        <v>#REF!</v>
      </c>
    </row>
  </sheetData>
  <phoneticPr fontId="54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5"/>
  <sheetViews>
    <sheetView showGridLines="0" topLeftCell="J55" workbookViewId="0">
      <selection activeCell="U10" sqref="U1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5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25" style="513" customWidth="1"/>
    <col min="20" max="20" width="11.75" style="513" bestFit="1" customWidth="1"/>
    <col min="21" max="16384" width="12.5" style="513"/>
  </cols>
  <sheetData>
    <row r="1" spans="1:21" ht="15">
      <c r="O1" s="564"/>
      <c r="R1" s="516" t="s">
        <v>65</v>
      </c>
      <c r="S1" s="516"/>
      <c r="T1" s="517" t="s">
        <v>271</v>
      </c>
    </row>
    <row r="2" spans="1:21">
      <c r="O2" s="564"/>
      <c r="R2" s="518" t="s">
        <v>272</v>
      </c>
      <c r="S2" s="518"/>
      <c r="T2" s="519" t="e">
        <f>#REF!</f>
        <v>#REF!</v>
      </c>
    </row>
    <row r="3" spans="1:21">
      <c r="A3" s="513" t="s">
        <v>298</v>
      </c>
      <c r="M3" s="520" t="s">
        <v>299</v>
      </c>
      <c r="R3" s="518" t="s">
        <v>274</v>
      </c>
      <c r="S3" s="518"/>
      <c r="T3" s="519" t="e">
        <f>#REF!</f>
        <v>#REF!</v>
      </c>
    </row>
    <row r="4" spans="1:21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#REF!</f>
        <v>#REF!</v>
      </c>
    </row>
    <row r="5" spans="1:21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#REF!</f>
        <v>#REF!</v>
      </c>
    </row>
    <row r="6" spans="1:21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#REF!</f>
        <v>#REF!</v>
      </c>
    </row>
    <row r="7" spans="1:21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#REF!</f>
        <v>#REF!</v>
      </c>
    </row>
    <row r="8" spans="1:21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5" t="s">
        <v>293</v>
      </c>
    </row>
    <row r="9" spans="1:21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65"/>
      <c r="T9" s="530"/>
    </row>
    <row r="10" spans="1:21">
      <c r="A10" s="531">
        <f t="shared" ref="A10:A41" si="0">P10*1000</f>
        <v>0</v>
      </c>
      <c r="B10" s="515"/>
      <c r="C10" s="532">
        <v>459</v>
      </c>
      <c r="D10" s="533"/>
      <c r="E10" s="533">
        <f>C10</f>
        <v>459</v>
      </c>
      <c r="F10" s="533"/>
      <c r="G10" s="533">
        <f t="shared" ref="G10:G41" si="1">A10*C10</f>
        <v>0</v>
      </c>
      <c r="H10" s="533"/>
      <c r="I10" s="533">
        <f>G10</f>
        <v>0</v>
      </c>
      <c r="J10" s="533"/>
      <c r="K10" s="533">
        <f t="shared" ref="K10:K41" si="2">$E$70-E10</f>
        <v>1424</v>
      </c>
      <c r="L10" s="533"/>
      <c r="M10" s="533">
        <f t="shared" ref="M10:M41" si="3">(A10*K10)+I10</f>
        <v>0</v>
      </c>
      <c r="N10" s="515"/>
      <c r="O10" s="534">
        <f t="shared" ref="O10:O41" si="4">I10/$I$70</f>
        <v>0</v>
      </c>
      <c r="P10" s="532">
        <v>0</v>
      </c>
      <c r="Q10" s="561"/>
      <c r="R10" s="535"/>
      <c r="T10" s="536" t="e">
        <f t="shared" ref="T10:T41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  <c r="U10" s="566"/>
    </row>
    <row r="11" spans="1:21">
      <c r="A11" s="531">
        <f t="shared" si="0"/>
        <v>1000</v>
      </c>
      <c r="B11" s="515"/>
      <c r="C11" s="532">
        <v>444</v>
      </c>
      <c r="D11" s="533"/>
      <c r="E11" s="533">
        <f t="shared" ref="E11:E42" si="6">E10+C11</f>
        <v>903</v>
      </c>
      <c r="F11" s="533"/>
      <c r="G11" s="533">
        <f t="shared" si="1"/>
        <v>444000</v>
      </c>
      <c r="H11" s="533"/>
      <c r="I11" s="533">
        <f t="shared" ref="I11:I42" si="7">G11+I10</f>
        <v>444000</v>
      </c>
      <c r="J11" s="533"/>
      <c r="K11" s="533">
        <f t="shared" si="2"/>
        <v>980</v>
      </c>
      <c r="L11" s="533"/>
      <c r="M11" s="533">
        <f t="shared" si="3"/>
        <v>1424000</v>
      </c>
      <c r="N11" s="515"/>
      <c r="O11" s="534">
        <f t="shared" si="4"/>
        <v>4.8302872062663184E-2</v>
      </c>
      <c r="P11" s="532">
        <v>1</v>
      </c>
      <c r="Q11" s="561"/>
      <c r="R11" s="535"/>
      <c r="T11" s="536" t="e">
        <f t="shared" si="5"/>
        <v>#REF!</v>
      </c>
      <c r="U11" s="566"/>
    </row>
    <row r="12" spans="1:21">
      <c r="A12" s="531">
        <f t="shared" si="0"/>
        <v>2000</v>
      </c>
      <c r="B12" s="515"/>
      <c r="C12" s="532">
        <v>272</v>
      </c>
      <c r="D12" s="533"/>
      <c r="E12" s="533">
        <f t="shared" si="6"/>
        <v>1175</v>
      </c>
      <c r="F12" s="533"/>
      <c r="G12" s="533">
        <f t="shared" si="1"/>
        <v>544000</v>
      </c>
      <c r="H12" s="533"/>
      <c r="I12" s="533">
        <f t="shared" si="7"/>
        <v>988000</v>
      </c>
      <c r="J12" s="533"/>
      <c r="K12" s="533">
        <f t="shared" si="2"/>
        <v>708</v>
      </c>
      <c r="L12" s="533"/>
      <c r="M12" s="533">
        <f t="shared" si="3"/>
        <v>2404000</v>
      </c>
      <c r="N12" s="515"/>
      <c r="O12" s="534">
        <f t="shared" si="4"/>
        <v>0.10748476936466493</v>
      </c>
      <c r="P12" s="532">
        <v>2</v>
      </c>
      <c r="Q12" s="561"/>
      <c r="T12" s="536" t="e">
        <f t="shared" si="5"/>
        <v>#REF!</v>
      </c>
      <c r="U12" s="566"/>
    </row>
    <row r="13" spans="1:21">
      <c r="A13" s="531">
        <f t="shared" si="0"/>
        <v>3000</v>
      </c>
      <c r="B13" s="515"/>
      <c r="C13" s="532">
        <v>130</v>
      </c>
      <c r="D13" s="533"/>
      <c r="E13" s="533">
        <f t="shared" si="6"/>
        <v>1305</v>
      </c>
      <c r="F13" s="533"/>
      <c r="G13" s="533">
        <f t="shared" si="1"/>
        <v>390000</v>
      </c>
      <c r="H13" s="533"/>
      <c r="I13" s="533">
        <f t="shared" si="7"/>
        <v>1378000</v>
      </c>
      <c r="J13" s="533"/>
      <c r="K13" s="533">
        <f t="shared" si="2"/>
        <v>578</v>
      </c>
      <c r="L13" s="533"/>
      <c r="M13" s="533">
        <f t="shared" si="3"/>
        <v>3112000</v>
      </c>
      <c r="N13" s="537"/>
      <c r="O13" s="534">
        <f t="shared" si="4"/>
        <v>0.1499129677980853</v>
      </c>
      <c r="P13" s="532">
        <v>3</v>
      </c>
      <c r="Q13" s="561"/>
      <c r="T13" s="536" t="e">
        <f t="shared" si="5"/>
        <v>#REF!</v>
      </c>
      <c r="U13" s="566"/>
    </row>
    <row r="14" spans="1:21">
      <c r="A14" s="531">
        <f t="shared" si="0"/>
        <v>4000</v>
      </c>
      <c r="B14" s="515"/>
      <c r="C14" s="532">
        <v>96</v>
      </c>
      <c r="D14" s="533"/>
      <c r="E14" s="533">
        <f t="shared" si="6"/>
        <v>1401</v>
      </c>
      <c r="F14" s="533"/>
      <c r="G14" s="533">
        <f t="shared" si="1"/>
        <v>384000</v>
      </c>
      <c r="H14" s="533"/>
      <c r="I14" s="533">
        <f t="shared" si="7"/>
        <v>1762000</v>
      </c>
      <c r="J14" s="533"/>
      <c r="K14" s="533">
        <f t="shared" si="2"/>
        <v>482</v>
      </c>
      <c r="L14" s="533"/>
      <c r="M14" s="533">
        <f t="shared" si="3"/>
        <v>3690000</v>
      </c>
      <c r="N14" s="515"/>
      <c r="O14" s="534">
        <f t="shared" si="4"/>
        <v>0.19168842471714534</v>
      </c>
      <c r="P14" s="532">
        <v>4</v>
      </c>
      <c r="Q14" s="561"/>
      <c r="T14" s="536" t="e">
        <f t="shared" si="5"/>
        <v>#REF!</v>
      </c>
      <c r="U14" s="566"/>
    </row>
    <row r="15" spans="1:21">
      <c r="A15" s="531">
        <f t="shared" si="0"/>
        <v>5000</v>
      </c>
      <c r="B15" s="515"/>
      <c r="C15" s="532">
        <v>104</v>
      </c>
      <c r="D15" s="533"/>
      <c r="E15" s="533">
        <f t="shared" si="6"/>
        <v>1505</v>
      </c>
      <c r="F15" s="533"/>
      <c r="G15" s="533">
        <f t="shared" si="1"/>
        <v>520000</v>
      </c>
      <c r="H15" s="533"/>
      <c r="I15" s="533">
        <f t="shared" si="7"/>
        <v>2282000</v>
      </c>
      <c r="J15" s="533"/>
      <c r="K15" s="533">
        <f t="shared" si="2"/>
        <v>378</v>
      </c>
      <c r="L15" s="533"/>
      <c r="M15" s="533">
        <f t="shared" si="3"/>
        <v>4172000</v>
      </c>
      <c r="N15" s="515"/>
      <c r="O15" s="534">
        <f t="shared" si="4"/>
        <v>0.24825935596170584</v>
      </c>
      <c r="P15" s="532">
        <v>5</v>
      </c>
      <c r="Q15" s="561"/>
      <c r="T15" s="536" t="e">
        <f t="shared" si="5"/>
        <v>#REF!</v>
      </c>
      <c r="U15" s="566"/>
    </row>
    <row r="16" spans="1:21">
      <c r="A16" s="531">
        <f t="shared" si="0"/>
        <v>6000</v>
      </c>
      <c r="B16" s="515"/>
      <c r="C16" s="532">
        <v>65</v>
      </c>
      <c r="D16" s="533"/>
      <c r="E16" s="533">
        <f t="shared" si="6"/>
        <v>1570</v>
      </c>
      <c r="F16" s="533"/>
      <c r="G16" s="533">
        <f t="shared" si="1"/>
        <v>390000</v>
      </c>
      <c r="H16" s="533"/>
      <c r="I16" s="533">
        <f t="shared" si="7"/>
        <v>2672000</v>
      </c>
      <c r="J16" s="533"/>
      <c r="K16" s="533">
        <f t="shared" si="2"/>
        <v>313</v>
      </c>
      <c r="L16" s="533"/>
      <c r="M16" s="533">
        <f t="shared" si="3"/>
        <v>4550000</v>
      </c>
      <c r="N16" s="515"/>
      <c r="O16" s="534">
        <f t="shared" si="4"/>
        <v>0.29068755439512622</v>
      </c>
      <c r="P16" s="532">
        <v>6</v>
      </c>
      <c r="Q16" s="561"/>
      <c r="T16" s="536" t="e">
        <f t="shared" si="5"/>
        <v>#REF!</v>
      </c>
      <c r="U16" s="566"/>
    </row>
    <row r="17" spans="1:21">
      <c r="A17" s="531">
        <f t="shared" si="0"/>
        <v>7000</v>
      </c>
      <c r="B17" s="515"/>
      <c r="C17" s="532">
        <v>58</v>
      </c>
      <c r="D17" s="533"/>
      <c r="E17" s="533">
        <f t="shared" si="6"/>
        <v>1628</v>
      </c>
      <c r="F17" s="533"/>
      <c r="G17" s="533">
        <f t="shared" si="1"/>
        <v>406000</v>
      </c>
      <c r="H17" s="533"/>
      <c r="I17" s="533">
        <f t="shared" si="7"/>
        <v>3078000</v>
      </c>
      <c r="J17" s="533"/>
      <c r="K17" s="533">
        <f t="shared" si="2"/>
        <v>255</v>
      </c>
      <c r="L17" s="533"/>
      <c r="M17" s="533">
        <f t="shared" si="3"/>
        <v>4863000</v>
      </c>
      <c r="N17" s="515"/>
      <c r="O17" s="534">
        <f t="shared" si="4"/>
        <v>0.33485639686684071</v>
      </c>
      <c r="P17" s="532">
        <v>7</v>
      </c>
      <c r="Q17" s="561"/>
      <c r="T17" s="536" t="e">
        <f t="shared" si="5"/>
        <v>#REF!</v>
      </c>
      <c r="U17" s="566"/>
    </row>
    <row r="18" spans="1:21">
      <c r="A18" s="531">
        <f t="shared" si="0"/>
        <v>8000</v>
      </c>
      <c r="B18" s="515"/>
      <c r="C18" s="532">
        <v>37</v>
      </c>
      <c r="D18" s="533"/>
      <c r="E18" s="533">
        <f t="shared" si="6"/>
        <v>1665</v>
      </c>
      <c r="F18" s="533"/>
      <c r="G18" s="533">
        <f t="shared" si="1"/>
        <v>296000</v>
      </c>
      <c r="H18" s="533"/>
      <c r="I18" s="533">
        <f t="shared" si="7"/>
        <v>3374000</v>
      </c>
      <c r="J18" s="533"/>
      <c r="K18" s="533">
        <f t="shared" si="2"/>
        <v>218</v>
      </c>
      <c r="L18" s="533"/>
      <c r="M18" s="533">
        <f t="shared" si="3"/>
        <v>5118000</v>
      </c>
      <c r="N18" s="515"/>
      <c r="O18" s="534">
        <f t="shared" si="4"/>
        <v>0.36705831157528285</v>
      </c>
      <c r="P18" s="532">
        <v>8</v>
      </c>
      <c r="Q18" s="561"/>
      <c r="T18" s="536" t="e">
        <f t="shared" si="5"/>
        <v>#REF!</v>
      </c>
      <c r="U18" s="566"/>
    </row>
    <row r="19" spans="1:21">
      <c r="A19" s="531">
        <f t="shared" si="0"/>
        <v>9000</v>
      </c>
      <c r="B19" s="515"/>
      <c r="C19" s="532">
        <v>35</v>
      </c>
      <c r="D19" s="533"/>
      <c r="E19" s="533">
        <f t="shared" si="6"/>
        <v>1700</v>
      </c>
      <c r="F19" s="533"/>
      <c r="G19" s="533">
        <f t="shared" si="1"/>
        <v>315000</v>
      </c>
      <c r="H19" s="533"/>
      <c r="I19" s="533">
        <f t="shared" si="7"/>
        <v>3689000</v>
      </c>
      <c r="J19" s="533"/>
      <c r="K19" s="533">
        <f t="shared" si="2"/>
        <v>183</v>
      </c>
      <c r="L19" s="533"/>
      <c r="M19" s="533">
        <f t="shared" si="3"/>
        <v>5336000</v>
      </c>
      <c r="N19" s="515"/>
      <c r="O19" s="534">
        <f t="shared" si="4"/>
        <v>0.40132724107919931</v>
      </c>
      <c r="P19" s="532">
        <v>9</v>
      </c>
      <c r="Q19" s="561"/>
      <c r="T19" s="536" t="e">
        <f t="shared" si="5"/>
        <v>#REF!</v>
      </c>
      <c r="U19" s="566"/>
    </row>
    <row r="20" spans="1:21">
      <c r="A20" s="531">
        <f t="shared" si="0"/>
        <v>10000</v>
      </c>
      <c r="B20" s="515"/>
      <c r="C20" s="532">
        <v>26</v>
      </c>
      <c r="D20" s="533"/>
      <c r="E20" s="533">
        <f t="shared" si="6"/>
        <v>1726</v>
      </c>
      <c r="F20" s="533"/>
      <c r="G20" s="533">
        <f t="shared" si="1"/>
        <v>260000</v>
      </c>
      <c r="H20" s="533"/>
      <c r="I20" s="533">
        <f t="shared" si="7"/>
        <v>3949000</v>
      </c>
      <c r="J20" s="533"/>
      <c r="K20" s="533">
        <f t="shared" si="2"/>
        <v>157</v>
      </c>
      <c r="L20" s="533"/>
      <c r="M20" s="533">
        <f t="shared" si="3"/>
        <v>5519000</v>
      </c>
      <c r="N20" s="515"/>
      <c r="O20" s="534">
        <f t="shared" si="4"/>
        <v>0.42961270670147955</v>
      </c>
      <c r="P20" s="532">
        <v>10</v>
      </c>
      <c r="Q20" s="561"/>
      <c r="T20" s="536" t="e">
        <f t="shared" si="5"/>
        <v>#REF!</v>
      </c>
      <c r="U20" s="566"/>
    </row>
    <row r="21" spans="1:21">
      <c r="A21" s="531">
        <f t="shared" si="0"/>
        <v>11000</v>
      </c>
      <c r="B21" s="515"/>
      <c r="C21" s="532">
        <v>23</v>
      </c>
      <c r="D21" s="533"/>
      <c r="E21" s="533">
        <f t="shared" si="6"/>
        <v>1749</v>
      </c>
      <c r="F21" s="533"/>
      <c r="G21" s="533">
        <f t="shared" si="1"/>
        <v>253000</v>
      </c>
      <c r="H21" s="533"/>
      <c r="I21" s="533">
        <f t="shared" si="7"/>
        <v>4202000</v>
      </c>
      <c r="J21" s="533"/>
      <c r="K21" s="533">
        <f t="shared" si="2"/>
        <v>134</v>
      </c>
      <c r="L21" s="533"/>
      <c r="M21" s="533">
        <f t="shared" si="3"/>
        <v>5676000</v>
      </c>
      <c r="N21" s="515"/>
      <c r="O21" s="534">
        <f t="shared" si="4"/>
        <v>0.45713664055700609</v>
      </c>
      <c r="P21" s="532">
        <v>11</v>
      </c>
      <c r="Q21" s="561"/>
      <c r="T21" s="536" t="e">
        <f t="shared" si="5"/>
        <v>#REF!</v>
      </c>
      <c r="U21" s="566"/>
    </row>
    <row r="22" spans="1:21">
      <c r="A22" s="531">
        <f t="shared" si="0"/>
        <v>12000</v>
      </c>
      <c r="B22" s="515"/>
      <c r="C22" s="532">
        <v>13</v>
      </c>
      <c r="D22" s="533"/>
      <c r="E22" s="533">
        <f t="shared" si="6"/>
        <v>1762</v>
      </c>
      <c r="F22" s="533"/>
      <c r="G22" s="533">
        <f t="shared" si="1"/>
        <v>156000</v>
      </c>
      <c r="H22" s="533"/>
      <c r="I22" s="533">
        <f t="shared" si="7"/>
        <v>4358000</v>
      </c>
      <c r="J22" s="533"/>
      <c r="K22" s="533">
        <f t="shared" si="2"/>
        <v>121</v>
      </c>
      <c r="L22" s="533"/>
      <c r="M22" s="533">
        <f t="shared" si="3"/>
        <v>5810000</v>
      </c>
      <c r="N22" s="515"/>
      <c r="O22" s="534">
        <f t="shared" si="4"/>
        <v>0.47410791993037421</v>
      </c>
      <c r="P22" s="532">
        <v>12</v>
      </c>
      <c r="Q22" s="561"/>
      <c r="T22" s="536" t="e">
        <f t="shared" si="5"/>
        <v>#REF!</v>
      </c>
      <c r="U22" s="566"/>
    </row>
    <row r="23" spans="1:21">
      <c r="A23" s="531">
        <f t="shared" si="0"/>
        <v>13000</v>
      </c>
      <c r="B23" s="515"/>
      <c r="C23" s="532">
        <v>19</v>
      </c>
      <c r="D23" s="533"/>
      <c r="E23" s="533">
        <f t="shared" si="6"/>
        <v>1781</v>
      </c>
      <c r="F23" s="533"/>
      <c r="G23" s="533">
        <f t="shared" si="1"/>
        <v>247000</v>
      </c>
      <c r="H23" s="533"/>
      <c r="I23" s="533">
        <f t="shared" si="7"/>
        <v>4605000</v>
      </c>
      <c r="J23" s="533"/>
      <c r="K23" s="533">
        <f t="shared" si="2"/>
        <v>102</v>
      </c>
      <c r="L23" s="533"/>
      <c r="M23" s="533">
        <f t="shared" si="3"/>
        <v>5931000</v>
      </c>
      <c r="N23" s="515"/>
      <c r="O23" s="534">
        <f t="shared" si="4"/>
        <v>0.50097911227154046</v>
      </c>
      <c r="P23" s="532">
        <v>13</v>
      </c>
      <c r="Q23" s="561"/>
      <c r="T23" s="536" t="e">
        <f t="shared" si="5"/>
        <v>#REF!</v>
      </c>
      <c r="U23" s="566"/>
    </row>
    <row r="24" spans="1:21">
      <c r="A24" s="531">
        <f t="shared" si="0"/>
        <v>14000</v>
      </c>
      <c r="B24" s="515"/>
      <c r="C24" s="532">
        <v>11</v>
      </c>
      <c r="D24" s="533"/>
      <c r="E24" s="533">
        <f t="shared" si="6"/>
        <v>1792</v>
      </c>
      <c r="F24" s="533"/>
      <c r="G24" s="533">
        <f t="shared" si="1"/>
        <v>154000</v>
      </c>
      <c r="H24" s="533"/>
      <c r="I24" s="533">
        <f t="shared" si="7"/>
        <v>4759000</v>
      </c>
      <c r="J24" s="533"/>
      <c r="K24" s="533">
        <f t="shared" si="2"/>
        <v>91</v>
      </c>
      <c r="L24" s="533"/>
      <c r="M24" s="533">
        <f t="shared" si="3"/>
        <v>6033000</v>
      </c>
      <c r="N24" s="515"/>
      <c r="O24" s="534">
        <f t="shared" si="4"/>
        <v>0.51773281114012182</v>
      </c>
      <c r="P24" s="532">
        <v>14</v>
      </c>
      <c r="Q24" s="561"/>
      <c r="T24" s="536" t="e">
        <f t="shared" si="5"/>
        <v>#REF!</v>
      </c>
      <c r="U24" s="566"/>
    </row>
    <row r="25" spans="1:21">
      <c r="A25" s="531">
        <f t="shared" si="0"/>
        <v>15000</v>
      </c>
      <c r="B25" s="515"/>
      <c r="C25" s="532">
        <v>10</v>
      </c>
      <c r="D25" s="533"/>
      <c r="E25" s="533">
        <f t="shared" si="6"/>
        <v>1802</v>
      </c>
      <c r="F25" s="533"/>
      <c r="G25" s="533">
        <f t="shared" si="1"/>
        <v>150000</v>
      </c>
      <c r="H25" s="533"/>
      <c r="I25" s="533">
        <f t="shared" si="7"/>
        <v>4909000</v>
      </c>
      <c r="J25" s="533"/>
      <c r="K25" s="533">
        <f t="shared" si="2"/>
        <v>81</v>
      </c>
      <c r="L25" s="533"/>
      <c r="M25" s="533">
        <f t="shared" si="3"/>
        <v>6124000</v>
      </c>
      <c r="N25" s="515"/>
      <c r="O25" s="534">
        <f t="shared" si="4"/>
        <v>0.53405134899912965</v>
      </c>
      <c r="P25" s="532">
        <v>15</v>
      </c>
      <c r="Q25" s="561"/>
      <c r="T25" s="536" t="e">
        <f t="shared" si="5"/>
        <v>#REF!</v>
      </c>
      <c r="U25" s="566"/>
    </row>
    <row r="26" spans="1:21">
      <c r="A26" s="531">
        <f t="shared" si="0"/>
        <v>16000</v>
      </c>
      <c r="B26" s="515"/>
      <c r="C26" s="532">
        <v>4</v>
      </c>
      <c r="D26" s="533"/>
      <c r="E26" s="533">
        <f t="shared" si="6"/>
        <v>1806</v>
      </c>
      <c r="F26" s="533"/>
      <c r="G26" s="533">
        <f t="shared" si="1"/>
        <v>64000</v>
      </c>
      <c r="H26" s="533"/>
      <c r="I26" s="533">
        <f t="shared" si="7"/>
        <v>4973000</v>
      </c>
      <c r="J26" s="533"/>
      <c r="K26" s="533">
        <f t="shared" si="2"/>
        <v>77</v>
      </c>
      <c r="L26" s="533"/>
      <c r="M26" s="533">
        <f t="shared" si="3"/>
        <v>6205000</v>
      </c>
      <c r="N26" s="515"/>
      <c r="O26" s="534">
        <f t="shared" si="4"/>
        <v>0.5410139251523064</v>
      </c>
      <c r="P26" s="532">
        <v>16</v>
      </c>
      <c r="Q26" s="561"/>
      <c r="T26" s="536" t="e">
        <f t="shared" si="5"/>
        <v>#REF!</v>
      </c>
      <c r="U26" s="566"/>
    </row>
    <row r="27" spans="1:21" s="515" customFormat="1">
      <c r="A27" s="552">
        <f t="shared" si="0"/>
        <v>17000</v>
      </c>
      <c r="C27" s="532">
        <v>2</v>
      </c>
      <c r="D27" s="533"/>
      <c r="E27" s="533">
        <f t="shared" si="6"/>
        <v>1808</v>
      </c>
      <c r="F27" s="533"/>
      <c r="G27" s="533">
        <f t="shared" si="1"/>
        <v>34000</v>
      </c>
      <c r="H27" s="533"/>
      <c r="I27" s="533">
        <f t="shared" si="7"/>
        <v>5007000</v>
      </c>
      <c r="J27" s="533"/>
      <c r="K27" s="533">
        <f t="shared" si="2"/>
        <v>75</v>
      </c>
      <c r="L27" s="533"/>
      <c r="M27" s="533">
        <f t="shared" si="3"/>
        <v>6282000</v>
      </c>
      <c r="O27" s="534">
        <f t="shared" si="4"/>
        <v>0.54471279373368142</v>
      </c>
      <c r="P27" s="532">
        <v>17</v>
      </c>
      <c r="Q27" s="547"/>
      <c r="R27" s="513"/>
      <c r="S27" s="513"/>
      <c r="T27" s="536" t="e">
        <f t="shared" si="5"/>
        <v>#REF!</v>
      </c>
      <c r="U27" s="566"/>
    </row>
    <row r="28" spans="1:21" s="515" customFormat="1">
      <c r="A28" s="552">
        <f t="shared" si="0"/>
        <v>18000</v>
      </c>
      <c r="C28" s="532">
        <v>7</v>
      </c>
      <c r="D28" s="533"/>
      <c r="E28" s="533">
        <f t="shared" si="6"/>
        <v>1815</v>
      </c>
      <c r="F28" s="533"/>
      <c r="G28" s="533">
        <f t="shared" si="1"/>
        <v>126000</v>
      </c>
      <c r="H28" s="533"/>
      <c r="I28" s="533">
        <f t="shared" si="7"/>
        <v>5133000</v>
      </c>
      <c r="J28" s="533"/>
      <c r="K28" s="533">
        <f t="shared" si="2"/>
        <v>68</v>
      </c>
      <c r="L28" s="533"/>
      <c r="M28" s="533">
        <f t="shared" si="3"/>
        <v>6357000</v>
      </c>
      <c r="O28" s="534">
        <f t="shared" si="4"/>
        <v>0.55842036553524799</v>
      </c>
      <c r="P28" s="532">
        <v>18</v>
      </c>
      <c r="R28" s="513"/>
      <c r="S28" s="513"/>
      <c r="T28" s="536" t="e">
        <f t="shared" si="5"/>
        <v>#REF!</v>
      </c>
      <c r="U28" s="567"/>
    </row>
    <row r="29" spans="1:21" s="515" customFormat="1">
      <c r="A29" s="552">
        <f t="shared" si="0"/>
        <v>19000</v>
      </c>
      <c r="B29" s="542"/>
      <c r="C29" s="532">
        <v>4</v>
      </c>
      <c r="D29" s="533"/>
      <c r="E29" s="533">
        <f t="shared" si="6"/>
        <v>1819</v>
      </c>
      <c r="F29" s="533"/>
      <c r="G29" s="533">
        <f t="shared" si="1"/>
        <v>76000</v>
      </c>
      <c r="H29" s="533"/>
      <c r="I29" s="533">
        <f t="shared" si="7"/>
        <v>5209000</v>
      </c>
      <c r="J29" s="533"/>
      <c r="K29" s="533">
        <f t="shared" si="2"/>
        <v>64</v>
      </c>
      <c r="L29" s="533"/>
      <c r="M29" s="533">
        <f t="shared" si="3"/>
        <v>6425000</v>
      </c>
      <c r="O29" s="534">
        <f t="shared" si="4"/>
        <v>0.56668842471714531</v>
      </c>
      <c r="P29" s="532">
        <v>19</v>
      </c>
      <c r="R29" s="513"/>
      <c r="S29" s="513"/>
      <c r="T29" s="536" t="e">
        <f t="shared" si="5"/>
        <v>#REF!</v>
      </c>
      <c r="U29" s="567"/>
    </row>
    <row r="30" spans="1:21" s="515" customFormat="1">
      <c r="A30" s="552">
        <f t="shared" si="0"/>
        <v>20000</v>
      </c>
      <c r="B30" s="542"/>
      <c r="C30" s="532">
        <v>4</v>
      </c>
      <c r="D30" s="533"/>
      <c r="E30" s="533">
        <f t="shared" si="6"/>
        <v>1823</v>
      </c>
      <c r="F30" s="533"/>
      <c r="G30" s="533">
        <f t="shared" si="1"/>
        <v>80000</v>
      </c>
      <c r="H30" s="533"/>
      <c r="I30" s="533">
        <f t="shared" si="7"/>
        <v>5289000</v>
      </c>
      <c r="J30" s="533"/>
      <c r="K30" s="533">
        <f t="shared" si="2"/>
        <v>60</v>
      </c>
      <c r="L30" s="533"/>
      <c r="M30" s="533">
        <f t="shared" si="3"/>
        <v>6489000</v>
      </c>
      <c r="O30" s="534">
        <f t="shared" si="4"/>
        <v>0.57539164490861616</v>
      </c>
      <c r="P30" s="532">
        <v>20</v>
      </c>
      <c r="R30" s="513"/>
      <c r="S30" s="513"/>
      <c r="T30" s="536" t="e">
        <f t="shared" si="5"/>
        <v>#REF!</v>
      </c>
      <c r="U30" s="567"/>
    </row>
    <row r="31" spans="1:21">
      <c r="A31" s="552">
        <f t="shared" si="0"/>
        <v>21000</v>
      </c>
      <c r="B31" s="515"/>
      <c r="C31" s="532">
        <v>5</v>
      </c>
      <c r="D31" s="533"/>
      <c r="E31" s="533">
        <f t="shared" si="6"/>
        <v>1828</v>
      </c>
      <c r="F31" s="533"/>
      <c r="G31" s="533">
        <f t="shared" si="1"/>
        <v>105000</v>
      </c>
      <c r="H31" s="533"/>
      <c r="I31" s="533">
        <f t="shared" si="7"/>
        <v>5394000</v>
      </c>
      <c r="J31" s="533"/>
      <c r="K31" s="533">
        <f t="shared" si="2"/>
        <v>55</v>
      </c>
      <c r="L31" s="533"/>
      <c r="M31" s="533">
        <f t="shared" si="3"/>
        <v>6549000</v>
      </c>
      <c r="N31" s="515"/>
      <c r="O31" s="534">
        <f t="shared" si="4"/>
        <v>0.58681462140992169</v>
      </c>
      <c r="P31" s="532">
        <v>21</v>
      </c>
      <c r="T31" s="536" t="e">
        <f t="shared" si="5"/>
        <v>#REF!</v>
      </c>
      <c r="U31" s="567"/>
    </row>
    <row r="32" spans="1:21">
      <c r="A32" s="552">
        <f t="shared" si="0"/>
        <v>22000</v>
      </c>
      <c r="B32" s="515"/>
      <c r="C32" s="532">
        <v>4</v>
      </c>
      <c r="D32" s="533"/>
      <c r="E32" s="533">
        <f t="shared" si="6"/>
        <v>1832</v>
      </c>
      <c r="F32" s="533"/>
      <c r="G32" s="533">
        <f t="shared" si="1"/>
        <v>88000</v>
      </c>
      <c r="H32" s="533"/>
      <c r="I32" s="533">
        <f t="shared" si="7"/>
        <v>5482000</v>
      </c>
      <c r="J32" s="533"/>
      <c r="K32" s="533">
        <f t="shared" si="2"/>
        <v>51</v>
      </c>
      <c r="L32" s="533"/>
      <c r="M32" s="533">
        <f t="shared" si="3"/>
        <v>6604000</v>
      </c>
      <c r="N32" s="515"/>
      <c r="O32" s="534">
        <f t="shared" si="4"/>
        <v>0.59638816362053959</v>
      </c>
      <c r="P32" s="532">
        <v>22</v>
      </c>
      <c r="T32" s="536" t="e">
        <f t="shared" si="5"/>
        <v>#REF!</v>
      </c>
      <c r="U32" s="568"/>
    </row>
    <row r="33" spans="1:21">
      <c r="A33" s="552">
        <f t="shared" si="0"/>
        <v>23000</v>
      </c>
      <c r="B33" s="544"/>
      <c r="C33" s="532">
        <v>2</v>
      </c>
      <c r="D33" s="545"/>
      <c r="E33" s="533">
        <f t="shared" si="6"/>
        <v>1834</v>
      </c>
      <c r="F33" s="533"/>
      <c r="G33" s="533">
        <f t="shared" si="1"/>
        <v>46000</v>
      </c>
      <c r="H33" s="533"/>
      <c r="I33" s="533">
        <f t="shared" si="7"/>
        <v>5528000</v>
      </c>
      <c r="J33" s="533"/>
      <c r="K33" s="533">
        <f t="shared" si="2"/>
        <v>49</v>
      </c>
      <c r="L33" s="533"/>
      <c r="M33" s="533">
        <f t="shared" si="3"/>
        <v>6655000</v>
      </c>
      <c r="N33" s="515"/>
      <c r="O33" s="534">
        <f t="shared" si="4"/>
        <v>0.60139251523063531</v>
      </c>
      <c r="P33" s="532">
        <v>23</v>
      </c>
      <c r="T33" s="536" t="e">
        <f t="shared" si="5"/>
        <v>#REF!</v>
      </c>
      <c r="U33" s="568"/>
    </row>
    <row r="34" spans="1:21">
      <c r="A34" s="552">
        <f t="shared" si="0"/>
        <v>24000</v>
      </c>
      <c r="B34" s="515"/>
      <c r="C34" s="532">
        <v>4</v>
      </c>
      <c r="D34" s="515"/>
      <c r="E34" s="533">
        <f t="shared" si="6"/>
        <v>1838</v>
      </c>
      <c r="F34" s="533"/>
      <c r="G34" s="533">
        <f t="shared" si="1"/>
        <v>96000</v>
      </c>
      <c r="H34" s="533"/>
      <c r="I34" s="533">
        <f t="shared" si="7"/>
        <v>5624000</v>
      </c>
      <c r="J34" s="533"/>
      <c r="K34" s="533">
        <f t="shared" si="2"/>
        <v>45</v>
      </c>
      <c r="L34" s="533"/>
      <c r="M34" s="533">
        <f t="shared" si="3"/>
        <v>6704000</v>
      </c>
      <c r="N34" s="515"/>
      <c r="O34" s="534">
        <f t="shared" si="4"/>
        <v>0.61183637946040037</v>
      </c>
      <c r="P34" s="532">
        <v>24</v>
      </c>
      <c r="T34" s="536" t="e">
        <f t="shared" si="5"/>
        <v>#REF!</v>
      </c>
      <c r="U34" s="568"/>
    </row>
    <row r="35" spans="1:21">
      <c r="A35" s="552">
        <f t="shared" si="0"/>
        <v>26000</v>
      </c>
      <c r="B35" s="515"/>
      <c r="C35" s="532">
        <v>5</v>
      </c>
      <c r="D35" s="515"/>
      <c r="E35" s="533">
        <f t="shared" si="6"/>
        <v>1843</v>
      </c>
      <c r="F35" s="533"/>
      <c r="G35" s="533">
        <f t="shared" si="1"/>
        <v>130000</v>
      </c>
      <c r="H35" s="533"/>
      <c r="I35" s="533">
        <f t="shared" si="7"/>
        <v>5754000</v>
      </c>
      <c r="J35" s="533"/>
      <c r="K35" s="533">
        <f t="shared" si="2"/>
        <v>40</v>
      </c>
      <c r="L35" s="533"/>
      <c r="M35" s="533">
        <f t="shared" si="3"/>
        <v>6794000</v>
      </c>
      <c r="N35" s="515"/>
      <c r="O35" s="534">
        <f t="shared" si="4"/>
        <v>0.62597911227154046</v>
      </c>
      <c r="P35" s="532">
        <v>26</v>
      </c>
      <c r="T35" s="536" t="e">
        <f t="shared" si="5"/>
        <v>#REF!</v>
      </c>
      <c r="U35" s="568"/>
    </row>
    <row r="36" spans="1:21">
      <c r="A36" s="552">
        <f t="shared" si="0"/>
        <v>29000</v>
      </c>
      <c r="B36" s="529"/>
      <c r="C36" s="532">
        <v>2</v>
      </c>
      <c r="D36" s="529"/>
      <c r="E36" s="533">
        <f t="shared" si="6"/>
        <v>1845</v>
      </c>
      <c r="F36" s="533"/>
      <c r="G36" s="533">
        <f t="shared" si="1"/>
        <v>58000</v>
      </c>
      <c r="H36" s="533"/>
      <c r="I36" s="533">
        <f t="shared" si="7"/>
        <v>5812000</v>
      </c>
      <c r="J36" s="533"/>
      <c r="K36" s="533">
        <f t="shared" si="2"/>
        <v>38</v>
      </c>
      <c r="L36" s="533"/>
      <c r="M36" s="533">
        <f t="shared" si="3"/>
        <v>6914000</v>
      </c>
      <c r="N36" s="515"/>
      <c r="O36" s="534">
        <f t="shared" si="4"/>
        <v>0.63228894691035686</v>
      </c>
      <c r="P36" s="532">
        <v>29</v>
      </c>
      <c r="T36" s="536" t="e">
        <f t="shared" si="5"/>
        <v>#REF!</v>
      </c>
      <c r="U36" s="568"/>
    </row>
    <row r="37" spans="1:21">
      <c r="A37" s="552">
        <f t="shared" si="0"/>
        <v>30000</v>
      </c>
      <c r="B37" s="523"/>
      <c r="C37" s="532">
        <v>1</v>
      </c>
      <c r="D37" s="523"/>
      <c r="E37" s="533">
        <f t="shared" si="6"/>
        <v>1846</v>
      </c>
      <c r="F37" s="533"/>
      <c r="G37" s="533">
        <f t="shared" si="1"/>
        <v>30000</v>
      </c>
      <c r="H37" s="533"/>
      <c r="I37" s="533">
        <f t="shared" si="7"/>
        <v>5842000</v>
      </c>
      <c r="J37" s="533"/>
      <c r="K37" s="533">
        <f t="shared" si="2"/>
        <v>37</v>
      </c>
      <c r="L37" s="533"/>
      <c r="M37" s="533">
        <f t="shared" si="3"/>
        <v>6952000</v>
      </c>
      <c r="N37" s="515"/>
      <c r="O37" s="534">
        <f t="shared" si="4"/>
        <v>0.63555265448215836</v>
      </c>
      <c r="P37" s="532">
        <v>30</v>
      </c>
      <c r="T37" s="536" t="e">
        <f t="shared" si="5"/>
        <v>#REF!</v>
      </c>
      <c r="U37" s="568"/>
    </row>
    <row r="38" spans="1:21">
      <c r="A38" s="552">
        <f t="shared" si="0"/>
        <v>32000</v>
      </c>
      <c r="C38" s="532">
        <v>1</v>
      </c>
      <c r="E38" s="533">
        <f t="shared" si="6"/>
        <v>1847</v>
      </c>
      <c r="G38" s="533">
        <f t="shared" si="1"/>
        <v>32000</v>
      </c>
      <c r="I38" s="533">
        <f t="shared" si="7"/>
        <v>5874000</v>
      </c>
      <c r="J38" s="533"/>
      <c r="K38" s="533">
        <f t="shared" si="2"/>
        <v>36</v>
      </c>
      <c r="L38" s="533"/>
      <c r="M38" s="533">
        <f t="shared" si="3"/>
        <v>7026000</v>
      </c>
      <c r="N38" s="515"/>
      <c r="O38" s="534">
        <f t="shared" si="4"/>
        <v>0.63903394255874668</v>
      </c>
      <c r="P38" s="532">
        <v>32</v>
      </c>
      <c r="T38" s="536" t="e">
        <f t="shared" si="5"/>
        <v>#REF!</v>
      </c>
      <c r="U38" s="530"/>
    </row>
    <row r="39" spans="1:21">
      <c r="A39" s="552">
        <f t="shared" si="0"/>
        <v>33000</v>
      </c>
      <c r="C39" s="532">
        <v>1</v>
      </c>
      <c r="D39" s="545"/>
      <c r="E39" s="533">
        <f t="shared" si="6"/>
        <v>1848</v>
      </c>
      <c r="F39" s="545"/>
      <c r="G39" s="533">
        <f t="shared" si="1"/>
        <v>33000</v>
      </c>
      <c r="H39" s="545"/>
      <c r="I39" s="533">
        <f t="shared" si="7"/>
        <v>5907000</v>
      </c>
      <c r="J39" s="533"/>
      <c r="K39" s="533">
        <f t="shared" si="2"/>
        <v>35</v>
      </c>
      <c r="L39" s="533"/>
      <c r="M39" s="533">
        <f t="shared" si="3"/>
        <v>7062000</v>
      </c>
      <c r="N39" s="515"/>
      <c r="O39" s="534">
        <f t="shared" si="4"/>
        <v>0.64262402088772841</v>
      </c>
      <c r="P39" s="532">
        <v>33</v>
      </c>
      <c r="T39" s="536" t="e">
        <f t="shared" si="5"/>
        <v>#REF!</v>
      </c>
      <c r="U39" s="530"/>
    </row>
    <row r="40" spans="1:21">
      <c r="A40" s="552">
        <f t="shared" si="0"/>
        <v>34000</v>
      </c>
      <c r="C40" s="532">
        <v>1</v>
      </c>
      <c r="D40" s="545"/>
      <c r="E40" s="533">
        <f t="shared" si="6"/>
        <v>1849</v>
      </c>
      <c r="F40" s="545"/>
      <c r="G40" s="533">
        <f t="shared" si="1"/>
        <v>34000</v>
      </c>
      <c r="H40" s="545"/>
      <c r="I40" s="533">
        <f t="shared" si="7"/>
        <v>5941000</v>
      </c>
      <c r="J40" s="533"/>
      <c r="K40" s="533">
        <f t="shared" si="2"/>
        <v>34</v>
      </c>
      <c r="L40" s="533"/>
      <c r="M40" s="533">
        <f t="shared" si="3"/>
        <v>7097000</v>
      </c>
      <c r="N40" s="515"/>
      <c r="O40" s="534">
        <f t="shared" si="4"/>
        <v>0.64632288946910355</v>
      </c>
      <c r="P40" s="532">
        <v>34</v>
      </c>
      <c r="T40" s="536" t="e">
        <f t="shared" si="5"/>
        <v>#REF!</v>
      </c>
      <c r="U40" s="530"/>
    </row>
    <row r="41" spans="1:21">
      <c r="A41" s="552">
        <f t="shared" si="0"/>
        <v>39000</v>
      </c>
      <c r="C41" s="532">
        <v>1</v>
      </c>
      <c r="D41" s="545"/>
      <c r="E41" s="533">
        <f t="shared" si="6"/>
        <v>1850</v>
      </c>
      <c r="F41" s="545"/>
      <c r="G41" s="533">
        <f t="shared" si="1"/>
        <v>39000</v>
      </c>
      <c r="H41" s="545"/>
      <c r="I41" s="533">
        <f t="shared" si="7"/>
        <v>5980000</v>
      </c>
      <c r="J41" s="533"/>
      <c r="K41" s="533">
        <f t="shared" si="2"/>
        <v>33</v>
      </c>
      <c r="L41" s="533"/>
      <c r="M41" s="533">
        <f t="shared" si="3"/>
        <v>7267000</v>
      </c>
      <c r="N41" s="515"/>
      <c r="O41" s="534">
        <f t="shared" si="4"/>
        <v>0.65056570931244562</v>
      </c>
      <c r="P41" s="532">
        <v>39</v>
      </c>
      <c r="T41" s="536" t="e">
        <f t="shared" si="5"/>
        <v>#REF!</v>
      </c>
      <c r="U41" s="530"/>
    </row>
    <row r="42" spans="1:21">
      <c r="A42" s="552">
        <f t="shared" ref="A42:A70" si="8">P42*1000</f>
        <v>40000</v>
      </c>
      <c r="C42" s="532">
        <v>1</v>
      </c>
      <c r="D42" s="545"/>
      <c r="E42" s="533">
        <f t="shared" si="6"/>
        <v>1851</v>
      </c>
      <c r="F42" s="545"/>
      <c r="G42" s="533">
        <f t="shared" ref="G42:G70" si="9">A42*C42</f>
        <v>40000</v>
      </c>
      <c r="H42" s="545"/>
      <c r="I42" s="533">
        <f t="shared" si="7"/>
        <v>6020000</v>
      </c>
      <c r="J42" s="533"/>
      <c r="K42" s="533">
        <f t="shared" ref="K42:K70" si="10">$E$70-E42</f>
        <v>32</v>
      </c>
      <c r="L42" s="533"/>
      <c r="M42" s="533">
        <f t="shared" ref="M42:M70" si="11">(A42*K42)+I42</f>
        <v>7300000</v>
      </c>
      <c r="N42" s="515"/>
      <c r="O42" s="534">
        <f t="shared" ref="O42:O70" si="12">I42/$I$70</f>
        <v>0.65491731940818099</v>
      </c>
      <c r="P42" s="532">
        <v>40</v>
      </c>
      <c r="T42" s="536" t="e">
        <f t="shared" ref="T42:T70" si="13">IF(A42&lt;1000,C42*$T$2,IF(A42=1000,C42*$T$2,IF(AND(A42&lt;11000,A42&gt;1000),(C42*$T$2)+((A42-1000)*C42/1000*$T$3),IF(AND(A42&gt;10000,A42&lt;26000),(C42*$T$2)+(9*$T$3*C42)+((A42-10000)/1000*$T$4*C42),IF(AND(A42&lt;51000,A42&gt;25000),(C42*$T$2)+(9*$T$3*C42)+(15*$T$4*C42)+((A42-25000)/1000*$T$5*C42),IF(AND(A42&lt;101000,A42&gt;50000),(C42*$T$2)+(9*$T$3*C42)+(15*$T$4*C42)+(25*$T$5*C42)+((A42-50000)/1000*$T$6*C42),IF(A42&gt;100000,(C42*$T$2)+(9*$T$3*C42)+(15*$T$4*C42)+(25*$T$5*C42)+(50*$T$6*C42)+((A42-100000)/1000*$T$7*C42))))))))</f>
        <v>#REF!</v>
      </c>
      <c r="U42" s="530"/>
    </row>
    <row r="43" spans="1:21">
      <c r="A43" s="552">
        <f t="shared" si="8"/>
        <v>43000</v>
      </c>
      <c r="C43" s="532">
        <v>1</v>
      </c>
      <c r="D43" s="545"/>
      <c r="E43" s="533">
        <f t="shared" ref="E43:E70" si="14">E42+C43</f>
        <v>1852</v>
      </c>
      <c r="F43" s="545"/>
      <c r="G43" s="533">
        <f t="shared" si="9"/>
        <v>43000</v>
      </c>
      <c r="H43" s="545"/>
      <c r="I43" s="533">
        <f t="shared" ref="I43:I70" si="15">G43+I42</f>
        <v>6063000</v>
      </c>
      <c r="J43" s="533"/>
      <c r="K43" s="533">
        <f t="shared" si="10"/>
        <v>31</v>
      </c>
      <c r="L43" s="533"/>
      <c r="M43" s="533">
        <f t="shared" si="11"/>
        <v>7396000</v>
      </c>
      <c r="N43" s="515"/>
      <c r="O43" s="534">
        <f t="shared" si="12"/>
        <v>0.65959530026109658</v>
      </c>
      <c r="P43" s="532">
        <v>43</v>
      </c>
      <c r="T43" s="536" t="e">
        <f t="shared" si="13"/>
        <v>#REF!</v>
      </c>
      <c r="U43" s="530"/>
    </row>
    <row r="44" spans="1:21">
      <c r="A44" s="552">
        <f t="shared" si="8"/>
        <v>54000</v>
      </c>
      <c r="C44" s="532">
        <v>1</v>
      </c>
      <c r="D44" s="545"/>
      <c r="E44" s="533">
        <f t="shared" si="14"/>
        <v>1853</v>
      </c>
      <c r="F44" s="545"/>
      <c r="G44" s="533">
        <f t="shared" si="9"/>
        <v>54000</v>
      </c>
      <c r="H44" s="545"/>
      <c r="I44" s="533">
        <f t="shared" si="15"/>
        <v>6117000</v>
      </c>
      <c r="J44" s="533"/>
      <c r="K44" s="533">
        <f t="shared" si="10"/>
        <v>30</v>
      </c>
      <c r="L44" s="533"/>
      <c r="M44" s="533">
        <f t="shared" si="11"/>
        <v>7737000</v>
      </c>
      <c r="N44" s="515"/>
      <c r="O44" s="534">
        <f t="shared" si="12"/>
        <v>0.66546997389033946</v>
      </c>
      <c r="P44" s="532">
        <v>54</v>
      </c>
      <c r="T44" s="536" t="e">
        <f t="shared" si="13"/>
        <v>#REF!</v>
      </c>
      <c r="U44" s="530"/>
    </row>
    <row r="45" spans="1:21">
      <c r="A45" s="552">
        <f t="shared" si="8"/>
        <v>58000</v>
      </c>
      <c r="C45" s="532">
        <v>1</v>
      </c>
      <c r="D45" s="545"/>
      <c r="E45" s="533">
        <f t="shared" si="14"/>
        <v>1854</v>
      </c>
      <c r="F45" s="545"/>
      <c r="G45" s="533">
        <f t="shared" si="9"/>
        <v>58000</v>
      </c>
      <c r="H45" s="545"/>
      <c r="I45" s="533">
        <f t="shared" si="15"/>
        <v>6175000</v>
      </c>
      <c r="J45" s="533"/>
      <c r="K45" s="533">
        <f t="shared" si="10"/>
        <v>29</v>
      </c>
      <c r="L45" s="533"/>
      <c r="M45" s="533">
        <f t="shared" si="11"/>
        <v>7857000</v>
      </c>
      <c r="N45" s="515"/>
      <c r="O45" s="534">
        <f t="shared" si="12"/>
        <v>0.67177980852915575</v>
      </c>
      <c r="P45" s="532">
        <v>58</v>
      </c>
      <c r="T45" s="536" t="e">
        <f t="shared" si="13"/>
        <v>#REF!</v>
      </c>
      <c r="U45" s="530"/>
    </row>
    <row r="46" spans="1:21">
      <c r="A46" s="552">
        <f t="shared" si="8"/>
        <v>65000</v>
      </c>
      <c r="C46" s="532">
        <v>1</v>
      </c>
      <c r="E46" s="533">
        <f t="shared" si="14"/>
        <v>1855</v>
      </c>
      <c r="G46" s="533">
        <f t="shared" si="9"/>
        <v>65000</v>
      </c>
      <c r="I46" s="533">
        <f t="shared" si="15"/>
        <v>6240000</v>
      </c>
      <c r="J46" s="533"/>
      <c r="K46" s="533">
        <f t="shared" si="10"/>
        <v>28</v>
      </c>
      <c r="L46" s="533"/>
      <c r="M46" s="533">
        <f t="shared" si="11"/>
        <v>8060000</v>
      </c>
      <c r="N46" s="515"/>
      <c r="O46" s="534">
        <f t="shared" si="12"/>
        <v>0.6788511749347258</v>
      </c>
      <c r="P46" s="532">
        <v>65</v>
      </c>
      <c r="T46" s="536" t="e">
        <f t="shared" si="13"/>
        <v>#REF!</v>
      </c>
      <c r="U46" s="530"/>
    </row>
    <row r="47" spans="1:21">
      <c r="A47" s="552">
        <f t="shared" si="8"/>
        <v>66000</v>
      </c>
      <c r="C47" s="532">
        <v>1</v>
      </c>
      <c r="E47" s="533">
        <f t="shared" si="14"/>
        <v>1856</v>
      </c>
      <c r="G47" s="513">
        <f t="shared" si="9"/>
        <v>66000</v>
      </c>
      <c r="I47" s="533">
        <f t="shared" si="15"/>
        <v>6306000</v>
      </c>
      <c r="K47" s="533">
        <f t="shared" si="10"/>
        <v>27</v>
      </c>
      <c r="M47" s="533">
        <f t="shared" si="11"/>
        <v>8088000</v>
      </c>
      <c r="O47" s="534">
        <f t="shared" si="12"/>
        <v>0.68603133159268925</v>
      </c>
      <c r="P47" s="532">
        <v>66</v>
      </c>
      <c r="T47" s="536" t="e">
        <f t="shared" si="13"/>
        <v>#REF!</v>
      </c>
    </row>
    <row r="48" spans="1:21">
      <c r="A48" s="552">
        <f t="shared" si="8"/>
        <v>71000</v>
      </c>
      <c r="C48" s="532">
        <v>2</v>
      </c>
      <c r="E48" s="533">
        <f t="shared" si="14"/>
        <v>1858</v>
      </c>
      <c r="G48" s="513">
        <f t="shared" si="9"/>
        <v>142000</v>
      </c>
      <c r="I48" s="533">
        <f t="shared" si="15"/>
        <v>6448000</v>
      </c>
      <c r="K48" s="533">
        <f t="shared" si="10"/>
        <v>25</v>
      </c>
      <c r="M48" s="533">
        <f t="shared" si="11"/>
        <v>8223000</v>
      </c>
      <c r="O48" s="534">
        <f t="shared" si="12"/>
        <v>0.70147954743255003</v>
      </c>
      <c r="P48" s="532">
        <v>71</v>
      </c>
      <c r="T48" s="536" t="e">
        <f t="shared" si="13"/>
        <v>#REF!</v>
      </c>
    </row>
    <row r="49" spans="1:20">
      <c r="A49" s="552">
        <f t="shared" si="8"/>
        <v>74000</v>
      </c>
      <c r="C49" s="532">
        <v>2</v>
      </c>
      <c r="E49" s="533">
        <f t="shared" si="14"/>
        <v>1860</v>
      </c>
      <c r="G49" s="513">
        <f t="shared" si="9"/>
        <v>148000</v>
      </c>
      <c r="I49" s="533">
        <f t="shared" si="15"/>
        <v>6596000</v>
      </c>
      <c r="K49" s="533">
        <f t="shared" si="10"/>
        <v>23</v>
      </c>
      <c r="M49" s="533">
        <f t="shared" si="11"/>
        <v>8298000</v>
      </c>
      <c r="O49" s="534">
        <f t="shared" si="12"/>
        <v>0.71758050478677116</v>
      </c>
      <c r="P49" s="532">
        <v>74</v>
      </c>
      <c r="T49" s="536" t="e">
        <f t="shared" si="13"/>
        <v>#REF!</v>
      </c>
    </row>
    <row r="50" spans="1:20">
      <c r="A50" s="552">
        <f t="shared" si="8"/>
        <v>77000</v>
      </c>
      <c r="C50" s="532">
        <v>1</v>
      </c>
      <c r="E50" s="533">
        <f t="shared" si="14"/>
        <v>1861</v>
      </c>
      <c r="G50" s="513">
        <f t="shared" si="9"/>
        <v>77000</v>
      </c>
      <c r="I50" s="533">
        <f t="shared" si="15"/>
        <v>6673000</v>
      </c>
      <c r="K50" s="533">
        <f t="shared" si="10"/>
        <v>22</v>
      </c>
      <c r="M50" s="533">
        <f t="shared" si="11"/>
        <v>8367000</v>
      </c>
      <c r="O50" s="534">
        <f t="shared" si="12"/>
        <v>0.72595735422106178</v>
      </c>
      <c r="P50" s="532">
        <v>77</v>
      </c>
      <c r="T50" s="536" t="e">
        <f t="shared" si="13"/>
        <v>#REF!</v>
      </c>
    </row>
    <row r="51" spans="1:20">
      <c r="A51" s="552">
        <f t="shared" si="8"/>
        <v>78000</v>
      </c>
      <c r="C51" s="532">
        <v>1</v>
      </c>
      <c r="E51" s="533">
        <f t="shared" si="14"/>
        <v>1862</v>
      </c>
      <c r="G51" s="513">
        <f t="shared" si="9"/>
        <v>78000</v>
      </c>
      <c r="I51" s="533">
        <f t="shared" si="15"/>
        <v>6751000</v>
      </c>
      <c r="K51" s="533">
        <f t="shared" si="10"/>
        <v>21</v>
      </c>
      <c r="M51" s="533">
        <f t="shared" si="11"/>
        <v>8389000</v>
      </c>
      <c r="O51" s="534">
        <f t="shared" si="12"/>
        <v>0.73444299390774581</v>
      </c>
      <c r="P51" s="532">
        <v>78</v>
      </c>
      <c r="T51" s="536" t="e">
        <f t="shared" si="13"/>
        <v>#REF!</v>
      </c>
    </row>
    <row r="52" spans="1:20">
      <c r="A52" s="552">
        <f t="shared" si="8"/>
        <v>79000</v>
      </c>
      <c r="C52" s="532">
        <v>1</v>
      </c>
      <c r="E52" s="533">
        <f t="shared" si="14"/>
        <v>1863</v>
      </c>
      <c r="G52" s="513">
        <f t="shared" si="9"/>
        <v>79000</v>
      </c>
      <c r="I52" s="533">
        <f t="shared" si="15"/>
        <v>6830000</v>
      </c>
      <c r="K52" s="533">
        <f t="shared" si="10"/>
        <v>20</v>
      </c>
      <c r="M52" s="533">
        <f t="shared" si="11"/>
        <v>8410000</v>
      </c>
      <c r="O52" s="534">
        <f t="shared" si="12"/>
        <v>0.74303742384682336</v>
      </c>
      <c r="P52" s="532">
        <v>79</v>
      </c>
      <c r="T52" s="536" t="e">
        <f t="shared" si="13"/>
        <v>#REF!</v>
      </c>
    </row>
    <row r="53" spans="1:20">
      <c r="A53" s="552">
        <f t="shared" si="8"/>
        <v>88000</v>
      </c>
      <c r="C53" s="532">
        <v>2</v>
      </c>
      <c r="E53" s="533">
        <f t="shared" si="14"/>
        <v>1865</v>
      </c>
      <c r="G53" s="513">
        <f t="shared" si="9"/>
        <v>176000</v>
      </c>
      <c r="I53" s="533">
        <f t="shared" si="15"/>
        <v>7006000</v>
      </c>
      <c r="K53" s="533">
        <f t="shared" si="10"/>
        <v>18</v>
      </c>
      <c r="M53" s="533">
        <f t="shared" si="11"/>
        <v>8590000</v>
      </c>
      <c r="O53" s="534">
        <f t="shared" si="12"/>
        <v>0.76218450826805917</v>
      </c>
      <c r="P53" s="532">
        <v>88</v>
      </c>
      <c r="T53" s="536" t="e">
        <f t="shared" si="13"/>
        <v>#REF!</v>
      </c>
    </row>
    <row r="54" spans="1:20">
      <c r="A54" s="552">
        <f t="shared" si="8"/>
        <v>90000</v>
      </c>
      <c r="C54" s="532">
        <v>1</v>
      </c>
      <c r="E54" s="533">
        <f t="shared" si="14"/>
        <v>1866</v>
      </c>
      <c r="G54" s="513">
        <f t="shared" si="9"/>
        <v>90000</v>
      </c>
      <c r="I54" s="533">
        <f t="shared" si="15"/>
        <v>7096000</v>
      </c>
      <c r="K54" s="533">
        <f t="shared" si="10"/>
        <v>17</v>
      </c>
      <c r="M54" s="533">
        <f t="shared" si="11"/>
        <v>8626000</v>
      </c>
      <c r="O54" s="534">
        <f t="shared" si="12"/>
        <v>0.77197563098346389</v>
      </c>
      <c r="P54" s="532">
        <v>90</v>
      </c>
      <c r="T54" s="536" t="e">
        <f t="shared" si="13"/>
        <v>#REF!</v>
      </c>
    </row>
    <row r="55" spans="1:20">
      <c r="A55" s="552">
        <f t="shared" si="8"/>
        <v>103000</v>
      </c>
      <c r="C55" s="532">
        <v>1</v>
      </c>
      <c r="E55" s="533">
        <f t="shared" si="14"/>
        <v>1867</v>
      </c>
      <c r="G55" s="513">
        <f t="shared" si="9"/>
        <v>103000</v>
      </c>
      <c r="I55" s="533">
        <f t="shared" si="15"/>
        <v>7199000</v>
      </c>
      <c r="K55" s="533">
        <f t="shared" si="10"/>
        <v>16</v>
      </c>
      <c r="M55" s="533">
        <f t="shared" si="11"/>
        <v>8847000</v>
      </c>
      <c r="O55" s="534">
        <f t="shared" si="12"/>
        <v>0.7831810269799826</v>
      </c>
      <c r="P55" s="532">
        <v>103</v>
      </c>
      <c r="T55" s="536" t="e">
        <f t="shared" si="13"/>
        <v>#REF!</v>
      </c>
    </row>
    <row r="56" spans="1:20">
      <c r="A56" s="552">
        <f t="shared" si="8"/>
        <v>105000</v>
      </c>
      <c r="C56" s="532">
        <v>1</v>
      </c>
      <c r="E56" s="533">
        <f t="shared" si="14"/>
        <v>1868</v>
      </c>
      <c r="G56" s="513">
        <f t="shared" si="9"/>
        <v>105000</v>
      </c>
      <c r="I56" s="533">
        <f t="shared" si="15"/>
        <v>7304000</v>
      </c>
      <c r="K56" s="533">
        <f t="shared" si="10"/>
        <v>15</v>
      </c>
      <c r="M56" s="533">
        <f t="shared" si="11"/>
        <v>8879000</v>
      </c>
      <c r="O56" s="534">
        <f t="shared" si="12"/>
        <v>0.79460400348128812</v>
      </c>
      <c r="P56" s="532">
        <v>105</v>
      </c>
      <c r="T56" s="536" t="e">
        <f t="shared" si="13"/>
        <v>#REF!</v>
      </c>
    </row>
    <row r="57" spans="1:20">
      <c r="A57" s="552">
        <f t="shared" si="8"/>
        <v>106000</v>
      </c>
      <c r="C57" s="532">
        <v>1</v>
      </c>
      <c r="E57" s="533">
        <f t="shared" si="14"/>
        <v>1869</v>
      </c>
      <c r="G57" s="513">
        <f t="shared" si="9"/>
        <v>106000</v>
      </c>
      <c r="I57" s="533">
        <f t="shared" si="15"/>
        <v>7410000</v>
      </c>
      <c r="K57" s="533">
        <f t="shared" si="10"/>
        <v>14</v>
      </c>
      <c r="M57" s="533">
        <f t="shared" si="11"/>
        <v>8894000</v>
      </c>
      <c r="O57" s="534">
        <f t="shared" si="12"/>
        <v>0.80613577023498695</v>
      </c>
      <c r="P57" s="532">
        <v>106</v>
      </c>
      <c r="T57" s="536" t="e">
        <f t="shared" si="13"/>
        <v>#REF!</v>
      </c>
    </row>
    <row r="58" spans="1:20">
      <c r="A58" s="552">
        <f t="shared" si="8"/>
        <v>108000</v>
      </c>
      <c r="C58" s="532">
        <v>1</v>
      </c>
      <c r="E58" s="533">
        <f t="shared" si="14"/>
        <v>1870</v>
      </c>
      <c r="G58" s="513">
        <f t="shared" si="9"/>
        <v>108000</v>
      </c>
      <c r="I58" s="533">
        <f t="shared" si="15"/>
        <v>7518000</v>
      </c>
      <c r="K58" s="533">
        <f t="shared" si="10"/>
        <v>13</v>
      </c>
      <c r="M58" s="533">
        <f t="shared" si="11"/>
        <v>8922000</v>
      </c>
      <c r="O58" s="534">
        <f t="shared" si="12"/>
        <v>0.81788511749347259</v>
      </c>
      <c r="P58" s="532">
        <v>108</v>
      </c>
      <c r="T58" s="536" t="e">
        <f t="shared" si="13"/>
        <v>#REF!</v>
      </c>
    </row>
    <row r="59" spans="1:20">
      <c r="A59" s="552">
        <f t="shared" si="8"/>
        <v>109000</v>
      </c>
      <c r="C59" s="532">
        <v>1</v>
      </c>
      <c r="E59" s="533">
        <f t="shared" si="14"/>
        <v>1871</v>
      </c>
      <c r="G59" s="513">
        <f t="shared" si="9"/>
        <v>109000</v>
      </c>
      <c r="I59" s="533">
        <f t="shared" si="15"/>
        <v>7627000</v>
      </c>
      <c r="K59" s="533">
        <f t="shared" si="10"/>
        <v>12</v>
      </c>
      <c r="M59" s="533">
        <f t="shared" si="11"/>
        <v>8935000</v>
      </c>
      <c r="O59" s="534">
        <f t="shared" si="12"/>
        <v>0.82974325500435164</v>
      </c>
      <c r="P59" s="532">
        <v>109</v>
      </c>
      <c r="T59" s="536" t="e">
        <f t="shared" si="13"/>
        <v>#REF!</v>
      </c>
    </row>
    <row r="60" spans="1:20">
      <c r="A60" s="552">
        <f t="shared" si="8"/>
        <v>110000</v>
      </c>
      <c r="C60" s="532">
        <v>1</v>
      </c>
      <c r="E60" s="533">
        <f t="shared" si="14"/>
        <v>1872</v>
      </c>
      <c r="G60" s="513">
        <f t="shared" si="9"/>
        <v>110000</v>
      </c>
      <c r="I60" s="533">
        <f t="shared" si="15"/>
        <v>7737000</v>
      </c>
      <c r="K60" s="533">
        <f t="shared" si="10"/>
        <v>11</v>
      </c>
      <c r="M60" s="533">
        <f t="shared" si="11"/>
        <v>8947000</v>
      </c>
      <c r="O60" s="534">
        <f t="shared" si="12"/>
        <v>0.84171018276762399</v>
      </c>
      <c r="P60" s="532">
        <v>110</v>
      </c>
      <c r="T60" s="536" t="e">
        <f t="shared" si="13"/>
        <v>#REF!</v>
      </c>
    </row>
    <row r="61" spans="1:20">
      <c r="A61" s="552">
        <f t="shared" si="8"/>
        <v>111000</v>
      </c>
      <c r="C61" s="532">
        <v>1</v>
      </c>
      <c r="E61" s="533">
        <f t="shared" si="14"/>
        <v>1873</v>
      </c>
      <c r="G61" s="513">
        <f t="shared" si="9"/>
        <v>111000</v>
      </c>
      <c r="I61" s="533">
        <f t="shared" si="15"/>
        <v>7848000</v>
      </c>
      <c r="K61" s="533">
        <f t="shared" si="10"/>
        <v>10</v>
      </c>
      <c r="M61" s="533">
        <f t="shared" si="11"/>
        <v>8958000</v>
      </c>
      <c r="O61" s="534">
        <f t="shared" si="12"/>
        <v>0.85378590078328986</v>
      </c>
      <c r="P61" s="532">
        <v>111</v>
      </c>
      <c r="R61" s="515"/>
      <c r="S61" s="515"/>
      <c r="T61" s="536" t="e">
        <f t="shared" si="13"/>
        <v>#REF!</v>
      </c>
    </row>
    <row r="62" spans="1:20">
      <c r="A62" s="552">
        <f t="shared" si="8"/>
        <v>113000</v>
      </c>
      <c r="C62" s="532">
        <v>2</v>
      </c>
      <c r="E62" s="533">
        <f t="shared" si="14"/>
        <v>1875</v>
      </c>
      <c r="G62" s="513">
        <f t="shared" si="9"/>
        <v>226000</v>
      </c>
      <c r="I62" s="533">
        <f t="shared" si="15"/>
        <v>8074000</v>
      </c>
      <c r="K62" s="533">
        <f t="shared" si="10"/>
        <v>8</v>
      </c>
      <c r="M62" s="533">
        <f t="shared" si="11"/>
        <v>8978000</v>
      </c>
      <c r="O62" s="534">
        <f t="shared" si="12"/>
        <v>0.87837249782419491</v>
      </c>
      <c r="P62" s="532">
        <v>113</v>
      </c>
      <c r="R62" s="515"/>
      <c r="S62" s="515"/>
      <c r="T62" s="536" t="e">
        <f t="shared" si="13"/>
        <v>#REF!</v>
      </c>
    </row>
    <row r="63" spans="1:20">
      <c r="A63" s="552">
        <f t="shared" si="8"/>
        <v>118000</v>
      </c>
      <c r="C63" s="532">
        <v>1</v>
      </c>
      <c r="E63" s="533">
        <f t="shared" si="14"/>
        <v>1876</v>
      </c>
      <c r="G63" s="513">
        <f t="shared" si="9"/>
        <v>118000</v>
      </c>
      <c r="I63" s="533">
        <f t="shared" si="15"/>
        <v>8192000</v>
      </c>
      <c r="K63" s="533">
        <f t="shared" si="10"/>
        <v>7</v>
      </c>
      <c r="M63" s="533">
        <f t="shared" si="11"/>
        <v>9018000</v>
      </c>
      <c r="O63" s="534">
        <f t="shared" si="12"/>
        <v>0.89120974760661442</v>
      </c>
      <c r="P63" s="532">
        <v>118</v>
      </c>
      <c r="T63" s="536" t="e">
        <f t="shared" si="13"/>
        <v>#REF!</v>
      </c>
    </row>
    <row r="64" spans="1:20">
      <c r="A64" s="552">
        <f t="shared" si="8"/>
        <v>123000</v>
      </c>
      <c r="C64" s="532">
        <v>1</v>
      </c>
      <c r="E64" s="533">
        <f t="shared" si="14"/>
        <v>1877</v>
      </c>
      <c r="G64" s="513">
        <f t="shared" si="9"/>
        <v>123000</v>
      </c>
      <c r="I64" s="533">
        <f t="shared" si="15"/>
        <v>8315000</v>
      </c>
      <c r="K64" s="533">
        <f t="shared" si="10"/>
        <v>6</v>
      </c>
      <c r="M64" s="533">
        <f t="shared" si="11"/>
        <v>9053000</v>
      </c>
      <c r="O64" s="534">
        <f t="shared" si="12"/>
        <v>0.90459094865100087</v>
      </c>
      <c r="P64" s="532">
        <v>123</v>
      </c>
      <c r="T64" s="536" t="e">
        <f t="shared" si="13"/>
        <v>#REF!</v>
      </c>
    </row>
    <row r="65" spans="1:20">
      <c r="A65" s="552">
        <f t="shared" si="8"/>
        <v>124000</v>
      </c>
      <c r="C65" s="532">
        <v>1</v>
      </c>
      <c r="E65" s="533">
        <f t="shared" si="14"/>
        <v>1878</v>
      </c>
      <c r="G65" s="513">
        <f t="shared" si="9"/>
        <v>124000</v>
      </c>
      <c r="I65" s="533">
        <f t="shared" si="15"/>
        <v>8439000</v>
      </c>
      <c r="K65" s="533">
        <f t="shared" si="10"/>
        <v>5</v>
      </c>
      <c r="M65" s="533">
        <f t="shared" si="11"/>
        <v>9059000</v>
      </c>
      <c r="O65" s="534">
        <f t="shared" si="12"/>
        <v>0.91808093994778073</v>
      </c>
      <c r="P65" s="532">
        <v>124</v>
      </c>
      <c r="T65" s="536" t="e">
        <f t="shared" si="13"/>
        <v>#REF!</v>
      </c>
    </row>
    <row r="66" spans="1:20">
      <c r="A66" s="552">
        <f t="shared" si="8"/>
        <v>129000</v>
      </c>
      <c r="C66" s="532">
        <v>1</v>
      </c>
      <c r="E66" s="533">
        <f t="shared" si="14"/>
        <v>1879</v>
      </c>
      <c r="G66" s="513">
        <f t="shared" si="9"/>
        <v>129000</v>
      </c>
      <c r="I66" s="533">
        <f t="shared" si="15"/>
        <v>8568000</v>
      </c>
      <c r="K66" s="533">
        <f t="shared" si="10"/>
        <v>4</v>
      </c>
      <c r="M66" s="533">
        <f t="shared" si="11"/>
        <v>9084000</v>
      </c>
      <c r="O66" s="534">
        <f t="shared" si="12"/>
        <v>0.93211488250652741</v>
      </c>
      <c r="P66" s="532">
        <v>129</v>
      </c>
      <c r="T66" s="536" t="e">
        <f t="shared" si="13"/>
        <v>#REF!</v>
      </c>
    </row>
    <row r="67" spans="1:20">
      <c r="A67" s="552">
        <f t="shared" si="8"/>
        <v>130000</v>
      </c>
      <c r="C67" s="532">
        <v>1</v>
      </c>
      <c r="E67" s="533">
        <f t="shared" si="14"/>
        <v>1880</v>
      </c>
      <c r="G67" s="513">
        <f t="shared" si="9"/>
        <v>130000</v>
      </c>
      <c r="I67" s="533">
        <f t="shared" si="15"/>
        <v>8698000</v>
      </c>
      <c r="K67" s="533">
        <f t="shared" si="10"/>
        <v>3</v>
      </c>
      <c r="M67" s="533">
        <f t="shared" si="11"/>
        <v>9088000</v>
      </c>
      <c r="O67" s="534">
        <f t="shared" si="12"/>
        <v>0.9462576153176675</v>
      </c>
      <c r="P67" s="532">
        <v>130</v>
      </c>
      <c r="T67" s="536" t="e">
        <f t="shared" si="13"/>
        <v>#REF!</v>
      </c>
    </row>
    <row r="68" spans="1:20">
      <c r="A68" s="552">
        <f t="shared" si="8"/>
        <v>142000</v>
      </c>
      <c r="C68" s="532">
        <v>1</v>
      </c>
      <c r="E68" s="533">
        <f t="shared" si="14"/>
        <v>1881</v>
      </c>
      <c r="G68" s="513">
        <f t="shared" si="9"/>
        <v>142000</v>
      </c>
      <c r="I68" s="533">
        <f t="shared" si="15"/>
        <v>8840000</v>
      </c>
      <c r="K68" s="533">
        <f t="shared" si="10"/>
        <v>2</v>
      </c>
      <c r="M68" s="533">
        <f t="shared" si="11"/>
        <v>9124000</v>
      </c>
      <c r="O68" s="534">
        <f t="shared" si="12"/>
        <v>0.96170583115752828</v>
      </c>
      <c r="P68" s="532">
        <v>142</v>
      </c>
      <c r="T68" s="536" t="e">
        <f t="shared" si="13"/>
        <v>#REF!</v>
      </c>
    </row>
    <row r="69" spans="1:20">
      <c r="A69" s="552">
        <f t="shared" si="8"/>
        <v>166000</v>
      </c>
      <c r="C69" s="532">
        <v>1</v>
      </c>
      <c r="E69" s="533">
        <f t="shared" si="14"/>
        <v>1882</v>
      </c>
      <c r="G69" s="513">
        <f t="shared" si="9"/>
        <v>166000</v>
      </c>
      <c r="I69" s="533">
        <f t="shared" si="15"/>
        <v>9006000</v>
      </c>
      <c r="K69" s="533">
        <f t="shared" si="10"/>
        <v>1</v>
      </c>
      <c r="M69" s="533">
        <f t="shared" si="11"/>
        <v>9172000</v>
      </c>
      <c r="O69" s="534">
        <f t="shared" si="12"/>
        <v>0.97976501305483032</v>
      </c>
      <c r="P69" s="532">
        <v>166</v>
      </c>
      <c r="T69" s="536" t="e">
        <f t="shared" si="13"/>
        <v>#REF!</v>
      </c>
    </row>
    <row r="70" spans="1:20">
      <c r="A70" s="552">
        <f t="shared" si="8"/>
        <v>186000</v>
      </c>
      <c r="C70" s="532">
        <v>1</v>
      </c>
      <c r="E70" s="533">
        <f t="shared" si="14"/>
        <v>1883</v>
      </c>
      <c r="G70" s="513">
        <f t="shared" si="9"/>
        <v>186000</v>
      </c>
      <c r="I70" s="533">
        <f t="shared" si="15"/>
        <v>9192000</v>
      </c>
      <c r="K70" s="533">
        <f t="shared" si="10"/>
        <v>0</v>
      </c>
      <c r="M70" s="533">
        <f t="shared" si="11"/>
        <v>9192000</v>
      </c>
      <c r="O70" s="534">
        <f t="shared" si="12"/>
        <v>1</v>
      </c>
      <c r="P70" s="532">
        <v>186</v>
      </c>
      <c r="T70" s="536" t="e">
        <f t="shared" si="13"/>
        <v>#REF!</v>
      </c>
    </row>
    <row r="72" spans="1:20">
      <c r="T72" s="539" t="e">
        <f>SUM(T10:T70)</f>
        <v>#REF!</v>
      </c>
    </row>
    <row r="73" spans="1:20" hidden="1">
      <c r="T73" s="513">
        <v>15736</v>
      </c>
    </row>
    <row r="74" spans="1:20" hidden="1">
      <c r="T74" s="540" t="e">
        <f>T72-T73</f>
        <v>#REF!</v>
      </c>
    </row>
    <row r="75" spans="1:20" hidden="1">
      <c r="T75" s="555" t="e">
        <f>T74/T72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6"/>
  <sheetViews>
    <sheetView showGridLines="0" topLeftCell="J37" workbookViewId="0">
      <selection activeCell="U10" sqref="U1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5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25" style="513" customWidth="1"/>
    <col min="20" max="20" width="11.75" style="513" bestFit="1" customWidth="1"/>
    <col min="21" max="16384" width="12.5" style="513"/>
  </cols>
  <sheetData>
    <row r="1" spans="1:21" ht="15">
      <c r="O1" s="564"/>
      <c r="R1" s="516" t="s">
        <v>65</v>
      </c>
      <c r="S1" s="516"/>
      <c r="T1" s="517" t="s">
        <v>271</v>
      </c>
    </row>
    <row r="2" spans="1:21">
      <c r="O2" s="564"/>
      <c r="R2" s="518" t="s">
        <v>272</v>
      </c>
      <c r="S2" s="518"/>
      <c r="T2" s="519" t="e">
        <f>'16011-170'!T2</f>
        <v>#REF!</v>
      </c>
    </row>
    <row r="3" spans="1:21">
      <c r="A3" s="513" t="s">
        <v>298</v>
      </c>
      <c r="M3" s="520" t="s">
        <v>299</v>
      </c>
      <c r="R3" s="518" t="s">
        <v>274</v>
      </c>
      <c r="S3" s="518"/>
      <c r="T3" s="519" t="e">
        <f>'16011-170'!T3</f>
        <v>#REF!</v>
      </c>
    </row>
    <row r="4" spans="1:21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'16011-170'!T4</f>
        <v>#REF!</v>
      </c>
    </row>
    <row r="5" spans="1:21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'16011-170'!T5</f>
        <v>#REF!</v>
      </c>
    </row>
    <row r="6" spans="1:21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'16011-170'!T6</f>
        <v>#REF!</v>
      </c>
    </row>
    <row r="7" spans="1:21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'16011-170'!T7</f>
        <v>#REF!</v>
      </c>
    </row>
    <row r="8" spans="1:21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5" t="s">
        <v>293</v>
      </c>
    </row>
    <row r="9" spans="1:21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65"/>
      <c r="T9" s="530"/>
    </row>
    <row r="10" spans="1:21">
      <c r="A10" s="531">
        <f t="shared" ref="A10:A47" si="0">P10*1000</f>
        <v>0</v>
      </c>
      <c r="B10" s="515"/>
      <c r="C10" s="532">
        <v>103</v>
      </c>
      <c r="D10" s="533"/>
      <c r="E10" s="533">
        <f>C10</f>
        <v>103</v>
      </c>
      <c r="F10" s="533"/>
      <c r="G10" s="533">
        <f t="shared" ref="G10:G47" si="1">A10*C10</f>
        <v>0</v>
      </c>
      <c r="H10" s="533"/>
      <c r="I10" s="533">
        <f>G10</f>
        <v>0</v>
      </c>
      <c r="J10" s="533"/>
      <c r="K10" s="533">
        <f t="shared" ref="K10:K47" si="2">$E$47-E10</f>
        <v>753</v>
      </c>
      <c r="L10" s="533"/>
      <c r="M10" s="533">
        <f t="shared" ref="M10:M47" si="3">(A10*K10)+I10</f>
        <v>0</v>
      </c>
      <c r="N10" s="515"/>
      <c r="O10" s="534">
        <f t="shared" ref="O10:O47" si="4">I10/$I$47</f>
        <v>0</v>
      </c>
      <c r="P10" s="532">
        <v>0</v>
      </c>
      <c r="Q10" s="561"/>
      <c r="R10" s="535"/>
      <c r="T10" s="536" t="e">
        <f t="shared" ref="T10:T47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  <c r="U10" s="566"/>
    </row>
    <row r="11" spans="1:21">
      <c r="A11" s="531">
        <f t="shared" si="0"/>
        <v>1000</v>
      </c>
      <c r="B11" s="515"/>
      <c r="C11" s="532">
        <v>189</v>
      </c>
      <c r="D11" s="533"/>
      <c r="E11" s="533">
        <f t="shared" ref="E11:E47" si="6">E10+C11</f>
        <v>292</v>
      </c>
      <c r="F11" s="533"/>
      <c r="G11" s="533">
        <f t="shared" si="1"/>
        <v>189000</v>
      </c>
      <c r="H11" s="533"/>
      <c r="I11" s="533">
        <f t="shared" ref="I11:I47" si="7">G11+I10</f>
        <v>189000</v>
      </c>
      <c r="J11" s="533"/>
      <c r="K11" s="533">
        <f t="shared" si="2"/>
        <v>564</v>
      </c>
      <c r="L11" s="533"/>
      <c r="M11" s="533">
        <f t="shared" si="3"/>
        <v>753000</v>
      </c>
      <c r="N11" s="515"/>
      <c r="O11" s="534">
        <f t="shared" si="4"/>
        <v>4.1556728232189977E-2</v>
      </c>
      <c r="P11" s="532">
        <v>1</v>
      </c>
      <c r="Q11" s="561"/>
      <c r="R11" s="535"/>
      <c r="T11" s="536" t="e">
        <f t="shared" si="5"/>
        <v>#REF!</v>
      </c>
      <c r="U11" s="566"/>
    </row>
    <row r="12" spans="1:21">
      <c r="A12" s="531">
        <f t="shared" si="0"/>
        <v>2000</v>
      </c>
      <c r="B12" s="515"/>
      <c r="C12" s="532">
        <v>99</v>
      </c>
      <c r="D12" s="533"/>
      <c r="E12" s="533">
        <f t="shared" si="6"/>
        <v>391</v>
      </c>
      <c r="F12" s="533"/>
      <c r="G12" s="533">
        <f t="shared" si="1"/>
        <v>198000</v>
      </c>
      <c r="H12" s="533"/>
      <c r="I12" s="533">
        <f t="shared" si="7"/>
        <v>387000</v>
      </c>
      <c r="J12" s="533"/>
      <c r="K12" s="533">
        <f t="shared" si="2"/>
        <v>465</v>
      </c>
      <c r="L12" s="533"/>
      <c r="M12" s="533">
        <f t="shared" si="3"/>
        <v>1317000</v>
      </c>
      <c r="N12" s="515"/>
      <c r="O12" s="534">
        <f t="shared" si="4"/>
        <v>8.5092348284960428E-2</v>
      </c>
      <c r="P12" s="532">
        <v>2</v>
      </c>
      <c r="Q12" s="561"/>
      <c r="T12" s="536" t="e">
        <f t="shared" si="5"/>
        <v>#REF!</v>
      </c>
      <c r="U12" s="566"/>
    </row>
    <row r="13" spans="1:21">
      <c r="A13" s="531">
        <f t="shared" si="0"/>
        <v>3000</v>
      </c>
      <c r="B13" s="515"/>
      <c r="C13" s="532">
        <v>80</v>
      </c>
      <c r="D13" s="533"/>
      <c r="E13" s="533">
        <f t="shared" si="6"/>
        <v>471</v>
      </c>
      <c r="F13" s="533"/>
      <c r="G13" s="533">
        <f t="shared" si="1"/>
        <v>240000</v>
      </c>
      <c r="H13" s="533"/>
      <c r="I13" s="533">
        <f t="shared" si="7"/>
        <v>627000</v>
      </c>
      <c r="J13" s="533"/>
      <c r="K13" s="533">
        <f t="shared" si="2"/>
        <v>385</v>
      </c>
      <c r="L13" s="533"/>
      <c r="M13" s="533">
        <f t="shared" si="3"/>
        <v>1782000</v>
      </c>
      <c r="N13" s="537"/>
      <c r="O13" s="534">
        <f t="shared" si="4"/>
        <v>0.13786279683377309</v>
      </c>
      <c r="P13" s="532">
        <v>3</v>
      </c>
      <c r="Q13" s="561"/>
      <c r="T13" s="536" t="e">
        <f t="shared" si="5"/>
        <v>#REF!</v>
      </c>
      <c r="U13" s="566"/>
    </row>
    <row r="14" spans="1:21">
      <c r="A14" s="531">
        <f t="shared" si="0"/>
        <v>4000</v>
      </c>
      <c r="B14" s="515"/>
      <c r="C14" s="532">
        <v>82</v>
      </c>
      <c r="D14" s="533"/>
      <c r="E14" s="533">
        <f t="shared" si="6"/>
        <v>553</v>
      </c>
      <c r="F14" s="533"/>
      <c r="G14" s="533">
        <f t="shared" si="1"/>
        <v>328000</v>
      </c>
      <c r="H14" s="533"/>
      <c r="I14" s="533">
        <f t="shared" si="7"/>
        <v>955000</v>
      </c>
      <c r="J14" s="533"/>
      <c r="K14" s="533">
        <f t="shared" si="2"/>
        <v>303</v>
      </c>
      <c r="L14" s="533"/>
      <c r="M14" s="533">
        <f t="shared" si="3"/>
        <v>2167000</v>
      </c>
      <c r="N14" s="515"/>
      <c r="O14" s="534">
        <f t="shared" si="4"/>
        <v>0.20998240985048372</v>
      </c>
      <c r="P14" s="532">
        <v>4</v>
      </c>
      <c r="Q14" s="561"/>
      <c r="T14" s="536" t="e">
        <f t="shared" si="5"/>
        <v>#REF!</v>
      </c>
      <c r="U14" s="566"/>
    </row>
    <row r="15" spans="1:21">
      <c r="A15" s="531">
        <f t="shared" si="0"/>
        <v>5000</v>
      </c>
      <c r="B15" s="515"/>
      <c r="C15" s="532">
        <v>53</v>
      </c>
      <c r="D15" s="533"/>
      <c r="E15" s="533">
        <f t="shared" si="6"/>
        <v>606</v>
      </c>
      <c r="F15" s="533"/>
      <c r="G15" s="533">
        <f t="shared" si="1"/>
        <v>265000</v>
      </c>
      <c r="H15" s="533"/>
      <c r="I15" s="533">
        <f t="shared" si="7"/>
        <v>1220000</v>
      </c>
      <c r="J15" s="533"/>
      <c r="K15" s="533">
        <f t="shared" si="2"/>
        <v>250</v>
      </c>
      <c r="L15" s="533"/>
      <c r="M15" s="533">
        <f t="shared" si="3"/>
        <v>2470000</v>
      </c>
      <c r="N15" s="515"/>
      <c r="O15" s="534">
        <f t="shared" si="4"/>
        <v>0.26824978012313105</v>
      </c>
      <c r="P15" s="532">
        <v>5</v>
      </c>
      <c r="Q15" s="561"/>
      <c r="T15" s="536" t="e">
        <f t="shared" si="5"/>
        <v>#REF!</v>
      </c>
      <c r="U15" s="566"/>
    </row>
    <row r="16" spans="1:21">
      <c r="A16" s="531">
        <f t="shared" si="0"/>
        <v>6000</v>
      </c>
      <c r="B16" s="515"/>
      <c r="C16" s="532">
        <v>45</v>
      </c>
      <c r="D16" s="533"/>
      <c r="E16" s="533">
        <f t="shared" si="6"/>
        <v>651</v>
      </c>
      <c r="F16" s="533"/>
      <c r="G16" s="533">
        <f t="shared" si="1"/>
        <v>270000</v>
      </c>
      <c r="H16" s="533"/>
      <c r="I16" s="533">
        <f t="shared" si="7"/>
        <v>1490000</v>
      </c>
      <c r="J16" s="533"/>
      <c r="K16" s="533">
        <f t="shared" si="2"/>
        <v>205</v>
      </c>
      <c r="L16" s="533"/>
      <c r="M16" s="533">
        <f t="shared" si="3"/>
        <v>2720000</v>
      </c>
      <c r="N16" s="515"/>
      <c r="O16" s="534">
        <f t="shared" si="4"/>
        <v>0.32761653474054531</v>
      </c>
      <c r="P16" s="532">
        <v>6</v>
      </c>
      <c r="Q16" s="561"/>
      <c r="T16" s="536" t="e">
        <f t="shared" si="5"/>
        <v>#REF!</v>
      </c>
      <c r="U16" s="566"/>
    </row>
    <row r="17" spans="1:21">
      <c r="A17" s="531">
        <f t="shared" si="0"/>
        <v>7000</v>
      </c>
      <c r="B17" s="515"/>
      <c r="C17" s="532">
        <v>26</v>
      </c>
      <c r="D17" s="533"/>
      <c r="E17" s="533">
        <f t="shared" si="6"/>
        <v>677</v>
      </c>
      <c r="F17" s="533"/>
      <c r="G17" s="533">
        <f t="shared" si="1"/>
        <v>182000</v>
      </c>
      <c r="H17" s="533"/>
      <c r="I17" s="533">
        <f t="shared" si="7"/>
        <v>1672000</v>
      </c>
      <c r="J17" s="533"/>
      <c r="K17" s="533">
        <f t="shared" si="2"/>
        <v>179</v>
      </c>
      <c r="L17" s="533"/>
      <c r="M17" s="533">
        <f t="shared" si="3"/>
        <v>2925000</v>
      </c>
      <c r="N17" s="515"/>
      <c r="O17" s="534">
        <f t="shared" si="4"/>
        <v>0.36763412489006159</v>
      </c>
      <c r="P17" s="532">
        <v>7</v>
      </c>
      <c r="Q17" s="561"/>
      <c r="T17" s="536" t="e">
        <f t="shared" si="5"/>
        <v>#REF!</v>
      </c>
      <c r="U17" s="566"/>
    </row>
    <row r="18" spans="1:21">
      <c r="A18" s="531">
        <f t="shared" si="0"/>
        <v>8000</v>
      </c>
      <c r="B18" s="515"/>
      <c r="C18" s="532">
        <v>22</v>
      </c>
      <c r="D18" s="533"/>
      <c r="E18" s="533">
        <f t="shared" si="6"/>
        <v>699</v>
      </c>
      <c r="F18" s="533"/>
      <c r="G18" s="533">
        <f t="shared" si="1"/>
        <v>176000</v>
      </c>
      <c r="H18" s="533"/>
      <c r="I18" s="533">
        <f t="shared" si="7"/>
        <v>1848000</v>
      </c>
      <c r="J18" s="533"/>
      <c r="K18" s="533">
        <f t="shared" si="2"/>
        <v>157</v>
      </c>
      <c r="L18" s="533"/>
      <c r="M18" s="533">
        <f t="shared" si="3"/>
        <v>3104000</v>
      </c>
      <c r="N18" s="515"/>
      <c r="O18" s="534">
        <f t="shared" si="4"/>
        <v>0.40633245382585753</v>
      </c>
      <c r="P18" s="532">
        <v>8</v>
      </c>
      <c r="Q18" s="561"/>
      <c r="T18" s="536" t="e">
        <f t="shared" si="5"/>
        <v>#REF!</v>
      </c>
      <c r="U18" s="566"/>
    </row>
    <row r="19" spans="1:21">
      <c r="A19" s="531">
        <f t="shared" si="0"/>
        <v>9000</v>
      </c>
      <c r="B19" s="515"/>
      <c r="C19" s="532">
        <v>19</v>
      </c>
      <c r="D19" s="533"/>
      <c r="E19" s="533">
        <f t="shared" si="6"/>
        <v>718</v>
      </c>
      <c r="F19" s="533"/>
      <c r="G19" s="533">
        <f t="shared" si="1"/>
        <v>171000</v>
      </c>
      <c r="H19" s="533"/>
      <c r="I19" s="533">
        <f t="shared" si="7"/>
        <v>2019000</v>
      </c>
      <c r="J19" s="533"/>
      <c r="K19" s="533">
        <f t="shared" si="2"/>
        <v>138</v>
      </c>
      <c r="L19" s="533"/>
      <c r="M19" s="533">
        <f t="shared" si="3"/>
        <v>3261000</v>
      </c>
      <c r="N19" s="515"/>
      <c r="O19" s="534">
        <f t="shared" si="4"/>
        <v>0.44393139841688656</v>
      </c>
      <c r="P19" s="532">
        <v>9</v>
      </c>
      <c r="Q19" s="561"/>
      <c r="T19" s="536" t="e">
        <f t="shared" si="5"/>
        <v>#REF!</v>
      </c>
      <c r="U19" s="566"/>
    </row>
    <row r="20" spans="1:21">
      <c r="A20" s="531">
        <f t="shared" si="0"/>
        <v>10000</v>
      </c>
      <c r="B20" s="515"/>
      <c r="C20" s="532">
        <v>15</v>
      </c>
      <c r="D20" s="533"/>
      <c r="E20" s="533">
        <f t="shared" si="6"/>
        <v>733</v>
      </c>
      <c r="F20" s="533"/>
      <c r="G20" s="533">
        <f t="shared" si="1"/>
        <v>150000</v>
      </c>
      <c r="H20" s="533"/>
      <c r="I20" s="533">
        <f t="shared" si="7"/>
        <v>2169000</v>
      </c>
      <c r="J20" s="533"/>
      <c r="K20" s="533">
        <f t="shared" si="2"/>
        <v>123</v>
      </c>
      <c r="L20" s="533"/>
      <c r="M20" s="533">
        <f t="shared" si="3"/>
        <v>3399000</v>
      </c>
      <c r="N20" s="515"/>
      <c r="O20" s="534">
        <f t="shared" si="4"/>
        <v>0.47691292875989444</v>
      </c>
      <c r="P20" s="532">
        <v>10</v>
      </c>
      <c r="Q20" s="561"/>
      <c r="T20" s="536" t="e">
        <f t="shared" si="5"/>
        <v>#REF!</v>
      </c>
      <c r="U20" s="566"/>
    </row>
    <row r="21" spans="1:21">
      <c r="A21" s="531">
        <f t="shared" si="0"/>
        <v>11000</v>
      </c>
      <c r="B21" s="515"/>
      <c r="C21" s="532">
        <v>10</v>
      </c>
      <c r="D21" s="533"/>
      <c r="E21" s="533">
        <f t="shared" si="6"/>
        <v>743</v>
      </c>
      <c r="F21" s="533"/>
      <c r="G21" s="533">
        <f t="shared" si="1"/>
        <v>110000</v>
      </c>
      <c r="H21" s="533"/>
      <c r="I21" s="533">
        <f t="shared" si="7"/>
        <v>2279000</v>
      </c>
      <c r="J21" s="533"/>
      <c r="K21" s="533">
        <f t="shared" si="2"/>
        <v>113</v>
      </c>
      <c r="L21" s="533"/>
      <c r="M21" s="533">
        <f t="shared" si="3"/>
        <v>3522000</v>
      </c>
      <c r="N21" s="515"/>
      <c r="O21" s="534">
        <f t="shared" si="4"/>
        <v>0.50109938434476697</v>
      </c>
      <c r="P21" s="532">
        <v>11</v>
      </c>
      <c r="Q21" s="561"/>
      <c r="T21" s="536" t="e">
        <f t="shared" si="5"/>
        <v>#REF!</v>
      </c>
      <c r="U21" s="566"/>
    </row>
    <row r="22" spans="1:21">
      <c r="A22" s="531">
        <f t="shared" si="0"/>
        <v>12000</v>
      </c>
      <c r="B22" s="515"/>
      <c r="C22" s="532">
        <v>4</v>
      </c>
      <c r="D22" s="533"/>
      <c r="E22" s="533">
        <f t="shared" si="6"/>
        <v>747</v>
      </c>
      <c r="F22" s="533"/>
      <c r="G22" s="533">
        <f t="shared" si="1"/>
        <v>48000</v>
      </c>
      <c r="H22" s="533"/>
      <c r="I22" s="533">
        <f t="shared" si="7"/>
        <v>2327000</v>
      </c>
      <c r="J22" s="533"/>
      <c r="K22" s="533">
        <f t="shared" si="2"/>
        <v>109</v>
      </c>
      <c r="L22" s="533"/>
      <c r="M22" s="533">
        <f t="shared" si="3"/>
        <v>3635000</v>
      </c>
      <c r="N22" s="515"/>
      <c r="O22" s="534">
        <f t="shared" si="4"/>
        <v>0.51165347405452943</v>
      </c>
      <c r="P22" s="532">
        <v>12</v>
      </c>
      <c r="Q22" s="561"/>
      <c r="T22" s="536" t="e">
        <f t="shared" si="5"/>
        <v>#REF!</v>
      </c>
      <c r="U22" s="566"/>
    </row>
    <row r="23" spans="1:21">
      <c r="A23" s="531">
        <f t="shared" si="0"/>
        <v>13000</v>
      </c>
      <c r="B23" s="515"/>
      <c r="C23" s="532">
        <v>18</v>
      </c>
      <c r="D23" s="533"/>
      <c r="E23" s="533">
        <f t="shared" si="6"/>
        <v>765</v>
      </c>
      <c r="F23" s="533"/>
      <c r="G23" s="533">
        <f t="shared" si="1"/>
        <v>234000</v>
      </c>
      <c r="H23" s="533"/>
      <c r="I23" s="533">
        <f t="shared" si="7"/>
        <v>2561000</v>
      </c>
      <c r="J23" s="533"/>
      <c r="K23" s="533">
        <f t="shared" si="2"/>
        <v>91</v>
      </c>
      <c r="L23" s="533"/>
      <c r="M23" s="533">
        <f t="shared" si="3"/>
        <v>3744000</v>
      </c>
      <c r="N23" s="515"/>
      <c r="O23" s="534">
        <f t="shared" si="4"/>
        <v>0.56310466138962179</v>
      </c>
      <c r="P23" s="532">
        <v>13</v>
      </c>
      <c r="Q23" s="561"/>
      <c r="T23" s="536" t="e">
        <f t="shared" si="5"/>
        <v>#REF!</v>
      </c>
      <c r="U23" s="566"/>
    </row>
    <row r="24" spans="1:21">
      <c r="A24" s="531">
        <f t="shared" si="0"/>
        <v>14000</v>
      </c>
      <c r="B24" s="515"/>
      <c r="C24" s="532">
        <v>13</v>
      </c>
      <c r="D24" s="533"/>
      <c r="E24" s="533">
        <f t="shared" si="6"/>
        <v>778</v>
      </c>
      <c r="F24" s="533"/>
      <c r="G24" s="533">
        <f t="shared" si="1"/>
        <v>182000</v>
      </c>
      <c r="H24" s="533"/>
      <c r="I24" s="533">
        <f t="shared" si="7"/>
        <v>2743000</v>
      </c>
      <c r="J24" s="533"/>
      <c r="K24" s="533">
        <f t="shared" si="2"/>
        <v>78</v>
      </c>
      <c r="L24" s="533"/>
      <c r="M24" s="533">
        <f t="shared" si="3"/>
        <v>3835000</v>
      </c>
      <c r="N24" s="515"/>
      <c r="O24" s="534">
        <f t="shared" si="4"/>
        <v>0.60312225153913812</v>
      </c>
      <c r="P24" s="532">
        <v>14</v>
      </c>
      <c r="Q24" s="561"/>
      <c r="T24" s="536" t="e">
        <f t="shared" si="5"/>
        <v>#REF!</v>
      </c>
      <c r="U24" s="566"/>
    </row>
    <row r="25" spans="1:21">
      <c r="A25" s="531">
        <f t="shared" si="0"/>
        <v>15000</v>
      </c>
      <c r="B25" s="515"/>
      <c r="C25" s="532">
        <v>6</v>
      </c>
      <c r="D25" s="533"/>
      <c r="E25" s="533">
        <f t="shared" si="6"/>
        <v>784</v>
      </c>
      <c r="F25" s="533"/>
      <c r="G25" s="533">
        <f t="shared" si="1"/>
        <v>90000</v>
      </c>
      <c r="H25" s="533"/>
      <c r="I25" s="533">
        <f t="shared" si="7"/>
        <v>2833000</v>
      </c>
      <c r="J25" s="533"/>
      <c r="K25" s="533">
        <f t="shared" si="2"/>
        <v>72</v>
      </c>
      <c r="L25" s="533"/>
      <c r="M25" s="533">
        <f t="shared" si="3"/>
        <v>3913000</v>
      </c>
      <c r="N25" s="515"/>
      <c r="O25" s="534">
        <f t="shared" si="4"/>
        <v>0.62291116974494287</v>
      </c>
      <c r="P25" s="532">
        <v>15</v>
      </c>
      <c r="Q25" s="561"/>
      <c r="T25" s="536" t="e">
        <f t="shared" si="5"/>
        <v>#REF!</v>
      </c>
      <c r="U25" s="566"/>
    </row>
    <row r="26" spans="1:21">
      <c r="A26" s="531">
        <f t="shared" si="0"/>
        <v>16000</v>
      </c>
      <c r="B26" s="515"/>
      <c r="C26" s="532">
        <v>10</v>
      </c>
      <c r="D26" s="533"/>
      <c r="E26" s="533">
        <f t="shared" si="6"/>
        <v>794</v>
      </c>
      <c r="F26" s="533"/>
      <c r="G26" s="533">
        <f t="shared" si="1"/>
        <v>160000</v>
      </c>
      <c r="H26" s="533"/>
      <c r="I26" s="533">
        <f t="shared" si="7"/>
        <v>2993000</v>
      </c>
      <c r="J26" s="533"/>
      <c r="K26" s="533">
        <f t="shared" si="2"/>
        <v>62</v>
      </c>
      <c r="L26" s="533"/>
      <c r="M26" s="533">
        <f t="shared" si="3"/>
        <v>3985000</v>
      </c>
      <c r="N26" s="515"/>
      <c r="O26" s="534">
        <f t="shared" si="4"/>
        <v>0.65809146877748459</v>
      </c>
      <c r="P26" s="532">
        <v>16</v>
      </c>
      <c r="Q26" s="561"/>
      <c r="T26" s="536" t="e">
        <f t="shared" si="5"/>
        <v>#REF!</v>
      </c>
      <c r="U26" s="566"/>
    </row>
    <row r="27" spans="1:21" s="515" customFormat="1">
      <c r="A27" s="552">
        <f t="shared" si="0"/>
        <v>17000</v>
      </c>
      <c r="C27" s="532">
        <v>11</v>
      </c>
      <c r="D27" s="533"/>
      <c r="E27" s="533">
        <f t="shared" si="6"/>
        <v>805</v>
      </c>
      <c r="F27" s="533"/>
      <c r="G27" s="533">
        <f t="shared" si="1"/>
        <v>187000</v>
      </c>
      <c r="H27" s="533"/>
      <c r="I27" s="533">
        <f t="shared" si="7"/>
        <v>3180000</v>
      </c>
      <c r="J27" s="533"/>
      <c r="K27" s="533">
        <f t="shared" si="2"/>
        <v>51</v>
      </c>
      <c r="L27" s="533"/>
      <c r="M27" s="533">
        <f t="shared" si="3"/>
        <v>4047000</v>
      </c>
      <c r="O27" s="534">
        <f t="shared" si="4"/>
        <v>0.69920844327176779</v>
      </c>
      <c r="P27" s="532">
        <v>17</v>
      </c>
      <c r="Q27" s="547"/>
      <c r="R27" s="513"/>
      <c r="S27" s="513"/>
      <c r="T27" s="536" t="e">
        <f t="shared" si="5"/>
        <v>#REF!</v>
      </c>
      <c r="U27" s="566"/>
    </row>
    <row r="28" spans="1:21" s="515" customFormat="1">
      <c r="A28" s="552">
        <f t="shared" si="0"/>
        <v>18000</v>
      </c>
      <c r="C28" s="532">
        <v>7</v>
      </c>
      <c r="D28" s="533"/>
      <c r="E28" s="533">
        <f t="shared" si="6"/>
        <v>812</v>
      </c>
      <c r="F28" s="533"/>
      <c r="G28" s="533">
        <f t="shared" si="1"/>
        <v>126000</v>
      </c>
      <c r="H28" s="533"/>
      <c r="I28" s="533">
        <f t="shared" si="7"/>
        <v>3306000</v>
      </c>
      <c r="J28" s="533"/>
      <c r="K28" s="533">
        <f t="shared" si="2"/>
        <v>44</v>
      </c>
      <c r="L28" s="533"/>
      <c r="M28" s="533">
        <f t="shared" si="3"/>
        <v>4098000</v>
      </c>
      <c r="O28" s="534">
        <f t="shared" si="4"/>
        <v>0.72691292875989444</v>
      </c>
      <c r="P28" s="532">
        <v>18</v>
      </c>
      <c r="R28" s="513"/>
      <c r="S28" s="513"/>
      <c r="T28" s="536" t="e">
        <f t="shared" si="5"/>
        <v>#REF!</v>
      </c>
      <c r="U28" s="567"/>
    </row>
    <row r="29" spans="1:21" s="515" customFormat="1">
      <c r="A29" s="552">
        <f t="shared" si="0"/>
        <v>19000</v>
      </c>
      <c r="B29" s="542"/>
      <c r="C29" s="532">
        <v>8</v>
      </c>
      <c r="D29" s="533"/>
      <c r="E29" s="533">
        <f t="shared" si="6"/>
        <v>820</v>
      </c>
      <c r="F29" s="533"/>
      <c r="G29" s="533">
        <f t="shared" si="1"/>
        <v>152000</v>
      </c>
      <c r="H29" s="533"/>
      <c r="I29" s="533">
        <f t="shared" si="7"/>
        <v>3458000</v>
      </c>
      <c r="J29" s="533"/>
      <c r="K29" s="533">
        <f t="shared" si="2"/>
        <v>36</v>
      </c>
      <c r="L29" s="533"/>
      <c r="M29" s="533">
        <f t="shared" si="3"/>
        <v>4142000</v>
      </c>
      <c r="O29" s="534">
        <f t="shared" si="4"/>
        <v>0.76033421284080915</v>
      </c>
      <c r="P29" s="532">
        <v>19</v>
      </c>
      <c r="R29" s="513"/>
      <c r="S29" s="513"/>
      <c r="T29" s="536" t="e">
        <f t="shared" si="5"/>
        <v>#REF!</v>
      </c>
      <c r="U29" s="567"/>
    </row>
    <row r="30" spans="1:21" s="515" customFormat="1">
      <c r="A30" s="552">
        <f t="shared" si="0"/>
        <v>20000</v>
      </c>
      <c r="B30" s="542"/>
      <c r="C30" s="532">
        <v>2</v>
      </c>
      <c r="D30" s="533"/>
      <c r="E30" s="533">
        <f t="shared" si="6"/>
        <v>822</v>
      </c>
      <c r="F30" s="533"/>
      <c r="G30" s="533">
        <f t="shared" si="1"/>
        <v>40000</v>
      </c>
      <c r="H30" s="533"/>
      <c r="I30" s="533">
        <f t="shared" si="7"/>
        <v>3498000</v>
      </c>
      <c r="J30" s="533"/>
      <c r="K30" s="533">
        <f t="shared" si="2"/>
        <v>34</v>
      </c>
      <c r="L30" s="533"/>
      <c r="M30" s="533">
        <f t="shared" si="3"/>
        <v>4178000</v>
      </c>
      <c r="O30" s="534">
        <f t="shared" si="4"/>
        <v>0.76912928759894461</v>
      </c>
      <c r="P30" s="532">
        <v>20</v>
      </c>
      <c r="R30" s="513"/>
      <c r="S30" s="513"/>
      <c r="T30" s="536" t="e">
        <f t="shared" si="5"/>
        <v>#REF!</v>
      </c>
      <c r="U30" s="567"/>
    </row>
    <row r="31" spans="1:21">
      <c r="A31" s="552">
        <f t="shared" si="0"/>
        <v>21000</v>
      </c>
      <c r="B31" s="515"/>
      <c r="C31" s="532">
        <v>1</v>
      </c>
      <c r="D31" s="533"/>
      <c r="E31" s="533">
        <f t="shared" si="6"/>
        <v>823</v>
      </c>
      <c r="F31" s="533"/>
      <c r="G31" s="533">
        <f t="shared" si="1"/>
        <v>21000</v>
      </c>
      <c r="H31" s="533"/>
      <c r="I31" s="533">
        <f t="shared" si="7"/>
        <v>3519000</v>
      </c>
      <c r="J31" s="533"/>
      <c r="K31" s="533">
        <f t="shared" si="2"/>
        <v>33</v>
      </c>
      <c r="L31" s="533"/>
      <c r="M31" s="533">
        <f t="shared" si="3"/>
        <v>4212000</v>
      </c>
      <c r="N31" s="515"/>
      <c r="O31" s="534">
        <f t="shared" si="4"/>
        <v>0.7737467018469657</v>
      </c>
      <c r="P31" s="532">
        <v>21</v>
      </c>
      <c r="T31" s="536" t="e">
        <f t="shared" si="5"/>
        <v>#REF!</v>
      </c>
      <c r="U31" s="567"/>
    </row>
    <row r="32" spans="1:21">
      <c r="A32" s="552">
        <f t="shared" si="0"/>
        <v>22000</v>
      </c>
      <c r="B32" s="515"/>
      <c r="C32" s="532">
        <v>5</v>
      </c>
      <c r="D32" s="533"/>
      <c r="E32" s="533">
        <f t="shared" si="6"/>
        <v>828</v>
      </c>
      <c r="F32" s="533"/>
      <c r="G32" s="533">
        <f t="shared" si="1"/>
        <v>110000</v>
      </c>
      <c r="H32" s="533"/>
      <c r="I32" s="533">
        <f t="shared" si="7"/>
        <v>3629000</v>
      </c>
      <c r="J32" s="533"/>
      <c r="K32" s="533">
        <f t="shared" si="2"/>
        <v>28</v>
      </c>
      <c r="L32" s="533"/>
      <c r="M32" s="533">
        <f t="shared" si="3"/>
        <v>4245000</v>
      </c>
      <c r="N32" s="515"/>
      <c r="O32" s="534">
        <f t="shared" si="4"/>
        <v>0.79793315743183812</v>
      </c>
      <c r="P32" s="532">
        <v>22</v>
      </c>
      <c r="T32" s="536" t="e">
        <f t="shared" si="5"/>
        <v>#REF!</v>
      </c>
      <c r="U32" s="568"/>
    </row>
    <row r="33" spans="1:21">
      <c r="A33" s="552">
        <f t="shared" si="0"/>
        <v>23000</v>
      </c>
      <c r="B33" s="544"/>
      <c r="C33" s="532">
        <v>4</v>
      </c>
      <c r="D33" s="545"/>
      <c r="E33" s="533">
        <f t="shared" si="6"/>
        <v>832</v>
      </c>
      <c r="F33" s="533"/>
      <c r="G33" s="533">
        <f t="shared" si="1"/>
        <v>92000</v>
      </c>
      <c r="H33" s="533"/>
      <c r="I33" s="533">
        <f t="shared" si="7"/>
        <v>3721000</v>
      </c>
      <c r="J33" s="533"/>
      <c r="K33" s="533">
        <f t="shared" si="2"/>
        <v>24</v>
      </c>
      <c r="L33" s="533"/>
      <c r="M33" s="533">
        <f t="shared" si="3"/>
        <v>4273000</v>
      </c>
      <c r="N33" s="515"/>
      <c r="O33" s="534">
        <f t="shared" si="4"/>
        <v>0.81816182937554971</v>
      </c>
      <c r="P33" s="532">
        <v>23</v>
      </c>
      <c r="T33" s="536" t="e">
        <f t="shared" si="5"/>
        <v>#REF!</v>
      </c>
      <c r="U33" s="568"/>
    </row>
    <row r="34" spans="1:21">
      <c r="A34" s="552">
        <f t="shared" si="0"/>
        <v>24000</v>
      </c>
      <c r="B34" s="515"/>
      <c r="C34" s="532">
        <v>2</v>
      </c>
      <c r="D34" s="515"/>
      <c r="E34" s="533">
        <f t="shared" si="6"/>
        <v>834</v>
      </c>
      <c r="F34" s="533"/>
      <c r="G34" s="533">
        <f t="shared" si="1"/>
        <v>48000</v>
      </c>
      <c r="H34" s="533"/>
      <c r="I34" s="533">
        <f t="shared" si="7"/>
        <v>3769000</v>
      </c>
      <c r="J34" s="533"/>
      <c r="K34" s="533">
        <f t="shared" si="2"/>
        <v>22</v>
      </c>
      <c r="L34" s="533"/>
      <c r="M34" s="533">
        <f t="shared" si="3"/>
        <v>4297000</v>
      </c>
      <c r="N34" s="515"/>
      <c r="O34" s="534">
        <f t="shared" si="4"/>
        <v>0.82871591908531228</v>
      </c>
      <c r="P34" s="532">
        <v>24</v>
      </c>
      <c r="T34" s="536" t="e">
        <f t="shared" si="5"/>
        <v>#REF!</v>
      </c>
      <c r="U34" s="568"/>
    </row>
    <row r="35" spans="1:21">
      <c r="A35" s="552">
        <f t="shared" si="0"/>
        <v>25000</v>
      </c>
      <c r="B35" s="515"/>
      <c r="C35" s="532">
        <v>4</v>
      </c>
      <c r="D35" s="515"/>
      <c r="E35" s="533">
        <f t="shared" si="6"/>
        <v>838</v>
      </c>
      <c r="F35" s="533"/>
      <c r="G35" s="533">
        <f t="shared" si="1"/>
        <v>100000</v>
      </c>
      <c r="H35" s="533"/>
      <c r="I35" s="533">
        <f t="shared" si="7"/>
        <v>3869000</v>
      </c>
      <c r="J35" s="533"/>
      <c r="K35" s="533">
        <f t="shared" si="2"/>
        <v>18</v>
      </c>
      <c r="L35" s="533"/>
      <c r="M35" s="533">
        <f t="shared" si="3"/>
        <v>4319000</v>
      </c>
      <c r="N35" s="515"/>
      <c r="O35" s="534">
        <f t="shared" si="4"/>
        <v>0.85070360598065087</v>
      </c>
      <c r="P35" s="532">
        <v>25</v>
      </c>
      <c r="T35" s="536" t="e">
        <f t="shared" si="5"/>
        <v>#REF!</v>
      </c>
      <c r="U35" s="568"/>
    </row>
    <row r="36" spans="1:21">
      <c r="A36" s="552">
        <f t="shared" si="0"/>
        <v>26000</v>
      </c>
      <c r="B36" s="529"/>
      <c r="C36" s="532">
        <v>4</v>
      </c>
      <c r="D36" s="529"/>
      <c r="E36" s="533">
        <f t="shared" si="6"/>
        <v>842</v>
      </c>
      <c r="F36" s="533"/>
      <c r="G36" s="533">
        <f t="shared" si="1"/>
        <v>104000</v>
      </c>
      <c r="H36" s="533"/>
      <c r="I36" s="533">
        <f t="shared" si="7"/>
        <v>3973000</v>
      </c>
      <c r="J36" s="533"/>
      <c r="K36" s="533">
        <f t="shared" si="2"/>
        <v>14</v>
      </c>
      <c r="L36" s="533"/>
      <c r="M36" s="533">
        <f t="shared" si="3"/>
        <v>4337000</v>
      </c>
      <c r="N36" s="515"/>
      <c r="O36" s="534">
        <f t="shared" si="4"/>
        <v>0.87357080035180301</v>
      </c>
      <c r="P36" s="532">
        <v>26</v>
      </c>
      <c r="T36" s="536" t="e">
        <f t="shared" si="5"/>
        <v>#REF!</v>
      </c>
      <c r="U36" s="568"/>
    </row>
    <row r="37" spans="1:21">
      <c r="A37" s="552">
        <f t="shared" si="0"/>
        <v>27000</v>
      </c>
      <c r="B37" s="523"/>
      <c r="C37" s="532">
        <v>3</v>
      </c>
      <c r="D37" s="523"/>
      <c r="E37" s="533">
        <f t="shared" si="6"/>
        <v>845</v>
      </c>
      <c r="F37" s="533"/>
      <c r="G37" s="533">
        <f t="shared" si="1"/>
        <v>81000</v>
      </c>
      <c r="H37" s="533"/>
      <c r="I37" s="533">
        <f t="shared" si="7"/>
        <v>4054000</v>
      </c>
      <c r="J37" s="533"/>
      <c r="K37" s="533">
        <f t="shared" si="2"/>
        <v>11</v>
      </c>
      <c r="L37" s="533"/>
      <c r="M37" s="533">
        <f t="shared" si="3"/>
        <v>4351000</v>
      </c>
      <c r="N37" s="515"/>
      <c r="O37" s="534">
        <f t="shared" si="4"/>
        <v>0.89138082673702723</v>
      </c>
      <c r="P37" s="532">
        <v>27</v>
      </c>
      <c r="T37" s="536" t="e">
        <f t="shared" si="5"/>
        <v>#REF!</v>
      </c>
      <c r="U37" s="568"/>
    </row>
    <row r="38" spans="1:21">
      <c r="A38" s="552">
        <f t="shared" si="0"/>
        <v>28000</v>
      </c>
      <c r="C38" s="532">
        <v>2</v>
      </c>
      <c r="E38" s="533">
        <f t="shared" si="6"/>
        <v>847</v>
      </c>
      <c r="G38" s="533">
        <f t="shared" si="1"/>
        <v>56000</v>
      </c>
      <c r="I38" s="533">
        <f t="shared" si="7"/>
        <v>4110000</v>
      </c>
      <c r="J38" s="533"/>
      <c r="K38" s="533">
        <f t="shared" si="2"/>
        <v>9</v>
      </c>
      <c r="L38" s="533"/>
      <c r="M38" s="533">
        <f t="shared" si="3"/>
        <v>4362000</v>
      </c>
      <c r="N38" s="515"/>
      <c r="O38" s="534">
        <f t="shared" si="4"/>
        <v>0.90369393139841692</v>
      </c>
      <c r="P38" s="532">
        <v>28</v>
      </c>
      <c r="T38" s="536" t="e">
        <f t="shared" si="5"/>
        <v>#REF!</v>
      </c>
      <c r="U38" s="530"/>
    </row>
    <row r="39" spans="1:21">
      <c r="A39" s="552">
        <f t="shared" si="0"/>
        <v>29000</v>
      </c>
      <c r="C39" s="532">
        <v>1</v>
      </c>
      <c r="D39" s="545"/>
      <c r="E39" s="533">
        <f t="shared" si="6"/>
        <v>848</v>
      </c>
      <c r="F39" s="545"/>
      <c r="G39" s="533">
        <f t="shared" si="1"/>
        <v>29000</v>
      </c>
      <c r="H39" s="545"/>
      <c r="I39" s="533">
        <f t="shared" si="7"/>
        <v>4139000</v>
      </c>
      <c r="J39" s="533"/>
      <c r="K39" s="533">
        <f t="shared" si="2"/>
        <v>8</v>
      </c>
      <c r="L39" s="533"/>
      <c r="M39" s="533">
        <f t="shared" si="3"/>
        <v>4371000</v>
      </c>
      <c r="N39" s="515"/>
      <c r="O39" s="534">
        <f t="shared" si="4"/>
        <v>0.91007036059806512</v>
      </c>
      <c r="P39" s="532">
        <v>29</v>
      </c>
      <c r="T39" s="536" t="e">
        <f t="shared" si="5"/>
        <v>#REF!</v>
      </c>
      <c r="U39" s="530"/>
    </row>
    <row r="40" spans="1:21">
      <c r="A40" s="552">
        <f t="shared" si="0"/>
        <v>30000</v>
      </c>
      <c r="C40" s="532">
        <v>1</v>
      </c>
      <c r="D40" s="545"/>
      <c r="E40" s="533">
        <f t="shared" si="6"/>
        <v>849</v>
      </c>
      <c r="F40" s="545"/>
      <c r="G40" s="533">
        <f t="shared" si="1"/>
        <v>30000</v>
      </c>
      <c r="H40" s="545"/>
      <c r="I40" s="533">
        <f t="shared" si="7"/>
        <v>4169000</v>
      </c>
      <c r="J40" s="533"/>
      <c r="K40" s="533">
        <f t="shared" si="2"/>
        <v>7</v>
      </c>
      <c r="L40" s="533"/>
      <c r="M40" s="533">
        <f t="shared" si="3"/>
        <v>4379000</v>
      </c>
      <c r="N40" s="515"/>
      <c r="O40" s="534">
        <f t="shared" si="4"/>
        <v>0.91666666666666663</v>
      </c>
      <c r="P40" s="532">
        <v>30</v>
      </c>
      <c r="T40" s="536" t="e">
        <f t="shared" si="5"/>
        <v>#REF!</v>
      </c>
      <c r="U40" s="530"/>
    </row>
    <row r="41" spans="1:21">
      <c r="A41" s="552">
        <f t="shared" si="0"/>
        <v>33000</v>
      </c>
      <c r="C41" s="532">
        <v>1</v>
      </c>
      <c r="D41" s="545"/>
      <c r="E41" s="533">
        <f t="shared" si="6"/>
        <v>850</v>
      </c>
      <c r="F41" s="545"/>
      <c r="G41" s="533">
        <f t="shared" si="1"/>
        <v>33000</v>
      </c>
      <c r="H41" s="545"/>
      <c r="I41" s="533">
        <f t="shared" si="7"/>
        <v>4202000</v>
      </c>
      <c r="J41" s="533"/>
      <c r="K41" s="533">
        <f t="shared" si="2"/>
        <v>6</v>
      </c>
      <c r="L41" s="533"/>
      <c r="M41" s="533">
        <f t="shared" si="3"/>
        <v>4400000</v>
      </c>
      <c r="N41" s="515"/>
      <c r="O41" s="534">
        <f t="shared" si="4"/>
        <v>0.92392260334212839</v>
      </c>
      <c r="P41" s="532">
        <v>33</v>
      </c>
      <c r="T41" s="536" t="e">
        <f t="shared" si="5"/>
        <v>#REF!</v>
      </c>
      <c r="U41" s="530"/>
    </row>
    <row r="42" spans="1:21">
      <c r="A42" s="552">
        <f t="shared" si="0"/>
        <v>34000</v>
      </c>
      <c r="C42" s="532">
        <v>1</v>
      </c>
      <c r="D42" s="545"/>
      <c r="E42" s="533">
        <f t="shared" si="6"/>
        <v>851</v>
      </c>
      <c r="F42" s="545"/>
      <c r="G42" s="533">
        <f t="shared" si="1"/>
        <v>34000</v>
      </c>
      <c r="H42" s="545"/>
      <c r="I42" s="533">
        <f t="shared" si="7"/>
        <v>4236000</v>
      </c>
      <c r="J42" s="533"/>
      <c r="K42" s="533">
        <f t="shared" si="2"/>
        <v>5</v>
      </c>
      <c r="L42" s="533"/>
      <c r="M42" s="533">
        <f t="shared" si="3"/>
        <v>4406000</v>
      </c>
      <c r="N42" s="515"/>
      <c r="O42" s="534">
        <f t="shared" si="4"/>
        <v>0.93139841688654357</v>
      </c>
      <c r="P42" s="532">
        <v>34</v>
      </c>
      <c r="T42" s="536" t="e">
        <f t="shared" si="5"/>
        <v>#REF!</v>
      </c>
      <c r="U42" s="530"/>
    </row>
    <row r="43" spans="1:21">
      <c r="A43" s="552">
        <f t="shared" si="0"/>
        <v>39000</v>
      </c>
      <c r="C43" s="532">
        <v>1</v>
      </c>
      <c r="D43" s="545"/>
      <c r="E43" s="533">
        <f t="shared" si="6"/>
        <v>852</v>
      </c>
      <c r="F43" s="545"/>
      <c r="G43" s="533">
        <f t="shared" si="1"/>
        <v>39000</v>
      </c>
      <c r="H43" s="545"/>
      <c r="I43" s="533">
        <f t="shared" si="7"/>
        <v>4275000</v>
      </c>
      <c r="J43" s="533"/>
      <c r="K43" s="533">
        <f t="shared" si="2"/>
        <v>4</v>
      </c>
      <c r="L43" s="533"/>
      <c r="M43" s="533">
        <f t="shared" si="3"/>
        <v>4431000</v>
      </c>
      <c r="N43" s="515"/>
      <c r="O43" s="534">
        <f t="shared" si="4"/>
        <v>0.93997361477572561</v>
      </c>
      <c r="P43" s="532">
        <v>39</v>
      </c>
      <c r="T43" s="536" t="e">
        <f t="shared" si="5"/>
        <v>#REF!</v>
      </c>
      <c r="U43" s="530"/>
    </row>
    <row r="44" spans="1:21">
      <c r="A44" s="552">
        <f t="shared" si="0"/>
        <v>41000</v>
      </c>
      <c r="C44" s="532">
        <v>1</v>
      </c>
      <c r="D44" s="545"/>
      <c r="E44" s="533">
        <f t="shared" si="6"/>
        <v>853</v>
      </c>
      <c r="F44" s="545"/>
      <c r="G44" s="533">
        <f t="shared" si="1"/>
        <v>41000</v>
      </c>
      <c r="H44" s="545"/>
      <c r="I44" s="533">
        <f t="shared" si="7"/>
        <v>4316000</v>
      </c>
      <c r="J44" s="533"/>
      <c r="K44" s="533">
        <f t="shared" si="2"/>
        <v>3</v>
      </c>
      <c r="L44" s="533"/>
      <c r="M44" s="533">
        <f t="shared" si="3"/>
        <v>4439000</v>
      </c>
      <c r="N44" s="515"/>
      <c r="O44" s="534">
        <f t="shared" si="4"/>
        <v>0.94898856640281437</v>
      </c>
      <c r="P44" s="532">
        <v>41</v>
      </c>
      <c r="T44" s="536" t="e">
        <f t="shared" si="5"/>
        <v>#REF!</v>
      </c>
      <c r="U44" s="530"/>
    </row>
    <row r="45" spans="1:21">
      <c r="A45" s="552">
        <f t="shared" si="0"/>
        <v>59000</v>
      </c>
      <c r="C45" s="532">
        <v>1</v>
      </c>
      <c r="D45" s="545"/>
      <c r="E45" s="533">
        <f t="shared" si="6"/>
        <v>854</v>
      </c>
      <c r="F45" s="545"/>
      <c r="G45" s="533">
        <f t="shared" si="1"/>
        <v>59000</v>
      </c>
      <c r="H45" s="545"/>
      <c r="I45" s="533">
        <f t="shared" si="7"/>
        <v>4375000</v>
      </c>
      <c r="J45" s="533"/>
      <c r="K45" s="533">
        <f t="shared" si="2"/>
        <v>2</v>
      </c>
      <c r="L45" s="533"/>
      <c r="M45" s="533">
        <f t="shared" si="3"/>
        <v>4493000</v>
      </c>
      <c r="N45" s="515"/>
      <c r="O45" s="534">
        <f t="shared" si="4"/>
        <v>0.9619613016710642</v>
      </c>
      <c r="P45" s="532">
        <v>59</v>
      </c>
      <c r="T45" s="536" t="e">
        <f t="shared" si="5"/>
        <v>#REF!</v>
      </c>
      <c r="U45" s="530"/>
    </row>
    <row r="46" spans="1:21">
      <c r="A46" s="552">
        <f t="shared" si="0"/>
        <v>75000</v>
      </c>
      <c r="C46" s="532">
        <v>1</v>
      </c>
      <c r="E46" s="533">
        <f t="shared" si="6"/>
        <v>855</v>
      </c>
      <c r="G46" s="533">
        <f t="shared" si="1"/>
        <v>75000</v>
      </c>
      <c r="I46" s="533">
        <f t="shared" si="7"/>
        <v>4450000</v>
      </c>
      <c r="J46" s="533"/>
      <c r="K46" s="533">
        <f t="shared" si="2"/>
        <v>1</v>
      </c>
      <c r="L46" s="533"/>
      <c r="M46" s="533">
        <f t="shared" si="3"/>
        <v>4525000</v>
      </c>
      <c r="N46" s="515"/>
      <c r="O46" s="534">
        <f t="shared" si="4"/>
        <v>0.97845206684256814</v>
      </c>
      <c r="P46" s="532">
        <v>75</v>
      </c>
      <c r="T46" s="536" t="e">
        <f t="shared" si="5"/>
        <v>#REF!</v>
      </c>
      <c r="U46" s="530"/>
    </row>
    <row r="47" spans="1:21">
      <c r="A47" s="552">
        <f t="shared" si="0"/>
        <v>98000</v>
      </c>
      <c r="C47" s="532">
        <v>1</v>
      </c>
      <c r="E47" s="533">
        <f t="shared" si="6"/>
        <v>856</v>
      </c>
      <c r="G47" s="513">
        <f t="shared" si="1"/>
        <v>98000</v>
      </c>
      <c r="I47" s="533">
        <f t="shared" si="7"/>
        <v>4548000</v>
      </c>
      <c r="K47" s="533">
        <f t="shared" si="2"/>
        <v>0</v>
      </c>
      <c r="M47" s="533">
        <f t="shared" si="3"/>
        <v>4548000</v>
      </c>
      <c r="O47" s="534">
        <f t="shared" si="4"/>
        <v>1</v>
      </c>
      <c r="P47" s="532">
        <v>98</v>
      </c>
      <c r="T47" s="536" t="e">
        <f t="shared" si="5"/>
        <v>#REF!</v>
      </c>
    </row>
    <row r="48" spans="1:21">
      <c r="T48" s="536"/>
    </row>
    <row r="49" spans="20:20">
      <c r="T49" s="554" t="e">
        <f>SUM(T10:T47)</f>
        <v>#REF!</v>
      </c>
    </row>
    <row r="50" spans="20:20" hidden="1">
      <c r="T50" s="536">
        <v>17645</v>
      </c>
    </row>
    <row r="51" spans="20:20" hidden="1">
      <c r="T51" s="536" t="e">
        <f>T49-T50</f>
        <v>#REF!</v>
      </c>
    </row>
    <row r="52" spans="20:20" hidden="1">
      <c r="T52" s="569" t="e">
        <f>T51/T49</f>
        <v>#REF!</v>
      </c>
    </row>
    <row r="53" spans="20:20">
      <c r="T53" s="536"/>
    </row>
    <row r="54" spans="20:20">
      <c r="T54" s="536"/>
    </row>
    <row r="55" spans="20:20">
      <c r="T55" s="536"/>
    </row>
    <row r="56" spans="20:20">
      <c r="T56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9"/>
  <sheetViews>
    <sheetView showGridLines="0" topLeftCell="J46" workbookViewId="0">
      <selection activeCell="U10" sqref="U1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5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875" style="513" customWidth="1"/>
    <col min="20" max="20" width="11.75" style="513" bestFit="1" customWidth="1"/>
    <col min="21" max="16384" width="12.5" style="513"/>
  </cols>
  <sheetData>
    <row r="1" spans="1:21" ht="15">
      <c r="O1" s="564"/>
      <c r="R1" s="516" t="s">
        <v>65</v>
      </c>
      <c r="S1" s="516"/>
      <c r="T1" s="517" t="s">
        <v>271</v>
      </c>
    </row>
    <row r="2" spans="1:21">
      <c r="O2" s="564"/>
      <c r="R2" s="518" t="s">
        <v>272</v>
      </c>
      <c r="S2" s="518"/>
      <c r="T2" s="519" t="e">
        <f>'16011-171'!T2</f>
        <v>#REF!</v>
      </c>
    </row>
    <row r="3" spans="1:21">
      <c r="A3" s="513" t="s">
        <v>298</v>
      </c>
      <c r="M3" s="520" t="s">
        <v>299</v>
      </c>
      <c r="R3" s="518" t="s">
        <v>274</v>
      </c>
      <c r="S3" s="518"/>
      <c r="T3" s="519" t="e">
        <f>'16011-171'!T3</f>
        <v>#REF!</v>
      </c>
    </row>
    <row r="4" spans="1:21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'16011-171'!T4</f>
        <v>#REF!</v>
      </c>
    </row>
    <row r="5" spans="1:21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'16011-171'!T5</f>
        <v>#REF!</v>
      </c>
    </row>
    <row r="6" spans="1:21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'16011-171'!T6</f>
        <v>#REF!</v>
      </c>
    </row>
    <row r="7" spans="1:21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'16011-171'!T7</f>
        <v>#REF!</v>
      </c>
    </row>
    <row r="8" spans="1:21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5" t="s">
        <v>293</v>
      </c>
    </row>
    <row r="9" spans="1:21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65"/>
      <c r="T9" s="530"/>
    </row>
    <row r="10" spans="1:21">
      <c r="A10" s="531">
        <f t="shared" ref="A10:A41" si="0">P10*1000</f>
        <v>0</v>
      </c>
      <c r="B10" s="515"/>
      <c r="C10" s="532">
        <v>285</v>
      </c>
      <c r="D10" s="533"/>
      <c r="E10" s="533">
        <f>C10</f>
        <v>285</v>
      </c>
      <c r="F10" s="533"/>
      <c r="G10" s="533">
        <f t="shared" ref="G10:G41" si="1">A10*C10</f>
        <v>0</v>
      </c>
      <c r="H10" s="533"/>
      <c r="I10" s="533">
        <f>G10</f>
        <v>0</v>
      </c>
      <c r="J10" s="533"/>
      <c r="K10" s="533">
        <f t="shared" ref="K10:K41" si="2">$E$65-E10</f>
        <v>799</v>
      </c>
      <c r="L10" s="533"/>
      <c r="M10" s="533">
        <f t="shared" ref="M10:M41" si="3">(A10*K10)+I10</f>
        <v>0</v>
      </c>
      <c r="N10" s="515"/>
      <c r="O10" s="534">
        <f t="shared" ref="O10:O41" si="4">I10/$I$65</f>
        <v>0</v>
      </c>
      <c r="P10" s="532">
        <v>0</v>
      </c>
      <c r="Q10" s="561"/>
      <c r="R10" s="535"/>
      <c r="T10" s="536" t="e">
        <f t="shared" ref="T10:T41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  <c r="U10" s="566"/>
    </row>
    <row r="11" spans="1:21">
      <c r="A11" s="531">
        <f t="shared" si="0"/>
        <v>1000</v>
      </c>
      <c r="B11" s="515"/>
      <c r="C11" s="532">
        <v>238</v>
      </c>
      <c r="D11" s="533"/>
      <c r="E11" s="533">
        <f t="shared" ref="E11:E42" si="6">E10+C11</f>
        <v>523</v>
      </c>
      <c r="F11" s="533"/>
      <c r="G11" s="533">
        <f t="shared" si="1"/>
        <v>238000</v>
      </c>
      <c r="H11" s="533"/>
      <c r="I11" s="533">
        <f t="shared" ref="I11:I42" si="7">G11+I10</f>
        <v>238000</v>
      </c>
      <c r="J11" s="533"/>
      <c r="K11" s="533">
        <f t="shared" si="2"/>
        <v>561</v>
      </c>
      <c r="L11" s="533"/>
      <c r="M11" s="533">
        <f t="shared" si="3"/>
        <v>799000</v>
      </c>
      <c r="N11" s="515"/>
      <c r="O11" s="534">
        <f t="shared" si="4"/>
        <v>4.3014639436110606E-2</v>
      </c>
      <c r="P11" s="532">
        <v>1</v>
      </c>
      <c r="Q11" s="561"/>
      <c r="R11" s="535"/>
      <c r="T11" s="536" t="e">
        <f t="shared" si="5"/>
        <v>#REF!</v>
      </c>
      <c r="U11" s="566"/>
    </row>
    <row r="12" spans="1:21">
      <c r="A12" s="531">
        <f t="shared" si="0"/>
        <v>2000</v>
      </c>
      <c r="B12" s="515"/>
      <c r="C12" s="532">
        <v>154</v>
      </c>
      <c r="D12" s="533"/>
      <c r="E12" s="533">
        <f t="shared" si="6"/>
        <v>677</v>
      </c>
      <c r="F12" s="533"/>
      <c r="G12" s="533">
        <f t="shared" si="1"/>
        <v>308000</v>
      </c>
      <c r="H12" s="533"/>
      <c r="I12" s="533">
        <f t="shared" si="7"/>
        <v>546000</v>
      </c>
      <c r="J12" s="533"/>
      <c r="K12" s="533">
        <f t="shared" si="2"/>
        <v>407</v>
      </c>
      <c r="L12" s="533"/>
      <c r="M12" s="533">
        <f t="shared" si="3"/>
        <v>1360000</v>
      </c>
      <c r="N12" s="515"/>
      <c r="O12" s="534">
        <f t="shared" si="4"/>
        <v>9.8680643412253743E-2</v>
      </c>
      <c r="P12" s="532">
        <v>2</v>
      </c>
      <c r="Q12" s="561"/>
      <c r="T12" s="536" t="e">
        <f t="shared" si="5"/>
        <v>#REF!</v>
      </c>
      <c r="U12" s="566"/>
    </row>
    <row r="13" spans="1:21">
      <c r="A13" s="531">
        <f t="shared" si="0"/>
        <v>3000</v>
      </c>
      <c r="B13" s="515"/>
      <c r="C13" s="532">
        <v>88</v>
      </c>
      <c r="D13" s="533"/>
      <c r="E13" s="533">
        <f t="shared" si="6"/>
        <v>765</v>
      </c>
      <c r="F13" s="533"/>
      <c r="G13" s="533">
        <f t="shared" si="1"/>
        <v>264000</v>
      </c>
      <c r="H13" s="533"/>
      <c r="I13" s="533">
        <f t="shared" si="7"/>
        <v>810000</v>
      </c>
      <c r="J13" s="533"/>
      <c r="K13" s="533">
        <f t="shared" si="2"/>
        <v>319</v>
      </c>
      <c r="L13" s="533"/>
      <c r="M13" s="533">
        <f t="shared" si="3"/>
        <v>1767000</v>
      </c>
      <c r="N13" s="537"/>
      <c r="O13" s="534">
        <f t="shared" si="4"/>
        <v>0.14639436110609072</v>
      </c>
      <c r="P13" s="532">
        <v>3</v>
      </c>
      <c r="Q13" s="561"/>
      <c r="T13" s="536" t="e">
        <f t="shared" si="5"/>
        <v>#REF!</v>
      </c>
      <c r="U13" s="566"/>
    </row>
    <row r="14" spans="1:21">
      <c r="A14" s="531">
        <f t="shared" si="0"/>
        <v>4000</v>
      </c>
      <c r="B14" s="515"/>
      <c r="C14" s="532">
        <v>51</v>
      </c>
      <c r="D14" s="533"/>
      <c r="E14" s="533">
        <f t="shared" si="6"/>
        <v>816</v>
      </c>
      <c r="F14" s="533"/>
      <c r="G14" s="533">
        <f t="shared" si="1"/>
        <v>204000</v>
      </c>
      <c r="H14" s="533"/>
      <c r="I14" s="533">
        <f t="shared" si="7"/>
        <v>1014000</v>
      </c>
      <c r="J14" s="533"/>
      <c r="K14" s="533">
        <f t="shared" si="2"/>
        <v>268</v>
      </c>
      <c r="L14" s="533"/>
      <c r="M14" s="533">
        <f t="shared" si="3"/>
        <v>2086000</v>
      </c>
      <c r="N14" s="515"/>
      <c r="O14" s="534">
        <f t="shared" si="4"/>
        <v>0.1832640520513284</v>
      </c>
      <c r="P14" s="532">
        <v>4</v>
      </c>
      <c r="Q14" s="561"/>
      <c r="T14" s="536" t="e">
        <f t="shared" si="5"/>
        <v>#REF!</v>
      </c>
      <c r="U14" s="566"/>
    </row>
    <row r="15" spans="1:21">
      <c r="A15" s="531">
        <f t="shared" si="0"/>
        <v>5000</v>
      </c>
      <c r="B15" s="515"/>
      <c r="C15" s="532">
        <v>40</v>
      </c>
      <c r="D15" s="533"/>
      <c r="E15" s="533">
        <f t="shared" si="6"/>
        <v>856</v>
      </c>
      <c r="F15" s="533"/>
      <c r="G15" s="533">
        <f t="shared" si="1"/>
        <v>200000</v>
      </c>
      <c r="H15" s="533"/>
      <c r="I15" s="533">
        <f t="shared" si="7"/>
        <v>1214000</v>
      </c>
      <c r="J15" s="533"/>
      <c r="K15" s="533">
        <f t="shared" si="2"/>
        <v>228</v>
      </c>
      <c r="L15" s="533"/>
      <c r="M15" s="533">
        <f t="shared" si="3"/>
        <v>2354000</v>
      </c>
      <c r="N15" s="515"/>
      <c r="O15" s="534">
        <f t="shared" si="4"/>
        <v>0.21941080787999276</v>
      </c>
      <c r="P15" s="532">
        <v>5</v>
      </c>
      <c r="Q15" s="561"/>
      <c r="T15" s="536" t="e">
        <f t="shared" si="5"/>
        <v>#REF!</v>
      </c>
      <c r="U15" s="566"/>
    </row>
    <row r="16" spans="1:21">
      <c r="A16" s="531">
        <f t="shared" si="0"/>
        <v>6000</v>
      </c>
      <c r="B16" s="515"/>
      <c r="C16" s="532">
        <v>36</v>
      </c>
      <c r="D16" s="533"/>
      <c r="E16" s="533">
        <f t="shared" si="6"/>
        <v>892</v>
      </c>
      <c r="F16" s="533"/>
      <c r="G16" s="533">
        <f t="shared" si="1"/>
        <v>216000</v>
      </c>
      <c r="H16" s="533"/>
      <c r="I16" s="533">
        <f t="shared" si="7"/>
        <v>1430000</v>
      </c>
      <c r="J16" s="533"/>
      <c r="K16" s="533">
        <f t="shared" si="2"/>
        <v>192</v>
      </c>
      <c r="L16" s="533"/>
      <c r="M16" s="533">
        <f t="shared" si="3"/>
        <v>2582000</v>
      </c>
      <c r="N16" s="515"/>
      <c r="O16" s="534">
        <f t="shared" si="4"/>
        <v>0.25844930417495032</v>
      </c>
      <c r="P16" s="532">
        <v>6</v>
      </c>
      <c r="Q16" s="561"/>
      <c r="T16" s="536" t="e">
        <f t="shared" si="5"/>
        <v>#REF!</v>
      </c>
      <c r="U16" s="566"/>
    </row>
    <row r="17" spans="1:21">
      <c r="A17" s="531">
        <f t="shared" si="0"/>
        <v>7000</v>
      </c>
      <c r="B17" s="515"/>
      <c r="C17" s="532">
        <v>16</v>
      </c>
      <c r="D17" s="533"/>
      <c r="E17" s="533">
        <f t="shared" si="6"/>
        <v>908</v>
      </c>
      <c r="F17" s="533"/>
      <c r="G17" s="533">
        <f t="shared" si="1"/>
        <v>112000</v>
      </c>
      <c r="H17" s="533"/>
      <c r="I17" s="533">
        <f t="shared" si="7"/>
        <v>1542000</v>
      </c>
      <c r="J17" s="533"/>
      <c r="K17" s="533">
        <f t="shared" si="2"/>
        <v>176</v>
      </c>
      <c r="L17" s="533"/>
      <c r="M17" s="533">
        <f t="shared" si="3"/>
        <v>2774000</v>
      </c>
      <c r="N17" s="515"/>
      <c r="O17" s="534">
        <f t="shared" si="4"/>
        <v>0.27869148743900235</v>
      </c>
      <c r="P17" s="532">
        <v>7</v>
      </c>
      <c r="Q17" s="561"/>
      <c r="T17" s="536" t="e">
        <f t="shared" si="5"/>
        <v>#REF!</v>
      </c>
      <c r="U17" s="566"/>
    </row>
    <row r="18" spans="1:21">
      <c r="A18" s="531">
        <f t="shared" si="0"/>
        <v>8000</v>
      </c>
      <c r="B18" s="515"/>
      <c r="C18" s="532">
        <v>23</v>
      </c>
      <c r="D18" s="533"/>
      <c r="E18" s="533">
        <f t="shared" si="6"/>
        <v>931</v>
      </c>
      <c r="F18" s="533"/>
      <c r="G18" s="533">
        <f t="shared" si="1"/>
        <v>184000</v>
      </c>
      <c r="H18" s="533"/>
      <c r="I18" s="533">
        <f t="shared" si="7"/>
        <v>1726000</v>
      </c>
      <c r="J18" s="533"/>
      <c r="K18" s="533">
        <f t="shared" si="2"/>
        <v>153</v>
      </c>
      <c r="L18" s="533"/>
      <c r="M18" s="533">
        <f t="shared" si="3"/>
        <v>2950000</v>
      </c>
      <c r="N18" s="515"/>
      <c r="O18" s="534">
        <f t="shared" si="4"/>
        <v>0.31194650280137359</v>
      </c>
      <c r="P18" s="532">
        <v>8</v>
      </c>
      <c r="Q18" s="561"/>
      <c r="T18" s="536" t="e">
        <f t="shared" si="5"/>
        <v>#REF!</v>
      </c>
      <c r="U18" s="566"/>
    </row>
    <row r="19" spans="1:21">
      <c r="A19" s="531">
        <f t="shared" si="0"/>
        <v>9000</v>
      </c>
      <c r="B19" s="515"/>
      <c r="C19" s="532">
        <v>19</v>
      </c>
      <c r="D19" s="533"/>
      <c r="E19" s="533">
        <f t="shared" si="6"/>
        <v>950</v>
      </c>
      <c r="F19" s="533"/>
      <c r="G19" s="533">
        <f t="shared" si="1"/>
        <v>171000</v>
      </c>
      <c r="H19" s="533"/>
      <c r="I19" s="533">
        <f t="shared" si="7"/>
        <v>1897000</v>
      </c>
      <c r="J19" s="533"/>
      <c r="K19" s="533">
        <f t="shared" si="2"/>
        <v>134</v>
      </c>
      <c r="L19" s="533"/>
      <c r="M19" s="533">
        <f t="shared" si="3"/>
        <v>3103000</v>
      </c>
      <c r="N19" s="515"/>
      <c r="O19" s="534">
        <f t="shared" si="4"/>
        <v>0.34285197903488163</v>
      </c>
      <c r="P19" s="532">
        <v>9</v>
      </c>
      <c r="Q19" s="561"/>
      <c r="T19" s="536" t="e">
        <f t="shared" si="5"/>
        <v>#REF!</v>
      </c>
      <c r="U19" s="566"/>
    </row>
    <row r="20" spans="1:21">
      <c r="A20" s="531">
        <f t="shared" si="0"/>
        <v>10000</v>
      </c>
      <c r="B20" s="515"/>
      <c r="C20" s="532">
        <v>13</v>
      </c>
      <c r="D20" s="533"/>
      <c r="E20" s="533">
        <f t="shared" si="6"/>
        <v>963</v>
      </c>
      <c r="F20" s="533"/>
      <c r="G20" s="533">
        <f t="shared" si="1"/>
        <v>130000</v>
      </c>
      <c r="H20" s="533"/>
      <c r="I20" s="533">
        <f t="shared" si="7"/>
        <v>2027000</v>
      </c>
      <c r="J20" s="533"/>
      <c r="K20" s="533">
        <f t="shared" si="2"/>
        <v>121</v>
      </c>
      <c r="L20" s="533"/>
      <c r="M20" s="533">
        <f t="shared" si="3"/>
        <v>3237000</v>
      </c>
      <c r="N20" s="515"/>
      <c r="O20" s="534">
        <f t="shared" si="4"/>
        <v>0.36634737032351344</v>
      </c>
      <c r="P20" s="532">
        <v>10</v>
      </c>
      <c r="Q20" s="561"/>
      <c r="T20" s="536" t="e">
        <f t="shared" si="5"/>
        <v>#REF!</v>
      </c>
      <c r="U20" s="566"/>
    </row>
    <row r="21" spans="1:21">
      <c r="A21" s="531">
        <f t="shared" si="0"/>
        <v>11000</v>
      </c>
      <c r="B21" s="515"/>
      <c r="C21" s="532">
        <v>12</v>
      </c>
      <c r="D21" s="533"/>
      <c r="E21" s="533">
        <f t="shared" si="6"/>
        <v>975</v>
      </c>
      <c r="F21" s="533"/>
      <c r="G21" s="533">
        <f t="shared" si="1"/>
        <v>132000</v>
      </c>
      <c r="H21" s="533"/>
      <c r="I21" s="533">
        <f t="shared" si="7"/>
        <v>2159000</v>
      </c>
      <c r="J21" s="533"/>
      <c r="K21" s="533">
        <f t="shared" si="2"/>
        <v>109</v>
      </c>
      <c r="L21" s="533"/>
      <c r="M21" s="533">
        <f t="shared" si="3"/>
        <v>3358000</v>
      </c>
      <c r="N21" s="515"/>
      <c r="O21" s="534">
        <f t="shared" si="4"/>
        <v>0.39020422917043196</v>
      </c>
      <c r="P21" s="532">
        <v>11</v>
      </c>
      <c r="Q21" s="561"/>
      <c r="T21" s="536" t="e">
        <f t="shared" si="5"/>
        <v>#REF!</v>
      </c>
      <c r="U21" s="566"/>
    </row>
    <row r="22" spans="1:21">
      <c r="A22" s="531">
        <f t="shared" si="0"/>
        <v>12000</v>
      </c>
      <c r="B22" s="515"/>
      <c r="C22" s="532">
        <v>9</v>
      </c>
      <c r="D22" s="533"/>
      <c r="E22" s="533">
        <f t="shared" si="6"/>
        <v>984</v>
      </c>
      <c r="F22" s="533"/>
      <c r="G22" s="533">
        <f t="shared" si="1"/>
        <v>108000</v>
      </c>
      <c r="H22" s="533"/>
      <c r="I22" s="533">
        <f t="shared" si="7"/>
        <v>2267000</v>
      </c>
      <c r="J22" s="533"/>
      <c r="K22" s="533">
        <f t="shared" si="2"/>
        <v>100</v>
      </c>
      <c r="L22" s="533"/>
      <c r="M22" s="533">
        <f t="shared" si="3"/>
        <v>3467000</v>
      </c>
      <c r="N22" s="515"/>
      <c r="O22" s="534">
        <f t="shared" si="4"/>
        <v>0.4097234773179107</v>
      </c>
      <c r="P22" s="532">
        <v>12</v>
      </c>
      <c r="Q22" s="561"/>
      <c r="T22" s="536" t="e">
        <f t="shared" si="5"/>
        <v>#REF!</v>
      </c>
      <c r="U22" s="566"/>
    </row>
    <row r="23" spans="1:21">
      <c r="A23" s="531">
        <f t="shared" si="0"/>
        <v>13000</v>
      </c>
      <c r="B23" s="515"/>
      <c r="C23" s="532">
        <v>7</v>
      </c>
      <c r="D23" s="533"/>
      <c r="E23" s="533">
        <f t="shared" si="6"/>
        <v>991</v>
      </c>
      <c r="F23" s="533"/>
      <c r="G23" s="533">
        <f t="shared" si="1"/>
        <v>91000</v>
      </c>
      <c r="H23" s="533"/>
      <c r="I23" s="533">
        <f t="shared" si="7"/>
        <v>2358000</v>
      </c>
      <c r="J23" s="533"/>
      <c r="K23" s="533">
        <f t="shared" si="2"/>
        <v>93</v>
      </c>
      <c r="L23" s="533"/>
      <c r="M23" s="533">
        <f t="shared" si="3"/>
        <v>3567000</v>
      </c>
      <c r="N23" s="515"/>
      <c r="O23" s="534">
        <f t="shared" si="4"/>
        <v>0.426170251219953</v>
      </c>
      <c r="P23" s="532">
        <v>13</v>
      </c>
      <c r="Q23" s="561"/>
      <c r="T23" s="536" t="e">
        <f t="shared" si="5"/>
        <v>#REF!</v>
      </c>
      <c r="U23" s="566"/>
    </row>
    <row r="24" spans="1:21">
      <c r="A24" s="531">
        <f t="shared" si="0"/>
        <v>14000</v>
      </c>
      <c r="B24" s="515"/>
      <c r="C24" s="532">
        <v>7</v>
      </c>
      <c r="D24" s="533"/>
      <c r="E24" s="533">
        <f t="shared" si="6"/>
        <v>998</v>
      </c>
      <c r="F24" s="533"/>
      <c r="G24" s="533">
        <f t="shared" si="1"/>
        <v>98000</v>
      </c>
      <c r="H24" s="533"/>
      <c r="I24" s="533">
        <f t="shared" si="7"/>
        <v>2456000</v>
      </c>
      <c r="J24" s="533"/>
      <c r="K24" s="533">
        <f t="shared" si="2"/>
        <v>86</v>
      </c>
      <c r="L24" s="533"/>
      <c r="M24" s="533">
        <f t="shared" si="3"/>
        <v>3660000</v>
      </c>
      <c r="N24" s="515"/>
      <c r="O24" s="534">
        <f t="shared" si="4"/>
        <v>0.44388216157599858</v>
      </c>
      <c r="P24" s="532">
        <v>14</v>
      </c>
      <c r="Q24" s="561"/>
      <c r="T24" s="536" t="e">
        <f t="shared" si="5"/>
        <v>#REF!</v>
      </c>
      <c r="U24" s="566"/>
    </row>
    <row r="25" spans="1:21">
      <c r="A25" s="531">
        <f t="shared" si="0"/>
        <v>15000</v>
      </c>
      <c r="B25" s="515"/>
      <c r="C25" s="532">
        <v>3</v>
      </c>
      <c r="D25" s="533"/>
      <c r="E25" s="533">
        <f t="shared" si="6"/>
        <v>1001</v>
      </c>
      <c r="F25" s="533"/>
      <c r="G25" s="533">
        <f t="shared" si="1"/>
        <v>45000</v>
      </c>
      <c r="H25" s="533"/>
      <c r="I25" s="533">
        <f t="shared" si="7"/>
        <v>2501000</v>
      </c>
      <c r="J25" s="533"/>
      <c r="K25" s="533">
        <f t="shared" si="2"/>
        <v>83</v>
      </c>
      <c r="L25" s="533"/>
      <c r="M25" s="533">
        <f t="shared" si="3"/>
        <v>3746000</v>
      </c>
      <c r="N25" s="515"/>
      <c r="O25" s="534">
        <f t="shared" si="4"/>
        <v>0.45201518163744803</v>
      </c>
      <c r="P25" s="532">
        <v>15</v>
      </c>
      <c r="Q25" s="561"/>
      <c r="T25" s="536" t="e">
        <f t="shared" si="5"/>
        <v>#REF!</v>
      </c>
      <c r="U25" s="566"/>
    </row>
    <row r="26" spans="1:21">
      <c r="A26" s="531">
        <f t="shared" si="0"/>
        <v>16000</v>
      </c>
      <c r="B26" s="515"/>
      <c r="C26" s="532">
        <v>8</v>
      </c>
      <c r="D26" s="533"/>
      <c r="E26" s="533">
        <f t="shared" si="6"/>
        <v>1009</v>
      </c>
      <c r="F26" s="533"/>
      <c r="G26" s="533">
        <f t="shared" si="1"/>
        <v>128000</v>
      </c>
      <c r="H26" s="533"/>
      <c r="I26" s="533">
        <f t="shared" si="7"/>
        <v>2629000</v>
      </c>
      <c r="J26" s="533"/>
      <c r="K26" s="533">
        <f t="shared" si="2"/>
        <v>75</v>
      </c>
      <c r="L26" s="533"/>
      <c r="M26" s="533">
        <f t="shared" si="3"/>
        <v>3829000</v>
      </c>
      <c r="N26" s="515"/>
      <c r="O26" s="534">
        <f t="shared" si="4"/>
        <v>0.47514910536779326</v>
      </c>
      <c r="P26" s="532">
        <v>16</v>
      </c>
      <c r="Q26" s="561"/>
      <c r="T26" s="536" t="e">
        <f t="shared" si="5"/>
        <v>#REF!</v>
      </c>
      <c r="U26" s="566"/>
    </row>
    <row r="27" spans="1:21" s="515" customFormat="1">
      <c r="A27" s="552">
        <f t="shared" si="0"/>
        <v>17000</v>
      </c>
      <c r="C27" s="532">
        <v>6</v>
      </c>
      <c r="D27" s="533"/>
      <c r="E27" s="533">
        <f t="shared" si="6"/>
        <v>1015</v>
      </c>
      <c r="F27" s="533"/>
      <c r="G27" s="533">
        <f t="shared" si="1"/>
        <v>102000</v>
      </c>
      <c r="H27" s="533"/>
      <c r="I27" s="533">
        <f t="shared" si="7"/>
        <v>2731000</v>
      </c>
      <c r="J27" s="533"/>
      <c r="K27" s="533">
        <f t="shared" si="2"/>
        <v>69</v>
      </c>
      <c r="L27" s="533"/>
      <c r="M27" s="533">
        <f t="shared" si="3"/>
        <v>3904000</v>
      </c>
      <c r="O27" s="534">
        <f t="shared" si="4"/>
        <v>0.49358395084041207</v>
      </c>
      <c r="P27" s="532">
        <v>17</v>
      </c>
      <c r="Q27" s="547"/>
      <c r="R27" s="513"/>
      <c r="S27" s="513"/>
      <c r="T27" s="536" t="e">
        <f t="shared" si="5"/>
        <v>#REF!</v>
      </c>
      <c r="U27" s="566"/>
    </row>
    <row r="28" spans="1:21" s="515" customFormat="1">
      <c r="A28" s="552">
        <f t="shared" si="0"/>
        <v>18000</v>
      </c>
      <c r="C28" s="532">
        <v>6</v>
      </c>
      <c r="D28" s="533"/>
      <c r="E28" s="533">
        <f t="shared" si="6"/>
        <v>1021</v>
      </c>
      <c r="F28" s="533"/>
      <c r="G28" s="533">
        <f t="shared" si="1"/>
        <v>108000</v>
      </c>
      <c r="H28" s="533"/>
      <c r="I28" s="533">
        <f t="shared" si="7"/>
        <v>2839000</v>
      </c>
      <c r="J28" s="533"/>
      <c r="K28" s="533">
        <f t="shared" si="2"/>
        <v>63</v>
      </c>
      <c r="L28" s="533"/>
      <c r="M28" s="533">
        <f t="shared" si="3"/>
        <v>3973000</v>
      </c>
      <c r="O28" s="534">
        <f t="shared" si="4"/>
        <v>0.51310319898789081</v>
      </c>
      <c r="P28" s="532">
        <v>18</v>
      </c>
      <c r="R28" s="513"/>
      <c r="S28" s="513"/>
      <c r="T28" s="536" t="e">
        <f t="shared" si="5"/>
        <v>#REF!</v>
      </c>
      <c r="U28" s="567"/>
    </row>
    <row r="29" spans="1:21" s="515" customFormat="1">
      <c r="A29" s="552">
        <f t="shared" si="0"/>
        <v>19000</v>
      </c>
      <c r="B29" s="542"/>
      <c r="C29" s="532">
        <v>6</v>
      </c>
      <c r="D29" s="533"/>
      <c r="E29" s="533">
        <f t="shared" si="6"/>
        <v>1027</v>
      </c>
      <c r="F29" s="533"/>
      <c r="G29" s="533">
        <f t="shared" si="1"/>
        <v>114000</v>
      </c>
      <c r="H29" s="533"/>
      <c r="I29" s="533">
        <f t="shared" si="7"/>
        <v>2953000</v>
      </c>
      <c r="J29" s="533"/>
      <c r="K29" s="533">
        <f t="shared" si="2"/>
        <v>57</v>
      </c>
      <c r="L29" s="533"/>
      <c r="M29" s="533">
        <f t="shared" si="3"/>
        <v>4036000</v>
      </c>
      <c r="O29" s="534">
        <f t="shared" si="4"/>
        <v>0.53370684981022953</v>
      </c>
      <c r="P29" s="532">
        <v>19</v>
      </c>
      <c r="R29" s="513"/>
      <c r="S29" s="513"/>
      <c r="T29" s="536" t="e">
        <f t="shared" si="5"/>
        <v>#REF!</v>
      </c>
      <c r="U29" s="567"/>
    </row>
    <row r="30" spans="1:21" s="515" customFormat="1">
      <c r="A30" s="552">
        <f t="shared" si="0"/>
        <v>20000</v>
      </c>
      <c r="B30" s="542"/>
      <c r="C30" s="532">
        <v>6</v>
      </c>
      <c r="D30" s="533"/>
      <c r="E30" s="533">
        <f t="shared" si="6"/>
        <v>1033</v>
      </c>
      <c r="F30" s="533"/>
      <c r="G30" s="533">
        <f t="shared" si="1"/>
        <v>120000</v>
      </c>
      <c r="H30" s="533"/>
      <c r="I30" s="533">
        <f t="shared" si="7"/>
        <v>3073000</v>
      </c>
      <c r="J30" s="533"/>
      <c r="K30" s="533">
        <f t="shared" si="2"/>
        <v>51</v>
      </c>
      <c r="L30" s="533"/>
      <c r="M30" s="533">
        <f t="shared" si="3"/>
        <v>4093000</v>
      </c>
      <c r="O30" s="534">
        <f t="shared" si="4"/>
        <v>0.55539490330742813</v>
      </c>
      <c r="P30" s="532">
        <v>20</v>
      </c>
      <c r="R30" s="513"/>
      <c r="S30" s="513"/>
      <c r="T30" s="536" t="e">
        <f t="shared" si="5"/>
        <v>#REF!</v>
      </c>
      <c r="U30" s="567"/>
    </row>
    <row r="31" spans="1:21">
      <c r="A31" s="552">
        <f t="shared" si="0"/>
        <v>21000</v>
      </c>
      <c r="B31" s="515"/>
      <c r="C31" s="532">
        <v>1</v>
      </c>
      <c r="D31" s="533"/>
      <c r="E31" s="533">
        <f t="shared" si="6"/>
        <v>1034</v>
      </c>
      <c r="F31" s="533"/>
      <c r="G31" s="533">
        <f t="shared" si="1"/>
        <v>21000</v>
      </c>
      <c r="H31" s="533"/>
      <c r="I31" s="533">
        <f t="shared" si="7"/>
        <v>3094000</v>
      </c>
      <c r="J31" s="533"/>
      <c r="K31" s="533">
        <f t="shared" si="2"/>
        <v>50</v>
      </c>
      <c r="L31" s="533"/>
      <c r="M31" s="533">
        <f t="shared" si="3"/>
        <v>4144000</v>
      </c>
      <c r="N31" s="515"/>
      <c r="O31" s="534">
        <f t="shared" si="4"/>
        <v>0.55919031266943797</v>
      </c>
      <c r="P31" s="532">
        <v>21</v>
      </c>
      <c r="T31" s="536" t="e">
        <f t="shared" si="5"/>
        <v>#REF!</v>
      </c>
      <c r="U31" s="567"/>
    </row>
    <row r="32" spans="1:21">
      <c r="A32" s="552">
        <f t="shared" si="0"/>
        <v>22000</v>
      </c>
      <c r="B32" s="515"/>
      <c r="C32" s="532">
        <v>2</v>
      </c>
      <c r="D32" s="533"/>
      <c r="E32" s="533">
        <f t="shared" si="6"/>
        <v>1036</v>
      </c>
      <c r="F32" s="533"/>
      <c r="G32" s="533">
        <f t="shared" si="1"/>
        <v>44000</v>
      </c>
      <c r="H32" s="533"/>
      <c r="I32" s="533">
        <f t="shared" si="7"/>
        <v>3138000</v>
      </c>
      <c r="J32" s="533"/>
      <c r="K32" s="533">
        <f t="shared" si="2"/>
        <v>48</v>
      </c>
      <c r="L32" s="533"/>
      <c r="M32" s="533">
        <f t="shared" si="3"/>
        <v>4194000</v>
      </c>
      <c r="N32" s="515"/>
      <c r="O32" s="534">
        <f t="shared" si="4"/>
        <v>0.56714259895174413</v>
      </c>
      <c r="P32" s="532">
        <v>22</v>
      </c>
      <c r="T32" s="536" t="e">
        <f t="shared" si="5"/>
        <v>#REF!</v>
      </c>
      <c r="U32" s="568"/>
    </row>
    <row r="33" spans="1:21">
      <c r="A33" s="552">
        <f t="shared" si="0"/>
        <v>25000</v>
      </c>
      <c r="B33" s="515"/>
      <c r="C33" s="532">
        <v>2</v>
      </c>
      <c r="D33" s="515"/>
      <c r="E33" s="533">
        <f t="shared" si="6"/>
        <v>1038</v>
      </c>
      <c r="F33" s="533"/>
      <c r="G33" s="533">
        <f t="shared" si="1"/>
        <v>50000</v>
      </c>
      <c r="H33" s="533"/>
      <c r="I33" s="533">
        <f t="shared" si="7"/>
        <v>3188000</v>
      </c>
      <c r="J33" s="533"/>
      <c r="K33" s="533">
        <f t="shared" si="2"/>
        <v>46</v>
      </c>
      <c r="L33" s="533"/>
      <c r="M33" s="533">
        <f t="shared" si="3"/>
        <v>4338000</v>
      </c>
      <c r="N33" s="515"/>
      <c r="O33" s="534">
        <f t="shared" si="4"/>
        <v>0.57617928790891015</v>
      </c>
      <c r="P33" s="532">
        <v>25</v>
      </c>
      <c r="T33" s="536" t="e">
        <f t="shared" si="5"/>
        <v>#REF!</v>
      </c>
      <c r="U33" s="568"/>
    </row>
    <row r="34" spans="1:21">
      <c r="A34" s="552">
        <f t="shared" si="0"/>
        <v>27000</v>
      </c>
      <c r="B34" s="515"/>
      <c r="C34" s="532">
        <v>1</v>
      </c>
      <c r="D34" s="515"/>
      <c r="E34" s="533">
        <f t="shared" si="6"/>
        <v>1039</v>
      </c>
      <c r="F34" s="533"/>
      <c r="G34" s="533">
        <f t="shared" si="1"/>
        <v>27000</v>
      </c>
      <c r="H34" s="533"/>
      <c r="I34" s="533">
        <f t="shared" si="7"/>
        <v>3215000</v>
      </c>
      <c r="J34" s="533"/>
      <c r="K34" s="533">
        <f t="shared" si="2"/>
        <v>45</v>
      </c>
      <c r="L34" s="533"/>
      <c r="M34" s="533">
        <f t="shared" si="3"/>
        <v>4430000</v>
      </c>
      <c r="N34" s="515"/>
      <c r="O34" s="534">
        <f t="shared" si="4"/>
        <v>0.58105909994577987</v>
      </c>
      <c r="P34" s="532">
        <v>27</v>
      </c>
      <c r="T34" s="536" t="e">
        <f t="shared" si="5"/>
        <v>#REF!</v>
      </c>
      <c r="U34" s="568"/>
    </row>
    <row r="35" spans="1:21">
      <c r="A35" s="552">
        <f t="shared" si="0"/>
        <v>28000</v>
      </c>
      <c r="B35" s="515"/>
      <c r="C35" s="532">
        <v>1</v>
      </c>
      <c r="D35" s="515"/>
      <c r="E35" s="533">
        <f t="shared" si="6"/>
        <v>1040</v>
      </c>
      <c r="F35" s="533"/>
      <c r="G35" s="533">
        <f t="shared" si="1"/>
        <v>28000</v>
      </c>
      <c r="H35" s="533"/>
      <c r="I35" s="533">
        <f t="shared" si="7"/>
        <v>3243000</v>
      </c>
      <c r="J35" s="533"/>
      <c r="K35" s="533">
        <f t="shared" si="2"/>
        <v>44</v>
      </c>
      <c r="L35" s="533"/>
      <c r="M35" s="533">
        <f t="shared" si="3"/>
        <v>4475000</v>
      </c>
      <c r="N35" s="515"/>
      <c r="O35" s="534">
        <f t="shared" si="4"/>
        <v>0.58611964576179287</v>
      </c>
      <c r="P35" s="532">
        <v>28</v>
      </c>
      <c r="T35" s="536" t="e">
        <f t="shared" si="5"/>
        <v>#REF!</v>
      </c>
      <c r="U35" s="568"/>
    </row>
    <row r="36" spans="1:21">
      <c r="A36" s="552">
        <f t="shared" si="0"/>
        <v>29000</v>
      </c>
      <c r="B36" s="529"/>
      <c r="C36" s="532">
        <v>1</v>
      </c>
      <c r="D36" s="529"/>
      <c r="E36" s="533">
        <f t="shared" si="6"/>
        <v>1041</v>
      </c>
      <c r="F36" s="533"/>
      <c r="G36" s="533">
        <f t="shared" si="1"/>
        <v>29000</v>
      </c>
      <c r="H36" s="533"/>
      <c r="I36" s="533">
        <f t="shared" si="7"/>
        <v>3272000</v>
      </c>
      <c r="J36" s="533"/>
      <c r="K36" s="533">
        <f t="shared" si="2"/>
        <v>43</v>
      </c>
      <c r="L36" s="533"/>
      <c r="M36" s="533">
        <f t="shared" si="3"/>
        <v>4519000</v>
      </c>
      <c r="N36" s="515"/>
      <c r="O36" s="534">
        <f t="shared" si="4"/>
        <v>0.59136092535694917</v>
      </c>
      <c r="P36" s="532">
        <v>29</v>
      </c>
      <c r="T36" s="536" t="e">
        <f t="shared" si="5"/>
        <v>#REF!</v>
      </c>
      <c r="U36" s="568"/>
    </row>
    <row r="37" spans="1:21">
      <c r="A37" s="552">
        <f t="shared" si="0"/>
        <v>30000</v>
      </c>
      <c r="B37" s="529"/>
      <c r="C37" s="532">
        <v>2</v>
      </c>
      <c r="D37" s="529"/>
      <c r="E37" s="533">
        <f t="shared" si="6"/>
        <v>1043</v>
      </c>
      <c r="F37" s="533"/>
      <c r="G37" s="533">
        <f t="shared" si="1"/>
        <v>60000</v>
      </c>
      <c r="H37" s="533"/>
      <c r="I37" s="533">
        <f t="shared" si="7"/>
        <v>3332000</v>
      </c>
      <c r="J37" s="533"/>
      <c r="K37" s="533">
        <f t="shared" si="2"/>
        <v>41</v>
      </c>
      <c r="L37" s="533"/>
      <c r="M37" s="533">
        <f t="shared" si="3"/>
        <v>4562000</v>
      </c>
      <c r="N37" s="515"/>
      <c r="O37" s="534">
        <f t="shared" si="4"/>
        <v>0.60220495210554847</v>
      </c>
      <c r="P37" s="532">
        <v>30</v>
      </c>
      <c r="T37" s="536" t="e">
        <f t="shared" si="5"/>
        <v>#REF!</v>
      </c>
      <c r="U37" s="568"/>
    </row>
    <row r="38" spans="1:21">
      <c r="A38" s="552">
        <f t="shared" si="0"/>
        <v>31000</v>
      </c>
      <c r="B38" s="523"/>
      <c r="C38" s="532">
        <v>1</v>
      </c>
      <c r="D38" s="523"/>
      <c r="E38" s="533">
        <f t="shared" si="6"/>
        <v>1044</v>
      </c>
      <c r="F38" s="533"/>
      <c r="G38" s="533">
        <f t="shared" si="1"/>
        <v>31000</v>
      </c>
      <c r="H38" s="533"/>
      <c r="I38" s="533">
        <f t="shared" si="7"/>
        <v>3363000</v>
      </c>
      <c r="J38" s="533"/>
      <c r="K38" s="533">
        <f t="shared" si="2"/>
        <v>40</v>
      </c>
      <c r="L38" s="533"/>
      <c r="M38" s="533">
        <f t="shared" si="3"/>
        <v>4603000</v>
      </c>
      <c r="N38" s="515"/>
      <c r="O38" s="534">
        <f t="shared" si="4"/>
        <v>0.60780769925899147</v>
      </c>
      <c r="P38" s="532">
        <v>31</v>
      </c>
      <c r="T38" s="536" t="e">
        <f t="shared" si="5"/>
        <v>#REF!</v>
      </c>
      <c r="U38" s="568"/>
    </row>
    <row r="39" spans="1:21">
      <c r="A39" s="552">
        <f t="shared" si="0"/>
        <v>32000</v>
      </c>
      <c r="C39" s="532">
        <v>1</v>
      </c>
      <c r="E39" s="533">
        <f t="shared" si="6"/>
        <v>1045</v>
      </c>
      <c r="G39" s="533">
        <f t="shared" si="1"/>
        <v>32000</v>
      </c>
      <c r="I39" s="533">
        <f t="shared" si="7"/>
        <v>3395000</v>
      </c>
      <c r="J39" s="533"/>
      <c r="K39" s="533">
        <f t="shared" si="2"/>
        <v>39</v>
      </c>
      <c r="L39" s="533"/>
      <c r="M39" s="533">
        <f t="shared" si="3"/>
        <v>4643000</v>
      </c>
      <c r="N39" s="515"/>
      <c r="O39" s="534">
        <f t="shared" si="4"/>
        <v>0.61359118019157777</v>
      </c>
      <c r="P39" s="532">
        <v>32</v>
      </c>
      <c r="T39" s="536" t="e">
        <f t="shared" si="5"/>
        <v>#REF!</v>
      </c>
      <c r="U39" s="530"/>
    </row>
    <row r="40" spans="1:21">
      <c r="A40" s="552">
        <f t="shared" si="0"/>
        <v>33000</v>
      </c>
      <c r="C40" s="532">
        <v>2</v>
      </c>
      <c r="E40" s="533">
        <f t="shared" si="6"/>
        <v>1047</v>
      </c>
      <c r="G40" s="533">
        <f t="shared" si="1"/>
        <v>66000</v>
      </c>
      <c r="I40" s="533">
        <f t="shared" si="7"/>
        <v>3461000</v>
      </c>
      <c r="J40" s="533"/>
      <c r="K40" s="533">
        <f t="shared" si="2"/>
        <v>37</v>
      </c>
      <c r="L40" s="533"/>
      <c r="M40" s="533">
        <f t="shared" si="3"/>
        <v>4682000</v>
      </c>
      <c r="N40" s="515"/>
      <c r="O40" s="534">
        <f t="shared" si="4"/>
        <v>0.62551960961503705</v>
      </c>
      <c r="P40" s="532">
        <v>33</v>
      </c>
      <c r="T40" s="536" t="e">
        <f t="shared" si="5"/>
        <v>#REF!</v>
      </c>
      <c r="U40" s="530"/>
    </row>
    <row r="41" spans="1:21">
      <c r="A41" s="552">
        <f t="shared" si="0"/>
        <v>35000</v>
      </c>
      <c r="C41" s="532">
        <v>1</v>
      </c>
      <c r="E41" s="533">
        <f t="shared" si="6"/>
        <v>1048</v>
      </c>
      <c r="G41" s="533">
        <f t="shared" si="1"/>
        <v>35000</v>
      </c>
      <c r="I41" s="533">
        <f t="shared" si="7"/>
        <v>3496000</v>
      </c>
      <c r="J41" s="533"/>
      <c r="K41" s="533">
        <f t="shared" si="2"/>
        <v>36</v>
      </c>
      <c r="L41" s="533"/>
      <c r="M41" s="533">
        <f t="shared" si="3"/>
        <v>4756000</v>
      </c>
      <c r="N41" s="515"/>
      <c r="O41" s="534">
        <f t="shared" si="4"/>
        <v>0.63184529188505334</v>
      </c>
      <c r="P41" s="532">
        <v>35</v>
      </c>
      <c r="T41" s="536" t="e">
        <f t="shared" si="5"/>
        <v>#REF!</v>
      </c>
      <c r="U41" s="530"/>
    </row>
    <row r="42" spans="1:21">
      <c r="A42" s="552">
        <f t="shared" ref="A42:A65" si="8">P42*1000</f>
        <v>37000</v>
      </c>
      <c r="C42" s="532">
        <v>1</v>
      </c>
      <c r="D42" s="545"/>
      <c r="E42" s="533">
        <f t="shared" si="6"/>
        <v>1049</v>
      </c>
      <c r="F42" s="545"/>
      <c r="G42" s="533">
        <f t="shared" ref="G42:G65" si="9">A42*C42</f>
        <v>37000</v>
      </c>
      <c r="H42" s="545"/>
      <c r="I42" s="533">
        <f t="shared" si="7"/>
        <v>3533000</v>
      </c>
      <c r="J42" s="533"/>
      <c r="K42" s="533">
        <f t="shared" ref="K42:K65" si="10">$E$65-E42</f>
        <v>35</v>
      </c>
      <c r="L42" s="533"/>
      <c r="M42" s="533">
        <f t="shared" ref="M42:M65" si="11">(A42*K42)+I42</f>
        <v>4828000</v>
      </c>
      <c r="N42" s="515"/>
      <c r="O42" s="534">
        <f t="shared" ref="O42:O65" si="12">I42/$I$65</f>
        <v>0.63853244171335621</v>
      </c>
      <c r="P42" s="532">
        <v>37</v>
      </c>
      <c r="T42" s="536" t="e">
        <f t="shared" ref="T42:T65" si="13">IF(A42&lt;1000,C42*$T$2,IF(A42=1000,C42*$T$2,IF(AND(A42&lt;11000,A42&gt;1000),(C42*$T$2)+((A42-1000)*C42/1000*$T$3),IF(AND(A42&gt;10000,A42&lt;26000),(C42*$T$2)+(9*$T$3*C42)+((A42-10000)/1000*$T$4*C42),IF(AND(A42&lt;51000,A42&gt;25000),(C42*$T$2)+(9*$T$3*C42)+(15*$T$4*C42)+((A42-25000)/1000*$T$5*C42),IF(AND(A42&lt;101000,A42&gt;50000),(C42*$T$2)+(9*$T$3*C42)+(15*$T$4*C42)+(25*$T$5*C42)+((A42-50000)/1000*$T$6*C42),IF(A42&gt;100000,(C42*$T$2)+(9*$T$3*C42)+(15*$T$4*C42)+(25*$T$5*C42)+(50*$T$6*C42)+((A42-100000)/1000*$T$7*C42))))))))</f>
        <v>#REF!</v>
      </c>
      <c r="U42" s="530"/>
    </row>
    <row r="43" spans="1:21">
      <c r="A43" s="552">
        <f t="shared" si="8"/>
        <v>38000</v>
      </c>
      <c r="C43" s="532">
        <v>1</v>
      </c>
      <c r="D43" s="545"/>
      <c r="E43" s="533">
        <f t="shared" ref="E43:E65" si="14">E42+C43</f>
        <v>1050</v>
      </c>
      <c r="F43" s="545"/>
      <c r="G43" s="533">
        <f t="shared" si="9"/>
        <v>38000</v>
      </c>
      <c r="H43" s="545"/>
      <c r="I43" s="533">
        <f t="shared" ref="I43:I65" si="15">G43+I42</f>
        <v>3571000</v>
      </c>
      <c r="J43" s="533"/>
      <c r="K43" s="533">
        <f t="shared" si="10"/>
        <v>34</v>
      </c>
      <c r="L43" s="533"/>
      <c r="M43" s="533">
        <f t="shared" si="11"/>
        <v>4863000</v>
      </c>
      <c r="N43" s="515"/>
      <c r="O43" s="534">
        <f t="shared" si="12"/>
        <v>0.64540032532080249</v>
      </c>
      <c r="P43" s="532">
        <v>38</v>
      </c>
      <c r="T43" s="536" t="e">
        <f t="shared" si="13"/>
        <v>#REF!</v>
      </c>
      <c r="U43" s="530"/>
    </row>
    <row r="44" spans="1:21">
      <c r="A44" s="552">
        <f t="shared" si="8"/>
        <v>39000</v>
      </c>
      <c r="C44" s="532">
        <v>1</v>
      </c>
      <c r="D44" s="545"/>
      <c r="E44" s="533">
        <f t="shared" si="14"/>
        <v>1051</v>
      </c>
      <c r="F44" s="545"/>
      <c r="G44" s="533">
        <f t="shared" si="9"/>
        <v>39000</v>
      </c>
      <c r="H44" s="545"/>
      <c r="I44" s="533">
        <f t="shared" si="15"/>
        <v>3610000</v>
      </c>
      <c r="J44" s="533"/>
      <c r="K44" s="533">
        <f t="shared" si="10"/>
        <v>33</v>
      </c>
      <c r="L44" s="533"/>
      <c r="M44" s="533">
        <f t="shared" si="11"/>
        <v>4897000</v>
      </c>
      <c r="N44" s="515"/>
      <c r="O44" s="534">
        <f t="shared" si="12"/>
        <v>0.65244894270739207</v>
      </c>
      <c r="P44" s="532">
        <v>39</v>
      </c>
      <c r="T44" s="536" t="e">
        <f t="shared" si="13"/>
        <v>#REF!</v>
      </c>
      <c r="U44" s="530"/>
    </row>
    <row r="45" spans="1:21">
      <c r="A45" s="552">
        <f t="shared" si="8"/>
        <v>40000</v>
      </c>
      <c r="C45" s="532">
        <v>2</v>
      </c>
      <c r="D45" s="545"/>
      <c r="E45" s="533">
        <f t="shared" si="14"/>
        <v>1053</v>
      </c>
      <c r="F45" s="545"/>
      <c r="G45" s="533">
        <f t="shared" si="9"/>
        <v>80000</v>
      </c>
      <c r="H45" s="545"/>
      <c r="I45" s="533">
        <f t="shared" si="15"/>
        <v>3690000</v>
      </c>
      <c r="J45" s="533"/>
      <c r="K45" s="533">
        <f t="shared" si="10"/>
        <v>31</v>
      </c>
      <c r="L45" s="533"/>
      <c r="M45" s="533">
        <f t="shared" si="11"/>
        <v>4930000</v>
      </c>
      <c r="N45" s="515"/>
      <c r="O45" s="534">
        <f t="shared" si="12"/>
        <v>0.6669076450388578</v>
      </c>
      <c r="P45" s="532">
        <v>40</v>
      </c>
      <c r="T45" s="536" t="e">
        <f t="shared" si="13"/>
        <v>#REF!</v>
      </c>
      <c r="U45" s="530"/>
    </row>
    <row r="46" spans="1:21">
      <c r="A46" s="552">
        <f t="shared" si="8"/>
        <v>41000</v>
      </c>
      <c r="C46" s="532">
        <v>2</v>
      </c>
      <c r="D46" s="545"/>
      <c r="E46" s="533">
        <f t="shared" si="14"/>
        <v>1055</v>
      </c>
      <c r="F46" s="545"/>
      <c r="G46" s="533">
        <f t="shared" si="9"/>
        <v>82000</v>
      </c>
      <c r="H46" s="545"/>
      <c r="I46" s="533">
        <f t="shared" si="15"/>
        <v>3772000</v>
      </c>
      <c r="J46" s="533"/>
      <c r="K46" s="533">
        <f t="shared" si="10"/>
        <v>29</v>
      </c>
      <c r="L46" s="533"/>
      <c r="M46" s="533">
        <f t="shared" si="11"/>
        <v>4961000</v>
      </c>
      <c r="N46" s="515"/>
      <c r="O46" s="534">
        <f t="shared" si="12"/>
        <v>0.68172781492861012</v>
      </c>
      <c r="P46" s="532">
        <v>41</v>
      </c>
      <c r="T46" s="536" t="e">
        <f t="shared" si="13"/>
        <v>#REF!</v>
      </c>
      <c r="U46" s="530"/>
    </row>
    <row r="47" spans="1:21">
      <c r="A47" s="552">
        <f t="shared" si="8"/>
        <v>42000</v>
      </c>
      <c r="C47" s="532">
        <v>3</v>
      </c>
      <c r="D47" s="545"/>
      <c r="E47" s="533">
        <f t="shared" si="14"/>
        <v>1058</v>
      </c>
      <c r="F47" s="545"/>
      <c r="G47" s="533">
        <f t="shared" si="9"/>
        <v>126000</v>
      </c>
      <c r="H47" s="545"/>
      <c r="I47" s="533">
        <f t="shared" si="15"/>
        <v>3898000</v>
      </c>
      <c r="J47" s="533"/>
      <c r="K47" s="533">
        <f t="shared" si="10"/>
        <v>26</v>
      </c>
      <c r="L47" s="533"/>
      <c r="M47" s="533">
        <f t="shared" si="11"/>
        <v>4990000</v>
      </c>
      <c r="N47" s="515"/>
      <c r="O47" s="534">
        <f t="shared" si="12"/>
        <v>0.70450027110066871</v>
      </c>
      <c r="P47" s="532">
        <v>42</v>
      </c>
      <c r="T47" s="536" t="e">
        <f t="shared" si="13"/>
        <v>#REF!</v>
      </c>
      <c r="U47" s="530"/>
    </row>
    <row r="48" spans="1:21">
      <c r="A48" s="552">
        <f t="shared" si="8"/>
        <v>43000</v>
      </c>
      <c r="C48" s="532">
        <v>1</v>
      </c>
      <c r="D48" s="545"/>
      <c r="E48" s="533">
        <f t="shared" si="14"/>
        <v>1059</v>
      </c>
      <c r="F48" s="545"/>
      <c r="G48" s="533">
        <f t="shared" si="9"/>
        <v>43000</v>
      </c>
      <c r="H48" s="545"/>
      <c r="I48" s="533">
        <f t="shared" si="15"/>
        <v>3941000</v>
      </c>
      <c r="J48" s="533"/>
      <c r="K48" s="533">
        <f t="shared" si="10"/>
        <v>25</v>
      </c>
      <c r="L48" s="533"/>
      <c r="M48" s="533">
        <f t="shared" si="11"/>
        <v>5016000</v>
      </c>
      <c r="N48" s="515"/>
      <c r="O48" s="534">
        <f t="shared" si="12"/>
        <v>0.71227182360383157</v>
      </c>
      <c r="P48" s="532">
        <v>43</v>
      </c>
      <c r="T48" s="536" t="e">
        <f t="shared" si="13"/>
        <v>#REF!</v>
      </c>
      <c r="U48" s="530"/>
    </row>
    <row r="49" spans="1:21">
      <c r="A49" s="552">
        <f t="shared" si="8"/>
        <v>44000</v>
      </c>
      <c r="C49" s="532">
        <v>4</v>
      </c>
      <c r="D49" s="545"/>
      <c r="E49" s="533">
        <f t="shared" si="14"/>
        <v>1063</v>
      </c>
      <c r="F49" s="545"/>
      <c r="G49" s="533">
        <f t="shared" si="9"/>
        <v>176000</v>
      </c>
      <c r="H49" s="545"/>
      <c r="I49" s="533">
        <f t="shared" si="15"/>
        <v>4117000</v>
      </c>
      <c r="J49" s="533"/>
      <c r="K49" s="533">
        <f t="shared" si="10"/>
        <v>21</v>
      </c>
      <c r="L49" s="533"/>
      <c r="M49" s="533">
        <f t="shared" si="11"/>
        <v>5041000</v>
      </c>
      <c r="N49" s="515"/>
      <c r="O49" s="534">
        <f t="shared" si="12"/>
        <v>0.74408096873305618</v>
      </c>
      <c r="P49" s="532">
        <v>44</v>
      </c>
      <c r="T49" s="536" t="e">
        <f t="shared" si="13"/>
        <v>#REF!</v>
      </c>
      <c r="U49" s="530"/>
    </row>
    <row r="50" spans="1:21">
      <c r="A50" s="552">
        <f t="shared" si="8"/>
        <v>45000</v>
      </c>
      <c r="C50" s="532">
        <v>3</v>
      </c>
      <c r="D50" s="545"/>
      <c r="E50" s="533">
        <f t="shared" si="14"/>
        <v>1066</v>
      </c>
      <c r="F50" s="545"/>
      <c r="G50" s="533">
        <f t="shared" si="9"/>
        <v>135000</v>
      </c>
      <c r="H50" s="545"/>
      <c r="I50" s="533">
        <f t="shared" si="15"/>
        <v>4252000</v>
      </c>
      <c r="J50" s="533"/>
      <c r="K50" s="533">
        <f t="shared" si="10"/>
        <v>18</v>
      </c>
      <c r="L50" s="533"/>
      <c r="M50" s="533">
        <f t="shared" si="11"/>
        <v>5062000</v>
      </c>
      <c r="N50" s="515"/>
      <c r="O50" s="534">
        <f t="shared" si="12"/>
        <v>0.76848002891740463</v>
      </c>
      <c r="P50" s="532">
        <v>45</v>
      </c>
      <c r="T50" s="536" t="e">
        <f t="shared" si="13"/>
        <v>#REF!</v>
      </c>
      <c r="U50" s="530"/>
    </row>
    <row r="51" spans="1:21">
      <c r="A51" s="552">
        <f t="shared" si="8"/>
        <v>47000</v>
      </c>
      <c r="C51" s="532">
        <v>2</v>
      </c>
      <c r="D51" s="545"/>
      <c r="E51" s="533">
        <f t="shared" si="14"/>
        <v>1068</v>
      </c>
      <c r="F51" s="545"/>
      <c r="G51" s="533">
        <f t="shared" si="9"/>
        <v>94000</v>
      </c>
      <c r="H51" s="545"/>
      <c r="I51" s="533">
        <f t="shared" si="15"/>
        <v>4346000</v>
      </c>
      <c r="J51" s="533"/>
      <c r="K51" s="533">
        <f t="shared" si="10"/>
        <v>16</v>
      </c>
      <c r="L51" s="533"/>
      <c r="M51" s="533">
        <f t="shared" si="11"/>
        <v>5098000</v>
      </c>
      <c r="N51" s="515"/>
      <c r="O51" s="534">
        <f t="shared" si="12"/>
        <v>0.78546900415687693</v>
      </c>
      <c r="P51" s="532">
        <v>47</v>
      </c>
      <c r="T51" s="536" t="e">
        <f t="shared" si="13"/>
        <v>#REF!</v>
      </c>
      <c r="U51" s="530"/>
    </row>
    <row r="52" spans="1:21">
      <c r="A52" s="552">
        <f t="shared" si="8"/>
        <v>52000</v>
      </c>
      <c r="C52" s="532">
        <v>1</v>
      </c>
      <c r="D52" s="545"/>
      <c r="E52" s="533">
        <f t="shared" si="14"/>
        <v>1069</v>
      </c>
      <c r="F52" s="545"/>
      <c r="G52" s="533">
        <f t="shared" si="9"/>
        <v>52000</v>
      </c>
      <c r="H52" s="545"/>
      <c r="I52" s="533">
        <f t="shared" si="15"/>
        <v>4398000</v>
      </c>
      <c r="J52" s="533"/>
      <c r="K52" s="533">
        <f t="shared" si="10"/>
        <v>15</v>
      </c>
      <c r="L52" s="533"/>
      <c r="M52" s="533">
        <f t="shared" si="11"/>
        <v>5178000</v>
      </c>
      <c r="N52" s="515"/>
      <c r="O52" s="534">
        <f t="shared" si="12"/>
        <v>0.79486716067232965</v>
      </c>
      <c r="P52" s="532">
        <v>52</v>
      </c>
      <c r="T52" s="536" t="e">
        <f t="shared" si="13"/>
        <v>#REF!</v>
      </c>
      <c r="U52" s="530"/>
    </row>
    <row r="53" spans="1:21">
      <c r="A53" s="552">
        <f t="shared" si="8"/>
        <v>53000</v>
      </c>
      <c r="C53" s="532">
        <v>2</v>
      </c>
      <c r="D53" s="545"/>
      <c r="E53" s="533">
        <f t="shared" si="14"/>
        <v>1071</v>
      </c>
      <c r="F53" s="545"/>
      <c r="G53" s="533">
        <f t="shared" si="9"/>
        <v>106000</v>
      </c>
      <c r="H53" s="545"/>
      <c r="I53" s="533">
        <f t="shared" si="15"/>
        <v>4504000</v>
      </c>
      <c r="J53" s="533"/>
      <c r="K53" s="533">
        <f t="shared" si="10"/>
        <v>13</v>
      </c>
      <c r="L53" s="533"/>
      <c r="M53" s="533">
        <f t="shared" si="11"/>
        <v>5193000</v>
      </c>
      <c r="N53" s="515"/>
      <c r="O53" s="534">
        <f t="shared" si="12"/>
        <v>0.81402494126152181</v>
      </c>
      <c r="P53" s="532">
        <v>53</v>
      </c>
      <c r="T53" s="536" t="e">
        <f t="shared" si="13"/>
        <v>#REF!</v>
      </c>
      <c r="U53" s="530"/>
    </row>
    <row r="54" spans="1:21">
      <c r="A54" s="552">
        <f t="shared" si="8"/>
        <v>54000</v>
      </c>
      <c r="C54" s="532">
        <v>1</v>
      </c>
      <c r="D54" s="545"/>
      <c r="E54" s="533">
        <f t="shared" si="14"/>
        <v>1072</v>
      </c>
      <c r="F54" s="545"/>
      <c r="G54" s="533">
        <f t="shared" si="9"/>
        <v>54000</v>
      </c>
      <c r="H54" s="545"/>
      <c r="I54" s="533">
        <f t="shared" si="15"/>
        <v>4558000</v>
      </c>
      <c r="J54" s="533"/>
      <c r="K54" s="533">
        <f t="shared" si="10"/>
        <v>12</v>
      </c>
      <c r="L54" s="533"/>
      <c r="M54" s="533">
        <f t="shared" si="11"/>
        <v>5206000</v>
      </c>
      <c r="N54" s="515"/>
      <c r="O54" s="534">
        <f t="shared" si="12"/>
        <v>0.82378456533526112</v>
      </c>
      <c r="P54" s="532">
        <v>54</v>
      </c>
      <c r="T54" s="536" t="e">
        <f t="shared" si="13"/>
        <v>#REF!</v>
      </c>
      <c r="U54" s="530"/>
    </row>
    <row r="55" spans="1:21">
      <c r="A55" s="552">
        <f t="shared" si="8"/>
        <v>57000</v>
      </c>
      <c r="C55" s="532">
        <v>1</v>
      </c>
      <c r="D55" s="545"/>
      <c r="E55" s="533">
        <f t="shared" si="14"/>
        <v>1073</v>
      </c>
      <c r="F55" s="545"/>
      <c r="G55" s="533">
        <f t="shared" si="9"/>
        <v>57000</v>
      </c>
      <c r="H55" s="545"/>
      <c r="I55" s="533">
        <f t="shared" si="15"/>
        <v>4615000</v>
      </c>
      <c r="J55" s="533"/>
      <c r="K55" s="533">
        <f t="shared" si="10"/>
        <v>11</v>
      </c>
      <c r="L55" s="533"/>
      <c r="M55" s="533">
        <f t="shared" si="11"/>
        <v>5242000</v>
      </c>
      <c r="N55" s="515"/>
      <c r="O55" s="534">
        <f t="shared" si="12"/>
        <v>0.83408639074643054</v>
      </c>
      <c r="P55" s="532">
        <v>57</v>
      </c>
      <c r="T55" s="536" t="e">
        <f t="shared" si="13"/>
        <v>#REF!</v>
      </c>
      <c r="U55" s="530"/>
    </row>
    <row r="56" spans="1:21">
      <c r="A56" s="552">
        <f t="shared" si="8"/>
        <v>61000</v>
      </c>
      <c r="C56" s="532">
        <v>2</v>
      </c>
      <c r="D56" s="545"/>
      <c r="E56" s="533">
        <f t="shared" si="14"/>
        <v>1075</v>
      </c>
      <c r="F56" s="545"/>
      <c r="G56" s="533">
        <f t="shared" si="9"/>
        <v>122000</v>
      </c>
      <c r="H56" s="545"/>
      <c r="I56" s="533">
        <f t="shared" si="15"/>
        <v>4737000</v>
      </c>
      <c r="J56" s="533"/>
      <c r="K56" s="533">
        <f t="shared" si="10"/>
        <v>9</v>
      </c>
      <c r="L56" s="533"/>
      <c r="M56" s="533">
        <f t="shared" si="11"/>
        <v>5286000</v>
      </c>
      <c r="N56" s="515"/>
      <c r="O56" s="534">
        <f t="shared" si="12"/>
        <v>0.85613591180191573</v>
      </c>
      <c r="P56" s="532">
        <v>61</v>
      </c>
      <c r="T56" s="536" t="e">
        <f t="shared" si="13"/>
        <v>#REF!</v>
      </c>
      <c r="U56" s="530"/>
    </row>
    <row r="57" spans="1:21">
      <c r="A57" s="552">
        <f t="shared" si="8"/>
        <v>62000</v>
      </c>
      <c r="C57" s="532">
        <v>1</v>
      </c>
      <c r="D57" s="545"/>
      <c r="E57" s="533">
        <f t="shared" si="14"/>
        <v>1076</v>
      </c>
      <c r="F57" s="545"/>
      <c r="G57" s="533">
        <f t="shared" si="9"/>
        <v>62000</v>
      </c>
      <c r="H57" s="545"/>
      <c r="I57" s="533">
        <f t="shared" si="15"/>
        <v>4799000</v>
      </c>
      <c r="J57" s="533"/>
      <c r="K57" s="533">
        <f t="shared" si="10"/>
        <v>8</v>
      </c>
      <c r="L57" s="533"/>
      <c r="M57" s="533">
        <f t="shared" si="11"/>
        <v>5295000</v>
      </c>
      <c r="N57" s="515"/>
      <c r="O57" s="534">
        <f t="shared" si="12"/>
        <v>0.86734140610880173</v>
      </c>
      <c r="P57" s="532">
        <v>62</v>
      </c>
      <c r="T57" s="536" t="e">
        <f t="shared" si="13"/>
        <v>#REF!</v>
      </c>
      <c r="U57" s="530"/>
    </row>
    <row r="58" spans="1:21">
      <c r="A58" s="552">
        <f t="shared" si="8"/>
        <v>72000</v>
      </c>
      <c r="C58" s="532">
        <v>1</v>
      </c>
      <c r="D58" s="545"/>
      <c r="E58" s="533">
        <f t="shared" si="14"/>
        <v>1077</v>
      </c>
      <c r="F58" s="545"/>
      <c r="G58" s="533">
        <f t="shared" si="9"/>
        <v>72000</v>
      </c>
      <c r="H58" s="545"/>
      <c r="I58" s="533">
        <f t="shared" si="15"/>
        <v>4871000</v>
      </c>
      <c r="J58" s="533"/>
      <c r="K58" s="533">
        <f t="shared" si="10"/>
        <v>7</v>
      </c>
      <c r="L58" s="533"/>
      <c r="M58" s="533">
        <f t="shared" si="11"/>
        <v>5375000</v>
      </c>
      <c r="N58" s="515"/>
      <c r="O58" s="534">
        <f t="shared" si="12"/>
        <v>0.88035423820712089</v>
      </c>
      <c r="P58" s="532">
        <v>72</v>
      </c>
      <c r="T58" s="536" t="e">
        <f t="shared" si="13"/>
        <v>#REF!</v>
      </c>
      <c r="U58" s="530"/>
    </row>
    <row r="59" spans="1:21">
      <c r="A59" s="552">
        <f t="shared" si="8"/>
        <v>73000</v>
      </c>
      <c r="C59" s="532">
        <v>1</v>
      </c>
      <c r="D59" s="545"/>
      <c r="E59" s="533">
        <f t="shared" si="14"/>
        <v>1078</v>
      </c>
      <c r="F59" s="545"/>
      <c r="G59" s="533">
        <f t="shared" si="9"/>
        <v>73000</v>
      </c>
      <c r="H59" s="545"/>
      <c r="I59" s="533">
        <f t="shared" si="15"/>
        <v>4944000</v>
      </c>
      <c r="J59" s="533"/>
      <c r="K59" s="533">
        <f t="shared" si="10"/>
        <v>6</v>
      </c>
      <c r="L59" s="533"/>
      <c r="M59" s="533">
        <f t="shared" si="11"/>
        <v>5382000</v>
      </c>
      <c r="N59" s="515"/>
      <c r="O59" s="534">
        <f t="shared" si="12"/>
        <v>0.89354780408458345</v>
      </c>
      <c r="P59" s="532">
        <v>73</v>
      </c>
      <c r="T59" s="536" t="e">
        <f t="shared" si="13"/>
        <v>#REF!</v>
      </c>
      <c r="U59" s="530"/>
    </row>
    <row r="60" spans="1:21">
      <c r="A60" s="552">
        <f t="shared" si="8"/>
        <v>86000</v>
      </c>
      <c r="C60" s="532">
        <v>1</v>
      </c>
      <c r="D60" s="545"/>
      <c r="E60" s="533">
        <f t="shared" si="14"/>
        <v>1079</v>
      </c>
      <c r="F60" s="545"/>
      <c r="G60" s="533">
        <f t="shared" si="9"/>
        <v>86000</v>
      </c>
      <c r="H60" s="545"/>
      <c r="I60" s="533">
        <f t="shared" si="15"/>
        <v>5030000</v>
      </c>
      <c r="J60" s="533"/>
      <c r="K60" s="533">
        <f t="shared" si="10"/>
        <v>5</v>
      </c>
      <c r="L60" s="533"/>
      <c r="M60" s="533">
        <f t="shared" si="11"/>
        <v>5460000</v>
      </c>
      <c r="N60" s="515"/>
      <c r="O60" s="534">
        <f t="shared" si="12"/>
        <v>0.90909090909090906</v>
      </c>
      <c r="P60" s="532">
        <v>86</v>
      </c>
      <c r="T60" s="536" t="e">
        <f t="shared" si="13"/>
        <v>#REF!</v>
      </c>
      <c r="U60" s="530"/>
    </row>
    <row r="61" spans="1:21">
      <c r="A61" s="552">
        <f t="shared" si="8"/>
        <v>91000</v>
      </c>
      <c r="C61" s="532">
        <v>1</v>
      </c>
      <c r="D61" s="545"/>
      <c r="E61" s="533">
        <f t="shared" si="14"/>
        <v>1080</v>
      </c>
      <c r="F61" s="545"/>
      <c r="G61" s="533">
        <f t="shared" si="9"/>
        <v>91000</v>
      </c>
      <c r="H61" s="545"/>
      <c r="I61" s="533">
        <f t="shared" si="15"/>
        <v>5121000</v>
      </c>
      <c r="J61" s="533"/>
      <c r="K61" s="533">
        <f t="shared" si="10"/>
        <v>4</v>
      </c>
      <c r="L61" s="533"/>
      <c r="M61" s="533">
        <f t="shared" si="11"/>
        <v>5485000</v>
      </c>
      <c r="N61" s="515"/>
      <c r="O61" s="534">
        <f t="shared" si="12"/>
        <v>0.92553768299295136</v>
      </c>
      <c r="P61" s="532">
        <v>91</v>
      </c>
      <c r="R61" s="515"/>
      <c r="S61" s="515"/>
      <c r="T61" s="536" t="e">
        <f t="shared" si="13"/>
        <v>#REF!</v>
      </c>
      <c r="U61" s="530"/>
    </row>
    <row r="62" spans="1:21">
      <c r="A62" s="552">
        <f t="shared" si="8"/>
        <v>92000</v>
      </c>
      <c r="C62" s="532">
        <v>1</v>
      </c>
      <c r="D62" s="545"/>
      <c r="E62" s="533">
        <f t="shared" si="14"/>
        <v>1081</v>
      </c>
      <c r="F62" s="545"/>
      <c r="G62" s="533">
        <f t="shared" si="9"/>
        <v>92000</v>
      </c>
      <c r="H62" s="545"/>
      <c r="I62" s="533">
        <f t="shared" si="15"/>
        <v>5213000</v>
      </c>
      <c r="J62" s="533"/>
      <c r="K62" s="533">
        <f t="shared" si="10"/>
        <v>3</v>
      </c>
      <c r="L62" s="533"/>
      <c r="M62" s="533">
        <f t="shared" si="11"/>
        <v>5489000</v>
      </c>
      <c r="N62" s="515"/>
      <c r="O62" s="534">
        <f t="shared" si="12"/>
        <v>0.94216519067413695</v>
      </c>
      <c r="P62" s="532">
        <v>92</v>
      </c>
      <c r="R62" s="515"/>
      <c r="S62" s="515"/>
      <c r="T62" s="536" t="e">
        <f t="shared" si="13"/>
        <v>#REF!</v>
      </c>
      <c r="U62" s="530"/>
    </row>
    <row r="63" spans="1:21">
      <c r="A63" s="552">
        <f t="shared" si="8"/>
        <v>99000</v>
      </c>
      <c r="C63" s="532">
        <v>1</v>
      </c>
      <c r="D63" s="545"/>
      <c r="E63" s="533">
        <f t="shared" si="14"/>
        <v>1082</v>
      </c>
      <c r="F63" s="545"/>
      <c r="G63" s="533">
        <f t="shared" si="9"/>
        <v>99000</v>
      </c>
      <c r="H63" s="545"/>
      <c r="I63" s="533">
        <f t="shared" si="15"/>
        <v>5312000</v>
      </c>
      <c r="J63" s="533"/>
      <c r="K63" s="533">
        <f t="shared" si="10"/>
        <v>2</v>
      </c>
      <c r="L63" s="533"/>
      <c r="M63" s="533">
        <f t="shared" si="11"/>
        <v>5510000</v>
      </c>
      <c r="N63" s="515"/>
      <c r="O63" s="534">
        <f t="shared" si="12"/>
        <v>0.96005783480932583</v>
      </c>
      <c r="P63" s="532">
        <v>99</v>
      </c>
      <c r="T63" s="536" t="e">
        <f t="shared" si="13"/>
        <v>#REF!</v>
      </c>
      <c r="U63" s="530"/>
    </row>
    <row r="64" spans="1:21">
      <c r="A64" s="552">
        <f t="shared" si="8"/>
        <v>106000</v>
      </c>
      <c r="C64" s="532">
        <v>1</v>
      </c>
      <c r="D64" s="545"/>
      <c r="E64" s="533">
        <f t="shared" si="14"/>
        <v>1083</v>
      </c>
      <c r="F64" s="545"/>
      <c r="G64" s="533">
        <f t="shared" si="9"/>
        <v>106000</v>
      </c>
      <c r="H64" s="545"/>
      <c r="I64" s="533">
        <f t="shared" si="15"/>
        <v>5418000</v>
      </c>
      <c r="J64" s="533"/>
      <c r="K64" s="533">
        <f t="shared" si="10"/>
        <v>1</v>
      </c>
      <c r="L64" s="533"/>
      <c r="M64" s="533">
        <f t="shared" si="11"/>
        <v>5524000</v>
      </c>
      <c r="N64" s="515"/>
      <c r="O64" s="534">
        <f t="shared" si="12"/>
        <v>0.97921561539851798</v>
      </c>
      <c r="P64" s="532">
        <v>106</v>
      </c>
      <c r="T64" s="536" t="e">
        <f t="shared" si="13"/>
        <v>#REF!</v>
      </c>
      <c r="U64" s="530"/>
    </row>
    <row r="65" spans="1:21">
      <c r="A65" s="552">
        <f t="shared" si="8"/>
        <v>115000</v>
      </c>
      <c r="C65" s="532">
        <v>1</v>
      </c>
      <c r="D65" s="545"/>
      <c r="E65" s="533">
        <f t="shared" si="14"/>
        <v>1084</v>
      </c>
      <c r="F65" s="545"/>
      <c r="G65" s="533">
        <f t="shared" si="9"/>
        <v>115000</v>
      </c>
      <c r="H65" s="545"/>
      <c r="I65" s="533">
        <f t="shared" si="15"/>
        <v>5533000</v>
      </c>
      <c r="J65" s="533"/>
      <c r="K65" s="533">
        <f t="shared" si="10"/>
        <v>0</v>
      </c>
      <c r="L65" s="533"/>
      <c r="M65" s="533">
        <f t="shared" si="11"/>
        <v>5533000</v>
      </c>
      <c r="N65" s="515"/>
      <c r="O65" s="534">
        <f t="shared" si="12"/>
        <v>1</v>
      </c>
      <c r="P65" s="532">
        <v>115</v>
      </c>
      <c r="T65" s="536" t="e">
        <f t="shared" si="13"/>
        <v>#REF!</v>
      </c>
      <c r="U65" s="530"/>
    </row>
    <row r="66" spans="1:21">
      <c r="C66" s="530"/>
    </row>
    <row r="67" spans="1:21">
      <c r="C67" s="530"/>
      <c r="T67" s="539" t="e">
        <f>SUM(T10:T65)</f>
        <v>#REF!</v>
      </c>
    </row>
    <row r="68" spans="1:21" hidden="1">
      <c r="C68" s="530"/>
      <c r="T68" s="513">
        <v>19328</v>
      </c>
    </row>
    <row r="69" spans="1:21" hidden="1">
      <c r="C69" s="530"/>
      <c r="T69" s="540" t="e">
        <f>T67-T68</f>
        <v>#REF!</v>
      </c>
    </row>
    <row r="70" spans="1:21" hidden="1">
      <c r="C70" s="530"/>
      <c r="T70" s="541" t="e">
        <f>T69/T67</f>
        <v>#REF!</v>
      </c>
    </row>
    <row r="71" spans="1:21">
      <c r="C71" s="530"/>
    </row>
    <row r="72" spans="1:21">
      <c r="C72" s="530"/>
    </row>
    <row r="73" spans="1:21">
      <c r="C73" s="530"/>
    </row>
    <row r="74" spans="1:21">
      <c r="C74" s="530"/>
    </row>
    <row r="75" spans="1:21">
      <c r="C75" s="530"/>
    </row>
    <row r="76" spans="1:21">
      <c r="C76" s="530"/>
    </row>
    <row r="77" spans="1:21">
      <c r="C77" s="530"/>
    </row>
    <row r="78" spans="1:21">
      <c r="C78" s="530"/>
    </row>
    <row r="79" spans="1:21">
      <c r="C79" s="530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6"/>
  <sheetViews>
    <sheetView showGridLines="0" topLeftCell="J1" workbookViewId="0">
      <selection activeCell="U10" sqref="U1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5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75" style="513" customWidth="1"/>
    <col min="20" max="20" width="11.75" style="513" bestFit="1" customWidth="1"/>
    <col min="21" max="16384" width="12.5" style="513"/>
  </cols>
  <sheetData>
    <row r="1" spans="1:21" ht="15">
      <c r="O1" s="564"/>
      <c r="R1" s="516" t="s">
        <v>65</v>
      </c>
      <c r="S1" s="516"/>
      <c r="T1" s="517" t="s">
        <v>271</v>
      </c>
    </row>
    <row r="2" spans="1:21">
      <c r="O2" s="564"/>
      <c r="R2" s="518" t="s">
        <v>272</v>
      </c>
      <c r="S2" s="518"/>
      <c r="T2" s="519" t="e">
        <f>'16011-172'!T2</f>
        <v>#REF!</v>
      </c>
    </row>
    <row r="3" spans="1:21">
      <c r="A3" s="513" t="s">
        <v>298</v>
      </c>
      <c r="M3" s="520" t="s">
        <v>299</v>
      </c>
      <c r="R3" s="518" t="s">
        <v>274</v>
      </c>
      <c r="S3" s="518"/>
      <c r="T3" s="519" t="e">
        <f>'16011-172'!T3</f>
        <v>#REF!</v>
      </c>
    </row>
    <row r="4" spans="1:21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'16011-172'!T4</f>
        <v>#REF!</v>
      </c>
    </row>
    <row r="5" spans="1:21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'16011-172'!T5</f>
        <v>#REF!</v>
      </c>
    </row>
    <row r="6" spans="1:21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'16011-172'!T6</f>
        <v>#REF!</v>
      </c>
    </row>
    <row r="7" spans="1:21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'16011-172'!T7</f>
        <v>#REF!</v>
      </c>
    </row>
    <row r="8" spans="1:21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5" t="s">
        <v>293</v>
      </c>
    </row>
    <row r="9" spans="1:21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65"/>
      <c r="T9" s="530"/>
    </row>
    <row r="10" spans="1:21">
      <c r="A10" s="531">
        <f t="shared" ref="A10:A44" si="0">P10*1000</f>
        <v>0</v>
      </c>
      <c r="B10" s="515"/>
      <c r="C10" s="532">
        <v>267</v>
      </c>
      <c r="D10" s="533"/>
      <c r="E10" s="533">
        <f>C10</f>
        <v>267</v>
      </c>
      <c r="F10" s="533"/>
      <c r="G10" s="533">
        <f t="shared" ref="G10:G44" si="1">A10*C10</f>
        <v>0</v>
      </c>
      <c r="H10" s="533"/>
      <c r="I10" s="533">
        <f>G10</f>
        <v>0</v>
      </c>
      <c r="J10" s="533"/>
      <c r="K10" s="533">
        <f t="shared" ref="K10:K44" si="2">$E$44-E10</f>
        <v>1193</v>
      </c>
      <c r="L10" s="533"/>
      <c r="M10" s="533">
        <f t="shared" ref="M10:M44" si="3">(A10*K10)+I10</f>
        <v>0</v>
      </c>
      <c r="N10" s="515"/>
      <c r="O10" s="534">
        <f t="shared" ref="O10:O44" si="4">I10/$I$44</f>
        <v>0</v>
      </c>
      <c r="P10" s="532">
        <v>0</v>
      </c>
      <c r="Q10" s="561"/>
      <c r="R10" s="535"/>
      <c r="T10" s="536" t="e">
        <f t="shared" ref="T10:T44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  <c r="U10" s="566"/>
    </row>
    <row r="11" spans="1:21">
      <c r="A11" s="531">
        <f t="shared" si="0"/>
        <v>1000</v>
      </c>
      <c r="B11" s="515"/>
      <c r="C11" s="532">
        <v>290</v>
      </c>
      <c r="D11" s="533"/>
      <c r="E11" s="533">
        <f t="shared" ref="E11:E44" si="6">E10+C11</f>
        <v>557</v>
      </c>
      <c r="F11" s="533"/>
      <c r="G11" s="533">
        <f t="shared" si="1"/>
        <v>290000</v>
      </c>
      <c r="H11" s="533"/>
      <c r="I11" s="533">
        <f t="shared" ref="I11:I44" si="7">G11+I10</f>
        <v>290000</v>
      </c>
      <c r="J11" s="533"/>
      <c r="K11" s="533">
        <f t="shared" si="2"/>
        <v>903</v>
      </c>
      <c r="L11" s="533"/>
      <c r="M11" s="533">
        <f t="shared" si="3"/>
        <v>1193000</v>
      </c>
      <c r="N11" s="515"/>
      <c r="O11" s="534">
        <f t="shared" si="4"/>
        <v>6.6104399361750624E-2</v>
      </c>
      <c r="P11" s="532">
        <v>1</v>
      </c>
      <c r="Q11" s="561"/>
      <c r="R11" s="535"/>
      <c r="T11" s="536" t="e">
        <f t="shared" si="5"/>
        <v>#REF!</v>
      </c>
      <c r="U11" s="566"/>
    </row>
    <row r="12" spans="1:21">
      <c r="A12" s="531">
        <f t="shared" si="0"/>
        <v>2000</v>
      </c>
      <c r="B12" s="515"/>
      <c r="C12" s="532">
        <v>292</v>
      </c>
      <c r="D12" s="533"/>
      <c r="E12" s="533">
        <f t="shared" si="6"/>
        <v>849</v>
      </c>
      <c r="F12" s="533"/>
      <c r="G12" s="533">
        <f t="shared" si="1"/>
        <v>584000</v>
      </c>
      <c r="H12" s="533"/>
      <c r="I12" s="533">
        <f t="shared" si="7"/>
        <v>874000</v>
      </c>
      <c r="J12" s="533"/>
      <c r="K12" s="533">
        <f t="shared" si="2"/>
        <v>611</v>
      </c>
      <c r="L12" s="533"/>
      <c r="M12" s="533">
        <f t="shared" si="3"/>
        <v>2096000</v>
      </c>
      <c r="N12" s="515"/>
      <c r="O12" s="534">
        <f t="shared" si="4"/>
        <v>0.19922498290403465</v>
      </c>
      <c r="P12" s="532">
        <v>2</v>
      </c>
      <c r="Q12" s="561"/>
      <c r="T12" s="536" t="e">
        <f t="shared" si="5"/>
        <v>#REF!</v>
      </c>
      <c r="U12" s="566"/>
    </row>
    <row r="13" spans="1:21">
      <c r="A13" s="531">
        <f t="shared" si="0"/>
        <v>3000</v>
      </c>
      <c r="B13" s="515"/>
      <c r="C13" s="532">
        <v>234</v>
      </c>
      <c r="D13" s="533"/>
      <c r="E13" s="533">
        <f t="shared" si="6"/>
        <v>1083</v>
      </c>
      <c r="F13" s="533"/>
      <c r="G13" s="533">
        <f t="shared" si="1"/>
        <v>702000</v>
      </c>
      <c r="H13" s="533"/>
      <c r="I13" s="533">
        <f t="shared" si="7"/>
        <v>1576000</v>
      </c>
      <c r="J13" s="533"/>
      <c r="K13" s="533">
        <f t="shared" si="2"/>
        <v>377</v>
      </c>
      <c r="L13" s="533"/>
      <c r="M13" s="533">
        <f t="shared" si="3"/>
        <v>2707000</v>
      </c>
      <c r="N13" s="537"/>
      <c r="O13" s="534">
        <f t="shared" si="4"/>
        <v>0.35924321860041031</v>
      </c>
      <c r="P13" s="532">
        <v>3</v>
      </c>
      <c r="Q13" s="561"/>
      <c r="T13" s="536" t="e">
        <f t="shared" si="5"/>
        <v>#REF!</v>
      </c>
      <c r="U13" s="566"/>
    </row>
    <row r="14" spans="1:21">
      <c r="A14" s="531">
        <f t="shared" si="0"/>
        <v>4000</v>
      </c>
      <c r="B14" s="515"/>
      <c r="C14" s="532">
        <v>155</v>
      </c>
      <c r="D14" s="533"/>
      <c r="E14" s="533">
        <f t="shared" si="6"/>
        <v>1238</v>
      </c>
      <c r="F14" s="533"/>
      <c r="G14" s="533">
        <f t="shared" si="1"/>
        <v>620000</v>
      </c>
      <c r="H14" s="533"/>
      <c r="I14" s="533">
        <f t="shared" si="7"/>
        <v>2196000</v>
      </c>
      <c r="J14" s="533"/>
      <c r="K14" s="533">
        <f t="shared" si="2"/>
        <v>222</v>
      </c>
      <c r="L14" s="533"/>
      <c r="M14" s="533">
        <f t="shared" si="3"/>
        <v>3084000</v>
      </c>
      <c r="N14" s="515"/>
      <c r="O14" s="534">
        <f t="shared" si="4"/>
        <v>0.50056986551173921</v>
      </c>
      <c r="P14" s="532">
        <v>4</v>
      </c>
      <c r="Q14" s="561"/>
      <c r="T14" s="536" t="e">
        <f t="shared" si="5"/>
        <v>#REF!</v>
      </c>
      <c r="U14" s="566"/>
    </row>
    <row r="15" spans="1:21">
      <c r="A15" s="531">
        <f t="shared" si="0"/>
        <v>5000</v>
      </c>
      <c r="B15" s="515"/>
      <c r="C15" s="532">
        <v>82</v>
      </c>
      <c r="D15" s="533"/>
      <c r="E15" s="533">
        <f t="shared" si="6"/>
        <v>1320</v>
      </c>
      <c r="F15" s="533"/>
      <c r="G15" s="533">
        <f t="shared" si="1"/>
        <v>410000</v>
      </c>
      <c r="H15" s="533"/>
      <c r="I15" s="533">
        <f t="shared" si="7"/>
        <v>2606000</v>
      </c>
      <c r="J15" s="533"/>
      <c r="K15" s="533">
        <f t="shared" si="2"/>
        <v>140</v>
      </c>
      <c r="L15" s="533"/>
      <c r="M15" s="533">
        <f t="shared" si="3"/>
        <v>3306000</v>
      </c>
      <c r="N15" s="515"/>
      <c r="O15" s="534">
        <f t="shared" si="4"/>
        <v>0.59402780943697286</v>
      </c>
      <c r="P15" s="532">
        <v>5</v>
      </c>
      <c r="Q15" s="561"/>
      <c r="T15" s="536" t="e">
        <f t="shared" si="5"/>
        <v>#REF!</v>
      </c>
      <c r="U15" s="566"/>
    </row>
    <row r="16" spans="1:21">
      <c r="A16" s="531">
        <f t="shared" si="0"/>
        <v>6000</v>
      </c>
      <c r="B16" s="515"/>
      <c r="C16" s="532">
        <v>34</v>
      </c>
      <c r="D16" s="533"/>
      <c r="E16" s="533">
        <f t="shared" si="6"/>
        <v>1354</v>
      </c>
      <c r="F16" s="533"/>
      <c r="G16" s="533">
        <f t="shared" si="1"/>
        <v>204000</v>
      </c>
      <c r="H16" s="533"/>
      <c r="I16" s="533">
        <f t="shared" si="7"/>
        <v>2810000</v>
      </c>
      <c r="J16" s="533"/>
      <c r="K16" s="533">
        <f t="shared" si="2"/>
        <v>106</v>
      </c>
      <c r="L16" s="533"/>
      <c r="M16" s="533">
        <f t="shared" si="3"/>
        <v>3446000</v>
      </c>
      <c r="N16" s="515"/>
      <c r="O16" s="534">
        <f t="shared" si="4"/>
        <v>0.64052883519489401</v>
      </c>
      <c r="P16" s="532">
        <v>6</v>
      </c>
      <c r="Q16" s="561"/>
      <c r="T16" s="536" t="e">
        <f t="shared" si="5"/>
        <v>#REF!</v>
      </c>
      <c r="U16" s="566"/>
    </row>
    <row r="17" spans="1:21">
      <c r="A17" s="531">
        <f t="shared" si="0"/>
        <v>7000</v>
      </c>
      <c r="B17" s="515"/>
      <c r="C17" s="532">
        <v>27</v>
      </c>
      <c r="D17" s="533"/>
      <c r="E17" s="533">
        <f t="shared" si="6"/>
        <v>1381</v>
      </c>
      <c r="F17" s="533"/>
      <c r="G17" s="533">
        <f t="shared" si="1"/>
        <v>189000</v>
      </c>
      <c r="H17" s="533"/>
      <c r="I17" s="533">
        <f t="shared" si="7"/>
        <v>2999000</v>
      </c>
      <c r="J17" s="533"/>
      <c r="K17" s="533">
        <f t="shared" si="2"/>
        <v>79</v>
      </c>
      <c r="L17" s="533"/>
      <c r="M17" s="533">
        <f t="shared" si="3"/>
        <v>3552000</v>
      </c>
      <c r="N17" s="515"/>
      <c r="O17" s="534">
        <f t="shared" si="4"/>
        <v>0.68361066788237979</v>
      </c>
      <c r="P17" s="532">
        <v>7</v>
      </c>
      <c r="Q17" s="561"/>
      <c r="T17" s="536" t="e">
        <f t="shared" si="5"/>
        <v>#REF!</v>
      </c>
      <c r="U17" s="566"/>
    </row>
    <row r="18" spans="1:21">
      <c r="A18" s="531">
        <f t="shared" si="0"/>
        <v>8000</v>
      </c>
      <c r="B18" s="515"/>
      <c r="C18" s="532">
        <v>13</v>
      </c>
      <c r="D18" s="533"/>
      <c r="E18" s="533">
        <f t="shared" si="6"/>
        <v>1394</v>
      </c>
      <c r="F18" s="533"/>
      <c r="G18" s="533">
        <f t="shared" si="1"/>
        <v>104000</v>
      </c>
      <c r="H18" s="533"/>
      <c r="I18" s="533">
        <f t="shared" si="7"/>
        <v>3103000</v>
      </c>
      <c r="J18" s="533"/>
      <c r="K18" s="533">
        <f t="shared" si="2"/>
        <v>66</v>
      </c>
      <c r="L18" s="533"/>
      <c r="M18" s="533">
        <f t="shared" si="3"/>
        <v>3631000</v>
      </c>
      <c r="N18" s="515"/>
      <c r="O18" s="534">
        <f t="shared" si="4"/>
        <v>0.70731707317073167</v>
      </c>
      <c r="P18" s="532">
        <v>8</v>
      </c>
      <c r="Q18" s="561"/>
      <c r="T18" s="536" t="e">
        <f t="shared" si="5"/>
        <v>#REF!</v>
      </c>
      <c r="U18" s="566"/>
    </row>
    <row r="19" spans="1:21">
      <c r="A19" s="531">
        <f t="shared" si="0"/>
        <v>9000</v>
      </c>
      <c r="B19" s="515"/>
      <c r="C19" s="532">
        <v>7</v>
      </c>
      <c r="D19" s="533"/>
      <c r="E19" s="533">
        <f t="shared" si="6"/>
        <v>1401</v>
      </c>
      <c r="F19" s="533"/>
      <c r="G19" s="533">
        <f t="shared" si="1"/>
        <v>63000</v>
      </c>
      <c r="H19" s="533"/>
      <c r="I19" s="533">
        <f t="shared" si="7"/>
        <v>3166000</v>
      </c>
      <c r="J19" s="533"/>
      <c r="K19" s="533">
        <f t="shared" si="2"/>
        <v>59</v>
      </c>
      <c r="L19" s="533"/>
      <c r="M19" s="533">
        <f t="shared" si="3"/>
        <v>3697000</v>
      </c>
      <c r="N19" s="515"/>
      <c r="O19" s="534">
        <f t="shared" si="4"/>
        <v>0.7216776840665603</v>
      </c>
      <c r="P19" s="532">
        <v>9</v>
      </c>
      <c r="Q19" s="561"/>
      <c r="T19" s="536" t="e">
        <f t="shared" si="5"/>
        <v>#REF!</v>
      </c>
      <c r="U19" s="566"/>
    </row>
    <row r="20" spans="1:21">
      <c r="A20" s="531">
        <f t="shared" si="0"/>
        <v>10000</v>
      </c>
      <c r="B20" s="515"/>
      <c r="C20" s="532">
        <v>6</v>
      </c>
      <c r="D20" s="533"/>
      <c r="E20" s="533">
        <f t="shared" si="6"/>
        <v>1407</v>
      </c>
      <c r="F20" s="533"/>
      <c r="G20" s="533">
        <f t="shared" si="1"/>
        <v>60000</v>
      </c>
      <c r="H20" s="533"/>
      <c r="I20" s="533">
        <f t="shared" si="7"/>
        <v>3226000</v>
      </c>
      <c r="J20" s="533"/>
      <c r="K20" s="533">
        <f t="shared" si="2"/>
        <v>53</v>
      </c>
      <c r="L20" s="533"/>
      <c r="M20" s="533">
        <f t="shared" si="3"/>
        <v>3756000</v>
      </c>
      <c r="N20" s="515"/>
      <c r="O20" s="534">
        <f t="shared" si="4"/>
        <v>0.73535445634830177</v>
      </c>
      <c r="P20" s="532">
        <v>10</v>
      </c>
      <c r="Q20" s="561"/>
      <c r="T20" s="536" t="e">
        <f t="shared" si="5"/>
        <v>#REF!</v>
      </c>
      <c r="U20" s="566"/>
    </row>
    <row r="21" spans="1:21">
      <c r="A21" s="531">
        <f t="shared" si="0"/>
        <v>11000</v>
      </c>
      <c r="B21" s="515"/>
      <c r="C21" s="532">
        <v>11</v>
      </c>
      <c r="D21" s="533"/>
      <c r="E21" s="533">
        <f t="shared" si="6"/>
        <v>1418</v>
      </c>
      <c r="F21" s="533"/>
      <c r="G21" s="533">
        <f t="shared" si="1"/>
        <v>121000</v>
      </c>
      <c r="H21" s="533"/>
      <c r="I21" s="533">
        <f t="shared" si="7"/>
        <v>3347000</v>
      </c>
      <c r="J21" s="533"/>
      <c r="K21" s="533">
        <f t="shared" si="2"/>
        <v>42</v>
      </c>
      <c r="L21" s="533"/>
      <c r="M21" s="533">
        <f t="shared" si="3"/>
        <v>3809000</v>
      </c>
      <c r="N21" s="515"/>
      <c r="O21" s="534">
        <f t="shared" si="4"/>
        <v>0.7629359471164805</v>
      </c>
      <c r="P21" s="532">
        <v>11</v>
      </c>
      <c r="Q21" s="561"/>
      <c r="T21" s="536" t="e">
        <f t="shared" si="5"/>
        <v>#REF!</v>
      </c>
      <c r="U21" s="566"/>
    </row>
    <row r="22" spans="1:21">
      <c r="A22" s="531">
        <f t="shared" si="0"/>
        <v>12000</v>
      </c>
      <c r="B22" s="515"/>
      <c r="C22" s="532">
        <v>3</v>
      </c>
      <c r="D22" s="533"/>
      <c r="E22" s="533">
        <f t="shared" si="6"/>
        <v>1421</v>
      </c>
      <c r="F22" s="533"/>
      <c r="G22" s="533">
        <f t="shared" si="1"/>
        <v>36000</v>
      </c>
      <c r="H22" s="533"/>
      <c r="I22" s="533">
        <f t="shared" si="7"/>
        <v>3383000</v>
      </c>
      <c r="J22" s="533"/>
      <c r="K22" s="533">
        <f t="shared" si="2"/>
        <v>39</v>
      </c>
      <c r="L22" s="533"/>
      <c r="M22" s="533">
        <f t="shared" si="3"/>
        <v>3851000</v>
      </c>
      <c r="N22" s="515"/>
      <c r="O22" s="534">
        <f t="shared" si="4"/>
        <v>0.77114201048552544</v>
      </c>
      <c r="P22" s="532">
        <v>12</v>
      </c>
      <c r="Q22" s="561"/>
      <c r="T22" s="536" t="e">
        <f t="shared" si="5"/>
        <v>#REF!</v>
      </c>
      <c r="U22" s="566"/>
    </row>
    <row r="23" spans="1:21">
      <c r="A23" s="531">
        <f t="shared" si="0"/>
        <v>13000</v>
      </c>
      <c r="B23" s="515"/>
      <c r="C23" s="532">
        <v>4</v>
      </c>
      <c r="D23" s="533"/>
      <c r="E23" s="533">
        <f t="shared" si="6"/>
        <v>1425</v>
      </c>
      <c r="F23" s="533"/>
      <c r="G23" s="533">
        <f t="shared" si="1"/>
        <v>52000</v>
      </c>
      <c r="H23" s="533"/>
      <c r="I23" s="533">
        <f t="shared" si="7"/>
        <v>3435000</v>
      </c>
      <c r="J23" s="533"/>
      <c r="K23" s="533">
        <f t="shared" si="2"/>
        <v>35</v>
      </c>
      <c r="L23" s="533"/>
      <c r="M23" s="533">
        <f t="shared" si="3"/>
        <v>3890000</v>
      </c>
      <c r="N23" s="515"/>
      <c r="O23" s="534">
        <f t="shared" si="4"/>
        <v>0.78299521312970144</v>
      </c>
      <c r="P23" s="532">
        <v>13</v>
      </c>
      <c r="Q23" s="561"/>
      <c r="T23" s="536" t="e">
        <f t="shared" si="5"/>
        <v>#REF!</v>
      </c>
      <c r="U23" s="566"/>
    </row>
    <row r="24" spans="1:21">
      <c r="A24" s="531">
        <f t="shared" si="0"/>
        <v>14000</v>
      </c>
      <c r="B24" s="515"/>
      <c r="C24" s="532">
        <v>2</v>
      </c>
      <c r="D24" s="533"/>
      <c r="E24" s="533">
        <f t="shared" si="6"/>
        <v>1427</v>
      </c>
      <c r="F24" s="533"/>
      <c r="G24" s="533">
        <f t="shared" si="1"/>
        <v>28000</v>
      </c>
      <c r="H24" s="533"/>
      <c r="I24" s="533">
        <f t="shared" si="7"/>
        <v>3463000</v>
      </c>
      <c r="J24" s="533"/>
      <c r="K24" s="533">
        <f t="shared" si="2"/>
        <v>33</v>
      </c>
      <c r="L24" s="533"/>
      <c r="M24" s="533">
        <f t="shared" si="3"/>
        <v>3925000</v>
      </c>
      <c r="N24" s="515"/>
      <c r="O24" s="534">
        <f t="shared" si="4"/>
        <v>0.78937770686118081</v>
      </c>
      <c r="P24" s="532">
        <v>14</v>
      </c>
      <c r="Q24" s="561"/>
      <c r="T24" s="536" t="e">
        <f t="shared" si="5"/>
        <v>#REF!</v>
      </c>
      <c r="U24" s="566"/>
    </row>
    <row r="25" spans="1:21">
      <c r="A25" s="531">
        <f t="shared" si="0"/>
        <v>15000</v>
      </c>
      <c r="B25" s="515"/>
      <c r="C25" s="532">
        <v>3</v>
      </c>
      <c r="D25" s="533"/>
      <c r="E25" s="533">
        <f t="shared" si="6"/>
        <v>1430</v>
      </c>
      <c r="F25" s="533"/>
      <c r="G25" s="533">
        <f t="shared" si="1"/>
        <v>45000</v>
      </c>
      <c r="H25" s="533"/>
      <c r="I25" s="533">
        <f t="shared" si="7"/>
        <v>3508000</v>
      </c>
      <c r="J25" s="533"/>
      <c r="K25" s="533">
        <f t="shared" si="2"/>
        <v>30</v>
      </c>
      <c r="L25" s="533"/>
      <c r="M25" s="533">
        <f t="shared" si="3"/>
        <v>3958000</v>
      </c>
      <c r="N25" s="515"/>
      <c r="O25" s="534">
        <f t="shared" si="4"/>
        <v>0.79963528607248691</v>
      </c>
      <c r="P25" s="532">
        <v>15</v>
      </c>
      <c r="Q25" s="561"/>
      <c r="T25" s="536" t="e">
        <f t="shared" si="5"/>
        <v>#REF!</v>
      </c>
      <c r="U25" s="566"/>
    </row>
    <row r="26" spans="1:21">
      <c r="A26" s="531">
        <f t="shared" si="0"/>
        <v>16000</v>
      </c>
      <c r="B26" s="515"/>
      <c r="C26" s="532">
        <v>1</v>
      </c>
      <c r="D26" s="533"/>
      <c r="E26" s="533">
        <f t="shared" si="6"/>
        <v>1431</v>
      </c>
      <c r="F26" s="533"/>
      <c r="G26" s="533">
        <f t="shared" si="1"/>
        <v>16000</v>
      </c>
      <c r="H26" s="533"/>
      <c r="I26" s="533">
        <f t="shared" si="7"/>
        <v>3524000</v>
      </c>
      <c r="J26" s="533"/>
      <c r="K26" s="533">
        <f t="shared" si="2"/>
        <v>29</v>
      </c>
      <c r="L26" s="533"/>
      <c r="M26" s="533">
        <f t="shared" si="3"/>
        <v>3988000</v>
      </c>
      <c r="N26" s="515"/>
      <c r="O26" s="534">
        <f t="shared" si="4"/>
        <v>0.80328242534761796</v>
      </c>
      <c r="P26" s="532">
        <v>16</v>
      </c>
      <c r="Q26" s="561"/>
      <c r="T26" s="536" t="e">
        <f t="shared" si="5"/>
        <v>#REF!</v>
      </c>
      <c r="U26" s="566"/>
    </row>
    <row r="27" spans="1:21" s="515" customFormat="1">
      <c r="A27" s="552">
        <f t="shared" si="0"/>
        <v>17000</v>
      </c>
      <c r="C27" s="532">
        <v>3</v>
      </c>
      <c r="D27" s="533"/>
      <c r="E27" s="533">
        <f t="shared" si="6"/>
        <v>1434</v>
      </c>
      <c r="F27" s="533"/>
      <c r="G27" s="533">
        <f t="shared" si="1"/>
        <v>51000</v>
      </c>
      <c r="H27" s="533"/>
      <c r="I27" s="533">
        <f t="shared" si="7"/>
        <v>3575000</v>
      </c>
      <c r="J27" s="533"/>
      <c r="K27" s="533">
        <f t="shared" si="2"/>
        <v>26</v>
      </c>
      <c r="L27" s="533"/>
      <c r="M27" s="533">
        <f t="shared" si="3"/>
        <v>4017000</v>
      </c>
      <c r="O27" s="534">
        <f t="shared" si="4"/>
        <v>0.81490768178709827</v>
      </c>
      <c r="P27" s="532">
        <v>17</v>
      </c>
      <c r="Q27" s="547"/>
      <c r="R27" s="513"/>
      <c r="S27" s="513"/>
      <c r="T27" s="536" t="e">
        <f t="shared" si="5"/>
        <v>#REF!</v>
      </c>
      <c r="U27" s="566"/>
    </row>
    <row r="28" spans="1:21" s="515" customFormat="1">
      <c r="A28" s="552">
        <f t="shared" si="0"/>
        <v>18000</v>
      </c>
      <c r="C28" s="532">
        <v>2</v>
      </c>
      <c r="D28" s="533"/>
      <c r="E28" s="533">
        <f t="shared" si="6"/>
        <v>1436</v>
      </c>
      <c r="F28" s="533"/>
      <c r="G28" s="533">
        <f t="shared" si="1"/>
        <v>36000</v>
      </c>
      <c r="H28" s="533"/>
      <c r="I28" s="533">
        <f t="shared" si="7"/>
        <v>3611000</v>
      </c>
      <c r="J28" s="533"/>
      <c r="K28" s="533">
        <f t="shared" si="2"/>
        <v>24</v>
      </c>
      <c r="L28" s="533"/>
      <c r="M28" s="533">
        <f t="shared" si="3"/>
        <v>4043000</v>
      </c>
      <c r="O28" s="534">
        <f t="shared" si="4"/>
        <v>0.82311374515614311</v>
      </c>
      <c r="P28" s="532">
        <v>18</v>
      </c>
      <c r="R28" s="513"/>
      <c r="S28" s="513"/>
      <c r="T28" s="536" t="e">
        <f t="shared" si="5"/>
        <v>#REF!</v>
      </c>
      <c r="U28" s="567"/>
    </row>
    <row r="29" spans="1:21" s="515" customFormat="1">
      <c r="A29" s="552">
        <f t="shared" si="0"/>
        <v>19000</v>
      </c>
      <c r="B29" s="542"/>
      <c r="C29" s="532">
        <v>1</v>
      </c>
      <c r="D29" s="533"/>
      <c r="E29" s="533">
        <f t="shared" si="6"/>
        <v>1437</v>
      </c>
      <c r="F29" s="533"/>
      <c r="G29" s="533">
        <f t="shared" si="1"/>
        <v>19000</v>
      </c>
      <c r="H29" s="533"/>
      <c r="I29" s="533">
        <f t="shared" si="7"/>
        <v>3630000</v>
      </c>
      <c r="J29" s="533"/>
      <c r="K29" s="533">
        <f t="shared" si="2"/>
        <v>23</v>
      </c>
      <c r="L29" s="533"/>
      <c r="M29" s="533">
        <f t="shared" si="3"/>
        <v>4067000</v>
      </c>
      <c r="O29" s="534">
        <f t="shared" si="4"/>
        <v>0.82744472304536132</v>
      </c>
      <c r="P29" s="532">
        <v>19</v>
      </c>
      <c r="R29" s="513"/>
      <c r="S29" s="513"/>
      <c r="T29" s="536" t="e">
        <f t="shared" si="5"/>
        <v>#REF!</v>
      </c>
      <c r="U29" s="567"/>
    </row>
    <row r="30" spans="1:21" s="515" customFormat="1">
      <c r="A30" s="552">
        <f t="shared" si="0"/>
        <v>20000</v>
      </c>
      <c r="B30" s="542"/>
      <c r="C30" s="532">
        <v>2</v>
      </c>
      <c r="D30" s="533"/>
      <c r="E30" s="533">
        <f t="shared" si="6"/>
        <v>1439</v>
      </c>
      <c r="F30" s="533"/>
      <c r="G30" s="533">
        <f t="shared" si="1"/>
        <v>40000</v>
      </c>
      <c r="H30" s="533"/>
      <c r="I30" s="533">
        <f t="shared" si="7"/>
        <v>3670000</v>
      </c>
      <c r="J30" s="533"/>
      <c r="K30" s="533">
        <f t="shared" si="2"/>
        <v>21</v>
      </c>
      <c r="L30" s="533"/>
      <c r="M30" s="533">
        <f t="shared" si="3"/>
        <v>4090000</v>
      </c>
      <c r="O30" s="534">
        <f t="shared" si="4"/>
        <v>0.836562571233189</v>
      </c>
      <c r="P30" s="532">
        <v>20</v>
      </c>
      <c r="R30" s="513"/>
      <c r="S30" s="513"/>
      <c r="T30" s="536" t="e">
        <f t="shared" si="5"/>
        <v>#REF!</v>
      </c>
      <c r="U30" s="567"/>
    </row>
    <row r="31" spans="1:21">
      <c r="A31" s="552">
        <f t="shared" si="0"/>
        <v>21000</v>
      </c>
      <c r="B31" s="515"/>
      <c r="C31" s="532">
        <v>1</v>
      </c>
      <c r="D31" s="533"/>
      <c r="E31" s="533">
        <f t="shared" si="6"/>
        <v>1440</v>
      </c>
      <c r="F31" s="533"/>
      <c r="G31" s="533">
        <f t="shared" si="1"/>
        <v>21000</v>
      </c>
      <c r="H31" s="533"/>
      <c r="I31" s="533">
        <f t="shared" si="7"/>
        <v>3691000</v>
      </c>
      <c r="J31" s="533"/>
      <c r="K31" s="533">
        <f t="shared" si="2"/>
        <v>20</v>
      </c>
      <c r="L31" s="533"/>
      <c r="M31" s="533">
        <f t="shared" si="3"/>
        <v>4111000</v>
      </c>
      <c r="N31" s="515"/>
      <c r="O31" s="534">
        <f t="shared" si="4"/>
        <v>0.84134944153179847</v>
      </c>
      <c r="P31" s="532">
        <v>21</v>
      </c>
      <c r="T31" s="536" t="e">
        <f t="shared" si="5"/>
        <v>#REF!</v>
      </c>
      <c r="U31" s="567"/>
    </row>
    <row r="32" spans="1:21">
      <c r="A32" s="552">
        <f t="shared" si="0"/>
        <v>23000</v>
      </c>
      <c r="B32" s="515"/>
      <c r="C32" s="532">
        <v>2</v>
      </c>
      <c r="D32" s="533"/>
      <c r="E32" s="533">
        <f t="shared" si="6"/>
        <v>1442</v>
      </c>
      <c r="F32" s="533"/>
      <c r="G32" s="533">
        <f t="shared" si="1"/>
        <v>46000</v>
      </c>
      <c r="H32" s="533"/>
      <c r="I32" s="533">
        <f t="shared" si="7"/>
        <v>3737000</v>
      </c>
      <c r="J32" s="533"/>
      <c r="K32" s="533">
        <f t="shared" si="2"/>
        <v>18</v>
      </c>
      <c r="L32" s="533"/>
      <c r="M32" s="533">
        <f t="shared" si="3"/>
        <v>4151000</v>
      </c>
      <c r="N32" s="515"/>
      <c r="O32" s="534">
        <f t="shared" si="4"/>
        <v>0.85183496694780036</v>
      </c>
      <c r="P32" s="532">
        <v>23</v>
      </c>
      <c r="T32" s="536" t="e">
        <f t="shared" si="5"/>
        <v>#REF!</v>
      </c>
      <c r="U32" s="568"/>
    </row>
    <row r="33" spans="1:21">
      <c r="A33" s="552">
        <f t="shared" si="0"/>
        <v>25000</v>
      </c>
      <c r="B33" s="544"/>
      <c r="C33" s="532">
        <v>2</v>
      </c>
      <c r="D33" s="545"/>
      <c r="E33" s="533">
        <f t="shared" si="6"/>
        <v>1444</v>
      </c>
      <c r="F33" s="533"/>
      <c r="G33" s="533">
        <f t="shared" si="1"/>
        <v>50000</v>
      </c>
      <c r="H33" s="533"/>
      <c r="I33" s="533">
        <f t="shared" si="7"/>
        <v>3787000</v>
      </c>
      <c r="J33" s="533"/>
      <c r="K33" s="533">
        <f t="shared" si="2"/>
        <v>16</v>
      </c>
      <c r="L33" s="533"/>
      <c r="M33" s="533">
        <f t="shared" si="3"/>
        <v>4187000</v>
      </c>
      <c r="N33" s="515"/>
      <c r="O33" s="534">
        <f t="shared" si="4"/>
        <v>0.86323227718258488</v>
      </c>
      <c r="P33" s="532">
        <v>25</v>
      </c>
      <c r="T33" s="536" t="e">
        <f t="shared" si="5"/>
        <v>#REF!</v>
      </c>
      <c r="U33" s="568"/>
    </row>
    <row r="34" spans="1:21">
      <c r="A34" s="552">
        <f t="shared" si="0"/>
        <v>26000</v>
      </c>
      <c r="B34" s="515"/>
      <c r="C34" s="532">
        <v>1</v>
      </c>
      <c r="D34" s="515"/>
      <c r="E34" s="533">
        <f t="shared" si="6"/>
        <v>1445</v>
      </c>
      <c r="F34" s="533"/>
      <c r="G34" s="533">
        <f t="shared" si="1"/>
        <v>26000</v>
      </c>
      <c r="H34" s="533"/>
      <c r="I34" s="533">
        <f t="shared" si="7"/>
        <v>3813000</v>
      </c>
      <c r="J34" s="533"/>
      <c r="K34" s="533">
        <f t="shared" si="2"/>
        <v>15</v>
      </c>
      <c r="L34" s="533"/>
      <c r="M34" s="533">
        <f t="shared" si="3"/>
        <v>4203000</v>
      </c>
      <c r="N34" s="515"/>
      <c r="O34" s="534">
        <f t="shared" si="4"/>
        <v>0.86915887850467288</v>
      </c>
      <c r="P34" s="532">
        <v>26</v>
      </c>
      <c r="T34" s="536" t="e">
        <f t="shared" si="5"/>
        <v>#REF!</v>
      </c>
      <c r="U34" s="568"/>
    </row>
    <row r="35" spans="1:21">
      <c r="A35" s="552">
        <f t="shared" si="0"/>
        <v>27000</v>
      </c>
      <c r="B35" s="515"/>
      <c r="C35" s="532">
        <v>3</v>
      </c>
      <c r="D35" s="515"/>
      <c r="E35" s="533">
        <f t="shared" si="6"/>
        <v>1448</v>
      </c>
      <c r="F35" s="533"/>
      <c r="G35" s="533">
        <f t="shared" si="1"/>
        <v>81000</v>
      </c>
      <c r="H35" s="533"/>
      <c r="I35" s="533">
        <f t="shared" si="7"/>
        <v>3894000</v>
      </c>
      <c r="J35" s="533"/>
      <c r="K35" s="533">
        <f t="shared" si="2"/>
        <v>12</v>
      </c>
      <c r="L35" s="533"/>
      <c r="M35" s="533">
        <f t="shared" si="3"/>
        <v>4218000</v>
      </c>
      <c r="N35" s="515"/>
      <c r="O35" s="534">
        <f t="shared" si="4"/>
        <v>0.88762252108502393</v>
      </c>
      <c r="P35" s="532">
        <v>27</v>
      </c>
      <c r="T35" s="536" t="e">
        <f t="shared" si="5"/>
        <v>#REF!</v>
      </c>
      <c r="U35" s="568"/>
    </row>
    <row r="36" spans="1:21">
      <c r="A36" s="552">
        <f t="shared" si="0"/>
        <v>28000</v>
      </c>
      <c r="B36" s="529"/>
      <c r="C36" s="532">
        <v>2</v>
      </c>
      <c r="D36" s="529"/>
      <c r="E36" s="533">
        <f t="shared" si="6"/>
        <v>1450</v>
      </c>
      <c r="F36" s="533"/>
      <c r="G36" s="533">
        <f t="shared" si="1"/>
        <v>56000</v>
      </c>
      <c r="H36" s="533"/>
      <c r="I36" s="533">
        <f t="shared" si="7"/>
        <v>3950000</v>
      </c>
      <c r="J36" s="533"/>
      <c r="K36" s="533">
        <f t="shared" si="2"/>
        <v>10</v>
      </c>
      <c r="L36" s="533"/>
      <c r="M36" s="533">
        <f t="shared" si="3"/>
        <v>4230000</v>
      </c>
      <c r="N36" s="515"/>
      <c r="O36" s="534">
        <f t="shared" si="4"/>
        <v>0.90038750854798266</v>
      </c>
      <c r="P36" s="532">
        <v>28</v>
      </c>
      <c r="T36" s="536" t="e">
        <f t="shared" si="5"/>
        <v>#REF!</v>
      </c>
      <c r="U36" s="568"/>
    </row>
    <row r="37" spans="1:21">
      <c r="A37" s="552">
        <f t="shared" si="0"/>
        <v>29000</v>
      </c>
      <c r="B37" s="523"/>
      <c r="C37" s="532">
        <v>2</v>
      </c>
      <c r="D37" s="523"/>
      <c r="E37" s="533">
        <f t="shared" si="6"/>
        <v>1452</v>
      </c>
      <c r="F37" s="533"/>
      <c r="G37" s="533">
        <f t="shared" si="1"/>
        <v>58000</v>
      </c>
      <c r="H37" s="533"/>
      <c r="I37" s="533">
        <f t="shared" si="7"/>
        <v>4008000</v>
      </c>
      <c r="J37" s="533"/>
      <c r="K37" s="533">
        <f t="shared" si="2"/>
        <v>8</v>
      </c>
      <c r="L37" s="533"/>
      <c r="M37" s="533">
        <f t="shared" si="3"/>
        <v>4240000</v>
      </c>
      <c r="N37" s="515"/>
      <c r="O37" s="534">
        <f t="shared" si="4"/>
        <v>0.91360838842033276</v>
      </c>
      <c r="P37" s="532">
        <v>29</v>
      </c>
      <c r="T37" s="536" t="e">
        <f t="shared" si="5"/>
        <v>#REF!</v>
      </c>
      <c r="U37" s="568"/>
    </row>
    <row r="38" spans="1:21">
      <c r="A38" s="552">
        <f t="shared" si="0"/>
        <v>31000</v>
      </c>
      <c r="C38" s="532">
        <v>1</v>
      </c>
      <c r="E38" s="533">
        <f t="shared" si="6"/>
        <v>1453</v>
      </c>
      <c r="G38" s="533">
        <f t="shared" si="1"/>
        <v>31000</v>
      </c>
      <c r="I38" s="533">
        <f t="shared" si="7"/>
        <v>4039000</v>
      </c>
      <c r="J38" s="533"/>
      <c r="K38" s="533">
        <f t="shared" si="2"/>
        <v>7</v>
      </c>
      <c r="L38" s="533"/>
      <c r="M38" s="533">
        <f t="shared" si="3"/>
        <v>4256000</v>
      </c>
      <c r="N38" s="515"/>
      <c r="O38" s="534">
        <f t="shared" si="4"/>
        <v>0.92067472076589929</v>
      </c>
      <c r="P38" s="532">
        <v>31</v>
      </c>
      <c r="T38" s="536" t="e">
        <f t="shared" si="5"/>
        <v>#REF!</v>
      </c>
      <c r="U38" s="530"/>
    </row>
    <row r="39" spans="1:21">
      <c r="A39" s="552">
        <f t="shared" si="0"/>
        <v>32000</v>
      </c>
      <c r="C39" s="532">
        <v>1</v>
      </c>
      <c r="D39" s="545"/>
      <c r="E39" s="533">
        <f t="shared" si="6"/>
        <v>1454</v>
      </c>
      <c r="F39" s="545"/>
      <c r="G39" s="533">
        <f t="shared" si="1"/>
        <v>32000</v>
      </c>
      <c r="H39" s="545"/>
      <c r="I39" s="533">
        <f t="shared" si="7"/>
        <v>4071000</v>
      </c>
      <c r="J39" s="533"/>
      <c r="K39" s="533">
        <f t="shared" si="2"/>
        <v>6</v>
      </c>
      <c r="L39" s="533"/>
      <c r="M39" s="533">
        <f t="shared" si="3"/>
        <v>4263000</v>
      </c>
      <c r="N39" s="515"/>
      <c r="O39" s="534">
        <f t="shared" si="4"/>
        <v>0.92796899931616139</v>
      </c>
      <c r="P39" s="532">
        <v>32</v>
      </c>
      <c r="T39" s="536" t="e">
        <f t="shared" si="5"/>
        <v>#REF!</v>
      </c>
      <c r="U39" s="530"/>
    </row>
    <row r="40" spans="1:21">
      <c r="A40" s="552">
        <f t="shared" si="0"/>
        <v>34000</v>
      </c>
      <c r="C40" s="532">
        <v>2</v>
      </c>
      <c r="D40" s="545"/>
      <c r="E40" s="533">
        <f t="shared" si="6"/>
        <v>1456</v>
      </c>
      <c r="F40" s="545"/>
      <c r="G40" s="533">
        <f t="shared" si="1"/>
        <v>68000</v>
      </c>
      <c r="H40" s="545"/>
      <c r="I40" s="533">
        <f t="shared" si="7"/>
        <v>4139000</v>
      </c>
      <c r="J40" s="533"/>
      <c r="K40" s="533">
        <f t="shared" si="2"/>
        <v>4</v>
      </c>
      <c r="L40" s="533"/>
      <c r="M40" s="533">
        <f t="shared" si="3"/>
        <v>4275000</v>
      </c>
      <c r="N40" s="515"/>
      <c r="O40" s="534">
        <f t="shared" si="4"/>
        <v>0.94346934123546844</v>
      </c>
      <c r="P40" s="532">
        <v>34</v>
      </c>
      <c r="T40" s="536" t="e">
        <f t="shared" si="5"/>
        <v>#REF!</v>
      </c>
      <c r="U40" s="530"/>
    </row>
    <row r="41" spans="1:21">
      <c r="A41" s="552">
        <f t="shared" si="0"/>
        <v>40000</v>
      </c>
      <c r="C41" s="532">
        <v>1</v>
      </c>
      <c r="D41" s="545"/>
      <c r="E41" s="533">
        <f t="shared" si="6"/>
        <v>1457</v>
      </c>
      <c r="F41" s="545"/>
      <c r="G41" s="533">
        <f t="shared" si="1"/>
        <v>40000</v>
      </c>
      <c r="H41" s="545"/>
      <c r="I41" s="533">
        <f t="shared" si="7"/>
        <v>4179000</v>
      </c>
      <c r="J41" s="533"/>
      <c r="K41" s="533">
        <f t="shared" si="2"/>
        <v>3</v>
      </c>
      <c r="L41" s="533"/>
      <c r="M41" s="533">
        <f t="shared" si="3"/>
        <v>4299000</v>
      </c>
      <c r="N41" s="515"/>
      <c r="O41" s="534">
        <f t="shared" si="4"/>
        <v>0.95258718942329612</v>
      </c>
      <c r="P41" s="532">
        <v>40</v>
      </c>
      <c r="T41" s="536" t="e">
        <f t="shared" si="5"/>
        <v>#REF!</v>
      </c>
      <c r="U41" s="530"/>
    </row>
    <row r="42" spans="1:21">
      <c r="A42" s="552">
        <f t="shared" si="0"/>
        <v>47000</v>
      </c>
      <c r="C42" s="532">
        <v>1</v>
      </c>
      <c r="D42" s="545"/>
      <c r="E42" s="533">
        <f t="shared" si="6"/>
        <v>1458</v>
      </c>
      <c r="F42" s="545"/>
      <c r="G42" s="533">
        <f t="shared" si="1"/>
        <v>47000</v>
      </c>
      <c r="H42" s="545"/>
      <c r="I42" s="533">
        <f t="shared" si="7"/>
        <v>4226000</v>
      </c>
      <c r="J42" s="533"/>
      <c r="K42" s="533">
        <f t="shared" si="2"/>
        <v>2</v>
      </c>
      <c r="L42" s="533"/>
      <c r="M42" s="533">
        <f t="shared" si="3"/>
        <v>4320000</v>
      </c>
      <c r="N42" s="515"/>
      <c r="O42" s="534">
        <f t="shared" si="4"/>
        <v>0.96330066104399359</v>
      </c>
      <c r="P42" s="532">
        <v>47</v>
      </c>
      <c r="T42" s="536" t="e">
        <f t="shared" si="5"/>
        <v>#REF!</v>
      </c>
      <c r="U42" s="530"/>
    </row>
    <row r="43" spans="1:21">
      <c r="A43" s="552">
        <f t="shared" si="0"/>
        <v>57000</v>
      </c>
      <c r="C43" s="532">
        <v>1</v>
      </c>
      <c r="D43" s="545"/>
      <c r="E43" s="533">
        <f t="shared" si="6"/>
        <v>1459</v>
      </c>
      <c r="F43" s="545"/>
      <c r="G43" s="533">
        <f t="shared" si="1"/>
        <v>57000</v>
      </c>
      <c r="H43" s="545"/>
      <c r="I43" s="533">
        <f t="shared" si="7"/>
        <v>4283000</v>
      </c>
      <c r="J43" s="533"/>
      <c r="K43" s="533">
        <f t="shared" si="2"/>
        <v>1</v>
      </c>
      <c r="L43" s="533"/>
      <c r="M43" s="533">
        <f t="shared" si="3"/>
        <v>4340000</v>
      </c>
      <c r="N43" s="515"/>
      <c r="O43" s="534">
        <f t="shared" si="4"/>
        <v>0.97629359471164801</v>
      </c>
      <c r="P43" s="532">
        <v>57</v>
      </c>
      <c r="T43" s="536" t="e">
        <f t="shared" si="5"/>
        <v>#REF!</v>
      </c>
      <c r="U43" s="530"/>
    </row>
    <row r="44" spans="1:21">
      <c r="A44" s="552">
        <f t="shared" si="0"/>
        <v>104000</v>
      </c>
      <c r="C44" s="532">
        <v>1</v>
      </c>
      <c r="D44" s="545"/>
      <c r="E44" s="533">
        <f t="shared" si="6"/>
        <v>1460</v>
      </c>
      <c r="F44" s="545"/>
      <c r="G44" s="533">
        <f t="shared" si="1"/>
        <v>104000</v>
      </c>
      <c r="H44" s="545"/>
      <c r="I44" s="533">
        <f t="shared" si="7"/>
        <v>4387000</v>
      </c>
      <c r="J44" s="533"/>
      <c r="K44" s="533">
        <f t="shared" si="2"/>
        <v>0</v>
      </c>
      <c r="L44" s="533"/>
      <c r="M44" s="533">
        <f t="shared" si="3"/>
        <v>4387000</v>
      </c>
      <c r="N44" s="515"/>
      <c r="O44" s="534">
        <f t="shared" si="4"/>
        <v>1</v>
      </c>
      <c r="P44" s="532">
        <v>104</v>
      </c>
      <c r="T44" s="536" t="e">
        <f t="shared" si="5"/>
        <v>#REF!</v>
      </c>
      <c r="U44" s="530"/>
    </row>
    <row r="45" spans="1:21">
      <c r="C45" s="530"/>
      <c r="T45" s="536"/>
    </row>
    <row r="46" spans="1:21">
      <c r="C46" s="530"/>
      <c r="T46" s="554" t="e">
        <f>SUM(T10:T44)</f>
        <v>#REF!</v>
      </c>
    </row>
    <row r="47" spans="1:21" hidden="1">
      <c r="C47" s="530"/>
      <c r="T47" s="536">
        <v>18324</v>
      </c>
    </row>
    <row r="48" spans="1:21" hidden="1">
      <c r="C48" s="530"/>
      <c r="T48" s="536" t="e">
        <f>T46-T47</f>
        <v>#REF!</v>
      </c>
    </row>
    <row r="49" spans="3:20" hidden="1">
      <c r="C49" s="530"/>
      <c r="T49" s="536" t="e">
        <f>T48/T46</f>
        <v>#REF!</v>
      </c>
    </row>
    <row r="50" spans="3:20">
      <c r="C50" s="530"/>
      <c r="T50" s="536"/>
    </row>
    <row r="51" spans="3:20">
      <c r="C51" s="530"/>
      <c r="T51" s="536"/>
    </row>
    <row r="52" spans="3:20">
      <c r="C52" s="530"/>
      <c r="T52" s="536"/>
    </row>
    <row r="53" spans="3:20">
      <c r="C53" s="530"/>
      <c r="T53" s="536"/>
    </row>
    <row r="54" spans="3:20">
      <c r="C54" s="530"/>
      <c r="T54" s="536"/>
    </row>
    <row r="55" spans="3:20">
      <c r="C55" s="530"/>
      <c r="T55" s="536"/>
    </row>
    <row r="56" spans="3:20">
      <c r="C56" s="530"/>
      <c r="T56" s="536"/>
    </row>
    <row r="57" spans="3:20">
      <c r="C57" s="530"/>
      <c r="T57" s="536"/>
    </row>
    <row r="58" spans="3:20">
      <c r="C58" s="530"/>
      <c r="T58" s="536"/>
    </row>
    <row r="59" spans="3:20">
      <c r="R59" s="515"/>
      <c r="S59" s="515"/>
      <c r="T59" s="536"/>
    </row>
    <row r="60" spans="3:20">
      <c r="R60" s="515"/>
      <c r="S60" s="515"/>
      <c r="T60" s="536"/>
    </row>
    <row r="61" spans="3:20">
      <c r="T61" s="536"/>
    </row>
    <row r="62" spans="3:20">
      <c r="T62" s="536"/>
    </row>
    <row r="63" spans="3:20">
      <c r="T63" s="536"/>
    </row>
    <row r="64" spans="3:20">
      <c r="T64" s="536"/>
    </row>
    <row r="65" spans="20:20">
      <c r="T65" s="536"/>
    </row>
    <row r="66" spans="20:20">
      <c r="T66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"/>
  <sheetViews>
    <sheetView showGridLines="0" topLeftCell="P1" workbookViewId="0">
      <selection activeCell="U10" sqref="U1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16.375" style="513" bestFit="1" customWidth="1"/>
    <col min="19" max="19" width="5" style="513" customWidth="1"/>
    <col min="20" max="20" width="11.75" style="513" bestFit="1" customWidth="1"/>
    <col min="21" max="16384" width="12.5" style="513"/>
  </cols>
  <sheetData>
    <row r="1" spans="1:22" ht="15">
      <c r="O1" s="514"/>
      <c r="R1" s="516" t="s">
        <v>65</v>
      </c>
      <c r="S1" s="516"/>
      <c r="T1" s="517" t="s">
        <v>271</v>
      </c>
    </row>
    <row r="2" spans="1:22">
      <c r="O2" s="514"/>
      <c r="R2" s="519" t="e">
        <f>#REF!</f>
        <v>#REF!</v>
      </c>
      <c r="S2" s="518"/>
      <c r="T2" s="519" t="e">
        <f>#REF!</f>
        <v>#REF!</v>
      </c>
    </row>
    <row r="3" spans="1:22">
      <c r="A3" s="515" t="s">
        <v>298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70" t="s">
        <v>300</v>
      </c>
      <c r="N3" s="515"/>
      <c r="O3" s="515"/>
      <c r="R3" s="519" t="e">
        <f>#REF!</f>
        <v>#REF!</v>
      </c>
      <c r="S3" s="518"/>
      <c r="T3" s="519" t="e">
        <f>#REF!</f>
        <v>#REF!</v>
      </c>
    </row>
    <row r="4" spans="1:22" ht="14.25" thickBot="1">
      <c r="A4" s="57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  <c r="R4" s="519" t="e">
        <f>#REF!</f>
        <v>#REF!</v>
      </c>
      <c r="S4" s="518"/>
      <c r="T4" s="519" t="e">
        <f>#REF!</f>
        <v>#REF!</v>
      </c>
    </row>
    <row r="5" spans="1:22">
      <c r="A5" s="523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#REF!</f>
        <v>#REF!</v>
      </c>
      <c r="S5" s="518"/>
      <c r="T5" s="519" t="e">
        <f>#REF!</f>
        <v>#REF!</v>
      </c>
    </row>
    <row r="6" spans="1:22">
      <c r="A6" s="525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#REF!</f>
        <v>#REF!</v>
      </c>
      <c r="S6" s="518"/>
      <c r="T6" s="519" t="e">
        <f>#REF!</f>
        <v>#REF!</v>
      </c>
    </row>
    <row r="7" spans="1:22">
      <c r="A7" s="525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 t="e">
        <f>#REF!</f>
        <v>#REF!</v>
      </c>
      <c r="S7" s="518"/>
      <c r="T7" s="519" t="e">
        <f>#REF!</f>
        <v>#REF!</v>
      </c>
    </row>
    <row r="8" spans="1:22">
      <c r="A8" s="525" t="s">
        <v>288</v>
      </c>
      <c r="B8" s="525"/>
      <c r="C8" s="525" t="s">
        <v>289</v>
      </c>
      <c r="D8" s="525"/>
      <c r="E8" s="525" t="s">
        <v>290</v>
      </c>
      <c r="F8" s="525"/>
      <c r="G8" s="525" t="s">
        <v>291</v>
      </c>
      <c r="H8" s="525"/>
      <c r="I8" s="525" t="s">
        <v>278</v>
      </c>
      <c r="J8" s="525"/>
      <c r="K8" s="525" t="s">
        <v>290</v>
      </c>
      <c r="L8" s="525"/>
      <c r="M8" s="525" t="s">
        <v>292</v>
      </c>
      <c r="N8" s="525"/>
      <c r="O8" s="525" t="s">
        <v>293</v>
      </c>
    </row>
    <row r="9" spans="1:22">
      <c r="A9" s="572"/>
      <c r="B9" s="515"/>
      <c r="C9" s="572"/>
      <c r="D9" s="529"/>
      <c r="E9" s="565"/>
      <c r="F9" s="529"/>
      <c r="G9" s="565"/>
      <c r="H9" s="529"/>
      <c r="I9" s="565"/>
      <c r="J9" s="529"/>
      <c r="K9" s="565"/>
      <c r="L9" s="529"/>
      <c r="M9" s="565"/>
      <c r="N9" s="529"/>
      <c r="O9" s="565"/>
      <c r="T9" s="530"/>
    </row>
    <row r="10" spans="1:22">
      <c r="A10" s="552">
        <f t="shared" ref="A10:A15" si="0">P10*1000</f>
        <v>0</v>
      </c>
      <c r="B10" s="515"/>
      <c r="C10" s="532">
        <v>0</v>
      </c>
      <c r="D10" s="529"/>
      <c r="E10" s="573">
        <f>C10</f>
        <v>0</v>
      </c>
      <c r="F10" s="529"/>
      <c r="G10" s="533">
        <f t="shared" ref="G10:G15" si="1">A10*C10</f>
        <v>0</v>
      </c>
      <c r="H10" s="529"/>
      <c r="I10" s="574">
        <f>G10</f>
        <v>0</v>
      </c>
      <c r="J10" s="529"/>
      <c r="K10" s="533">
        <f t="shared" ref="K10:K15" si="2">$E$15-E10</f>
        <v>11</v>
      </c>
      <c r="L10" s="529"/>
      <c r="M10" s="533">
        <f t="shared" ref="M10:M15" si="3">(A10*K10)+I10</f>
        <v>0</v>
      </c>
      <c r="N10" s="529"/>
      <c r="O10" s="534">
        <f t="shared" ref="O10:O15" si="4">I10/$I$15</f>
        <v>0</v>
      </c>
      <c r="P10" s="532">
        <v>0</v>
      </c>
      <c r="R10" s="535"/>
      <c r="T10" s="536" t="e">
        <f t="shared" ref="T10:T15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2">
      <c r="A11" s="552">
        <f t="shared" si="0"/>
        <v>2000</v>
      </c>
      <c r="B11" s="515"/>
      <c r="C11" s="532">
        <v>2</v>
      </c>
      <c r="D11" s="533"/>
      <c r="E11" s="575">
        <f>C11</f>
        <v>2</v>
      </c>
      <c r="F11" s="533"/>
      <c r="G11" s="533">
        <f t="shared" si="1"/>
        <v>4000</v>
      </c>
      <c r="H11" s="533"/>
      <c r="I11" s="533">
        <f>G11</f>
        <v>4000</v>
      </c>
      <c r="J11" s="533"/>
      <c r="K11" s="533">
        <f t="shared" si="2"/>
        <v>9</v>
      </c>
      <c r="L11" s="533"/>
      <c r="M11" s="533">
        <f t="shared" si="3"/>
        <v>22000</v>
      </c>
      <c r="N11" s="515"/>
      <c r="O11" s="534">
        <f t="shared" si="4"/>
        <v>9.5238095238095233E-2</v>
      </c>
      <c r="P11" s="532">
        <v>2</v>
      </c>
      <c r="Q11" s="561"/>
      <c r="R11" s="535"/>
      <c r="T11" s="536" t="e">
        <f t="shared" si="5"/>
        <v>#REF!</v>
      </c>
      <c r="U11" s="547"/>
    </row>
    <row r="12" spans="1:22">
      <c r="A12" s="552">
        <f t="shared" si="0"/>
        <v>3000</v>
      </c>
      <c r="B12" s="515"/>
      <c r="C12" s="532">
        <v>3</v>
      </c>
      <c r="D12" s="533"/>
      <c r="E12" s="575">
        <f>E11+C12</f>
        <v>5</v>
      </c>
      <c r="F12" s="533"/>
      <c r="G12" s="533">
        <f t="shared" si="1"/>
        <v>9000</v>
      </c>
      <c r="H12" s="533"/>
      <c r="I12" s="533">
        <f>I11+G12</f>
        <v>13000</v>
      </c>
      <c r="J12" s="533"/>
      <c r="K12" s="533">
        <f t="shared" si="2"/>
        <v>6</v>
      </c>
      <c r="L12" s="533"/>
      <c r="M12" s="533">
        <f t="shared" si="3"/>
        <v>31000</v>
      </c>
      <c r="N12" s="515"/>
      <c r="O12" s="534">
        <f t="shared" si="4"/>
        <v>0.30952380952380953</v>
      </c>
      <c r="P12" s="532">
        <v>3</v>
      </c>
      <c r="Q12" s="561"/>
      <c r="T12" s="536" t="e">
        <f t="shared" si="5"/>
        <v>#REF!</v>
      </c>
      <c r="U12" s="547"/>
    </row>
    <row r="13" spans="1:22">
      <c r="A13" s="552">
        <f t="shared" si="0"/>
        <v>4000</v>
      </c>
      <c r="B13" s="515"/>
      <c r="C13" s="532">
        <v>3</v>
      </c>
      <c r="D13" s="533"/>
      <c r="E13" s="575">
        <f>E12+C13</f>
        <v>8</v>
      </c>
      <c r="F13" s="533"/>
      <c r="G13" s="533">
        <f t="shared" si="1"/>
        <v>12000</v>
      </c>
      <c r="H13" s="533"/>
      <c r="I13" s="533">
        <f>I12+G13</f>
        <v>25000</v>
      </c>
      <c r="J13" s="533"/>
      <c r="K13" s="533">
        <f t="shared" si="2"/>
        <v>3</v>
      </c>
      <c r="L13" s="533"/>
      <c r="M13" s="533">
        <f t="shared" si="3"/>
        <v>37000</v>
      </c>
      <c r="N13" s="515"/>
      <c r="O13" s="534">
        <f t="shared" si="4"/>
        <v>0.59523809523809523</v>
      </c>
      <c r="P13" s="532">
        <v>4</v>
      </c>
      <c r="Q13" s="561"/>
      <c r="T13" s="536" t="e">
        <f t="shared" si="5"/>
        <v>#REF!</v>
      </c>
      <c r="U13" s="547"/>
    </row>
    <row r="14" spans="1:22">
      <c r="A14" s="552">
        <f t="shared" si="0"/>
        <v>5000</v>
      </c>
      <c r="B14" s="515"/>
      <c r="C14" s="532">
        <v>1</v>
      </c>
      <c r="D14" s="533"/>
      <c r="E14" s="575">
        <f>E13+C14</f>
        <v>9</v>
      </c>
      <c r="F14" s="533"/>
      <c r="G14" s="533">
        <f t="shared" si="1"/>
        <v>5000</v>
      </c>
      <c r="H14" s="533"/>
      <c r="I14" s="533">
        <f>I13+G14</f>
        <v>30000</v>
      </c>
      <c r="J14" s="533"/>
      <c r="K14" s="533">
        <f t="shared" si="2"/>
        <v>2</v>
      </c>
      <c r="L14" s="533"/>
      <c r="M14" s="533">
        <f t="shared" si="3"/>
        <v>40000</v>
      </c>
      <c r="N14" s="515"/>
      <c r="O14" s="534">
        <f t="shared" si="4"/>
        <v>0.7142857142857143</v>
      </c>
      <c r="P14" s="532">
        <v>5</v>
      </c>
      <c r="Q14" s="561"/>
      <c r="T14" s="536" t="e">
        <f t="shared" si="5"/>
        <v>#REF!</v>
      </c>
      <c r="U14" s="547"/>
    </row>
    <row r="15" spans="1:22">
      <c r="A15" s="552">
        <f t="shared" si="0"/>
        <v>6000</v>
      </c>
      <c r="B15" s="515"/>
      <c r="C15" s="532">
        <v>2</v>
      </c>
      <c r="D15" s="533"/>
      <c r="E15" s="575">
        <f>E14+C15</f>
        <v>11</v>
      </c>
      <c r="F15" s="533"/>
      <c r="G15" s="533">
        <f t="shared" si="1"/>
        <v>12000</v>
      </c>
      <c r="H15" s="533"/>
      <c r="I15" s="533">
        <f>I14+G15</f>
        <v>42000</v>
      </c>
      <c r="J15" s="533"/>
      <c r="K15" s="533">
        <f t="shared" si="2"/>
        <v>0</v>
      </c>
      <c r="L15" s="533"/>
      <c r="M15" s="533">
        <f t="shared" si="3"/>
        <v>42000</v>
      </c>
      <c r="N15" s="515"/>
      <c r="O15" s="534">
        <f t="shared" si="4"/>
        <v>1</v>
      </c>
      <c r="P15" s="532">
        <v>6</v>
      </c>
      <c r="Q15" s="561"/>
      <c r="T15" s="536" t="e">
        <f t="shared" si="5"/>
        <v>#REF!</v>
      </c>
      <c r="U15" s="547"/>
      <c r="V15" s="576"/>
    </row>
    <row r="16" spans="1:22">
      <c r="T16" s="536"/>
    </row>
    <row r="17" spans="20:20">
      <c r="T17" s="554" t="e">
        <f>SUM(T10:T15)</f>
        <v>#REF!</v>
      </c>
    </row>
    <row r="18" spans="20:20" hidden="1">
      <c r="T18" s="536">
        <v>162</v>
      </c>
    </row>
    <row r="19" spans="20:20" hidden="1">
      <c r="T19" s="536" t="e">
        <f>T17-T18</f>
        <v>#REF!</v>
      </c>
    </row>
    <row r="20" spans="20:20" hidden="1">
      <c r="T20" s="550" t="e">
        <f>T19/T17</f>
        <v>#REF!</v>
      </c>
    </row>
    <row r="21" spans="20:20">
      <c r="T21" s="536"/>
    </row>
    <row r="22" spans="20:20">
      <c r="T22" s="536"/>
    </row>
    <row r="23" spans="20:20">
      <c r="T23" s="536"/>
    </row>
    <row r="24" spans="20:20">
      <c r="T24" s="536"/>
    </row>
    <row r="25" spans="20:20">
      <c r="T25" s="536"/>
    </row>
    <row r="26" spans="20:20">
      <c r="T26" s="536"/>
    </row>
    <row r="27" spans="20:20">
      <c r="T27" s="536"/>
    </row>
    <row r="28" spans="20:20">
      <c r="T28" s="536"/>
    </row>
    <row r="29" spans="20:20">
      <c r="T29" s="536"/>
    </row>
    <row r="30" spans="20:20">
      <c r="T30" s="536"/>
    </row>
    <row r="31" spans="20:20">
      <c r="T31" s="536"/>
    </row>
    <row r="32" spans="20:20">
      <c r="T32" s="536"/>
    </row>
    <row r="33" spans="20:20">
      <c r="T33" s="536"/>
    </row>
    <row r="34" spans="20:20">
      <c r="T34" s="536"/>
    </row>
    <row r="35" spans="20:20">
      <c r="T35" s="536"/>
    </row>
    <row r="36" spans="20:20">
      <c r="T36" s="536"/>
    </row>
    <row r="37" spans="20:20">
      <c r="T37" s="536"/>
    </row>
    <row r="38" spans="20:20">
      <c r="T38" s="536"/>
    </row>
    <row r="39" spans="20:20">
      <c r="T39" s="536"/>
    </row>
    <row r="40" spans="20:20">
      <c r="T40" s="536"/>
    </row>
    <row r="41" spans="20:20">
      <c r="T41" s="536"/>
    </row>
    <row r="42" spans="20:20">
      <c r="T42" s="536"/>
    </row>
    <row r="43" spans="20:20">
      <c r="T43" s="536"/>
    </row>
    <row r="44" spans="20:20">
      <c r="T44" s="536"/>
    </row>
    <row r="45" spans="20:20">
      <c r="T45" s="536"/>
    </row>
    <row r="46" spans="20:20">
      <c r="T46" s="536"/>
    </row>
    <row r="47" spans="20:20">
      <c r="T47" s="536"/>
    </row>
    <row r="48" spans="20:20">
      <c r="T48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A1:Y234"/>
  <sheetViews>
    <sheetView tabSelected="1" view="pageBreakPreview" zoomScale="75" zoomScaleNormal="100" zoomScaleSheetLayoutView="75" workbookViewId="0">
      <pane xSplit="7" ySplit="1" topLeftCell="H45" activePane="bottomRight" state="frozen"/>
      <selection activeCell="C22" sqref="C22"/>
      <selection pane="topRight" activeCell="C22" sqref="C22"/>
      <selection pane="bottomLeft" activeCell="C22" sqref="C22"/>
      <selection pane="bottomRight" activeCell="N206" sqref="N206"/>
    </sheetView>
  </sheetViews>
  <sheetFormatPr defaultColWidth="10.875" defaultRowHeight="12.75"/>
  <cols>
    <col min="1" max="1" width="5.875" style="1237" customWidth="1"/>
    <col min="2" max="2" width="10.875" style="1237" customWidth="1"/>
    <col min="3" max="3" width="11.875" style="1237" customWidth="1"/>
    <col min="4" max="4" width="20.25" style="1237" customWidth="1"/>
    <col min="5" max="5" width="1.875" style="1237" customWidth="1"/>
    <col min="6" max="6" width="14" style="1238" customWidth="1"/>
    <col min="7" max="7" width="2.875" style="1237" customWidth="1"/>
    <col min="8" max="8" width="14" style="1238" bestFit="1" customWidth="1"/>
    <col min="9" max="9" width="3.75" style="1237" customWidth="1"/>
    <col min="10" max="10" width="16" style="1238" bestFit="1" customWidth="1"/>
    <col min="11" max="11" width="2.5" style="1237" customWidth="1"/>
    <col min="12" max="12" width="15" style="1238" bestFit="1" customWidth="1"/>
    <col min="13" max="13" width="2.75" style="1237" customWidth="1"/>
    <col min="14" max="14" width="16" style="1238" bestFit="1" customWidth="1"/>
    <col min="15" max="15" width="13.5" style="1237" customWidth="1"/>
    <col min="16" max="16" width="14.5" style="1240" customWidth="1"/>
    <col min="17" max="17" width="9" style="1157" hidden="1" customWidth="1"/>
    <col min="18" max="18" width="12.375" style="1157" hidden="1" customWidth="1"/>
    <col min="19" max="21" width="9" style="1157" hidden="1" customWidth="1"/>
    <col min="22" max="24" width="11.125" style="1157" bestFit="1" customWidth="1"/>
    <col min="25" max="16384" width="10.875" style="1157"/>
  </cols>
  <sheetData>
    <row r="1" spans="1:25">
      <c r="A1" s="1236" t="str">
        <f>'Input Schedule'!G6</f>
        <v>WATER SERVICE CORPORATION OF KENTUCKY</v>
      </c>
      <c r="B1" s="1236"/>
      <c r="N1" s="1239" t="s">
        <v>665</v>
      </c>
    </row>
    <row r="2" spans="1:25">
      <c r="A2" s="1236" t="str">
        <f>'Sch.A-B.S'!F2</f>
        <v>Case No. 2013 - 00237</v>
      </c>
      <c r="B2" s="1236"/>
      <c r="N2" s="1239"/>
    </row>
    <row r="3" spans="1:25">
      <c r="A3" s="1236" t="s">
        <v>1230</v>
      </c>
      <c r="H3" s="1241"/>
      <c r="L3" s="1241"/>
      <c r="N3" s="1239" t="s">
        <v>1300</v>
      </c>
    </row>
    <row r="4" spans="1:25">
      <c r="A4" s="1236" t="str">
        <f>'Input Schedule'!G9</f>
        <v>Test Year 12/31/2012</v>
      </c>
      <c r="I4" s="1241"/>
      <c r="J4" s="1242"/>
    </row>
    <row r="5" spans="1:25">
      <c r="A5" s="1243"/>
      <c r="B5" s="1243"/>
      <c r="C5" s="1243"/>
      <c r="D5" s="1243"/>
      <c r="E5" s="1243"/>
      <c r="F5" s="1244" t="s">
        <v>486</v>
      </c>
      <c r="G5" s="1243"/>
      <c r="H5" s="1244" t="s">
        <v>576</v>
      </c>
      <c r="I5" s="1243"/>
      <c r="J5" s="1244" t="s">
        <v>576</v>
      </c>
      <c r="K5" s="1243"/>
      <c r="L5" s="1244" t="s">
        <v>153</v>
      </c>
      <c r="M5" s="1243"/>
      <c r="N5" s="1244" t="s">
        <v>576</v>
      </c>
    </row>
    <row r="6" spans="1:25">
      <c r="A6" s="1243"/>
      <c r="B6" s="1243"/>
      <c r="C6" s="1243"/>
      <c r="D6" s="1243"/>
      <c r="E6" s="1243"/>
      <c r="F6" s="1245" t="s">
        <v>622</v>
      </c>
      <c r="G6" s="1243"/>
      <c r="H6" s="1245" t="s">
        <v>79</v>
      </c>
      <c r="I6" s="1243"/>
      <c r="J6" s="1245" t="s">
        <v>567</v>
      </c>
      <c r="K6" s="1243"/>
      <c r="L6" s="1245" t="s">
        <v>575</v>
      </c>
      <c r="M6" s="1243"/>
      <c r="N6" s="1245" t="s">
        <v>153</v>
      </c>
    </row>
    <row r="7" spans="1:25">
      <c r="A7" s="1246" t="s">
        <v>574</v>
      </c>
      <c r="B7" s="1246"/>
      <c r="C7" s="1246"/>
    </row>
    <row r="8" spans="1:25">
      <c r="A8" s="1157"/>
      <c r="B8" s="1237" t="s">
        <v>165</v>
      </c>
      <c r="E8" s="1247"/>
      <c r="F8" s="1238">
        <f>F67+F127</f>
        <v>2066451.4</v>
      </c>
      <c r="G8" s="1247"/>
      <c r="H8" s="1238">
        <f>H67+H127</f>
        <v>37361.467777776532</v>
      </c>
      <c r="I8" s="1248"/>
      <c r="J8" s="1238">
        <f>F8+H8</f>
        <v>2103812.8677777764</v>
      </c>
      <c r="K8" s="1247"/>
      <c r="L8" s="1238">
        <f>L67</f>
        <v>228789.13222222356</v>
      </c>
      <c r="M8" s="1248" t="s">
        <v>817</v>
      </c>
      <c r="N8" s="1238">
        <f>+J8+L8</f>
        <v>2332602</v>
      </c>
      <c r="O8" s="1241">
        <f>-L8/('Linked TB'!F333+'Linked TB'!F335)</f>
        <v>0.1297647770234194</v>
      </c>
      <c r="P8" s="1249">
        <f>+L8/J8</f>
        <v>0.10874975418507152</v>
      </c>
      <c r="V8" s="1238"/>
      <c r="X8" s="1240"/>
      <c r="Y8" s="1240"/>
    </row>
    <row r="9" spans="1:25">
      <c r="A9" s="1157"/>
      <c r="B9" s="1237" t="s">
        <v>355</v>
      </c>
      <c r="E9" s="1247"/>
      <c r="F9" s="1238">
        <f>F68+F128</f>
        <v>0</v>
      </c>
      <c r="G9" s="1247"/>
      <c r="H9" s="1238">
        <f>H68+H128</f>
        <v>0</v>
      </c>
      <c r="I9" s="1248"/>
      <c r="J9" s="1238">
        <f>J68+J128</f>
        <v>0</v>
      </c>
      <c r="K9" s="1247"/>
      <c r="L9" s="1238">
        <f>L68+L128</f>
        <v>0</v>
      </c>
      <c r="M9" s="1248"/>
      <c r="O9" s="1238"/>
      <c r="P9" s="1249"/>
      <c r="V9" s="1250"/>
      <c r="X9" s="1240"/>
      <c r="Y9" s="1240"/>
    </row>
    <row r="10" spans="1:25">
      <c r="A10" s="1157"/>
      <c r="B10" s="1237" t="s">
        <v>356</v>
      </c>
      <c r="F10" s="1238">
        <f>F69+F129</f>
        <v>78994.850000000006</v>
      </c>
      <c r="H10" s="1238">
        <f>H69+H129</f>
        <v>0</v>
      </c>
      <c r="J10" s="1238">
        <f>J69+J129</f>
        <v>78994.850000000006</v>
      </c>
      <c r="L10" s="1238">
        <f>L69+L129</f>
        <v>0</v>
      </c>
      <c r="N10" s="1238">
        <f>N69+N129</f>
        <v>78994.850000000006</v>
      </c>
      <c r="O10" s="1238"/>
      <c r="P10" s="1249"/>
      <c r="V10" s="1240"/>
      <c r="X10" s="1251"/>
    </row>
    <row r="11" spans="1:25" ht="15">
      <c r="A11" s="1157"/>
      <c r="B11" s="1237" t="s">
        <v>72</v>
      </c>
      <c r="F11" s="1238">
        <f>F70+F130</f>
        <v>-37353.129999999997</v>
      </c>
      <c r="H11" s="1238">
        <f>H70+H130</f>
        <v>-675.34506879479886</v>
      </c>
      <c r="I11" s="1237" t="s">
        <v>852</v>
      </c>
      <c r="J11" s="1238">
        <f>J70+J130</f>
        <v>-38028.475068794796</v>
      </c>
      <c r="L11" s="1238">
        <f>L70</f>
        <v>-4135.5873157645547</v>
      </c>
      <c r="M11" s="1237" t="s">
        <v>852</v>
      </c>
      <c r="N11" s="1238">
        <f>N70+N130</f>
        <v>-42164.062384559351</v>
      </c>
      <c r="O11" s="1238"/>
      <c r="P11" s="1249"/>
      <c r="V11" s="17"/>
      <c r="W11" s="1240"/>
      <c r="X11" s="1251"/>
    </row>
    <row r="12" spans="1:25">
      <c r="F12" s="1252"/>
      <c r="H12" s="1252"/>
      <c r="J12" s="1252"/>
      <c r="L12" s="1252"/>
      <c r="N12" s="1252"/>
      <c r="O12" s="1240"/>
      <c r="V12" s="1253"/>
      <c r="W12" s="1240"/>
    </row>
    <row r="13" spans="1:25">
      <c r="A13" s="1237" t="s">
        <v>664</v>
      </c>
      <c r="E13" s="1247"/>
      <c r="F13" s="1254">
        <f>SUM(F7:F11)</f>
        <v>2108093.12</v>
      </c>
      <c r="G13" s="1247"/>
      <c r="H13" s="1254">
        <f>SUM(H7:H11)</f>
        <v>36686.122708981733</v>
      </c>
      <c r="I13" s="1247"/>
      <c r="J13" s="1254">
        <f>SUM(J7:J11)</f>
        <v>2144779.242708982</v>
      </c>
      <c r="K13" s="1247"/>
      <c r="L13" s="1254">
        <f>SUM(L7:L11)</f>
        <v>224653.54490645899</v>
      </c>
      <c r="M13" s="1247"/>
      <c r="N13" s="1254">
        <f>SUM(N7:N11)</f>
        <v>2369432.7876154408</v>
      </c>
      <c r="O13" s="1238"/>
      <c r="W13" s="1240"/>
    </row>
    <row r="14" spans="1:25">
      <c r="F14" s="1318">
        <f>+F13-F73-F133</f>
        <v>0</v>
      </c>
      <c r="O14" s="1238"/>
      <c r="W14" s="1240"/>
    </row>
    <row r="15" spans="1:25">
      <c r="A15" s="1246" t="s">
        <v>494</v>
      </c>
      <c r="B15" s="1246"/>
      <c r="C15" s="1246"/>
      <c r="D15" s="1255"/>
      <c r="H15" s="1241"/>
      <c r="O15" s="1157"/>
      <c r="W15" s="1240"/>
    </row>
    <row r="16" spans="1:25">
      <c r="B16" s="1237" t="s">
        <v>495</v>
      </c>
      <c r="D16" s="1241"/>
      <c r="F16" s="1238">
        <f t="shared" ref="F16:F25" si="0">F76+F136</f>
        <v>460337.63</v>
      </c>
      <c r="H16" s="1238">
        <f t="shared" ref="H16:H23" si="1">H76+H136</f>
        <v>58761.444683334383</v>
      </c>
      <c r="I16" s="1237" t="s">
        <v>853</v>
      </c>
      <c r="J16" s="1238">
        <f t="shared" ref="J16:J25" si="2">J76+J136</f>
        <v>519099.07468333439</v>
      </c>
      <c r="L16" s="1238">
        <f t="shared" ref="L16:L25" si="3">L76+L136</f>
        <v>0</v>
      </c>
      <c r="N16" s="1238">
        <f t="shared" ref="N16:N25" si="4">N76+N136</f>
        <v>519099.07468333439</v>
      </c>
      <c r="O16" s="1238"/>
      <c r="W16" s="1240"/>
      <c r="X16" s="1240"/>
      <c r="Y16" s="1240"/>
    </row>
    <row r="17" spans="1:25">
      <c r="B17" s="1237" t="s">
        <v>1232</v>
      </c>
      <c r="D17" s="1241"/>
      <c r="F17" s="1238">
        <f t="shared" si="0"/>
        <v>85200</v>
      </c>
      <c r="H17" s="1238">
        <f t="shared" si="1"/>
        <v>0</v>
      </c>
      <c r="J17" s="1238">
        <f t="shared" si="2"/>
        <v>85200</v>
      </c>
      <c r="L17" s="1238">
        <f t="shared" si="3"/>
        <v>0</v>
      </c>
      <c r="N17" s="1238">
        <f t="shared" si="4"/>
        <v>85200</v>
      </c>
      <c r="O17" s="1238"/>
      <c r="X17" s="1240"/>
      <c r="Y17" s="1240"/>
    </row>
    <row r="18" spans="1:25">
      <c r="B18" s="1237" t="s">
        <v>394</v>
      </c>
      <c r="D18" s="1241"/>
      <c r="F18" s="1238">
        <f t="shared" si="0"/>
        <v>95111.039999999994</v>
      </c>
      <c r="H18" s="1238">
        <f t="shared" si="1"/>
        <v>0</v>
      </c>
      <c r="J18" s="1238">
        <f t="shared" si="2"/>
        <v>95111.039999999994</v>
      </c>
      <c r="L18" s="1238">
        <f t="shared" si="3"/>
        <v>0</v>
      </c>
      <c r="N18" s="1238">
        <f t="shared" si="4"/>
        <v>95111.039999999994</v>
      </c>
      <c r="O18" s="1238"/>
      <c r="X18" s="1240"/>
      <c r="Y18" s="1240"/>
    </row>
    <row r="19" spans="1:25">
      <c r="B19" s="1237" t="s">
        <v>389</v>
      </c>
      <c r="D19" s="1241"/>
      <c r="F19" s="1238">
        <f t="shared" si="0"/>
        <v>98162.650000000009</v>
      </c>
      <c r="H19" s="1238">
        <f t="shared" si="1"/>
        <v>0</v>
      </c>
      <c r="J19" s="1238">
        <f t="shared" si="2"/>
        <v>98162.650000000009</v>
      </c>
      <c r="L19" s="1238">
        <f t="shared" si="3"/>
        <v>0</v>
      </c>
      <c r="N19" s="1238">
        <f t="shared" si="4"/>
        <v>98162.650000000009</v>
      </c>
      <c r="O19" s="1238"/>
      <c r="X19" s="1240"/>
      <c r="Y19" s="1240"/>
    </row>
    <row r="20" spans="1:25">
      <c r="B20" s="1237" t="s">
        <v>80</v>
      </c>
      <c r="D20" s="1241"/>
      <c r="F20" s="1238">
        <f t="shared" si="0"/>
        <v>34092.270000000004</v>
      </c>
      <c r="H20" s="1238">
        <f t="shared" si="1"/>
        <v>0</v>
      </c>
      <c r="J20" s="1238">
        <f t="shared" si="2"/>
        <v>34092.270000000004</v>
      </c>
      <c r="L20" s="1238">
        <f t="shared" si="3"/>
        <v>0</v>
      </c>
      <c r="N20" s="1238">
        <f t="shared" si="4"/>
        <v>34092.270000000004</v>
      </c>
      <c r="O20" s="1238"/>
      <c r="X20" s="1240"/>
      <c r="Y20" s="1240"/>
    </row>
    <row r="21" spans="1:25">
      <c r="B21" s="1237" t="s">
        <v>566</v>
      </c>
      <c r="D21" s="1241"/>
      <c r="F21" s="1238">
        <f t="shared" si="0"/>
        <v>0</v>
      </c>
      <c r="H21" s="1238">
        <f t="shared" si="1"/>
        <v>0</v>
      </c>
      <c r="J21" s="1238">
        <f t="shared" si="2"/>
        <v>0</v>
      </c>
      <c r="L21" s="1238">
        <f t="shared" si="3"/>
        <v>0</v>
      </c>
      <c r="N21" s="1238">
        <f t="shared" si="4"/>
        <v>0</v>
      </c>
      <c r="O21" s="1238"/>
      <c r="X21" s="1240"/>
      <c r="Y21" s="1240"/>
    </row>
    <row r="22" spans="1:25">
      <c r="B22" s="1237" t="s">
        <v>806</v>
      </c>
      <c r="D22" s="1241"/>
      <c r="F22" s="1238">
        <f t="shared" si="0"/>
        <v>145421.15</v>
      </c>
      <c r="H22" s="1238">
        <f t="shared" si="1"/>
        <v>0</v>
      </c>
      <c r="J22" s="1238">
        <f t="shared" si="2"/>
        <v>145421.15</v>
      </c>
      <c r="L22" s="1238">
        <f t="shared" si="3"/>
        <v>0</v>
      </c>
      <c r="N22" s="1238">
        <f t="shared" si="4"/>
        <v>145421.15</v>
      </c>
      <c r="O22" s="1238"/>
      <c r="X22" s="1240"/>
      <c r="Y22" s="1240"/>
    </row>
    <row r="23" spans="1:25">
      <c r="B23" s="1237" t="s">
        <v>100</v>
      </c>
      <c r="D23" s="1241"/>
      <c r="F23" s="1238">
        <f t="shared" si="0"/>
        <v>46787.57</v>
      </c>
      <c r="H23" s="1238">
        <f t="shared" si="1"/>
        <v>-12013.825750325363</v>
      </c>
      <c r="J23" s="1238">
        <f t="shared" si="2"/>
        <v>34773.744249674637</v>
      </c>
      <c r="L23" s="1238">
        <f t="shared" si="3"/>
        <v>0</v>
      </c>
      <c r="N23" s="1238">
        <f t="shared" si="4"/>
        <v>34773.744249674637</v>
      </c>
      <c r="O23" s="1238"/>
      <c r="X23" s="1240"/>
      <c r="Y23" s="1240"/>
    </row>
    <row r="24" spans="1:25">
      <c r="B24" s="1237" t="s">
        <v>491</v>
      </c>
      <c r="D24" s="1241"/>
      <c r="F24" s="1238">
        <f t="shared" si="0"/>
        <v>-132209.91</v>
      </c>
      <c r="H24" s="1238">
        <f>+J24-F24</f>
        <v>-31658.629946780828</v>
      </c>
      <c r="I24" s="1237" t="s">
        <v>854</v>
      </c>
      <c r="J24" s="1238">
        <f t="shared" si="2"/>
        <v>-163868.53994678083</v>
      </c>
      <c r="L24" s="1238">
        <f t="shared" si="3"/>
        <v>0</v>
      </c>
      <c r="N24" s="1238">
        <f t="shared" si="4"/>
        <v>-163868.53994678083</v>
      </c>
      <c r="O24" s="1238"/>
      <c r="X24" s="1240"/>
      <c r="Y24" s="1240"/>
    </row>
    <row r="25" spans="1:25">
      <c r="B25" s="1237" t="s">
        <v>82</v>
      </c>
      <c r="D25" s="1241"/>
      <c r="F25" s="1238">
        <f t="shared" si="0"/>
        <v>30000.84</v>
      </c>
      <c r="H25" s="1238">
        <f>H85+H145</f>
        <v>0</v>
      </c>
      <c r="J25" s="1238">
        <f t="shared" si="2"/>
        <v>30000.84</v>
      </c>
      <c r="L25" s="1238">
        <f t="shared" si="3"/>
        <v>0</v>
      </c>
      <c r="N25" s="1238">
        <f t="shared" si="4"/>
        <v>30000.84</v>
      </c>
      <c r="O25" s="1238"/>
      <c r="X25" s="1240"/>
      <c r="Y25" s="1240"/>
    </row>
    <row r="26" spans="1:25">
      <c r="F26" s="1252"/>
      <c r="H26" s="1252"/>
      <c r="J26" s="1252"/>
      <c r="L26" s="1252"/>
      <c r="N26" s="1252"/>
      <c r="O26" s="1238"/>
      <c r="X26" s="1240"/>
      <c r="Y26" s="1240"/>
    </row>
    <row r="27" spans="1:25">
      <c r="B27" s="1237" t="s">
        <v>83</v>
      </c>
      <c r="E27" s="1247"/>
      <c r="F27" s="1254">
        <f>SUM(F16:F25)</f>
        <v>862903.24</v>
      </c>
      <c r="G27" s="1247"/>
      <c r="H27" s="1254">
        <f>SUM(H16:H25)</f>
        <v>15088.988986228193</v>
      </c>
      <c r="I27" s="1247"/>
      <c r="J27" s="1254">
        <f>SUM(J16:J25)</f>
        <v>877992.22898622823</v>
      </c>
      <c r="K27" s="1247"/>
      <c r="L27" s="1254">
        <f>SUM(L16:L25)</f>
        <v>0</v>
      </c>
      <c r="M27" s="1247"/>
      <c r="N27" s="1254">
        <f>SUM(N16:N25)</f>
        <v>877992.22898622823</v>
      </c>
      <c r="O27" s="1238"/>
      <c r="X27" s="1240"/>
      <c r="Y27" s="1240"/>
    </row>
    <row r="28" spans="1:25">
      <c r="D28" s="1241"/>
      <c r="F28" s="1319">
        <f>+F27-F87-F147</f>
        <v>0</v>
      </c>
      <c r="H28" s="1256"/>
      <c r="J28" s="1256"/>
      <c r="L28" s="1256"/>
      <c r="N28" s="1256"/>
      <c r="O28" s="1238"/>
      <c r="X28" s="1240"/>
    </row>
    <row r="29" spans="1:25">
      <c r="A29" s="1246" t="s">
        <v>84</v>
      </c>
      <c r="B29" s="1246"/>
      <c r="C29" s="1246"/>
      <c r="D29" s="1255"/>
      <c r="O29" s="1157"/>
      <c r="X29" s="1240"/>
    </row>
    <row r="30" spans="1:25">
      <c r="B30" s="1237" t="s">
        <v>495</v>
      </c>
      <c r="D30" s="1241"/>
      <c r="E30" s="1247"/>
      <c r="F30" s="1238">
        <f t="shared" ref="F30:F37" si="5">F90+F150</f>
        <v>229319.14</v>
      </c>
      <c r="G30" s="1247"/>
      <c r="H30" s="1238">
        <f t="shared" ref="H30:H37" si="6">H90+H150</f>
        <v>-55670.769365013693</v>
      </c>
      <c r="I30" s="1237" t="s">
        <v>853</v>
      </c>
      <c r="J30" s="1238">
        <f t="shared" ref="J30:J37" si="7">J90+J150</f>
        <v>173648.37063498632</v>
      </c>
      <c r="K30" s="1247"/>
      <c r="L30" s="1238">
        <f t="shared" ref="L30:L37" si="8">L90+L150</f>
        <v>0</v>
      </c>
      <c r="M30" s="1247"/>
      <c r="N30" s="1238">
        <f t="shared" ref="N30:N37" si="9">N90+N150</f>
        <v>173648.37063498632</v>
      </c>
      <c r="O30" s="1238"/>
      <c r="X30" s="1240"/>
      <c r="Y30" s="1240"/>
    </row>
    <row r="31" spans="1:25">
      <c r="B31" s="1237" t="s">
        <v>385</v>
      </c>
      <c r="D31" s="1241"/>
      <c r="F31" s="1238">
        <f t="shared" si="5"/>
        <v>79610.430000000008</v>
      </c>
      <c r="H31" s="1238">
        <f t="shared" si="6"/>
        <v>0</v>
      </c>
      <c r="J31" s="1238">
        <f t="shared" si="7"/>
        <v>79610.430000000008</v>
      </c>
      <c r="L31" s="1238">
        <f t="shared" si="8"/>
        <v>0</v>
      </c>
      <c r="N31" s="1238">
        <f t="shared" si="9"/>
        <v>79610.430000000008</v>
      </c>
      <c r="O31" s="1238"/>
      <c r="X31" s="1240"/>
      <c r="Y31" s="1240"/>
    </row>
    <row r="32" spans="1:25">
      <c r="B32" s="1237" t="s">
        <v>386</v>
      </c>
      <c r="D32" s="1241"/>
      <c r="F32" s="1238">
        <f t="shared" si="5"/>
        <v>99562.89</v>
      </c>
      <c r="H32" s="1238">
        <f t="shared" si="6"/>
        <v>-25902.89</v>
      </c>
      <c r="I32" s="1237" t="s">
        <v>855</v>
      </c>
      <c r="J32" s="1238">
        <f t="shared" si="7"/>
        <v>73660</v>
      </c>
      <c r="L32" s="1238">
        <f t="shared" si="8"/>
        <v>0</v>
      </c>
      <c r="N32" s="1238">
        <f t="shared" si="9"/>
        <v>73660</v>
      </c>
      <c r="O32" s="1238"/>
      <c r="X32" s="1240"/>
      <c r="Y32" s="1240"/>
    </row>
    <row r="33" spans="1:25">
      <c r="B33" s="1237" t="s">
        <v>2</v>
      </c>
      <c r="D33" s="1257"/>
      <c r="F33" s="1238">
        <f t="shared" si="5"/>
        <v>122141.03999999998</v>
      </c>
      <c r="H33" s="1238">
        <f t="shared" si="6"/>
        <v>38574.556908920786</v>
      </c>
      <c r="I33" s="1248" t="s">
        <v>853</v>
      </c>
      <c r="J33" s="1238">
        <f t="shared" si="7"/>
        <v>160715.59690892076</v>
      </c>
      <c r="L33" s="1238">
        <f t="shared" si="8"/>
        <v>0</v>
      </c>
      <c r="M33" s="1255"/>
      <c r="N33" s="1238">
        <f t="shared" si="9"/>
        <v>160715.59690892076</v>
      </c>
      <c r="O33" s="1238"/>
      <c r="X33" s="1240"/>
      <c r="Y33" s="1240"/>
    </row>
    <row r="34" spans="1:25">
      <c r="B34" s="1237" t="s">
        <v>378</v>
      </c>
      <c r="D34" s="1241"/>
      <c r="F34" s="1238">
        <f t="shared" si="5"/>
        <v>6253.99</v>
      </c>
      <c r="H34" s="1238">
        <f t="shared" si="6"/>
        <v>0</v>
      </c>
      <c r="J34" s="1238">
        <f t="shared" si="7"/>
        <v>6253.99</v>
      </c>
      <c r="L34" s="1238">
        <f t="shared" si="8"/>
        <v>0</v>
      </c>
      <c r="N34" s="1238">
        <f t="shared" si="9"/>
        <v>6253.99</v>
      </c>
      <c r="O34" s="1238"/>
      <c r="X34" s="1240"/>
      <c r="Y34" s="1240"/>
    </row>
    <row r="35" spans="1:25">
      <c r="B35" s="1237" t="s">
        <v>379</v>
      </c>
      <c r="D35" s="1241"/>
      <c r="F35" s="1238">
        <f t="shared" si="5"/>
        <v>63191.840000000004</v>
      </c>
      <c r="H35" s="1238">
        <f t="shared" si="6"/>
        <v>0</v>
      </c>
      <c r="J35" s="1238">
        <f t="shared" si="7"/>
        <v>63191.840000000004</v>
      </c>
      <c r="L35" s="1238">
        <f t="shared" si="8"/>
        <v>0</v>
      </c>
      <c r="N35" s="1238">
        <f t="shared" si="9"/>
        <v>63191.840000000004</v>
      </c>
      <c r="O35" s="1238"/>
      <c r="X35" s="1240"/>
      <c r="Y35" s="1240"/>
    </row>
    <row r="36" spans="1:25">
      <c r="B36" s="1237" t="s">
        <v>931</v>
      </c>
      <c r="D36" s="1241"/>
      <c r="F36" s="1238">
        <f t="shared" si="5"/>
        <v>54272.830000000009</v>
      </c>
      <c r="H36" s="1238">
        <f t="shared" si="6"/>
        <v>0</v>
      </c>
      <c r="J36" s="1238">
        <f t="shared" si="7"/>
        <v>54272.830000000009</v>
      </c>
      <c r="L36" s="1238">
        <f t="shared" si="8"/>
        <v>0</v>
      </c>
      <c r="N36" s="1238">
        <f t="shared" si="9"/>
        <v>54272.830000000009</v>
      </c>
      <c r="O36" s="1238"/>
      <c r="X36" s="1240"/>
      <c r="Y36" s="1240"/>
    </row>
    <row r="37" spans="1:25">
      <c r="B37" s="1237" t="s">
        <v>492</v>
      </c>
      <c r="D37" s="1241"/>
      <c r="F37" s="1238">
        <f t="shared" si="5"/>
        <v>25118.549999999996</v>
      </c>
      <c r="H37" s="1238">
        <f t="shared" si="6"/>
        <v>-12945.199493573316</v>
      </c>
      <c r="J37" s="1238">
        <f t="shared" si="7"/>
        <v>12173.350506426679</v>
      </c>
      <c r="L37" s="1238">
        <f t="shared" si="8"/>
        <v>0</v>
      </c>
      <c r="N37" s="1238">
        <f t="shared" si="9"/>
        <v>12173.350506426679</v>
      </c>
      <c r="O37" s="1238"/>
      <c r="X37" s="1240"/>
      <c r="Y37" s="1240"/>
    </row>
    <row r="38" spans="1:25">
      <c r="F38" s="1252"/>
      <c r="H38" s="1252"/>
      <c r="J38" s="1252"/>
      <c r="L38" s="1252"/>
      <c r="N38" s="1252"/>
      <c r="O38" s="1238"/>
      <c r="X38" s="1240"/>
      <c r="Y38" s="1240"/>
    </row>
    <row r="39" spans="1:25">
      <c r="B39" s="1237" t="s">
        <v>83</v>
      </c>
      <c r="E39" s="1247"/>
      <c r="F39" s="1254">
        <f>SUM(F30:F38)</f>
        <v>679470.71</v>
      </c>
      <c r="G39" s="1247"/>
      <c r="H39" s="1254">
        <f>SUM(H30:H38)</f>
        <v>-55944.301949666224</v>
      </c>
      <c r="I39" s="1247"/>
      <c r="J39" s="1254">
        <f>SUM(J30:J38)</f>
        <v>623526.40805033362</v>
      </c>
      <c r="K39" s="1247"/>
      <c r="L39" s="1254">
        <f>SUM(L30:L38)</f>
        <v>0</v>
      </c>
      <c r="M39" s="1247"/>
      <c r="N39" s="1254">
        <f>SUM(N30:N38)</f>
        <v>623526.40805033362</v>
      </c>
      <c r="O39" s="1238"/>
      <c r="X39" s="1240"/>
      <c r="Y39" s="1240"/>
    </row>
    <row r="40" spans="1:25">
      <c r="F40" s="1319">
        <f>+F39-F99-F159</f>
        <v>0</v>
      </c>
      <c r="H40" s="1256"/>
      <c r="J40" s="1256"/>
      <c r="L40" s="1256"/>
      <c r="N40" s="1256"/>
      <c r="O40" s="1157"/>
      <c r="X40" s="1240"/>
      <c r="Y40" s="1240"/>
    </row>
    <row r="41" spans="1:25">
      <c r="A41" s="1237" t="s">
        <v>493</v>
      </c>
      <c r="F41" s="1238">
        <f>F101+F161</f>
        <v>316070.39</v>
      </c>
      <c r="H41" s="1238">
        <f>H101+H161</f>
        <v>-34241.999698227271</v>
      </c>
      <c r="I41" s="1237" t="s">
        <v>856</v>
      </c>
      <c r="J41" s="1238">
        <f>J101+J161</f>
        <v>281828.39030177274</v>
      </c>
      <c r="L41" s="1238">
        <f>L101+L161</f>
        <v>0</v>
      </c>
      <c r="N41" s="1238">
        <f>N101+N161</f>
        <v>281828.39030177274</v>
      </c>
      <c r="O41" s="1238"/>
      <c r="X41" s="1240"/>
      <c r="Y41" s="1240"/>
    </row>
    <row r="42" spans="1:25">
      <c r="A42" s="1237" t="s">
        <v>1234</v>
      </c>
      <c r="F42" s="1238">
        <f>F102+F162</f>
        <v>-3660.48</v>
      </c>
      <c r="H42" s="1238">
        <f>H102+H162</f>
        <v>3660.48</v>
      </c>
      <c r="I42" s="1237" t="s">
        <v>856</v>
      </c>
      <c r="J42" s="1238">
        <f>J102+J162</f>
        <v>0</v>
      </c>
      <c r="L42" s="1238">
        <f>L102+L162</f>
        <v>0</v>
      </c>
      <c r="N42" s="1238">
        <f>N102+N162</f>
        <v>0</v>
      </c>
      <c r="O42" s="1238"/>
      <c r="X42" s="1240"/>
      <c r="Y42" s="1240"/>
    </row>
    <row r="43" spans="1:25">
      <c r="A43" s="1237" t="s">
        <v>71</v>
      </c>
      <c r="F43" s="1238">
        <f>F103+F163</f>
        <v>135765.34999999998</v>
      </c>
      <c r="H43" s="1238">
        <f>H103+H163</f>
        <v>8297.1719566045649</v>
      </c>
      <c r="I43" s="1237" t="s">
        <v>857</v>
      </c>
      <c r="J43" s="1238">
        <f>J103+J163</f>
        <v>144062.52195660456</v>
      </c>
      <c r="L43" s="1238">
        <f>L103+L163</f>
        <v>-168.92789720475685</v>
      </c>
      <c r="M43" s="1237" t="s">
        <v>857</v>
      </c>
      <c r="N43" s="1238">
        <f>N103+N163</f>
        <v>143893.59405939979</v>
      </c>
      <c r="O43" s="1238"/>
      <c r="P43" s="1249"/>
      <c r="X43" s="1240"/>
      <c r="Y43" s="1249"/>
    </row>
    <row r="44" spans="1:25">
      <c r="A44" s="1237" t="s">
        <v>1249</v>
      </c>
      <c r="F44" s="1238">
        <f>F104+F167</f>
        <v>-153284.51999999999</v>
      </c>
      <c r="H44" s="1238">
        <f>H104+H166</f>
        <v>32576.179631843188</v>
      </c>
      <c r="I44" s="1237" t="s">
        <v>858</v>
      </c>
      <c r="J44" s="1238">
        <f>J104</f>
        <v>-120708.3403681568</v>
      </c>
      <c r="L44" s="1238">
        <f>L104+L166</f>
        <v>0</v>
      </c>
      <c r="N44" s="1238">
        <f>N104+N167</f>
        <v>-120708.3403681568</v>
      </c>
      <c r="O44" s="1238"/>
      <c r="X44" s="1240"/>
      <c r="Y44" s="1240"/>
    </row>
    <row r="45" spans="1:25" ht="15">
      <c r="A45" s="1237" t="s">
        <v>120</v>
      </c>
      <c r="F45" s="1238">
        <f>F106+F165</f>
        <v>23449.61</v>
      </c>
      <c r="H45" s="1238">
        <f>H106+H164</f>
        <v>31041.764276020192</v>
      </c>
      <c r="I45" s="1237" t="s">
        <v>550</v>
      </c>
      <c r="J45" s="1238">
        <f>J106+J165</f>
        <v>54491.374276020193</v>
      </c>
      <c r="L45" s="1238">
        <f>L106+L164</f>
        <v>71853.262308050878</v>
      </c>
      <c r="M45" s="1237" t="s">
        <v>550</v>
      </c>
      <c r="N45" s="1238">
        <f>+'wp(g)-inc.tx'!E37</f>
        <v>126344.63658407108</v>
      </c>
      <c r="O45" s="213"/>
      <c r="X45" s="1240"/>
      <c r="Y45" s="1240"/>
    </row>
    <row r="46" spans="1:25" ht="15">
      <c r="A46" s="1237" t="s">
        <v>497</v>
      </c>
      <c r="F46" s="1238">
        <f>F107+F166</f>
        <v>20912.5</v>
      </c>
      <c r="H46" s="1238">
        <f>H107+H165</f>
        <v>-10682.579923150153</v>
      </c>
      <c r="I46" s="1237" t="s">
        <v>550</v>
      </c>
      <c r="J46" s="1238">
        <f>+'wp(g)-inc.tx'!C26</f>
        <v>10229.920076849847</v>
      </c>
      <c r="L46" s="1238">
        <f>L107+L165</f>
        <v>13489.348368219815</v>
      </c>
      <c r="M46" s="1237" t="s">
        <v>550</v>
      </c>
      <c r="N46" s="1238">
        <f>+'wp(g)-inc.tx'!E26</f>
        <v>23719.268445069662</v>
      </c>
      <c r="O46" s="213"/>
      <c r="X46" s="1240"/>
      <c r="Y46" s="1240"/>
    </row>
    <row r="47" spans="1:25">
      <c r="A47" s="1237" t="s">
        <v>1236</v>
      </c>
      <c r="F47" s="1238">
        <f>F105+F168</f>
        <v>-1917.69</v>
      </c>
      <c r="H47" s="1238">
        <f>H105+H167</f>
        <v>-2311.7145999999998</v>
      </c>
      <c r="I47" s="1237" t="s">
        <v>856</v>
      </c>
      <c r="J47" s="1238">
        <f>J105+J168</f>
        <v>-4229.4045999999998</v>
      </c>
      <c r="L47" s="1238">
        <f>L105+L167</f>
        <v>0</v>
      </c>
      <c r="N47" s="1238">
        <f>N105+N168</f>
        <v>-4229.4045999999998</v>
      </c>
      <c r="O47" s="1258"/>
      <c r="X47" s="1240"/>
      <c r="Y47" s="1240"/>
    </row>
    <row r="48" spans="1:25">
      <c r="F48" s="1252"/>
      <c r="H48" s="1252"/>
      <c r="J48" s="1252"/>
      <c r="L48" s="1252"/>
      <c r="N48" s="1252"/>
      <c r="O48" s="1258"/>
      <c r="Y48" s="1240"/>
    </row>
    <row r="49" spans="1:24">
      <c r="B49" s="1237" t="s">
        <v>391</v>
      </c>
      <c r="E49" s="1247"/>
      <c r="F49" s="1254">
        <f>SUM(F41:F48)</f>
        <v>337335.16</v>
      </c>
      <c r="G49" s="1247"/>
      <c r="H49" s="1254">
        <f>SUM(H41:H48)</f>
        <v>28339.301643090526</v>
      </c>
      <c r="I49" s="1247"/>
      <c r="J49" s="1254">
        <f>SUM(J41:J48)</f>
        <v>365674.46164309059</v>
      </c>
      <c r="K49" s="1247"/>
      <c r="L49" s="1254">
        <f>SUM(L41:L48)</f>
        <v>85173.68277906593</v>
      </c>
      <c r="M49" s="1247"/>
      <c r="N49" s="1254">
        <f>SUM(N41:N48)</f>
        <v>450848.1444221565</v>
      </c>
      <c r="O49" s="1238"/>
      <c r="X49" s="1240"/>
    </row>
    <row r="50" spans="1:24">
      <c r="F50" s="1256"/>
      <c r="H50" s="1256"/>
      <c r="J50" s="1256"/>
      <c r="L50" s="1256"/>
      <c r="N50" s="1256"/>
      <c r="O50" s="1258"/>
      <c r="X50" s="1240"/>
    </row>
    <row r="51" spans="1:24">
      <c r="A51" s="1237" t="s">
        <v>577</v>
      </c>
      <c r="E51" s="1247"/>
      <c r="F51" s="1254">
        <f>F49+F39+F27</f>
        <v>1879709.1099999999</v>
      </c>
      <c r="G51" s="1247"/>
      <c r="H51" s="1254">
        <f>H49+H39+H27</f>
        <v>-12516.011320347505</v>
      </c>
      <c r="I51" s="1247"/>
      <c r="J51" s="1254">
        <f>J49+J39+J27</f>
        <v>1867193.0986796524</v>
      </c>
      <c r="K51" s="1247"/>
      <c r="L51" s="1254">
        <f>L49+L39+L27</f>
        <v>85173.68277906593</v>
      </c>
      <c r="M51" s="1247"/>
      <c r="N51" s="1254">
        <f>N49+N39+N27</f>
        <v>1952366.7814587182</v>
      </c>
      <c r="O51" s="1238"/>
      <c r="X51" s="1240"/>
    </row>
    <row r="52" spans="1:24">
      <c r="F52" s="1256"/>
      <c r="H52" s="1256"/>
      <c r="J52" s="1256"/>
      <c r="L52" s="1256"/>
      <c r="N52" s="1256"/>
      <c r="O52" s="1238"/>
      <c r="X52" s="1240"/>
    </row>
    <row r="53" spans="1:24">
      <c r="A53" s="1246" t="s">
        <v>591</v>
      </c>
      <c r="B53" s="1246"/>
      <c r="C53" s="1246"/>
      <c r="E53" s="1247"/>
      <c r="F53" s="1254">
        <f>F13-F51</f>
        <v>228384.01000000024</v>
      </c>
      <c r="G53" s="1247"/>
      <c r="H53" s="1254">
        <f>H13-H51</f>
        <v>49202.134029329238</v>
      </c>
      <c r="I53" s="1247"/>
      <c r="J53" s="1254">
        <f>J13-J51</f>
        <v>277586.14402932953</v>
      </c>
      <c r="K53" s="1247"/>
      <c r="L53" s="1254">
        <f>L13-L51</f>
        <v>139479.86212739308</v>
      </c>
      <c r="M53" s="1247"/>
      <c r="N53" s="1254">
        <f>N13-N51</f>
        <v>417066.00615672255</v>
      </c>
      <c r="O53" s="1238"/>
      <c r="X53" s="1240"/>
    </row>
    <row r="54" spans="1:24">
      <c r="F54" s="1256"/>
      <c r="H54" s="1256"/>
      <c r="J54" s="1256"/>
      <c r="L54" s="1256"/>
      <c r="N54" s="1256"/>
      <c r="O54" s="1238"/>
    </row>
    <row r="55" spans="1:24">
      <c r="A55" s="1237" t="s">
        <v>1237</v>
      </c>
      <c r="F55" s="1238">
        <f>F115+F176</f>
        <v>0</v>
      </c>
      <c r="H55" s="1238">
        <v>0</v>
      </c>
      <c r="J55" s="1238">
        <f>+H55+F55</f>
        <v>0</v>
      </c>
      <c r="L55" s="1238">
        <f>+L115+L176</f>
        <v>0</v>
      </c>
      <c r="N55" s="1238">
        <f>+N115+N176</f>
        <v>0</v>
      </c>
      <c r="O55" s="1157"/>
      <c r="X55" s="1240"/>
    </row>
    <row r="56" spans="1:24">
      <c r="A56" s="1237" t="s">
        <v>922</v>
      </c>
      <c r="F56" s="1238">
        <f>F116+F177</f>
        <v>-1730.25</v>
      </c>
      <c r="H56" s="1238">
        <f>H116+H177</f>
        <v>0</v>
      </c>
      <c r="J56" s="1238">
        <f>J116+J177</f>
        <v>-1730.25</v>
      </c>
      <c r="L56" s="1238">
        <f>L116+L177</f>
        <v>0</v>
      </c>
      <c r="N56" s="1238">
        <f>N116+N177</f>
        <v>-1730.25</v>
      </c>
      <c r="O56" s="1238"/>
      <c r="X56" s="1240"/>
    </row>
    <row r="57" spans="1:24">
      <c r="A57" s="1237" t="s">
        <v>126</v>
      </c>
      <c r="F57" s="1238">
        <f>F117+F178</f>
        <v>180120.68999999997</v>
      </c>
      <c r="H57" s="1238">
        <f>H117+H178</f>
        <v>-8311.9195652979251</v>
      </c>
      <c r="I57" s="1237" t="s">
        <v>1768</v>
      </c>
      <c r="J57" s="1238">
        <f>J117+J178</f>
        <v>171808.77043470205</v>
      </c>
      <c r="L57" s="1238">
        <f>L117+L178</f>
        <v>0</v>
      </c>
      <c r="N57" s="1238">
        <f>N117+N178</f>
        <v>171808.77043470205</v>
      </c>
      <c r="O57" s="1238"/>
      <c r="X57" s="1240"/>
    </row>
    <row r="58" spans="1:24" ht="13.5" thickBot="1">
      <c r="F58" s="1252"/>
      <c r="H58" s="1252"/>
      <c r="J58" s="1252"/>
      <c r="L58" s="1252"/>
      <c r="N58" s="1252"/>
      <c r="O58" s="1157"/>
      <c r="P58" s="1352"/>
      <c r="X58" s="1240"/>
    </row>
    <row r="59" spans="1:24" ht="13.5" thickBot="1">
      <c r="A59" s="1255" t="s">
        <v>496</v>
      </c>
      <c r="B59" s="1255"/>
      <c r="E59" s="1247"/>
      <c r="F59" s="1259">
        <f>F53-F56-F57-F55</f>
        <v>49993.570000000269</v>
      </c>
      <c r="G59" s="1247"/>
      <c r="H59" s="1259">
        <f>H53-H56-H57-H55</f>
        <v>57514.053594627163</v>
      </c>
      <c r="I59" s="1247"/>
      <c r="J59" s="1259">
        <f>J53-J56-J57-J55</f>
        <v>107507.62359462748</v>
      </c>
      <c r="K59" s="1247"/>
      <c r="L59" s="1259">
        <f>L53-L56-L57-L55</f>
        <v>139479.86212739308</v>
      </c>
      <c r="M59" s="1247"/>
      <c r="N59" s="1259">
        <f>N53-N56-N57-N55</f>
        <v>246987.4857220205</v>
      </c>
      <c r="O59" s="1353">
        <f>N59/N13</f>
        <v>0.10423907654733888</v>
      </c>
      <c r="P59" s="1352"/>
      <c r="V59" s="1240"/>
      <c r="W59" s="1240"/>
    </row>
    <row r="60" spans="1:24" ht="14.25" thickTop="1" thickBot="1">
      <c r="A60" s="1255"/>
      <c r="B60" s="1255"/>
      <c r="E60" s="1247"/>
      <c r="F60" s="1262"/>
      <c r="G60" s="1247"/>
      <c r="H60" s="1262"/>
      <c r="I60" s="1247"/>
      <c r="J60" s="1262"/>
      <c r="K60" s="1247"/>
      <c r="L60" s="1262"/>
      <c r="M60" s="1247"/>
      <c r="N60" s="1262"/>
      <c r="O60" s="1263"/>
      <c r="P60" s="1352"/>
    </row>
    <row r="61" spans="1:24">
      <c r="A61" s="1236" t="str">
        <f>A1</f>
        <v>WATER SERVICE CORPORATION OF KENTUCKY</v>
      </c>
      <c r="B61" s="1236"/>
      <c r="N61" s="1239" t="str">
        <f>N1</f>
        <v>Schedule B</v>
      </c>
      <c r="P61" s="1352"/>
      <c r="Q61" s="1264"/>
      <c r="R61" s="1265"/>
    </row>
    <row r="62" spans="1:24">
      <c r="A62" s="1237" t="s">
        <v>1238</v>
      </c>
      <c r="N62" s="1239" t="s">
        <v>1300</v>
      </c>
      <c r="P62" s="1352"/>
      <c r="Q62" s="1266"/>
      <c r="R62" s="1267"/>
    </row>
    <row r="63" spans="1:24">
      <c r="A63" s="1237" t="str">
        <f>A4</f>
        <v>Test Year 12/31/2012</v>
      </c>
      <c r="P63" s="1352"/>
      <c r="Q63" s="1266"/>
      <c r="R63" s="1267"/>
    </row>
    <row r="64" spans="1:24">
      <c r="A64" s="1243"/>
      <c r="B64" s="1243"/>
      <c r="C64" s="1243"/>
      <c r="D64" s="1243"/>
      <c r="E64" s="1243"/>
      <c r="F64" s="1244" t="s">
        <v>486</v>
      </c>
      <c r="G64" s="1243"/>
      <c r="H64" s="1244" t="s">
        <v>576</v>
      </c>
      <c r="I64" s="1243"/>
      <c r="J64" s="1244" t="s">
        <v>576</v>
      </c>
      <c r="K64" s="1243"/>
      <c r="L64" s="1244" t="s">
        <v>153</v>
      </c>
      <c r="M64" s="1243"/>
      <c r="N64" s="1244" t="s">
        <v>576</v>
      </c>
      <c r="P64" s="1352"/>
      <c r="Q64" s="1266"/>
      <c r="R64" s="1267"/>
    </row>
    <row r="65" spans="1:24" ht="13.5" thickBot="1">
      <c r="A65" s="1243"/>
      <c r="B65" s="1243"/>
      <c r="C65" s="1243"/>
      <c r="D65" s="1243"/>
      <c r="E65" s="1243"/>
      <c r="F65" s="1245" t="s">
        <v>622</v>
      </c>
      <c r="G65" s="1243"/>
      <c r="H65" s="1245" t="s">
        <v>79</v>
      </c>
      <c r="I65" s="1243"/>
      <c r="J65" s="1245" t="s">
        <v>567</v>
      </c>
      <c r="K65" s="1243"/>
      <c r="L65" s="1245" t="s">
        <v>575</v>
      </c>
      <c r="M65" s="1243"/>
      <c r="N65" s="1245" t="s">
        <v>153</v>
      </c>
      <c r="P65" s="1352"/>
      <c r="Q65" s="1268"/>
      <c r="R65" s="1269"/>
    </row>
    <row r="66" spans="1:24">
      <c r="A66" s="1246" t="s">
        <v>574</v>
      </c>
      <c r="B66" s="1246"/>
      <c r="C66" s="1246"/>
      <c r="P66" s="1352"/>
    </row>
    <row r="67" spans="1:24">
      <c r="A67" s="1157"/>
      <c r="B67" s="1237" t="s">
        <v>165</v>
      </c>
      <c r="E67" s="1247"/>
      <c r="F67" s="1238">
        <f>-('Linked TB'!E333+'Linked TB'!E334+'Linked TB'!E335+'Linked TB'!E336+'Linked TB'!E337+'Linked TB'!E338+'Linked TB'!E339)</f>
        <v>2066451.4</v>
      </c>
      <c r="G67" s="1247"/>
      <c r="H67" s="1238">
        <f>J67-F67</f>
        <v>37361.467777776532</v>
      </c>
      <c r="I67" s="1248"/>
      <c r="J67" s="1238">
        <f>+'Schedule D'!L373</f>
        <v>2103812.8677777764</v>
      </c>
      <c r="K67" s="1247"/>
      <c r="L67" s="1238">
        <f>N67-J67</f>
        <v>228789.13222222356</v>
      </c>
      <c r="M67" s="1248" t="s">
        <v>817</v>
      </c>
      <c r="N67" s="1238">
        <f>'Revenue Requirement'!C50</f>
        <v>2332602</v>
      </c>
      <c r="O67" s="1270"/>
      <c r="P67" s="1352"/>
      <c r="W67" s="1240"/>
      <c r="X67" s="1240"/>
    </row>
    <row r="68" spans="1:24">
      <c r="A68" s="1157"/>
      <c r="B68" s="1237" t="s">
        <v>355</v>
      </c>
      <c r="E68" s="1247"/>
      <c r="F68" s="1238">
        <v>0</v>
      </c>
      <c r="G68" s="1247"/>
      <c r="H68" s="1238">
        <v>0</v>
      </c>
      <c r="I68" s="1248"/>
      <c r="J68" s="1238">
        <f>F68+H68</f>
        <v>0</v>
      </c>
      <c r="K68" s="1247"/>
      <c r="L68" s="1238">
        <v>0</v>
      </c>
      <c r="M68" s="1248"/>
      <c r="N68" s="1238">
        <f>J68+L68</f>
        <v>0</v>
      </c>
      <c r="O68" s="1270"/>
      <c r="W68" s="1240"/>
      <c r="X68" s="1240"/>
    </row>
    <row r="69" spans="1:24">
      <c r="A69" s="1157"/>
      <c r="B69" s="1237" t="s">
        <v>356</v>
      </c>
      <c r="F69" s="1238">
        <f>-(+'Linked TB'!E343+'Linked TB'!E344+'Linked TB'!E342+'Linked TB'!E345+'Linked TB'!E654)</f>
        <v>78994.850000000006</v>
      </c>
      <c r="H69" s="1238">
        <v>0</v>
      </c>
      <c r="J69" s="1238">
        <f>F69+H69</f>
        <v>78994.850000000006</v>
      </c>
      <c r="L69" s="1238">
        <v>0</v>
      </c>
      <c r="N69" s="1238">
        <f>J69+L69</f>
        <v>78994.850000000006</v>
      </c>
      <c r="O69" s="1270"/>
      <c r="W69" s="1240"/>
      <c r="X69" s="1240"/>
    </row>
    <row r="70" spans="1:24">
      <c r="A70" s="1157"/>
      <c r="B70" s="1237" t="s">
        <v>72</v>
      </c>
      <c r="F70" s="1238">
        <f>-'Linked TB'!E381</f>
        <v>-37353.129999999997</v>
      </c>
      <c r="H70" s="1238">
        <f>J70-F70</f>
        <v>-675.34506879479886</v>
      </c>
      <c r="J70" s="1238">
        <f>-'wp.a-uncoll'!D26</f>
        <v>-38028.475068794796</v>
      </c>
      <c r="L70" s="1238">
        <f>-L67*'Revenue Requirement'!C40</f>
        <v>-4135.5873157645547</v>
      </c>
      <c r="M70" s="1237" t="s">
        <v>852</v>
      </c>
      <c r="N70" s="1238">
        <f>-'wp.a-uncoll'!D35</f>
        <v>-42164.062384559351</v>
      </c>
      <c r="O70" s="1270"/>
      <c r="W70" s="1240"/>
      <c r="X70" s="1240"/>
    </row>
    <row r="71" spans="1:24" ht="6.75" customHeight="1">
      <c r="A71" s="1157"/>
      <c r="O71" s="1270"/>
      <c r="W71" s="1240"/>
      <c r="X71" s="1240"/>
    </row>
    <row r="72" spans="1:24">
      <c r="F72" s="1252"/>
      <c r="H72" s="1252"/>
      <c r="J72" s="1252"/>
      <c r="L72" s="1252"/>
      <c r="N72" s="1252"/>
      <c r="O72" s="1270"/>
      <c r="W72" s="1240"/>
      <c r="X72" s="1240"/>
    </row>
    <row r="73" spans="1:24">
      <c r="A73" s="1237" t="s">
        <v>664</v>
      </c>
      <c r="E73" s="1247"/>
      <c r="F73" s="1254">
        <f>SUM(F66:F71)</f>
        <v>2108093.12</v>
      </c>
      <c r="G73" s="1247"/>
      <c r="H73" s="1254">
        <f>SUM(H66:H71)</f>
        <v>36686.122708981733</v>
      </c>
      <c r="I73" s="1247"/>
      <c r="J73" s="1254">
        <f>SUM(J66:J71)</f>
        <v>2144779.242708982</v>
      </c>
      <c r="K73" s="1247"/>
      <c r="L73" s="1254">
        <f>SUM(L66:L71)</f>
        <v>224653.54490645899</v>
      </c>
      <c r="M73" s="1247"/>
      <c r="N73" s="1254">
        <f>SUM(N66:N71)</f>
        <v>2369432.7876154408</v>
      </c>
      <c r="O73" s="1270"/>
      <c r="W73" s="1240"/>
      <c r="X73" s="1240"/>
    </row>
    <row r="74" spans="1:24">
      <c r="O74" s="1270"/>
      <c r="W74" s="1240"/>
      <c r="X74" s="1240"/>
    </row>
    <row r="75" spans="1:24">
      <c r="A75" s="1246" t="s">
        <v>494</v>
      </c>
      <c r="B75" s="1246"/>
      <c r="C75" s="1246"/>
      <c r="D75" s="1255"/>
      <c r="O75" s="1270"/>
      <c r="W75" s="1240"/>
      <c r="X75" s="1240"/>
    </row>
    <row r="76" spans="1:24">
      <c r="B76" s="1237" t="s">
        <v>495</v>
      </c>
      <c r="F76" s="1238">
        <f>+'Linked TB'!E483+'Linked TB'!E488</f>
        <v>460337.63</v>
      </c>
      <c r="H76" s="1238">
        <f>+'Wp b - salary'!D84</f>
        <v>58761.444683334383</v>
      </c>
      <c r="J76" s="1238">
        <f>H76+F76</f>
        <v>519099.07468333439</v>
      </c>
      <c r="L76" s="1238">
        <v>0</v>
      </c>
      <c r="N76" s="1238">
        <f t="shared" ref="N76:N85" si="10">J76+L76</f>
        <v>519099.07468333439</v>
      </c>
      <c r="O76" s="1270"/>
      <c r="W76" s="1240"/>
      <c r="X76" s="1240"/>
    </row>
    <row r="77" spans="1:24">
      <c r="B77" s="1237" t="str">
        <f>+B17</f>
        <v>Purchase Water/Sewer</v>
      </c>
      <c r="F77" s="1238">
        <f>+'Linked TB'!E361</f>
        <v>85200</v>
      </c>
      <c r="H77" s="1238">
        <v>0</v>
      </c>
      <c r="J77" s="1238">
        <f t="shared" ref="J77:J82" si="11">F77+H77</f>
        <v>85200</v>
      </c>
      <c r="L77" s="1238">
        <v>0</v>
      </c>
      <c r="N77" s="1238">
        <f t="shared" si="10"/>
        <v>85200</v>
      </c>
      <c r="O77" s="1270"/>
      <c r="W77" s="1240"/>
      <c r="X77" s="1240"/>
    </row>
    <row r="78" spans="1:24">
      <c r="B78" s="1237" t="s">
        <v>394</v>
      </c>
      <c r="F78" s="1238">
        <f>+'Linked TB'!E366</f>
        <v>95111.039999999994</v>
      </c>
      <c r="H78" s="1238">
        <v>0</v>
      </c>
      <c r="J78" s="1238">
        <f t="shared" si="11"/>
        <v>95111.039999999994</v>
      </c>
      <c r="L78" s="1238">
        <v>0</v>
      </c>
      <c r="N78" s="1238">
        <f t="shared" si="10"/>
        <v>95111.039999999994</v>
      </c>
      <c r="O78" s="1270"/>
      <c r="W78" s="1240"/>
      <c r="X78" s="1240"/>
    </row>
    <row r="79" spans="1:24">
      <c r="B79" s="1237" t="s">
        <v>389</v>
      </c>
      <c r="F79" s="1238">
        <f>+'Linked TB'!E537</f>
        <v>98162.650000000009</v>
      </c>
      <c r="H79" s="1238">
        <v>0</v>
      </c>
      <c r="J79" s="1238">
        <f t="shared" si="11"/>
        <v>98162.650000000009</v>
      </c>
      <c r="L79" s="1238">
        <v>0</v>
      </c>
      <c r="N79" s="1238">
        <f t="shared" si="10"/>
        <v>98162.650000000009</v>
      </c>
      <c r="O79" s="1270"/>
      <c r="W79" s="1240"/>
      <c r="X79" s="1240"/>
    </row>
    <row r="80" spans="1:24">
      <c r="B80" s="1237" t="s">
        <v>80</v>
      </c>
      <c r="F80" s="1238">
        <f>+'Linked TB'!E515</f>
        <v>34092.270000000004</v>
      </c>
      <c r="H80" s="1238">
        <v>0</v>
      </c>
      <c r="J80" s="1238">
        <f t="shared" si="11"/>
        <v>34092.270000000004</v>
      </c>
      <c r="L80" s="1238">
        <v>0</v>
      </c>
      <c r="N80" s="1238">
        <f t="shared" si="10"/>
        <v>34092.270000000004</v>
      </c>
      <c r="O80" s="1270"/>
      <c r="W80" s="1240"/>
      <c r="X80" s="1240"/>
    </row>
    <row r="81" spans="1:24">
      <c r="B81" s="1237" t="s">
        <v>566</v>
      </c>
      <c r="F81" s="1238">
        <f>+'Linked TB'!E375</f>
        <v>0</v>
      </c>
      <c r="H81" s="1238">
        <v>0</v>
      </c>
      <c r="J81" s="1238">
        <f t="shared" si="11"/>
        <v>0</v>
      </c>
      <c r="L81" s="1238">
        <v>0</v>
      </c>
      <c r="N81" s="1238">
        <f t="shared" si="10"/>
        <v>0</v>
      </c>
      <c r="O81" s="1270"/>
      <c r="W81" s="1240"/>
      <c r="X81" s="1240"/>
    </row>
    <row r="82" spans="1:24">
      <c r="B82" s="1237" t="s">
        <v>806</v>
      </c>
      <c r="F82" s="1238">
        <f>+'Linked TB'!E371</f>
        <v>145421.15</v>
      </c>
      <c r="H82" s="1238">
        <v>0</v>
      </c>
      <c r="J82" s="1238">
        <f t="shared" si="11"/>
        <v>145421.15</v>
      </c>
      <c r="L82" s="1238">
        <v>0</v>
      </c>
      <c r="N82" s="1238">
        <f t="shared" si="10"/>
        <v>145421.15</v>
      </c>
      <c r="O82" s="1270"/>
      <c r="W82" s="1240"/>
      <c r="X82" s="1240"/>
    </row>
    <row r="83" spans="1:24">
      <c r="B83" s="1237" t="s">
        <v>100</v>
      </c>
      <c r="F83" s="1238">
        <f>+'Linked TB'!E508</f>
        <v>46787.57</v>
      </c>
      <c r="H83" s="1238">
        <f>+J83-F83</f>
        <v>-12013.825750325363</v>
      </c>
      <c r="J83" s="1238">
        <f>+'wp-p2a Allocation of Trans Exp'!I39</f>
        <v>34773.744249674637</v>
      </c>
      <c r="L83" s="1238">
        <v>0</v>
      </c>
      <c r="N83" s="1238">
        <f t="shared" si="10"/>
        <v>34773.744249674637</v>
      </c>
      <c r="O83" s="1270"/>
      <c r="W83" s="1240"/>
      <c r="X83" s="1240"/>
    </row>
    <row r="84" spans="1:24">
      <c r="B84" s="1237" t="s">
        <v>491</v>
      </c>
      <c r="F84" s="1238">
        <f>+'Linked TB'!E490</f>
        <v>-132209.91</v>
      </c>
      <c r="H84" s="1238">
        <f>+J84-F84</f>
        <v>-31658.629946780828</v>
      </c>
      <c r="J84" s="1238">
        <f>+'Wp b2 - Captime'!H116</f>
        <v>-163868.53994678083</v>
      </c>
      <c r="L84" s="1238">
        <v>0</v>
      </c>
      <c r="N84" s="1238">
        <f>+J84+L84</f>
        <v>-163868.53994678083</v>
      </c>
      <c r="O84" s="1270"/>
      <c r="W84" s="1240"/>
      <c r="X84" s="1240"/>
    </row>
    <row r="85" spans="1:24">
      <c r="B85" s="1237" t="s">
        <v>82</v>
      </c>
      <c r="F85" s="1238">
        <f>+'Linked TB'!E467</f>
        <v>30000.84</v>
      </c>
      <c r="H85" s="1238">
        <v>0</v>
      </c>
      <c r="J85" s="1238">
        <f>F85+H85</f>
        <v>30000.84</v>
      </c>
      <c r="L85" s="1238">
        <v>0</v>
      </c>
      <c r="N85" s="1238">
        <f t="shared" si="10"/>
        <v>30000.84</v>
      </c>
      <c r="O85" s="1270"/>
      <c r="W85" s="1240"/>
      <c r="X85" s="1240"/>
    </row>
    <row r="86" spans="1:24">
      <c r="F86" s="1252"/>
      <c r="H86" s="1252"/>
      <c r="J86" s="1252"/>
      <c r="L86" s="1252"/>
      <c r="N86" s="1252"/>
      <c r="O86" s="1270"/>
      <c r="W86" s="1240"/>
      <c r="X86" s="1240"/>
    </row>
    <row r="87" spans="1:24">
      <c r="B87" s="1237" t="s">
        <v>83</v>
      </c>
      <c r="E87" s="1247"/>
      <c r="F87" s="1254">
        <f>SUM(F76:F85)</f>
        <v>862903.24</v>
      </c>
      <c r="G87" s="1247"/>
      <c r="H87" s="1254">
        <f>SUM(H76:H85)</f>
        <v>15088.988986228193</v>
      </c>
      <c r="I87" s="1247"/>
      <c r="J87" s="1254">
        <f>SUM(J76:J85)</f>
        <v>877992.22898622823</v>
      </c>
      <c r="K87" s="1247"/>
      <c r="L87" s="1254">
        <f>SUM(L76:L85)</f>
        <v>0</v>
      </c>
      <c r="M87" s="1247"/>
      <c r="N87" s="1254">
        <f>SUM(N76:N85)</f>
        <v>877992.22898622823</v>
      </c>
      <c r="O87" s="1270"/>
      <c r="W87" s="1240"/>
      <c r="X87" s="1240"/>
    </row>
    <row r="88" spans="1:24">
      <c r="F88" s="1256"/>
      <c r="H88" s="1256"/>
      <c r="J88" s="1256"/>
      <c r="L88" s="1256"/>
      <c r="N88" s="1256"/>
      <c r="O88" s="1270"/>
      <c r="W88" s="1240"/>
      <c r="X88" s="1240"/>
    </row>
    <row r="89" spans="1:24">
      <c r="A89" s="1246" t="s">
        <v>84</v>
      </c>
      <c r="B89" s="1246"/>
      <c r="C89" s="1246"/>
      <c r="D89" s="1255"/>
      <c r="O89" s="1270"/>
      <c r="W89" s="1240"/>
      <c r="X89" s="1240"/>
    </row>
    <row r="90" spans="1:24">
      <c r="B90" s="1237" t="s">
        <v>495</v>
      </c>
      <c r="E90" s="1247"/>
      <c r="F90" s="1238">
        <f>+'Linked TB'!E478+'Linked TB'!E479+'Linked TB'!E480+'Linked TB'!E481+'Linked TB'!E482+'Linked TB'!E484+'Linked TB'!E485+'Linked TB'!E486+'Linked TB'!E487+'Linked TB'!E489</f>
        <v>229319.14</v>
      </c>
      <c r="G90" s="1247"/>
      <c r="H90" s="1238">
        <f>+'Wp b - salary'!G84</f>
        <v>-55670.769365013693</v>
      </c>
      <c r="I90" s="1248"/>
      <c r="J90" s="1238">
        <f>F90+H90</f>
        <v>173648.37063498632</v>
      </c>
      <c r="K90" s="1247"/>
      <c r="L90" s="1238">
        <v>0</v>
      </c>
      <c r="M90" s="1247"/>
      <c r="N90" s="1238">
        <f t="shared" ref="N90:N95" si="12">J90+L90</f>
        <v>173648.37063498632</v>
      </c>
      <c r="O90" s="1270"/>
      <c r="W90" s="1240"/>
      <c r="X90" s="1240"/>
    </row>
    <row r="91" spans="1:24">
      <c r="B91" s="1237" t="s">
        <v>385</v>
      </c>
      <c r="F91" s="1238">
        <f>+'Linked TB'!E389+'Linked TB'!E416+'Linked TB'!E441</f>
        <v>79610.430000000008</v>
      </c>
      <c r="H91" s="1238">
        <v>0</v>
      </c>
      <c r="J91" s="1238">
        <f>F91+H91</f>
        <v>79610.430000000008</v>
      </c>
      <c r="L91" s="1238">
        <v>0</v>
      </c>
      <c r="N91" s="1238">
        <f t="shared" si="12"/>
        <v>79610.430000000008</v>
      </c>
      <c r="O91" s="1270"/>
      <c r="W91" s="1240"/>
      <c r="X91" s="1240"/>
    </row>
    <row r="92" spans="1:24">
      <c r="B92" s="1237" t="s">
        <v>386</v>
      </c>
      <c r="F92" s="1238">
        <f>+'Linked TB'!E472</f>
        <v>99562.89</v>
      </c>
      <c r="H92" s="1238">
        <f>J92-F92</f>
        <v>-25902.89</v>
      </c>
      <c r="J92" s="1238">
        <f>'wp-d-rc.exp'!H53</f>
        <v>73660</v>
      </c>
      <c r="L92" s="1238">
        <v>0</v>
      </c>
      <c r="N92" s="1238">
        <f t="shared" si="12"/>
        <v>73660</v>
      </c>
      <c r="O92" s="1270"/>
      <c r="W92" s="1240"/>
      <c r="X92" s="1240"/>
    </row>
    <row r="93" spans="1:24">
      <c r="B93" s="1237" t="s">
        <v>2</v>
      </c>
      <c r="F93" s="1238">
        <f>+'Linked TB'!E404</f>
        <v>122141.03999999998</v>
      </c>
      <c r="H93" s="1238">
        <f>+'Wp b - salary'!O84</f>
        <v>38574.556908920786</v>
      </c>
      <c r="I93" s="1248"/>
      <c r="J93" s="1262">
        <f>F93+H93</f>
        <v>160715.59690892076</v>
      </c>
      <c r="K93" s="1255"/>
      <c r="L93" s="1238">
        <v>0</v>
      </c>
      <c r="M93" s="1255"/>
      <c r="N93" s="1262">
        <f t="shared" si="12"/>
        <v>160715.59690892076</v>
      </c>
      <c r="O93" s="1270"/>
      <c r="W93" s="1240"/>
      <c r="X93" s="1240"/>
    </row>
    <row r="94" spans="1:24">
      <c r="B94" s="1237" t="s">
        <v>378</v>
      </c>
      <c r="F94" s="1238">
        <f>+'Linked TB'!E476</f>
        <v>6253.99</v>
      </c>
      <c r="H94" s="1238">
        <v>0</v>
      </c>
      <c r="J94" s="1262">
        <f>F94+H94</f>
        <v>6253.99</v>
      </c>
      <c r="K94" s="1255"/>
      <c r="L94" s="1238">
        <v>0</v>
      </c>
      <c r="N94" s="1238">
        <f t="shared" si="12"/>
        <v>6253.99</v>
      </c>
      <c r="O94" s="1270"/>
      <c r="W94" s="1240"/>
      <c r="X94" s="1240"/>
    </row>
    <row r="95" spans="1:24">
      <c r="B95" s="1237" t="s">
        <v>379</v>
      </c>
      <c r="F95" s="1238">
        <f>+'Linked TB'!E408</f>
        <v>63191.840000000004</v>
      </c>
      <c r="H95" s="1238">
        <v>0</v>
      </c>
      <c r="J95" s="1238">
        <f>F95+H95</f>
        <v>63191.840000000004</v>
      </c>
      <c r="L95" s="1238">
        <v>0</v>
      </c>
      <c r="N95" s="1238">
        <f t="shared" si="12"/>
        <v>63191.840000000004</v>
      </c>
      <c r="O95" s="1270"/>
      <c r="W95" s="1240"/>
      <c r="X95" s="1240"/>
    </row>
    <row r="96" spans="1:24">
      <c r="B96" s="1237" t="s">
        <v>931</v>
      </c>
      <c r="F96" s="1238">
        <f>+'Linked TB'!E456</f>
        <v>54272.830000000009</v>
      </c>
      <c r="H96" s="1238">
        <v>0</v>
      </c>
      <c r="J96" s="1238">
        <f>F96+H96</f>
        <v>54272.830000000009</v>
      </c>
      <c r="L96" s="1238">
        <v>0</v>
      </c>
      <c r="N96" s="1238">
        <f>J96+L96</f>
        <v>54272.830000000009</v>
      </c>
      <c r="O96" s="1270"/>
      <c r="W96" s="1240"/>
      <c r="X96" s="1240"/>
    </row>
    <row r="97" spans="1:24">
      <c r="B97" s="1237" t="s">
        <v>492</v>
      </c>
      <c r="F97" s="1238">
        <f>+'Linked TB'!E428+'Linked TB'!E501</f>
        <v>25118.549999999996</v>
      </c>
      <c r="H97" s="1238">
        <f>-'wp-r Expense Reports'!D13</f>
        <v>-12945.199493573316</v>
      </c>
      <c r="J97" s="1238">
        <f>F97+H97</f>
        <v>12173.350506426679</v>
      </c>
      <c r="L97" s="1238">
        <v>0</v>
      </c>
      <c r="N97" s="1238">
        <f>J97+L97</f>
        <v>12173.350506426679</v>
      </c>
      <c r="O97" s="1270"/>
      <c r="W97" s="1240"/>
      <c r="X97" s="1240"/>
    </row>
    <row r="98" spans="1:24">
      <c r="F98" s="1252"/>
      <c r="H98" s="1252"/>
      <c r="J98" s="1252"/>
      <c r="L98" s="1252"/>
      <c r="N98" s="1252"/>
      <c r="O98" s="1270"/>
      <c r="W98" s="1240"/>
      <c r="X98" s="1240"/>
    </row>
    <row r="99" spans="1:24">
      <c r="B99" s="1237" t="s">
        <v>83</v>
      </c>
      <c r="E99" s="1247"/>
      <c r="F99" s="1254">
        <f>SUM(F90:F98)</f>
        <v>679470.71</v>
      </c>
      <c r="G99" s="1247"/>
      <c r="H99" s="1254">
        <f>SUM(H90:H98)</f>
        <v>-55944.301949666224</v>
      </c>
      <c r="I99" s="1247"/>
      <c r="J99" s="1254">
        <f>SUM(J90:J98)</f>
        <v>623526.40805033362</v>
      </c>
      <c r="K99" s="1247"/>
      <c r="L99" s="1254">
        <f>SUM(L90:L98)</f>
        <v>0</v>
      </c>
      <c r="M99" s="1247"/>
      <c r="N99" s="1254">
        <f>SUM(N90:N98)</f>
        <v>623526.40805033362</v>
      </c>
      <c r="O99" s="1270"/>
      <c r="W99" s="1240"/>
      <c r="X99" s="1240"/>
    </row>
    <row r="100" spans="1:24">
      <c r="F100" s="1256"/>
      <c r="H100" s="1256"/>
      <c r="J100" s="1256"/>
      <c r="L100" s="1256"/>
      <c r="N100" s="1256"/>
      <c r="O100" s="1270"/>
      <c r="W100" s="1240"/>
      <c r="X100" s="1240"/>
    </row>
    <row r="101" spans="1:24">
      <c r="A101" s="1237" t="s">
        <v>493</v>
      </c>
      <c r="F101" s="1238">
        <f>+'Linked TB'!E591+'Linked TB'!E595+'Linked TB'!E599</f>
        <v>316070.39</v>
      </c>
      <c r="H101" s="1238">
        <f>J101-F101</f>
        <v>-34241.999698227271</v>
      </c>
      <c r="J101" s="1238">
        <f>'wp-f-depr'!G36</f>
        <v>281828.39030177274</v>
      </c>
      <c r="N101" s="1238">
        <f>J101+L101</f>
        <v>281828.39030177274</v>
      </c>
      <c r="O101" s="1270"/>
      <c r="W101" s="1240"/>
      <c r="X101" s="1240"/>
    </row>
    <row r="102" spans="1:24">
      <c r="A102" s="1237" t="s">
        <v>1234</v>
      </c>
      <c r="F102" s="1238">
        <f>+'Linked TB'!E603</f>
        <v>-3660.48</v>
      </c>
      <c r="H102" s="1238">
        <f>-F102</f>
        <v>3660.48</v>
      </c>
      <c r="J102" s="1238">
        <f>+F102+H102</f>
        <v>0</v>
      </c>
      <c r="N102" s="1262">
        <f>J102+L102</f>
        <v>0</v>
      </c>
      <c r="O102" s="1270"/>
      <c r="W102" s="1240"/>
      <c r="X102" s="1240"/>
    </row>
    <row r="103" spans="1:24">
      <c r="A103" s="1237" t="s">
        <v>71</v>
      </c>
      <c r="F103" s="1238">
        <f>+'Linked TB'!E619+'Linked TB'!E628</f>
        <v>135765.34999999998</v>
      </c>
      <c r="H103" s="1238">
        <f>'wp-e-toi'!D29</f>
        <v>8297.1719566045649</v>
      </c>
      <c r="J103" s="1238">
        <f>F103+H103</f>
        <v>144062.52195660456</v>
      </c>
      <c r="L103" s="1238">
        <f>'wp-e-toi'!D44</f>
        <v>-168.92789720475685</v>
      </c>
      <c r="N103" s="1238">
        <f>L103+J103</f>
        <v>143893.59405939979</v>
      </c>
      <c r="O103" s="1270"/>
      <c r="W103" s="1240"/>
      <c r="X103" s="1240"/>
    </row>
    <row r="104" spans="1:24">
      <c r="A104" s="1237" t="s">
        <v>1249</v>
      </c>
      <c r="F104" s="1238">
        <f>'Linked TB'!E346</f>
        <v>-153284.51999999999</v>
      </c>
      <c r="H104" s="1238">
        <f>J104-F104</f>
        <v>32576.179631843188</v>
      </c>
      <c r="J104" s="1238">
        <f>'wp-q City of Clinton'!C22</f>
        <v>-120708.3403681568</v>
      </c>
      <c r="L104" s="1238">
        <v>0</v>
      </c>
      <c r="N104" s="1238">
        <f>J104+L104</f>
        <v>-120708.3403681568</v>
      </c>
      <c r="O104" s="1270"/>
      <c r="W104" s="1240"/>
      <c r="X104" s="1240"/>
    </row>
    <row r="105" spans="1:24">
      <c r="A105" s="1237" t="s">
        <v>1239</v>
      </c>
      <c r="F105" s="1238">
        <f>+'Linked TB'!E613</f>
        <v>-1917.69</v>
      </c>
      <c r="H105" s="1238">
        <f>J105-F105</f>
        <v>-2311.7145999999998</v>
      </c>
      <c r="J105" s="1238">
        <f>'wp-f-depr'!G41</f>
        <v>-4229.4045999999998</v>
      </c>
      <c r="L105" s="1238">
        <v>0</v>
      </c>
      <c r="N105" s="1238">
        <f>J105+L105</f>
        <v>-4229.4045999999998</v>
      </c>
      <c r="O105" s="1270"/>
      <c r="W105" s="1240"/>
      <c r="X105" s="1240"/>
    </row>
    <row r="106" spans="1:24">
      <c r="A106" s="1237" t="s">
        <v>120</v>
      </c>
      <c r="F106" s="1238">
        <f>+'Linked TB'!E632+'Linked TB'!E630</f>
        <v>23449.61</v>
      </c>
      <c r="H106" s="1238">
        <f>+J106-F106</f>
        <v>31041.764276020192</v>
      </c>
      <c r="J106" s="1238">
        <f>+'wp(g)-inc.tx'!C37</f>
        <v>54491.374276020193</v>
      </c>
      <c r="L106" s="1238">
        <f>+N106-J106</f>
        <v>71853.262308050878</v>
      </c>
      <c r="N106" s="1238">
        <f>+'wp(g)-inc.tx'!E37</f>
        <v>126344.63658407108</v>
      </c>
      <c r="O106" s="1270"/>
      <c r="W106" s="1240"/>
      <c r="X106" s="1240"/>
    </row>
    <row r="107" spans="1:24">
      <c r="A107" s="1237" t="s">
        <v>497</v>
      </c>
      <c r="F107" s="1238">
        <f>+'Linked TB'!E634+'Linked TB'!E631</f>
        <v>20912.5</v>
      </c>
      <c r="H107" s="1238">
        <f>+J107-F107</f>
        <v>-10682.579923150153</v>
      </c>
      <c r="J107" s="1238">
        <f>+'wp(g)-inc.tx'!C26</f>
        <v>10229.920076849847</v>
      </c>
      <c r="L107" s="1238">
        <f>+N107-J107</f>
        <v>13489.348368219815</v>
      </c>
      <c r="N107" s="1238">
        <f>+'wp(g)-inc.tx'!E26</f>
        <v>23719.268445069662</v>
      </c>
      <c r="O107" s="1270"/>
      <c r="W107" s="1240"/>
      <c r="X107" s="1240"/>
    </row>
    <row r="108" spans="1:24">
      <c r="D108" s="1241"/>
      <c r="F108" s="1252"/>
      <c r="H108" s="1252"/>
      <c r="J108" s="1252"/>
      <c r="L108" s="1252"/>
      <c r="N108" s="1252"/>
      <c r="O108" s="1270"/>
      <c r="W108" s="1240"/>
      <c r="X108" s="1240"/>
    </row>
    <row r="109" spans="1:24">
      <c r="B109" s="1237" t="s">
        <v>391</v>
      </c>
      <c r="E109" s="1247"/>
      <c r="F109" s="1254">
        <f>SUM(F101:F108)</f>
        <v>337335.16</v>
      </c>
      <c r="G109" s="1247"/>
      <c r="H109" s="1254">
        <f>SUM(H101:H108)</f>
        <v>28339.301643090519</v>
      </c>
      <c r="I109" s="1247"/>
      <c r="J109" s="1254">
        <f>SUM(J101:J108)</f>
        <v>365674.46164309059</v>
      </c>
      <c r="K109" s="1247"/>
      <c r="L109" s="1254">
        <f>SUM(L101:L108)</f>
        <v>85173.68277906593</v>
      </c>
      <c r="M109" s="1247"/>
      <c r="N109" s="1254">
        <f>SUM(N101:N108)</f>
        <v>450848.1444221565</v>
      </c>
      <c r="O109" s="1270"/>
      <c r="W109" s="1240"/>
      <c r="X109" s="1240"/>
    </row>
    <row r="110" spans="1:24">
      <c r="F110" s="1256"/>
      <c r="H110" s="1256"/>
      <c r="J110" s="1256"/>
      <c r="L110" s="1256"/>
      <c r="N110" s="1256"/>
      <c r="O110" s="1270"/>
      <c r="W110" s="1240"/>
      <c r="X110" s="1240"/>
    </row>
    <row r="111" spans="1:24">
      <c r="A111" s="1237" t="s">
        <v>577</v>
      </c>
      <c r="E111" s="1247"/>
      <c r="F111" s="1254">
        <f>F109+F99+F87</f>
        <v>1879709.1099999999</v>
      </c>
      <c r="G111" s="1247"/>
      <c r="H111" s="1254">
        <f>H109+H99+H87</f>
        <v>-12516.011320347512</v>
      </c>
      <c r="I111" s="1247"/>
      <c r="J111" s="1254">
        <f>J109+J99+J87</f>
        <v>1867193.0986796524</v>
      </c>
      <c r="K111" s="1247"/>
      <c r="L111" s="1254">
        <f>L109+L99+L87</f>
        <v>85173.68277906593</v>
      </c>
      <c r="M111" s="1247"/>
      <c r="N111" s="1254">
        <f>N109+N99+N87</f>
        <v>1952366.7814587182</v>
      </c>
      <c r="O111" s="1270"/>
      <c r="W111" s="1240"/>
      <c r="X111" s="1240"/>
    </row>
    <row r="112" spans="1:24">
      <c r="F112" s="1256"/>
      <c r="H112" s="1256"/>
      <c r="J112" s="1256"/>
      <c r="L112" s="1256"/>
      <c r="N112" s="1256"/>
      <c r="O112" s="1270"/>
      <c r="W112" s="1240"/>
      <c r="X112" s="1240"/>
    </row>
    <row r="113" spans="1:24">
      <c r="A113" s="1246" t="s">
        <v>591</v>
      </c>
      <c r="B113" s="1246"/>
      <c r="C113" s="1246"/>
      <c r="E113" s="1247"/>
      <c r="F113" s="1254">
        <f>+F73-F111</f>
        <v>228384.01000000024</v>
      </c>
      <c r="G113" s="1247"/>
      <c r="H113" s="1254">
        <f>+H73-H111</f>
        <v>49202.134029329245</v>
      </c>
      <c r="I113" s="1247"/>
      <c r="J113" s="1254">
        <f>+J73-J111</f>
        <v>277586.14402932953</v>
      </c>
      <c r="K113" s="1247"/>
      <c r="L113" s="1254">
        <f>+L73-L111</f>
        <v>139479.86212739308</v>
      </c>
      <c r="M113" s="1247"/>
      <c r="N113" s="1254">
        <f>+N73-N111</f>
        <v>417066.00615672255</v>
      </c>
      <c r="O113" s="1270"/>
      <c r="W113" s="1240"/>
      <c r="X113" s="1240"/>
    </row>
    <row r="114" spans="1:24">
      <c r="F114" s="1256"/>
      <c r="H114" s="1256"/>
      <c r="J114" s="1256"/>
      <c r="L114" s="1256"/>
      <c r="N114" s="1256"/>
      <c r="O114" s="1270"/>
      <c r="W114" s="1240"/>
      <c r="X114" s="1240"/>
    </row>
    <row r="115" spans="1:24">
      <c r="A115" s="1237" t="s">
        <v>1237</v>
      </c>
      <c r="F115" s="1256">
        <v>0</v>
      </c>
      <c r="H115" s="1256">
        <v>0</v>
      </c>
      <c r="J115" s="1238">
        <f>F115+H115</f>
        <v>0</v>
      </c>
      <c r="L115" s="1238">
        <v>0</v>
      </c>
      <c r="N115" s="1238">
        <f>J115+L115</f>
        <v>0</v>
      </c>
      <c r="O115" s="1270"/>
      <c r="W115" s="1240"/>
      <c r="X115" s="1240"/>
    </row>
    <row r="116" spans="1:24">
      <c r="A116" s="1237" t="s">
        <v>922</v>
      </c>
      <c r="F116" s="1238">
        <f>+'Linked TB'!E666</f>
        <v>-1730.25</v>
      </c>
      <c r="H116" s="1238">
        <v>0</v>
      </c>
      <c r="J116" s="1238">
        <f>F116+H116</f>
        <v>-1730.25</v>
      </c>
      <c r="L116" s="1238">
        <v>0</v>
      </c>
      <c r="N116" s="1238">
        <f>J116+L116</f>
        <v>-1730.25</v>
      </c>
      <c r="O116" s="1270"/>
      <c r="W116" s="1240"/>
      <c r="X116" s="1240"/>
    </row>
    <row r="117" spans="1:24">
      <c r="A117" s="1237" t="s">
        <v>126</v>
      </c>
      <c r="F117" s="1238">
        <f>+'Linked TB'!E662+'Linked TB'!E658</f>
        <v>180120.68999999997</v>
      </c>
      <c r="H117" s="1238">
        <f>J117-F117</f>
        <v>-8311.9195652979251</v>
      </c>
      <c r="I117" s="1237" t="s">
        <v>550</v>
      </c>
      <c r="J117" s="1238">
        <f>'wp.h-cap.struc'!E52</f>
        <v>171808.77043470205</v>
      </c>
      <c r="L117" s="1238">
        <v>0</v>
      </c>
      <c r="N117" s="1238">
        <f>J117+L117</f>
        <v>171808.77043470205</v>
      </c>
      <c r="O117" s="1270"/>
      <c r="W117" s="1240"/>
      <c r="X117" s="1240"/>
    </row>
    <row r="118" spans="1:24" ht="13.5" thickBot="1">
      <c r="F118" s="1252"/>
      <c r="H118" s="1252"/>
      <c r="J118" s="1252"/>
      <c r="L118" s="1252"/>
      <c r="N118" s="1252"/>
    </row>
    <row r="119" spans="1:24" ht="13.5" thickBot="1">
      <c r="A119" s="1255" t="s">
        <v>496</v>
      </c>
      <c r="B119" s="1255"/>
      <c r="E119" s="1247"/>
      <c r="F119" s="1259">
        <f>ROUND(F113-F116-F117-F115,0)</f>
        <v>49994</v>
      </c>
      <c r="G119" s="1247"/>
      <c r="H119" s="1259">
        <f>ROUND(H113-H116-H117-H115,0)</f>
        <v>57514</v>
      </c>
      <c r="I119" s="1247"/>
      <c r="J119" s="1259">
        <f>ROUND(J113-J116-J117-J115,0)</f>
        <v>107508</v>
      </c>
      <c r="K119" s="1247"/>
      <c r="L119" s="1259">
        <f>ROUND(L113-L116-L117-L115,0)</f>
        <v>139480</v>
      </c>
      <c r="M119" s="1247"/>
      <c r="N119" s="1259">
        <f>ROUND(N113-N116-N117-N115,0)</f>
        <v>246987</v>
      </c>
      <c r="O119" s="1260">
        <f>N119/N73</f>
        <v>0.10423887155227718</v>
      </c>
      <c r="P119" s="1261">
        <f>F119/F73</f>
        <v>2.371527117359977E-2</v>
      </c>
    </row>
    <row r="120" spans="1:24" ht="13.5" thickTop="1">
      <c r="F120" s="1271"/>
      <c r="J120" s="1256"/>
      <c r="L120" s="1256"/>
      <c r="N120" s="1256"/>
    </row>
    <row r="121" spans="1:24" hidden="1">
      <c r="A121" s="1236" t="str">
        <f>A1</f>
        <v>WATER SERVICE CORPORATION OF KENTUCKY</v>
      </c>
      <c r="B121" s="1236"/>
      <c r="N121" s="1239" t="str">
        <f>N1</f>
        <v>Schedule B</v>
      </c>
    </row>
    <row r="122" spans="1:24" hidden="1">
      <c r="A122" s="1237" t="s">
        <v>1240</v>
      </c>
      <c r="N122" s="1239" t="s">
        <v>1241</v>
      </c>
    </row>
    <row r="123" spans="1:24" hidden="1">
      <c r="A123" s="1237" t="str">
        <f>A4</f>
        <v>Test Year 12/31/2012</v>
      </c>
    </row>
    <row r="124" spans="1:24" hidden="1">
      <c r="A124" s="1243"/>
      <c r="B124" s="1243"/>
      <c r="C124" s="1243"/>
      <c r="D124" s="1243"/>
      <c r="E124" s="1243"/>
      <c r="F124" s="1244" t="s">
        <v>486</v>
      </c>
      <c r="G124" s="1243"/>
      <c r="H124" s="1244" t="s">
        <v>576</v>
      </c>
      <c r="I124" s="1243"/>
      <c r="J124" s="1244" t="s">
        <v>576</v>
      </c>
      <c r="K124" s="1243"/>
      <c r="L124" s="1244" t="s">
        <v>153</v>
      </c>
      <c r="M124" s="1243"/>
      <c r="N124" s="1244" t="s">
        <v>576</v>
      </c>
    </row>
    <row r="125" spans="1:24" hidden="1">
      <c r="A125" s="1243"/>
      <c r="B125" s="1243"/>
      <c r="C125" s="1243"/>
      <c r="D125" s="1243"/>
      <c r="E125" s="1243"/>
      <c r="F125" s="1245" t="s">
        <v>622</v>
      </c>
      <c r="G125" s="1243"/>
      <c r="H125" s="1245" t="s">
        <v>79</v>
      </c>
      <c r="I125" s="1243"/>
      <c r="J125" s="1245" t="s">
        <v>567</v>
      </c>
      <c r="K125" s="1243"/>
      <c r="L125" s="1245" t="s">
        <v>575</v>
      </c>
      <c r="M125" s="1243"/>
      <c r="N125" s="1245" t="s">
        <v>153</v>
      </c>
    </row>
    <row r="126" spans="1:24" hidden="1">
      <c r="A126" s="1246" t="s">
        <v>574</v>
      </c>
      <c r="B126" s="1246"/>
      <c r="C126" s="1246"/>
    </row>
    <row r="127" spans="1:24" hidden="1">
      <c r="A127" s="1157"/>
      <c r="B127" s="1237" t="s">
        <v>165</v>
      </c>
      <c r="E127" s="1247"/>
      <c r="G127" s="1247"/>
      <c r="I127" s="1248"/>
      <c r="K127" s="1247"/>
      <c r="M127" s="1248"/>
      <c r="O127" s="1272"/>
    </row>
    <row r="128" spans="1:24" hidden="1">
      <c r="A128" s="1157"/>
      <c r="B128" s="1237" t="s">
        <v>355</v>
      </c>
      <c r="E128" s="1247"/>
      <c r="F128" s="1238">
        <v>0</v>
      </c>
      <c r="G128" s="1273"/>
      <c r="I128" s="1248" t="s">
        <v>909</v>
      </c>
      <c r="J128" s="1238">
        <f>+F128+H128</f>
        <v>0</v>
      </c>
      <c r="K128" s="1247"/>
      <c r="M128" s="1248" t="s">
        <v>817</v>
      </c>
      <c r="O128" s="1272"/>
    </row>
    <row r="129" spans="1:16" hidden="1">
      <c r="A129" s="1157"/>
      <c r="B129" s="1237" t="s">
        <v>356</v>
      </c>
      <c r="F129" s="1238">
        <v>0</v>
      </c>
      <c r="H129" s="1238">
        <v>0</v>
      </c>
      <c r="J129" s="1238">
        <f>F129+H129</f>
        <v>0</v>
      </c>
    </row>
    <row r="130" spans="1:16" hidden="1">
      <c r="A130" s="1157"/>
      <c r="B130" s="1237" t="s">
        <v>72</v>
      </c>
      <c r="F130" s="1238">
        <v>0</v>
      </c>
      <c r="I130" s="1237" t="s">
        <v>801</v>
      </c>
      <c r="J130" s="1238">
        <f>F130+H130</f>
        <v>0</v>
      </c>
      <c r="M130" s="1237" t="s">
        <v>852</v>
      </c>
      <c r="O130" s="1157"/>
      <c r="P130" s="1157"/>
    </row>
    <row r="131" spans="1:16" hidden="1">
      <c r="A131" s="1157"/>
      <c r="B131" s="1237" t="s">
        <v>1231</v>
      </c>
      <c r="H131" s="1238">
        <v>0</v>
      </c>
      <c r="J131" s="1238">
        <f>+F131+H131</f>
        <v>0</v>
      </c>
      <c r="O131" s="1157"/>
      <c r="P131" s="1157"/>
    </row>
    <row r="132" spans="1:16" hidden="1">
      <c r="F132" s="1252"/>
      <c r="H132" s="1252"/>
      <c r="J132" s="1252"/>
      <c r="L132" s="1252"/>
      <c r="N132" s="1252"/>
      <c r="O132" s="1157"/>
      <c r="P132" s="1157"/>
    </row>
    <row r="133" spans="1:16" hidden="1">
      <c r="A133" s="1237" t="s">
        <v>664</v>
      </c>
      <c r="E133" s="1247"/>
      <c r="F133" s="1254">
        <f>SUM(F126:F131)</f>
        <v>0</v>
      </c>
      <c r="G133" s="1247"/>
      <c r="H133" s="1254">
        <f>SUM(H126:H131)</f>
        <v>0</v>
      </c>
      <c r="I133" s="1247"/>
      <c r="J133" s="1254">
        <f>SUM(J126:J131)</f>
        <v>0</v>
      </c>
      <c r="K133" s="1247"/>
      <c r="L133" s="1254">
        <f>SUM(L126:L131)</f>
        <v>0</v>
      </c>
      <c r="M133" s="1247"/>
      <c r="N133" s="1254"/>
      <c r="O133" s="1157"/>
      <c r="P133" s="1157"/>
    </row>
    <row r="134" spans="1:16" hidden="1"/>
    <row r="135" spans="1:16" hidden="1">
      <c r="A135" s="1246" t="s">
        <v>494</v>
      </c>
      <c r="B135" s="1246"/>
      <c r="C135" s="1246"/>
      <c r="D135" s="1255"/>
      <c r="O135" s="1157"/>
      <c r="P135" s="1157"/>
    </row>
    <row r="136" spans="1:16" hidden="1">
      <c r="B136" s="1237" t="s">
        <v>495</v>
      </c>
      <c r="I136" s="1237" t="s">
        <v>853</v>
      </c>
      <c r="J136" s="1238">
        <f t="shared" ref="J136:J143" si="13">F136+H136</f>
        <v>0</v>
      </c>
      <c r="L136" s="1238">
        <v>0</v>
      </c>
      <c r="N136" s="1238">
        <f t="shared" ref="N136:N145" si="14">J136+L136</f>
        <v>0</v>
      </c>
      <c r="O136" s="1157"/>
      <c r="P136" s="1157"/>
    </row>
    <row r="137" spans="1:16" hidden="1">
      <c r="B137" s="1237" t="str">
        <f>+B77</f>
        <v>Purchase Water/Sewer</v>
      </c>
      <c r="H137" s="1238">
        <v>0</v>
      </c>
      <c r="J137" s="1238">
        <f>F137+H137</f>
        <v>0</v>
      </c>
      <c r="L137" s="1238">
        <v>0</v>
      </c>
      <c r="N137" s="1238">
        <f t="shared" si="14"/>
        <v>0</v>
      </c>
      <c r="O137" s="1157"/>
      <c r="P137" s="1157"/>
    </row>
    <row r="138" spans="1:16" hidden="1">
      <c r="B138" s="1237" t="s">
        <v>394</v>
      </c>
      <c r="I138" s="1237" t="s">
        <v>801</v>
      </c>
      <c r="J138" s="1238">
        <f t="shared" si="13"/>
        <v>0</v>
      </c>
      <c r="L138" s="1238">
        <v>0</v>
      </c>
      <c r="N138" s="1238">
        <f t="shared" si="14"/>
        <v>0</v>
      </c>
      <c r="O138" s="1157"/>
      <c r="P138" s="1157"/>
    </row>
    <row r="139" spans="1:16" hidden="1">
      <c r="B139" s="1237" t="s">
        <v>389</v>
      </c>
      <c r="I139" s="1237" t="s">
        <v>801</v>
      </c>
      <c r="J139" s="1238">
        <f t="shared" si="13"/>
        <v>0</v>
      </c>
      <c r="L139" s="1238">
        <v>0</v>
      </c>
      <c r="N139" s="1238">
        <f t="shared" si="14"/>
        <v>0</v>
      </c>
      <c r="O139" s="1157"/>
      <c r="P139" s="1157"/>
    </row>
    <row r="140" spans="1:16" hidden="1">
      <c r="B140" s="1237" t="s">
        <v>80</v>
      </c>
      <c r="I140" s="1237" t="s">
        <v>801</v>
      </c>
      <c r="J140" s="1238">
        <f t="shared" si="13"/>
        <v>0</v>
      </c>
      <c r="L140" s="1238">
        <v>0</v>
      </c>
      <c r="N140" s="1238">
        <f t="shared" si="14"/>
        <v>0</v>
      </c>
      <c r="O140" s="1157"/>
      <c r="P140" s="1157"/>
    </row>
    <row r="141" spans="1:16" hidden="1">
      <c r="B141" s="1237" t="s">
        <v>566</v>
      </c>
      <c r="I141" s="1237" t="s">
        <v>801</v>
      </c>
      <c r="J141" s="1238">
        <f t="shared" si="13"/>
        <v>0</v>
      </c>
      <c r="L141" s="1238">
        <v>0</v>
      </c>
      <c r="N141" s="1238">
        <f t="shared" si="14"/>
        <v>0</v>
      </c>
      <c r="O141" s="1157"/>
      <c r="P141" s="1157"/>
    </row>
    <row r="142" spans="1:16" hidden="1">
      <c r="B142" s="1237" t="s">
        <v>806</v>
      </c>
      <c r="I142" s="1237" t="s">
        <v>801</v>
      </c>
      <c r="J142" s="1238">
        <f t="shared" si="13"/>
        <v>0</v>
      </c>
      <c r="L142" s="1238">
        <v>0</v>
      </c>
      <c r="N142" s="1238">
        <f t="shared" si="14"/>
        <v>0</v>
      </c>
      <c r="O142" s="1157"/>
      <c r="P142" s="1157"/>
    </row>
    <row r="143" spans="1:16" hidden="1">
      <c r="B143" s="1237" t="s">
        <v>100</v>
      </c>
      <c r="I143" s="1237" t="s">
        <v>801</v>
      </c>
      <c r="J143" s="1238">
        <f t="shared" si="13"/>
        <v>0</v>
      </c>
      <c r="L143" s="1238">
        <v>0</v>
      </c>
      <c r="N143" s="1238">
        <f t="shared" si="14"/>
        <v>0</v>
      </c>
      <c r="O143" s="1157"/>
      <c r="P143" s="1157"/>
    </row>
    <row r="144" spans="1:16" hidden="1">
      <c r="B144" s="1237" t="s">
        <v>491</v>
      </c>
      <c r="I144" s="1237" t="s">
        <v>853</v>
      </c>
      <c r="L144" s="1238">
        <v>0</v>
      </c>
      <c r="N144" s="1238">
        <f t="shared" si="14"/>
        <v>0</v>
      </c>
      <c r="O144" s="1157"/>
      <c r="P144" s="1157"/>
    </row>
    <row r="145" spans="1:16" hidden="1">
      <c r="B145" s="1237" t="s">
        <v>82</v>
      </c>
      <c r="I145" s="1237" t="str">
        <f>+I142</f>
        <v>[l]</v>
      </c>
      <c r="J145" s="1238">
        <f>F145+H145</f>
        <v>0</v>
      </c>
      <c r="L145" s="1238">
        <v>0</v>
      </c>
      <c r="N145" s="1238">
        <f t="shared" si="14"/>
        <v>0</v>
      </c>
      <c r="O145" s="1157"/>
      <c r="P145" s="1157"/>
    </row>
    <row r="146" spans="1:16" hidden="1">
      <c r="F146" s="1252"/>
      <c r="H146" s="1252"/>
      <c r="J146" s="1252"/>
      <c r="L146" s="1252"/>
      <c r="N146" s="1252"/>
      <c r="O146" s="1157"/>
      <c r="P146" s="1157"/>
    </row>
    <row r="147" spans="1:16" hidden="1">
      <c r="B147" s="1237" t="s">
        <v>83</v>
      </c>
      <c r="E147" s="1247"/>
      <c r="F147" s="1254">
        <f>SUM(F136:F146)</f>
        <v>0</v>
      </c>
      <c r="G147" s="1247"/>
      <c r="H147" s="1254">
        <f>SUM(H136:H145)</f>
        <v>0</v>
      </c>
      <c r="I147" s="1247"/>
      <c r="J147" s="1254">
        <f>SUM(J136:J145)</f>
        <v>0</v>
      </c>
      <c r="K147" s="1247"/>
      <c r="L147" s="1254">
        <f>SUM(L136:L145)</f>
        <v>0</v>
      </c>
      <c r="M147" s="1247"/>
      <c r="N147" s="1254">
        <f>SUM(N136:N145)</f>
        <v>0</v>
      </c>
      <c r="O147" s="1157"/>
      <c r="P147" s="1157"/>
    </row>
    <row r="148" spans="1:16" hidden="1">
      <c r="F148" s="1256"/>
      <c r="H148" s="1256"/>
      <c r="J148" s="1256"/>
      <c r="L148" s="1256"/>
      <c r="N148" s="1256"/>
      <c r="O148" s="1157"/>
      <c r="P148" s="1157"/>
    </row>
    <row r="149" spans="1:16" hidden="1">
      <c r="A149" s="1246" t="s">
        <v>84</v>
      </c>
      <c r="B149" s="1246"/>
      <c r="C149" s="1246"/>
      <c r="D149" s="1255"/>
      <c r="O149" s="1157"/>
      <c r="P149" s="1157"/>
    </row>
    <row r="150" spans="1:16" hidden="1">
      <c r="B150" s="1237" t="s">
        <v>495</v>
      </c>
      <c r="E150" s="1247"/>
      <c r="G150" s="1247"/>
      <c r="I150" s="1248" t="s">
        <v>853</v>
      </c>
      <c r="J150" s="1238">
        <f>F150+H150</f>
        <v>0</v>
      </c>
      <c r="K150" s="1247"/>
      <c r="L150" s="1238">
        <v>0</v>
      </c>
      <c r="M150" s="1247"/>
      <c r="N150" s="1238">
        <f t="shared" ref="N150:N155" si="15">J150+L150</f>
        <v>0</v>
      </c>
      <c r="O150" s="1157"/>
      <c r="P150" s="1157"/>
    </row>
    <row r="151" spans="1:16" hidden="1">
      <c r="B151" s="1237" t="s">
        <v>385</v>
      </c>
      <c r="I151" s="1237" t="str">
        <f>+I145</f>
        <v>[l]</v>
      </c>
      <c r="J151" s="1238">
        <f>F151+H151</f>
        <v>0</v>
      </c>
      <c r="L151" s="1238">
        <v>0</v>
      </c>
      <c r="N151" s="1238">
        <f t="shared" si="15"/>
        <v>0</v>
      </c>
      <c r="O151" s="1157"/>
      <c r="P151" s="1157"/>
    </row>
    <row r="152" spans="1:16" hidden="1">
      <c r="B152" s="1237" t="s">
        <v>386</v>
      </c>
      <c r="I152" s="1237" t="s">
        <v>854</v>
      </c>
      <c r="L152" s="1238">
        <v>0</v>
      </c>
      <c r="N152" s="1238">
        <f t="shared" si="15"/>
        <v>0</v>
      </c>
      <c r="O152" s="1157"/>
      <c r="P152" s="1157"/>
    </row>
    <row r="153" spans="1:16" hidden="1">
      <c r="B153" s="1237" t="s">
        <v>2</v>
      </c>
      <c r="I153" s="1248" t="s">
        <v>853</v>
      </c>
      <c r="J153" s="1238">
        <f>F153+H153</f>
        <v>0</v>
      </c>
      <c r="L153" s="1238">
        <v>0</v>
      </c>
      <c r="M153" s="1255"/>
      <c r="N153" s="1238">
        <f t="shared" si="15"/>
        <v>0</v>
      </c>
      <c r="O153" s="1157"/>
      <c r="P153" s="1157"/>
    </row>
    <row r="154" spans="1:16" hidden="1">
      <c r="B154" s="1237" t="s">
        <v>378</v>
      </c>
      <c r="I154" s="1237" t="s">
        <v>801</v>
      </c>
      <c r="J154" s="1238">
        <f>F154+H154</f>
        <v>0</v>
      </c>
      <c r="L154" s="1238">
        <v>0</v>
      </c>
      <c r="N154" s="1238">
        <f t="shared" si="15"/>
        <v>0</v>
      </c>
      <c r="O154" s="1157"/>
      <c r="P154" s="1157"/>
    </row>
    <row r="155" spans="1:16" hidden="1">
      <c r="B155" s="1237" t="s">
        <v>379</v>
      </c>
      <c r="I155" s="1237" t="s">
        <v>801</v>
      </c>
      <c r="J155" s="1238">
        <f>F155+H155</f>
        <v>0</v>
      </c>
      <c r="L155" s="1238">
        <v>0</v>
      </c>
      <c r="N155" s="1238">
        <f t="shared" si="15"/>
        <v>0</v>
      </c>
      <c r="O155" s="1157"/>
      <c r="P155" s="1157"/>
    </row>
    <row r="156" spans="1:16" hidden="1">
      <c r="B156" s="1237" t="s">
        <v>931</v>
      </c>
      <c r="I156" s="1237" t="str">
        <f>+I151</f>
        <v>[l]</v>
      </c>
      <c r="J156" s="1238">
        <f>F156+H156</f>
        <v>0</v>
      </c>
      <c r="L156" s="1238">
        <v>0</v>
      </c>
      <c r="N156" s="1238">
        <f>J156+L156</f>
        <v>0</v>
      </c>
      <c r="O156" s="1157"/>
      <c r="P156" s="1157"/>
    </row>
    <row r="157" spans="1:16" hidden="1">
      <c r="B157" s="1237" t="s">
        <v>492</v>
      </c>
      <c r="I157" s="1237" t="s">
        <v>1233</v>
      </c>
      <c r="J157" s="1238">
        <f>F157+H157</f>
        <v>0</v>
      </c>
      <c r="L157" s="1238">
        <v>0</v>
      </c>
      <c r="N157" s="1238">
        <f>J157+L157</f>
        <v>0</v>
      </c>
      <c r="O157" s="1157"/>
      <c r="P157" s="1157"/>
    </row>
    <row r="158" spans="1:16" hidden="1">
      <c r="F158" s="1252"/>
      <c r="H158" s="1252"/>
      <c r="J158" s="1252"/>
      <c r="L158" s="1252"/>
      <c r="N158" s="1252"/>
      <c r="O158" s="1157"/>
      <c r="P158" s="1157"/>
    </row>
    <row r="159" spans="1:16" hidden="1">
      <c r="B159" s="1237" t="s">
        <v>83</v>
      </c>
      <c r="E159" s="1247"/>
      <c r="F159" s="1254">
        <f>SUM(F150:F158)</f>
        <v>0</v>
      </c>
      <c r="G159" s="1247"/>
      <c r="H159" s="1254">
        <f>SUM(H150:H158)</f>
        <v>0</v>
      </c>
      <c r="I159" s="1247"/>
      <c r="J159" s="1254">
        <f>SUM(J150:J158)</f>
        <v>0</v>
      </c>
      <c r="K159" s="1247"/>
      <c r="L159" s="1254">
        <f>SUM(L150:L158)</f>
        <v>0</v>
      </c>
      <c r="M159" s="1247"/>
      <c r="N159" s="1254">
        <f>SUM(N150:N158)</f>
        <v>0</v>
      </c>
      <c r="O159" s="1157"/>
      <c r="P159" s="1157"/>
    </row>
    <row r="160" spans="1:16" hidden="1">
      <c r="F160" s="1256"/>
      <c r="H160" s="1256"/>
      <c r="J160" s="1256"/>
      <c r="L160" s="1256"/>
      <c r="N160" s="1256"/>
      <c r="O160" s="1157"/>
      <c r="P160" s="1157"/>
    </row>
    <row r="161" spans="1:16" hidden="1">
      <c r="A161" s="1237" t="s">
        <v>493</v>
      </c>
      <c r="I161" s="1237" t="s">
        <v>855</v>
      </c>
      <c r="N161" s="1238">
        <f>J161+L161</f>
        <v>0</v>
      </c>
      <c r="O161" s="1157"/>
      <c r="P161" s="1157"/>
    </row>
    <row r="162" spans="1:16" hidden="1">
      <c r="A162" s="1237" t="s">
        <v>1234</v>
      </c>
      <c r="I162" s="1237" t="s">
        <v>855</v>
      </c>
      <c r="J162" s="1238">
        <f>+F162+H162</f>
        <v>0</v>
      </c>
      <c r="N162" s="1238">
        <f>J162+L162</f>
        <v>0</v>
      </c>
      <c r="P162" s="1157"/>
    </row>
    <row r="163" spans="1:16" hidden="1">
      <c r="A163" s="1237" t="s">
        <v>71</v>
      </c>
      <c r="I163" s="1237" t="s">
        <v>856</v>
      </c>
      <c r="J163" s="1238">
        <f>F163+H163</f>
        <v>0</v>
      </c>
      <c r="M163" s="1237" t="str">
        <f>I163</f>
        <v>[f]</v>
      </c>
      <c r="N163" s="1238">
        <f>J163+L163</f>
        <v>0</v>
      </c>
      <c r="P163" s="1157"/>
    </row>
    <row r="164" spans="1:16" hidden="1">
      <c r="A164" s="1237" t="s">
        <v>1242</v>
      </c>
      <c r="J164" s="1238">
        <f>+F164+H164</f>
        <v>0</v>
      </c>
      <c r="L164" s="1238">
        <v>0</v>
      </c>
      <c r="N164" s="1238">
        <v>0</v>
      </c>
      <c r="P164" s="1157"/>
    </row>
    <row r="165" spans="1:16" hidden="1">
      <c r="A165" s="1237" t="s">
        <v>120</v>
      </c>
      <c r="I165" s="1237" t="str">
        <f>+I166</f>
        <v>[g]</v>
      </c>
      <c r="M165" s="1237" t="s">
        <v>857</v>
      </c>
      <c r="P165" s="1157"/>
    </row>
    <row r="166" spans="1:16" hidden="1">
      <c r="A166" s="1237" t="s">
        <v>497</v>
      </c>
      <c r="I166" s="1237" t="s">
        <v>857</v>
      </c>
      <c r="M166" s="1237" t="str">
        <f>I166</f>
        <v>[g]</v>
      </c>
      <c r="P166" s="1157"/>
    </row>
    <row r="167" spans="1:16" hidden="1">
      <c r="A167" s="1237" t="s">
        <v>1235</v>
      </c>
      <c r="H167" s="1238">
        <v>0</v>
      </c>
      <c r="J167" s="1238">
        <f>F167+H167</f>
        <v>0</v>
      </c>
      <c r="N167" s="1238">
        <f>J167+L167</f>
        <v>0</v>
      </c>
      <c r="P167" s="1157"/>
    </row>
    <row r="168" spans="1:16" hidden="1">
      <c r="A168" s="1237" t="s">
        <v>1239</v>
      </c>
      <c r="I168" s="1237" t="s">
        <v>855</v>
      </c>
      <c r="N168" s="1238">
        <f>J168+L168</f>
        <v>0</v>
      </c>
      <c r="O168" s="1236"/>
      <c r="P168" s="1157"/>
    </row>
    <row r="169" spans="1:16" hidden="1">
      <c r="F169" s="1252"/>
      <c r="H169" s="1252"/>
      <c r="J169" s="1252"/>
      <c r="L169" s="1252"/>
      <c r="N169" s="1252"/>
      <c r="O169" s="1236"/>
      <c r="P169" s="1157"/>
    </row>
    <row r="170" spans="1:16" hidden="1">
      <c r="B170" s="1237" t="s">
        <v>391</v>
      </c>
      <c r="E170" s="1247"/>
      <c r="F170" s="1254">
        <f>SUM(F161:F169)</f>
        <v>0</v>
      </c>
      <c r="G170" s="1247"/>
      <c r="H170" s="1254">
        <f>SUM(H161:H169)</f>
        <v>0</v>
      </c>
      <c r="I170" s="1247"/>
      <c r="J170" s="1254">
        <f>SUM(J161:J169)</f>
        <v>0</v>
      </c>
      <c r="K170" s="1247"/>
      <c r="L170" s="1254">
        <f>SUM(L161:L169)</f>
        <v>0</v>
      </c>
      <c r="M170" s="1247"/>
      <c r="N170" s="1254">
        <f>SUM(N161:N169)</f>
        <v>0</v>
      </c>
      <c r="O170" s="1236"/>
      <c r="P170" s="1157"/>
    </row>
    <row r="171" spans="1:16" hidden="1">
      <c r="F171" s="1256"/>
      <c r="H171" s="1256"/>
      <c r="J171" s="1256"/>
      <c r="L171" s="1256"/>
      <c r="N171" s="1256"/>
      <c r="P171" s="1157"/>
    </row>
    <row r="172" spans="1:16" hidden="1">
      <c r="A172" s="1237" t="s">
        <v>577</v>
      </c>
      <c r="E172" s="1247"/>
      <c r="F172" s="1254">
        <f>F170+F159+F147</f>
        <v>0</v>
      </c>
      <c r="G172" s="1247"/>
      <c r="H172" s="1254">
        <f>H170+H159+H147</f>
        <v>0</v>
      </c>
      <c r="I172" s="1247"/>
      <c r="J172" s="1254">
        <f>J170+J159+J147</f>
        <v>0</v>
      </c>
      <c r="K172" s="1247"/>
      <c r="L172" s="1254">
        <f>L170+L159+L147</f>
        <v>0</v>
      </c>
      <c r="M172" s="1247"/>
      <c r="N172" s="1254">
        <f>N170+N159+N147</f>
        <v>0</v>
      </c>
      <c r="P172" s="1157"/>
    </row>
    <row r="173" spans="1:16" hidden="1">
      <c r="F173" s="1256"/>
      <c r="H173" s="1256"/>
      <c r="J173" s="1256"/>
      <c r="L173" s="1256"/>
      <c r="N173" s="1256"/>
      <c r="P173" s="1157"/>
    </row>
    <row r="174" spans="1:16" hidden="1">
      <c r="A174" s="1246" t="s">
        <v>591</v>
      </c>
      <c r="B174" s="1246"/>
      <c r="C174" s="1246"/>
      <c r="E174" s="1247"/>
      <c r="F174" s="1254">
        <f>+F133+F172</f>
        <v>0</v>
      </c>
      <c r="G174" s="1247"/>
      <c r="H174" s="1254">
        <f>+H133+H172</f>
        <v>0</v>
      </c>
      <c r="I174" s="1247"/>
      <c r="J174" s="1254">
        <f>+J133+J172</f>
        <v>0</v>
      </c>
      <c r="K174" s="1247"/>
      <c r="L174" s="1254">
        <f>+L133+L172</f>
        <v>0</v>
      </c>
      <c r="M174" s="1247"/>
      <c r="N174" s="1254">
        <f>+N133+N172</f>
        <v>0</v>
      </c>
      <c r="P174" s="1157"/>
    </row>
    <row r="175" spans="1:16" hidden="1">
      <c r="F175" s="1256"/>
      <c r="H175" s="1256"/>
      <c r="J175" s="1256"/>
      <c r="L175" s="1256"/>
      <c r="N175" s="1256"/>
      <c r="P175" s="1157"/>
    </row>
    <row r="176" spans="1:16" hidden="1">
      <c r="A176" s="1237" t="s">
        <v>1237</v>
      </c>
      <c r="F176" s="1256"/>
      <c r="H176" s="1256">
        <v>0</v>
      </c>
      <c r="J176" s="1238">
        <f>F176+H176</f>
        <v>0</v>
      </c>
      <c r="L176" s="1238">
        <v>0</v>
      </c>
      <c r="N176" s="1238">
        <f>J176+L176</f>
        <v>0</v>
      </c>
      <c r="P176" s="1157"/>
    </row>
    <row r="177" spans="1:16" hidden="1">
      <c r="A177" s="1237" t="s">
        <v>922</v>
      </c>
      <c r="H177" s="1238">
        <f>-F177</f>
        <v>0</v>
      </c>
      <c r="I177" s="1237" t="s">
        <v>858</v>
      </c>
      <c r="J177" s="1238">
        <f>F177+H177</f>
        <v>0</v>
      </c>
      <c r="L177" s="1238">
        <v>0</v>
      </c>
      <c r="N177" s="1238">
        <f>J177+L177</f>
        <v>0</v>
      </c>
      <c r="P177" s="1157"/>
    </row>
    <row r="178" spans="1:16" hidden="1">
      <c r="A178" s="1237" t="s">
        <v>126</v>
      </c>
      <c r="I178" s="1237" t="s">
        <v>550</v>
      </c>
      <c r="L178" s="1238">
        <v>0</v>
      </c>
      <c r="N178" s="1238">
        <f>J178+L178</f>
        <v>0</v>
      </c>
    </row>
    <row r="179" spans="1:16" ht="13.5" hidden="1" thickBot="1">
      <c r="F179" s="1252"/>
      <c r="H179" s="1252"/>
      <c r="J179" s="1252"/>
      <c r="L179" s="1252"/>
      <c r="N179" s="1252"/>
    </row>
    <row r="180" spans="1:16" ht="13.5" hidden="1" thickBot="1">
      <c r="A180" s="1255" t="s">
        <v>496</v>
      </c>
      <c r="B180" s="1255"/>
      <c r="E180" s="1247"/>
      <c r="F180" s="1259">
        <f>ROUND(F174+F177+F178+F176,0)</f>
        <v>0</v>
      </c>
      <c r="G180" s="1247"/>
      <c r="H180" s="1259">
        <f>ROUND(H174+H177+H178+H176,0)</f>
        <v>0</v>
      </c>
      <c r="I180" s="1247"/>
      <c r="J180" s="1259">
        <f>ROUND(J174+J177+J178+J176,0)</f>
        <v>0</v>
      </c>
      <c r="K180" s="1247"/>
      <c r="L180" s="1259">
        <f>ROUND(L174+L177+L178+L176,0)</f>
        <v>0</v>
      </c>
      <c r="M180" s="1247"/>
      <c r="N180" s="1259">
        <f>ROUND(N174+N177+N178+N176,0)</f>
        <v>0</v>
      </c>
      <c r="O180" s="1260" t="e">
        <f>N180/N133</f>
        <v>#DIV/0!</v>
      </c>
      <c r="P180" s="1261" t="e">
        <f>F180/F133</f>
        <v>#DIV/0!</v>
      </c>
    </row>
    <row r="181" spans="1:16" ht="13.5" hidden="1" thickTop="1">
      <c r="F181" s="1271"/>
      <c r="J181" s="1256"/>
      <c r="L181" s="1256"/>
    </row>
    <row r="182" spans="1:16" hidden="1">
      <c r="F182" s="1271"/>
      <c r="H182" s="1256"/>
      <c r="J182" s="1256"/>
      <c r="L182" s="1256"/>
    </row>
    <row r="183" spans="1:16">
      <c r="A183" s="1236" t="str">
        <f>A1</f>
        <v>WATER SERVICE CORPORATION OF KENTUCKY</v>
      </c>
      <c r="B183" s="1247"/>
      <c r="N183" s="1239" t="str">
        <f>N1</f>
        <v>Schedule B</v>
      </c>
    </row>
    <row r="184" spans="1:16">
      <c r="A184" s="1237" t="s">
        <v>915</v>
      </c>
      <c r="B184" s="1247"/>
      <c r="N184" s="1239" t="s">
        <v>1299</v>
      </c>
    </row>
    <row r="185" spans="1:16">
      <c r="B185" s="1247"/>
    </row>
    <row r="186" spans="1:16">
      <c r="B186" s="1247"/>
    </row>
    <row r="187" spans="1:16">
      <c r="A187" s="1216" t="s">
        <v>829</v>
      </c>
      <c r="B187" s="1216" t="s">
        <v>1984</v>
      </c>
    </row>
    <row r="189" spans="1:16">
      <c r="A189" s="1237" t="s">
        <v>808</v>
      </c>
      <c r="B189" s="1237" t="s">
        <v>1243</v>
      </c>
    </row>
    <row r="190" spans="1:16">
      <c r="B190" s="1237" t="s">
        <v>1765</v>
      </c>
    </row>
    <row r="192" spans="1:16">
      <c r="A192" s="1237" t="s">
        <v>790</v>
      </c>
      <c r="B192" s="1237" t="s">
        <v>1244</v>
      </c>
    </row>
    <row r="194" spans="1:16">
      <c r="A194" s="1237" t="s">
        <v>894</v>
      </c>
      <c r="B194" s="1216" t="s">
        <v>1301</v>
      </c>
      <c r="C194" s="1157"/>
      <c r="D194" s="1157"/>
      <c r="E194" s="1157"/>
      <c r="F194" s="1157"/>
      <c r="G194" s="1157"/>
      <c r="H194" s="1157"/>
      <c r="I194" s="1157"/>
      <c r="J194" s="1157"/>
      <c r="K194" s="1157"/>
      <c r="L194" s="1157"/>
      <c r="M194" s="1157"/>
      <c r="N194" s="1157"/>
      <c r="O194" s="1157"/>
      <c r="P194" s="1157"/>
    </row>
    <row r="196" spans="1:16">
      <c r="A196" s="1237" t="s">
        <v>855</v>
      </c>
      <c r="B196" s="1216" t="s">
        <v>1302</v>
      </c>
      <c r="C196" s="1157"/>
      <c r="D196" s="1157"/>
      <c r="E196" s="1157"/>
      <c r="F196" s="1157"/>
      <c r="G196" s="1157"/>
      <c r="H196" s="1157"/>
      <c r="I196" s="1157"/>
      <c r="J196" s="1157"/>
      <c r="K196" s="1157"/>
      <c r="L196" s="1157"/>
      <c r="M196" s="1157"/>
      <c r="N196" s="1157"/>
      <c r="O196" s="1157"/>
      <c r="P196" s="1157"/>
    </row>
    <row r="198" spans="1:16">
      <c r="A198" s="1237" t="s">
        <v>856</v>
      </c>
      <c r="B198" s="1237" t="s">
        <v>1767</v>
      </c>
      <c r="C198" s="1157"/>
      <c r="D198" s="1157"/>
      <c r="E198" s="1157"/>
      <c r="F198" s="1157"/>
      <c r="G198" s="1157"/>
      <c r="H198" s="1157"/>
      <c r="I198" s="1157"/>
      <c r="J198" s="1157"/>
      <c r="K198" s="1157"/>
      <c r="L198" s="1157"/>
      <c r="M198" s="1157"/>
      <c r="N198" s="1157"/>
      <c r="O198" s="1157"/>
      <c r="P198" s="1157"/>
    </row>
    <row r="199" spans="1:16">
      <c r="A199" s="1157"/>
      <c r="C199" s="1157"/>
      <c r="D199" s="1157"/>
      <c r="E199" s="1157"/>
      <c r="F199" s="1157"/>
      <c r="G199" s="1157"/>
      <c r="H199" s="1157"/>
      <c r="I199" s="1157"/>
      <c r="J199" s="1157"/>
      <c r="K199" s="1157"/>
      <c r="L199" s="1157"/>
      <c r="M199" s="1157"/>
      <c r="N199" s="1157"/>
      <c r="O199" s="1157"/>
      <c r="P199" s="1157"/>
    </row>
    <row r="200" spans="1:16">
      <c r="A200" s="1157" t="s">
        <v>857</v>
      </c>
      <c r="B200" s="1237" t="s">
        <v>1769</v>
      </c>
      <c r="C200" s="1157"/>
      <c r="D200" s="1157"/>
      <c r="E200" s="1157"/>
      <c r="F200" s="1157"/>
      <c r="G200" s="1157"/>
      <c r="H200" s="1157"/>
      <c r="I200" s="1157"/>
      <c r="J200" s="1157"/>
      <c r="K200" s="1157"/>
      <c r="L200" s="1157"/>
      <c r="M200" s="1157"/>
      <c r="N200" s="1157"/>
      <c r="O200" s="1157"/>
      <c r="P200" s="1157"/>
    </row>
    <row r="201" spans="1:16">
      <c r="A201" s="1157"/>
      <c r="C201" s="1157"/>
      <c r="D201" s="1157"/>
      <c r="E201" s="1157"/>
      <c r="F201" s="1157"/>
      <c r="G201" s="1157"/>
      <c r="H201" s="1157"/>
      <c r="I201" s="1157"/>
      <c r="J201" s="1157"/>
      <c r="K201" s="1157"/>
      <c r="L201" s="1157"/>
      <c r="M201" s="1157"/>
      <c r="N201" s="1157"/>
      <c r="O201" s="1157"/>
      <c r="P201" s="1157"/>
    </row>
    <row r="202" spans="1:16">
      <c r="A202" s="1237" t="s">
        <v>858</v>
      </c>
      <c r="B202" s="1216" t="s">
        <v>1303</v>
      </c>
      <c r="C202" s="1157"/>
      <c r="D202" s="1157"/>
      <c r="E202" s="1157"/>
      <c r="F202" s="1157"/>
      <c r="G202" s="1157"/>
      <c r="H202" s="1157"/>
      <c r="I202" s="1157"/>
      <c r="J202" s="1157"/>
      <c r="K202" s="1157"/>
      <c r="L202" s="1157"/>
      <c r="M202" s="1157"/>
      <c r="N202" s="1157"/>
      <c r="O202" s="1157"/>
      <c r="P202" s="1157"/>
    </row>
    <row r="203" spans="1:16" ht="16.5" customHeight="1">
      <c r="C203" s="1157"/>
      <c r="D203" s="1157"/>
      <c r="E203" s="1157"/>
      <c r="F203" s="1157"/>
      <c r="G203" s="1157"/>
      <c r="H203" s="1157"/>
      <c r="I203" s="1157"/>
      <c r="J203" s="1157"/>
      <c r="K203" s="1157"/>
      <c r="L203" s="1157"/>
      <c r="M203" s="1157"/>
      <c r="N203" s="1157"/>
      <c r="O203" s="1157"/>
      <c r="P203" s="1157"/>
    </row>
    <row r="204" spans="1:16" ht="16.5" customHeight="1">
      <c r="A204" s="1237" t="s">
        <v>550</v>
      </c>
      <c r="B204" s="1216" t="s">
        <v>1304</v>
      </c>
      <c r="C204" s="1157"/>
      <c r="D204" s="1157"/>
      <c r="E204" s="1157"/>
      <c r="F204" s="1157"/>
      <c r="G204" s="1157"/>
      <c r="H204" s="1157"/>
      <c r="I204" s="1157"/>
      <c r="J204" s="1157"/>
      <c r="K204" s="1157"/>
      <c r="L204" s="1157"/>
      <c r="M204" s="1157"/>
      <c r="N204" s="1157"/>
      <c r="O204" s="1157"/>
      <c r="P204" s="1157"/>
    </row>
    <row r="206" spans="1:16">
      <c r="A206" s="1237" t="s">
        <v>1768</v>
      </c>
      <c r="B206" s="1238" t="s">
        <v>2000</v>
      </c>
      <c r="C206" s="1157"/>
      <c r="D206" s="1157"/>
      <c r="E206" s="1157"/>
      <c r="F206" s="1157"/>
      <c r="G206" s="1157"/>
      <c r="H206" s="1157"/>
      <c r="I206" s="1157"/>
      <c r="J206" s="1157"/>
      <c r="K206" s="1157"/>
      <c r="L206" s="1157"/>
      <c r="M206" s="1157"/>
      <c r="N206" s="1157"/>
      <c r="O206" s="1157"/>
      <c r="P206" s="1157"/>
    </row>
    <row r="208" spans="1:16">
      <c r="A208" s="1237" t="s">
        <v>817</v>
      </c>
      <c r="B208" s="1237" t="s">
        <v>1766</v>
      </c>
      <c r="C208" s="1157"/>
      <c r="D208" s="1157"/>
      <c r="E208" s="1157"/>
      <c r="F208" s="1157"/>
      <c r="G208" s="1157"/>
      <c r="H208" s="1157"/>
      <c r="I208" s="1157"/>
      <c r="J208" s="1157"/>
      <c r="K208" s="1157"/>
      <c r="L208" s="1157"/>
      <c r="M208" s="1157"/>
      <c r="N208" s="1157"/>
      <c r="O208" s="1157"/>
      <c r="P208" s="1157"/>
    </row>
    <row r="210" spans="1:16">
      <c r="A210" s="1237" t="s">
        <v>801</v>
      </c>
      <c r="B210" s="1237" t="s">
        <v>2187</v>
      </c>
    </row>
    <row r="217" spans="1:16" ht="15.75">
      <c r="A217" s="1157"/>
      <c r="B217" s="1203"/>
      <c r="C217" s="1157"/>
      <c r="D217" s="1157"/>
      <c r="E217" s="1157"/>
      <c r="F217" s="1157"/>
      <c r="G217" s="1157"/>
      <c r="H217" s="1157"/>
      <c r="I217" s="1157"/>
      <c r="J217" s="1157"/>
      <c r="K217" s="1157"/>
      <c r="L217" s="1157"/>
      <c r="M217" s="1157"/>
      <c r="N217" s="1157"/>
      <c r="O217" s="1157"/>
      <c r="P217" s="1157"/>
    </row>
    <row r="218" spans="1:16" ht="15.75">
      <c r="A218" s="1157"/>
      <c r="B218" s="1203"/>
      <c r="C218" s="1157"/>
      <c r="D218" s="1157"/>
      <c r="E218" s="1157"/>
      <c r="F218" s="1157"/>
      <c r="G218" s="1157"/>
      <c r="H218" s="1157"/>
      <c r="I218" s="1157"/>
      <c r="J218" s="1157"/>
      <c r="K218" s="1157"/>
      <c r="L218" s="1157"/>
      <c r="M218" s="1157"/>
      <c r="N218" s="1157"/>
      <c r="O218" s="1157"/>
      <c r="P218" s="1157"/>
    </row>
    <row r="219" spans="1:16" ht="15.75">
      <c r="A219" s="1157"/>
      <c r="B219" s="1203"/>
      <c r="C219" s="1157"/>
      <c r="D219" s="1157"/>
      <c r="E219" s="1157"/>
      <c r="F219" s="1157"/>
      <c r="G219" s="1157"/>
      <c r="H219" s="1157"/>
      <c r="I219" s="1157"/>
      <c r="J219" s="1157"/>
      <c r="K219" s="1157"/>
      <c r="L219" s="1157"/>
      <c r="M219" s="1157"/>
      <c r="N219" s="1157"/>
      <c r="O219" s="1157"/>
      <c r="P219" s="1157"/>
    </row>
    <row r="220" spans="1:16" ht="15.75">
      <c r="A220" s="1157"/>
      <c r="B220" s="1203"/>
      <c r="C220" s="1157"/>
      <c r="D220" s="1157"/>
      <c r="E220" s="1157"/>
      <c r="F220" s="1157"/>
      <c r="G220" s="1157"/>
      <c r="H220" s="1157"/>
      <c r="I220" s="1157"/>
      <c r="J220" s="1157"/>
      <c r="K220" s="1157"/>
      <c r="L220" s="1157"/>
      <c r="M220" s="1157"/>
      <c r="N220" s="1157"/>
      <c r="O220" s="1157"/>
      <c r="P220" s="1157"/>
    </row>
    <row r="221" spans="1:16" ht="15.75">
      <c r="A221" s="1157"/>
      <c r="B221" s="1203"/>
      <c r="C221" s="1157"/>
      <c r="D221" s="1157"/>
      <c r="E221" s="1157"/>
      <c r="F221" s="1157"/>
      <c r="G221" s="1157"/>
      <c r="H221" s="1157"/>
      <c r="I221" s="1157"/>
      <c r="J221" s="1157"/>
      <c r="K221" s="1157"/>
      <c r="L221" s="1157"/>
      <c r="M221" s="1157"/>
      <c r="N221" s="1157"/>
      <c r="O221" s="1157"/>
      <c r="P221" s="1157"/>
    </row>
    <row r="222" spans="1:16" ht="15.75">
      <c r="A222" s="1157"/>
      <c r="B222" s="1203"/>
      <c r="C222" s="1157"/>
      <c r="D222" s="1157"/>
      <c r="E222" s="1157"/>
      <c r="F222" s="1157"/>
      <c r="G222" s="1157"/>
      <c r="H222" s="1157"/>
      <c r="I222" s="1157"/>
      <c r="J222" s="1157"/>
      <c r="K222" s="1157"/>
      <c r="L222" s="1157"/>
      <c r="M222" s="1157"/>
      <c r="N222" s="1157"/>
      <c r="O222" s="1157"/>
      <c r="P222" s="1157"/>
    </row>
    <row r="223" spans="1:16" ht="15.75">
      <c r="A223" s="1157"/>
      <c r="B223" s="1203"/>
      <c r="C223" s="1157"/>
      <c r="D223" s="1157"/>
      <c r="E223" s="1157"/>
      <c r="F223" s="1157"/>
      <c r="G223" s="1157"/>
      <c r="H223" s="1157"/>
      <c r="I223" s="1157"/>
      <c r="J223" s="1157"/>
      <c r="K223" s="1157"/>
      <c r="L223" s="1157"/>
      <c r="M223" s="1157"/>
      <c r="N223" s="1157"/>
      <c r="O223" s="1157"/>
      <c r="P223" s="1157"/>
    </row>
    <row r="224" spans="1:16" ht="15.75">
      <c r="A224" s="1157"/>
      <c r="B224" s="1203"/>
      <c r="C224" s="1157"/>
      <c r="D224" s="1157"/>
      <c r="E224" s="1157"/>
      <c r="F224" s="1157"/>
      <c r="G224" s="1157"/>
      <c r="H224" s="1157"/>
      <c r="I224" s="1157"/>
      <c r="J224" s="1157"/>
      <c r="K224" s="1157"/>
      <c r="L224" s="1157"/>
      <c r="M224" s="1157"/>
      <c r="N224" s="1157"/>
      <c r="O224" s="1157"/>
      <c r="P224" s="1157"/>
    </row>
    <row r="225" spans="1:16" ht="15.75">
      <c r="A225" s="1157"/>
      <c r="B225" s="1203"/>
      <c r="C225" s="1157"/>
      <c r="D225" s="1157"/>
      <c r="E225" s="1157"/>
      <c r="F225" s="1157"/>
      <c r="G225" s="1157"/>
      <c r="H225" s="1157"/>
      <c r="I225" s="1157"/>
      <c r="J225" s="1157"/>
      <c r="K225" s="1157"/>
      <c r="L225" s="1157"/>
      <c r="M225" s="1157"/>
      <c r="N225" s="1157"/>
      <c r="O225" s="1157"/>
      <c r="P225" s="1157"/>
    </row>
    <row r="226" spans="1:16" ht="15.75">
      <c r="A226" s="1157"/>
      <c r="B226" s="1203"/>
      <c r="M226" s="1157"/>
      <c r="N226" s="1157"/>
      <c r="O226" s="1157"/>
      <c r="P226" s="1157"/>
    </row>
    <row r="227" spans="1:16" ht="15.75">
      <c r="A227" s="1157"/>
      <c r="B227" s="1203"/>
      <c r="M227" s="1157"/>
      <c r="N227" s="1157"/>
      <c r="O227" s="1157"/>
      <c r="P227" s="1157"/>
    </row>
    <row r="234" spans="1:16">
      <c r="A234" s="1157"/>
      <c r="M234" s="1157"/>
      <c r="N234" s="1157"/>
      <c r="O234" s="1157"/>
      <c r="P234" s="1157"/>
    </row>
  </sheetData>
  <phoneticPr fontId="26" type="noConversion"/>
  <pageMargins left="0.25" right="0" top="0.25" bottom="0" header="0.5" footer="0.5"/>
  <pageSetup scale="73" orientation="landscape" horizontalDpi="4294967292" verticalDpi="4294967292" r:id="rId1"/>
  <headerFooter alignWithMargins="0"/>
  <rowBreaks count="3" manualBreakCount="3">
    <brk id="60" max="13" man="1"/>
    <brk id="120" max="13" man="1"/>
    <brk id="182" max="13" man="1"/>
  </rowBreaks>
  <colBreaks count="1" manualBreakCount="1">
    <brk id="14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0"/>
  <sheetViews>
    <sheetView showGridLines="0" topLeftCell="J7" workbookViewId="0">
      <selection activeCell="U10" sqref="U1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16.375" style="513" bestFit="1" customWidth="1"/>
    <col min="19" max="19" width="4.375" style="513" customWidth="1"/>
    <col min="20" max="20" width="11.75" style="513" bestFit="1" customWidth="1"/>
    <col min="21" max="16384" width="12.5" style="513"/>
  </cols>
  <sheetData>
    <row r="1" spans="1:21" ht="15">
      <c r="O1" s="514"/>
      <c r="R1" s="516" t="s">
        <v>65</v>
      </c>
      <c r="S1" s="516"/>
      <c r="T1" s="517" t="s">
        <v>271</v>
      </c>
    </row>
    <row r="2" spans="1:21">
      <c r="O2" s="514"/>
      <c r="R2" s="518" t="e">
        <f>#REF!</f>
        <v>#REF!</v>
      </c>
      <c r="S2" s="518"/>
      <c r="T2" s="546" t="e">
        <f>#REF!</f>
        <v>#REF!</v>
      </c>
    </row>
    <row r="3" spans="1:21">
      <c r="A3" s="515" t="s">
        <v>298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70" t="s">
        <v>301</v>
      </c>
      <c r="N3" s="515"/>
      <c r="O3" s="515"/>
      <c r="R3" s="518" t="e">
        <f>#REF!</f>
        <v>#REF!</v>
      </c>
      <c r="S3" s="518"/>
      <c r="T3" s="546" t="e">
        <f>#REF!</f>
        <v>#REF!</v>
      </c>
    </row>
    <row r="4" spans="1:21" ht="14.25" thickBot="1">
      <c r="A4" s="57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  <c r="R4" s="518" t="e">
        <f>#REF!</f>
        <v>#REF!</v>
      </c>
      <c r="S4" s="518"/>
      <c r="T4" s="546" t="e">
        <f>#REF!</f>
        <v>#REF!</v>
      </c>
    </row>
    <row r="5" spans="1:21">
      <c r="A5" s="523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e">
        <f>#REF!</f>
        <v>#REF!</v>
      </c>
      <c r="S5" s="518"/>
      <c r="T5" s="546" t="e">
        <f>#REF!</f>
        <v>#REF!</v>
      </c>
    </row>
    <row r="6" spans="1:21">
      <c r="A6" s="525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e">
        <f>#REF!</f>
        <v>#REF!</v>
      </c>
      <c r="S6" s="518"/>
      <c r="T6" s="546" t="e">
        <f>#REF!</f>
        <v>#REF!</v>
      </c>
    </row>
    <row r="7" spans="1:21">
      <c r="A7" s="525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e">
        <f>#REF!</f>
        <v>#REF!</v>
      </c>
      <c r="S7" s="518"/>
      <c r="T7" s="546" t="e">
        <f>#REF!</f>
        <v>#REF!</v>
      </c>
    </row>
    <row r="8" spans="1:21">
      <c r="A8" s="525" t="s">
        <v>288</v>
      </c>
      <c r="B8" s="525"/>
      <c r="C8" s="525" t="s">
        <v>289</v>
      </c>
      <c r="D8" s="525"/>
      <c r="E8" s="525" t="s">
        <v>290</v>
      </c>
      <c r="F8" s="525"/>
      <c r="G8" s="525" t="s">
        <v>291</v>
      </c>
      <c r="H8" s="525"/>
      <c r="I8" s="525" t="s">
        <v>278</v>
      </c>
      <c r="J8" s="525"/>
      <c r="K8" s="525" t="s">
        <v>290</v>
      </c>
      <c r="L8" s="525"/>
      <c r="M8" s="525" t="s">
        <v>292</v>
      </c>
      <c r="N8" s="525"/>
      <c r="O8" s="525" t="s">
        <v>293</v>
      </c>
    </row>
    <row r="9" spans="1:21">
      <c r="A9" s="572"/>
      <c r="B9" s="515"/>
      <c r="C9" s="572"/>
      <c r="D9" s="529"/>
      <c r="E9" s="565"/>
      <c r="F9" s="529"/>
      <c r="G9" s="565"/>
      <c r="H9" s="529"/>
      <c r="I9" s="565"/>
      <c r="J9" s="529"/>
      <c r="K9" s="565"/>
      <c r="L9" s="529"/>
      <c r="M9" s="565"/>
      <c r="N9" s="529"/>
      <c r="O9" s="565"/>
      <c r="T9" s="530"/>
    </row>
    <row r="10" spans="1:21">
      <c r="A10" s="552">
        <f t="shared" ref="A10:A28" si="0">P10*1000</f>
        <v>0</v>
      </c>
      <c r="B10" s="515"/>
      <c r="C10" s="532">
        <v>8</v>
      </c>
      <c r="D10" s="529"/>
      <c r="E10" s="567">
        <f>C10</f>
        <v>8</v>
      </c>
      <c r="F10" s="529"/>
      <c r="G10" s="533">
        <f t="shared" ref="G10:G28" si="1">A10*C10</f>
        <v>0</v>
      </c>
      <c r="H10" s="529"/>
      <c r="I10" s="574">
        <f>G10</f>
        <v>0</v>
      </c>
      <c r="J10" s="529"/>
      <c r="K10" s="533">
        <f t="shared" ref="K10:K28" si="2">$E$28-E10</f>
        <v>39</v>
      </c>
      <c r="L10" s="529"/>
      <c r="M10" s="533">
        <f t="shared" ref="M10:M28" si="3">(A10*K10)+I10</f>
        <v>0</v>
      </c>
      <c r="N10" s="529"/>
      <c r="O10" s="534">
        <f t="shared" ref="O10:O28" si="4">I10/$I$28</f>
        <v>0</v>
      </c>
      <c r="P10" s="532">
        <v>0</v>
      </c>
      <c r="R10" s="535"/>
      <c r="T10" s="536" t="e">
        <f t="shared" ref="T10:T28" si="5"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1">
      <c r="A11" s="552">
        <f t="shared" si="0"/>
        <v>1000</v>
      </c>
      <c r="B11" s="515"/>
      <c r="C11" s="532">
        <v>4</v>
      </c>
      <c r="D11" s="533"/>
      <c r="E11" s="533">
        <f>C11</f>
        <v>4</v>
      </c>
      <c r="F11" s="533"/>
      <c r="G11" s="533">
        <f t="shared" si="1"/>
        <v>4000</v>
      </c>
      <c r="H11" s="533"/>
      <c r="I11" s="533">
        <f>G11</f>
        <v>4000</v>
      </c>
      <c r="J11" s="533"/>
      <c r="K11" s="533">
        <f t="shared" si="2"/>
        <v>43</v>
      </c>
      <c r="L11" s="533"/>
      <c r="M11" s="533">
        <f t="shared" si="3"/>
        <v>47000</v>
      </c>
      <c r="N11" s="515"/>
      <c r="O11" s="534">
        <f t="shared" si="4"/>
        <v>9.433962264150943E-3</v>
      </c>
      <c r="P11" s="532">
        <v>1</v>
      </c>
      <c r="Q11" s="561"/>
      <c r="R11" s="535"/>
      <c r="T11" s="536" t="e">
        <f t="shared" si="5"/>
        <v>#REF!</v>
      </c>
      <c r="U11" s="547"/>
    </row>
    <row r="12" spans="1:21">
      <c r="A12" s="552">
        <f t="shared" si="0"/>
        <v>3000</v>
      </c>
      <c r="B12" s="515"/>
      <c r="C12" s="532">
        <v>1</v>
      </c>
      <c r="D12" s="533"/>
      <c r="E12" s="533">
        <f t="shared" ref="E12:E28" si="6">E11+C12</f>
        <v>5</v>
      </c>
      <c r="F12" s="533"/>
      <c r="G12" s="533">
        <f t="shared" si="1"/>
        <v>3000</v>
      </c>
      <c r="H12" s="533"/>
      <c r="I12" s="533">
        <f t="shared" ref="I12:I28" si="7">I11+G12</f>
        <v>7000</v>
      </c>
      <c r="J12" s="533"/>
      <c r="K12" s="533">
        <f t="shared" si="2"/>
        <v>42</v>
      </c>
      <c r="L12" s="533"/>
      <c r="M12" s="533">
        <f t="shared" si="3"/>
        <v>133000</v>
      </c>
      <c r="N12" s="515"/>
      <c r="O12" s="534">
        <f t="shared" si="4"/>
        <v>1.6509433962264151E-2</v>
      </c>
      <c r="P12" s="532">
        <v>3</v>
      </c>
      <c r="Q12" s="561"/>
      <c r="R12" s="535"/>
      <c r="T12" s="536" t="e">
        <f t="shared" si="5"/>
        <v>#REF!</v>
      </c>
      <c r="U12" s="547"/>
    </row>
    <row r="13" spans="1:21">
      <c r="A13" s="552">
        <f t="shared" si="0"/>
        <v>4000</v>
      </c>
      <c r="B13" s="515"/>
      <c r="C13" s="532">
        <v>2</v>
      </c>
      <c r="D13" s="533"/>
      <c r="E13" s="533">
        <f t="shared" si="6"/>
        <v>7</v>
      </c>
      <c r="F13" s="533"/>
      <c r="G13" s="533">
        <f t="shared" si="1"/>
        <v>8000</v>
      </c>
      <c r="H13" s="533"/>
      <c r="I13" s="533">
        <f t="shared" si="7"/>
        <v>15000</v>
      </c>
      <c r="J13" s="533"/>
      <c r="K13" s="533">
        <f t="shared" si="2"/>
        <v>40</v>
      </c>
      <c r="L13" s="533"/>
      <c r="M13" s="533">
        <f t="shared" si="3"/>
        <v>175000</v>
      </c>
      <c r="N13" s="515"/>
      <c r="O13" s="534">
        <f t="shared" si="4"/>
        <v>3.5377358490566037E-2</v>
      </c>
      <c r="P13" s="532">
        <v>4</v>
      </c>
      <c r="Q13" s="561"/>
      <c r="R13" s="535"/>
      <c r="T13" s="536" t="e">
        <f t="shared" si="5"/>
        <v>#REF!</v>
      </c>
      <c r="U13" s="547"/>
    </row>
    <row r="14" spans="1:21">
      <c r="A14" s="552">
        <f t="shared" si="0"/>
        <v>5000</v>
      </c>
      <c r="B14" s="515"/>
      <c r="C14" s="532">
        <v>3</v>
      </c>
      <c r="D14" s="533"/>
      <c r="E14" s="533">
        <f t="shared" si="6"/>
        <v>10</v>
      </c>
      <c r="F14" s="533"/>
      <c r="G14" s="533">
        <f t="shared" si="1"/>
        <v>15000</v>
      </c>
      <c r="H14" s="533"/>
      <c r="I14" s="533">
        <f t="shared" si="7"/>
        <v>30000</v>
      </c>
      <c r="J14" s="533"/>
      <c r="K14" s="533">
        <f t="shared" si="2"/>
        <v>37</v>
      </c>
      <c r="L14" s="533"/>
      <c r="M14" s="533">
        <f t="shared" si="3"/>
        <v>215000</v>
      </c>
      <c r="N14" s="515"/>
      <c r="O14" s="534">
        <f t="shared" si="4"/>
        <v>7.0754716981132074E-2</v>
      </c>
      <c r="P14" s="532">
        <v>5</v>
      </c>
      <c r="Q14" s="561"/>
      <c r="R14" s="535"/>
      <c r="T14" s="536" t="e">
        <f t="shared" si="5"/>
        <v>#REF!</v>
      </c>
      <c r="U14" s="547"/>
    </row>
    <row r="15" spans="1:21">
      <c r="A15" s="552">
        <f t="shared" si="0"/>
        <v>6000</v>
      </c>
      <c r="B15" s="515"/>
      <c r="C15" s="532">
        <v>6</v>
      </c>
      <c r="D15" s="533"/>
      <c r="E15" s="533">
        <f t="shared" si="6"/>
        <v>16</v>
      </c>
      <c r="F15" s="533"/>
      <c r="G15" s="533">
        <f t="shared" si="1"/>
        <v>36000</v>
      </c>
      <c r="H15" s="533"/>
      <c r="I15" s="533">
        <f t="shared" si="7"/>
        <v>66000</v>
      </c>
      <c r="J15" s="533"/>
      <c r="K15" s="533">
        <f t="shared" si="2"/>
        <v>31</v>
      </c>
      <c r="L15" s="533"/>
      <c r="M15" s="533">
        <f t="shared" si="3"/>
        <v>252000</v>
      </c>
      <c r="N15" s="515"/>
      <c r="O15" s="534">
        <f t="shared" si="4"/>
        <v>0.15566037735849056</v>
      </c>
      <c r="P15" s="532">
        <v>6</v>
      </c>
      <c r="Q15" s="561"/>
      <c r="R15" s="535"/>
      <c r="T15" s="536" t="e">
        <f t="shared" si="5"/>
        <v>#REF!</v>
      </c>
      <c r="U15" s="547"/>
    </row>
    <row r="16" spans="1:21">
      <c r="A16" s="552">
        <f t="shared" si="0"/>
        <v>7000</v>
      </c>
      <c r="B16" s="515"/>
      <c r="C16" s="532">
        <v>5</v>
      </c>
      <c r="D16" s="533"/>
      <c r="E16" s="533">
        <f t="shared" si="6"/>
        <v>21</v>
      </c>
      <c r="F16" s="533"/>
      <c r="G16" s="533">
        <f t="shared" si="1"/>
        <v>35000</v>
      </c>
      <c r="H16" s="533"/>
      <c r="I16" s="533">
        <f t="shared" si="7"/>
        <v>101000</v>
      </c>
      <c r="J16" s="533"/>
      <c r="K16" s="533">
        <f t="shared" si="2"/>
        <v>26</v>
      </c>
      <c r="L16" s="533"/>
      <c r="M16" s="533">
        <f t="shared" si="3"/>
        <v>283000</v>
      </c>
      <c r="N16" s="515"/>
      <c r="O16" s="534">
        <f t="shared" si="4"/>
        <v>0.23820754716981132</v>
      </c>
      <c r="P16" s="532">
        <v>7</v>
      </c>
      <c r="Q16" s="561"/>
      <c r="R16" s="535"/>
      <c r="T16" s="536" t="e">
        <f t="shared" si="5"/>
        <v>#REF!</v>
      </c>
      <c r="U16" s="547"/>
    </row>
    <row r="17" spans="1:21">
      <c r="A17" s="552">
        <f t="shared" si="0"/>
        <v>8000</v>
      </c>
      <c r="B17" s="515"/>
      <c r="C17" s="532">
        <v>3</v>
      </c>
      <c r="D17" s="533"/>
      <c r="E17" s="533">
        <f t="shared" si="6"/>
        <v>24</v>
      </c>
      <c r="F17" s="533"/>
      <c r="G17" s="533">
        <f t="shared" si="1"/>
        <v>24000</v>
      </c>
      <c r="H17" s="533"/>
      <c r="I17" s="533">
        <f t="shared" si="7"/>
        <v>125000</v>
      </c>
      <c r="J17" s="533"/>
      <c r="K17" s="533">
        <f t="shared" si="2"/>
        <v>23</v>
      </c>
      <c r="L17" s="533"/>
      <c r="M17" s="533">
        <f t="shared" si="3"/>
        <v>309000</v>
      </c>
      <c r="N17" s="515"/>
      <c r="O17" s="534">
        <f t="shared" si="4"/>
        <v>0.294811320754717</v>
      </c>
      <c r="P17" s="532">
        <v>8</v>
      </c>
      <c r="Q17" s="561"/>
      <c r="R17" s="535"/>
      <c r="T17" s="536" t="e">
        <f t="shared" si="5"/>
        <v>#REF!</v>
      </c>
      <c r="U17" s="547"/>
    </row>
    <row r="18" spans="1:21">
      <c r="A18" s="552">
        <f t="shared" si="0"/>
        <v>9000</v>
      </c>
      <c r="B18" s="515"/>
      <c r="C18" s="532">
        <v>2</v>
      </c>
      <c r="D18" s="533"/>
      <c r="E18" s="533">
        <f t="shared" si="6"/>
        <v>26</v>
      </c>
      <c r="F18" s="533"/>
      <c r="G18" s="533">
        <f t="shared" si="1"/>
        <v>18000</v>
      </c>
      <c r="H18" s="533"/>
      <c r="I18" s="533">
        <f t="shared" si="7"/>
        <v>143000</v>
      </c>
      <c r="J18" s="533"/>
      <c r="K18" s="533">
        <f t="shared" si="2"/>
        <v>21</v>
      </c>
      <c r="L18" s="533"/>
      <c r="M18" s="533">
        <f t="shared" si="3"/>
        <v>332000</v>
      </c>
      <c r="N18" s="515"/>
      <c r="O18" s="534">
        <f t="shared" si="4"/>
        <v>0.33726415094339623</v>
      </c>
      <c r="P18" s="532">
        <v>9</v>
      </c>
      <c r="Q18" s="561"/>
      <c r="R18" s="535"/>
      <c r="T18" s="536" t="e">
        <f t="shared" si="5"/>
        <v>#REF!</v>
      </c>
      <c r="U18" s="547"/>
    </row>
    <row r="19" spans="1:21">
      <c r="A19" s="552">
        <f t="shared" si="0"/>
        <v>10000</v>
      </c>
      <c r="B19" s="515"/>
      <c r="C19" s="532">
        <v>8</v>
      </c>
      <c r="D19" s="533"/>
      <c r="E19" s="533">
        <f t="shared" si="6"/>
        <v>34</v>
      </c>
      <c r="F19" s="533"/>
      <c r="G19" s="533">
        <f t="shared" si="1"/>
        <v>80000</v>
      </c>
      <c r="H19" s="533"/>
      <c r="I19" s="533">
        <f t="shared" si="7"/>
        <v>223000</v>
      </c>
      <c r="J19" s="533"/>
      <c r="K19" s="533">
        <f t="shared" si="2"/>
        <v>13</v>
      </c>
      <c r="L19" s="533"/>
      <c r="M19" s="533">
        <f t="shared" si="3"/>
        <v>353000</v>
      </c>
      <c r="N19" s="537"/>
      <c r="O19" s="534">
        <f t="shared" si="4"/>
        <v>0.52594339622641506</v>
      </c>
      <c r="P19" s="532">
        <v>10</v>
      </c>
      <c r="Q19" s="561"/>
      <c r="R19" s="535"/>
      <c r="T19" s="536" t="e">
        <f t="shared" si="5"/>
        <v>#REF!</v>
      </c>
      <c r="U19" s="547"/>
    </row>
    <row r="20" spans="1:21">
      <c r="A20" s="552">
        <f t="shared" si="0"/>
        <v>11000</v>
      </c>
      <c r="B20" s="515"/>
      <c r="C20" s="532">
        <v>3</v>
      </c>
      <c r="D20" s="533"/>
      <c r="E20" s="533">
        <f t="shared" si="6"/>
        <v>37</v>
      </c>
      <c r="F20" s="533"/>
      <c r="G20" s="533">
        <f t="shared" si="1"/>
        <v>33000</v>
      </c>
      <c r="H20" s="533"/>
      <c r="I20" s="533">
        <f t="shared" si="7"/>
        <v>256000</v>
      </c>
      <c r="J20" s="533"/>
      <c r="K20" s="533">
        <f t="shared" si="2"/>
        <v>10</v>
      </c>
      <c r="L20" s="533"/>
      <c r="M20" s="533">
        <f t="shared" si="3"/>
        <v>366000</v>
      </c>
      <c r="N20" s="515"/>
      <c r="O20" s="534">
        <f t="shared" si="4"/>
        <v>0.60377358490566035</v>
      </c>
      <c r="P20" s="532">
        <v>11</v>
      </c>
      <c r="Q20" s="561"/>
      <c r="R20" s="535"/>
      <c r="T20" s="536" t="e">
        <f t="shared" si="5"/>
        <v>#REF!</v>
      </c>
      <c r="U20" s="547"/>
    </row>
    <row r="21" spans="1:21">
      <c r="A21" s="552">
        <f t="shared" si="0"/>
        <v>12000</v>
      </c>
      <c r="B21" s="515"/>
      <c r="C21" s="532">
        <v>1</v>
      </c>
      <c r="D21" s="533"/>
      <c r="E21" s="533">
        <f t="shared" si="6"/>
        <v>38</v>
      </c>
      <c r="F21" s="533"/>
      <c r="G21" s="533">
        <f t="shared" si="1"/>
        <v>12000</v>
      </c>
      <c r="H21" s="533"/>
      <c r="I21" s="533">
        <f t="shared" si="7"/>
        <v>268000</v>
      </c>
      <c r="J21" s="533"/>
      <c r="K21" s="533">
        <f t="shared" si="2"/>
        <v>9</v>
      </c>
      <c r="L21" s="533"/>
      <c r="M21" s="533">
        <f t="shared" si="3"/>
        <v>376000</v>
      </c>
      <c r="N21" s="515"/>
      <c r="O21" s="534">
        <f t="shared" si="4"/>
        <v>0.63207547169811318</v>
      </c>
      <c r="P21" s="532">
        <v>12</v>
      </c>
      <c r="Q21" s="561"/>
      <c r="R21" s="535"/>
      <c r="T21" s="536" t="e">
        <f t="shared" si="5"/>
        <v>#REF!</v>
      </c>
      <c r="U21" s="547"/>
    </row>
    <row r="22" spans="1:21">
      <c r="A22" s="552">
        <f t="shared" si="0"/>
        <v>13000</v>
      </c>
      <c r="B22" s="515"/>
      <c r="C22" s="532">
        <v>1</v>
      </c>
      <c r="D22" s="533"/>
      <c r="E22" s="533">
        <f t="shared" si="6"/>
        <v>39</v>
      </c>
      <c r="F22" s="533"/>
      <c r="G22" s="533">
        <f t="shared" si="1"/>
        <v>13000</v>
      </c>
      <c r="H22" s="533"/>
      <c r="I22" s="533">
        <f t="shared" si="7"/>
        <v>281000</v>
      </c>
      <c r="J22" s="533"/>
      <c r="K22" s="533">
        <f t="shared" si="2"/>
        <v>8</v>
      </c>
      <c r="L22" s="533"/>
      <c r="M22" s="533">
        <f t="shared" si="3"/>
        <v>385000</v>
      </c>
      <c r="N22" s="515"/>
      <c r="O22" s="534">
        <f t="shared" si="4"/>
        <v>0.66273584905660377</v>
      </c>
      <c r="P22" s="532">
        <v>13</v>
      </c>
      <c r="Q22" s="561"/>
      <c r="R22" s="535"/>
      <c r="T22" s="536" t="e">
        <f t="shared" si="5"/>
        <v>#REF!</v>
      </c>
      <c r="U22" s="547"/>
    </row>
    <row r="23" spans="1:21">
      <c r="A23" s="552">
        <f t="shared" si="0"/>
        <v>14000</v>
      </c>
      <c r="B23" s="515"/>
      <c r="C23" s="532">
        <v>2</v>
      </c>
      <c r="D23" s="533"/>
      <c r="E23" s="533">
        <f t="shared" si="6"/>
        <v>41</v>
      </c>
      <c r="F23" s="533"/>
      <c r="G23" s="533">
        <f t="shared" si="1"/>
        <v>28000</v>
      </c>
      <c r="H23" s="533"/>
      <c r="I23" s="533">
        <f t="shared" si="7"/>
        <v>309000</v>
      </c>
      <c r="J23" s="533"/>
      <c r="K23" s="533">
        <f t="shared" si="2"/>
        <v>6</v>
      </c>
      <c r="L23" s="533"/>
      <c r="M23" s="533">
        <f t="shared" si="3"/>
        <v>393000</v>
      </c>
      <c r="N23" s="515"/>
      <c r="O23" s="534">
        <f t="shared" si="4"/>
        <v>0.72877358490566035</v>
      </c>
      <c r="P23" s="532">
        <v>14</v>
      </c>
      <c r="Q23" s="561"/>
      <c r="R23" s="535"/>
      <c r="T23" s="536" t="e">
        <f t="shared" si="5"/>
        <v>#REF!</v>
      </c>
      <c r="U23" s="547"/>
    </row>
    <row r="24" spans="1:21">
      <c r="A24" s="552">
        <f t="shared" si="0"/>
        <v>15000</v>
      </c>
      <c r="B24" s="515"/>
      <c r="C24" s="532">
        <v>1</v>
      </c>
      <c r="D24" s="533"/>
      <c r="E24" s="533">
        <f t="shared" si="6"/>
        <v>42</v>
      </c>
      <c r="F24" s="533"/>
      <c r="G24" s="533">
        <f t="shared" si="1"/>
        <v>15000</v>
      </c>
      <c r="H24" s="533"/>
      <c r="I24" s="533">
        <f t="shared" si="7"/>
        <v>324000</v>
      </c>
      <c r="J24" s="533"/>
      <c r="K24" s="533">
        <f t="shared" si="2"/>
        <v>5</v>
      </c>
      <c r="L24" s="533"/>
      <c r="M24" s="533">
        <f t="shared" si="3"/>
        <v>399000</v>
      </c>
      <c r="N24" s="515"/>
      <c r="O24" s="534">
        <f t="shared" si="4"/>
        <v>0.76415094339622647</v>
      </c>
      <c r="P24" s="532">
        <v>15</v>
      </c>
      <c r="Q24" s="561"/>
      <c r="T24" s="536" t="e">
        <f t="shared" si="5"/>
        <v>#REF!</v>
      </c>
      <c r="U24" s="547"/>
    </row>
    <row r="25" spans="1:21">
      <c r="A25" s="552">
        <f t="shared" si="0"/>
        <v>16000</v>
      </c>
      <c r="B25" s="515"/>
      <c r="C25" s="532">
        <v>1</v>
      </c>
      <c r="D25" s="533"/>
      <c r="E25" s="533">
        <f t="shared" si="6"/>
        <v>43</v>
      </c>
      <c r="F25" s="533"/>
      <c r="G25" s="533">
        <f t="shared" si="1"/>
        <v>16000</v>
      </c>
      <c r="H25" s="533"/>
      <c r="I25" s="533">
        <f t="shared" si="7"/>
        <v>340000</v>
      </c>
      <c r="J25" s="533"/>
      <c r="K25" s="533">
        <f t="shared" si="2"/>
        <v>4</v>
      </c>
      <c r="L25" s="533"/>
      <c r="M25" s="533">
        <f t="shared" si="3"/>
        <v>404000</v>
      </c>
      <c r="N25" s="515"/>
      <c r="O25" s="534">
        <f t="shared" si="4"/>
        <v>0.80188679245283023</v>
      </c>
      <c r="P25" s="532">
        <v>16</v>
      </c>
      <c r="Q25" s="561"/>
      <c r="T25" s="536" t="e">
        <f t="shared" si="5"/>
        <v>#REF!</v>
      </c>
      <c r="U25" s="547"/>
    </row>
    <row r="26" spans="1:21">
      <c r="A26" s="552">
        <f t="shared" si="0"/>
        <v>18000</v>
      </c>
      <c r="C26" s="532">
        <v>1</v>
      </c>
      <c r="E26" s="533">
        <f t="shared" si="6"/>
        <v>44</v>
      </c>
      <c r="G26" s="533">
        <f t="shared" si="1"/>
        <v>18000</v>
      </c>
      <c r="I26" s="533">
        <f t="shared" si="7"/>
        <v>358000</v>
      </c>
      <c r="K26" s="533">
        <f t="shared" si="2"/>
        <v>3</v>
      </c>
      <c r="M26" s="533">
        <f t="shared" si="3"/>
        <v>412000</v>
      </c>
      <c r="O26" s="534">
        <f t="shared" si="4"/>
        <v>0.84433962264150941</v>
      </c>
      <c r="P26" s="532">
        <v>18</v>
      </c>
      <c r="T26" s="536" t="e">
        <f t="shared" si="5"/>
        <v>#REF!</v>
      </c>
    </row>
    <row r="27" spans="1:21">
      <c r="A27" s="552">
        <f t="shared" si="0"/>
        <v>20000</v>
      </c>
      <c r="C27" s="532">
        <v>2</v>
      </c>
      <c r="E27" s="533">
        <f t="shared" si="6"/>
        <v>46</v>
      </c>
      <c r="G27" s="533">
        <f t="shared" si="1"/>
        <v>40000</v>
      </c>
      <c r="I27" s="533">
        <f t="shared" si="7"/>
        <v>398000</v>
      </c>
      <c r="K27" s="533">
        <f t="shared" si="2"/>
        <v>1</v>
      </c>
      <c r="M27" s="533">
        <f t="shared" si="3"/>
        <v>418000</v>
      </c>
      <c r="O27" s="534">
        <f t="shared" si="4"/>
        <v>0.93867924528301883</v>
      </c>
      <c r="P27" s="532">
        <v>20</v>
      </c>
      <c r="T27" s="536" t="e">
        <f t="shared" si="5"/>
        <v>#REF!</v>
      </c>
    </row>
    <row r="28" spans="1:21">
      <c r="A28" s="552">
        <f t="shared" si="0"/>
        <v>26000</v>
      </c>
      <c r="C28" s="532">
        <v>1</v>
      </c>
      <c r="E28" s="533">
        <f t="shared" si="6"/>
        <v>47</v>
      </c>
      <c r="G28" s="533">
        <f t="shared" si="1"/>
        <v>26000</v>
      </c>
      <c r="I28" s="533">
        <f t="shared" si="7"/>
        <v>424000</v>
      </c>
      <c r="K28" s="533">
        <f t="shared" si="2"/>
        <v>0</v>
      </c>
      <c r="M28" s="533">
        <f t="shared" si="3"/>
        <v>424000</v>
      </c>
      <c r="O28" s="534">
        <f t="shared" si="4"/>
        <v>1</v>
      </c>
      <c r="P28" s="532">
        <v>26</v>
      </c>
      <c r="T28" s="536" t="e">
        <f t="shared" si="5"/>
        <v>#REF!</v>
      </c>
    </row>
    <row r="29" spans="1:21">
      <c r="P29" s="532"/>
      <c r="T29" s="536"/>
    </row>
    <row r="30" spans="1:21">
      <c r="T30" s="554" t="e">
        <f>SUM(T10:T28)</f>
        <v>#REF!</v>
      </c>
    </row>
    <row r="31" spans="1:21" hidden="1">
      <c r="T31" s="536">
        <v>1571</v>
      </c>
    </row>
    <row r="32" spans="1:21" hidden="1">
      <c r="T32" s="536" t="e">
        <f>T30-T31</f>
        <v>#REF!</v>
      </c>
    </row>
    <row r="33" spans="20:20" hidden="1">
      <c r="T33" s="569" t="e">
        <f>T32/T30</f>
        <v>#REF!</v>
      </c>
    </row>
    <row r="34" spans="20:20">
      <c r="T34" s="536"/>
    </row>
    <row r="35" spans="20:20">
      <c r="T35" s="536"/>
    </row>
    <row r="36" spans="20:20">
      <c r="T36" s="536"/>
    </row>
    <row r="37" spans="20:20">
      <c r="T37" s="536"/>
    </row>
    <row r="38" spans="20:20">
      <c r="T38" s="536"/>
    </row>
    <row r="39" spans="20:20">
      <c r="T39" s="536"/>
    </row>
    <row r="40" spans="20:20">
      <c r="T40" s="536"/>
    </row>
    <row r="41" spans="20:20">
      <c r="T41" s="536"/>
    </row>
    <row r="42" spans="20:20">
      <c r="T42" s="536"/>
    </row>
    <row r="43" spans="20:20">
      <c r="T43" s="536"/>
    </row>
    <row r="44" spans="20:20">
      <c r="T44" s="536"/>
    </row>
    <row r="45" spans="20:20">
      <c r="T45" s="536"/>
    </row>
    <row r="46" spans="20:20">
      <c r="T46" s="536"/>
    </row>
    <row r="47" spans="20:20">
      <c r="T47" s="536"/>
    </row>
    <row r="48" spans="20:20">
      <c r="T48" s="536"/>
    </row>
    <row r="49" spans="20:20">
      <c r="T49" s="536"/>
    </row>
    <row r="50" spans="20:20">
      <c r="T50" s="536"/>
    </row>
    <row r="51" spans="20:20">
      <c r="T51" s="536"/>
    </row>
    <row r="52" spans="20:20">
      <c r="T52" s="536"/>
    </row>
    <row r="53" spans="20:20">
      <c r="T53" s="536"/>
    </row>
    <row r="54" spans="20:20">
      <c r="T54" s="536"/>
    </row>
    <row r="55" spans="20:20">
      <c r="T55" s="536"/>
    </row>
    <row r="56" spans="20:20">
      <c r="T56" s="536"/>
    </row>
    <row r="57" spans="20:20">
      <c r="T57" s="536"/>
    </row>
    <row r="58" spans="20:20">
      <c r="T58" s="536"/>
    </row>
    <row r="59" spans="20:20">
      <c r="T59" s="536"/>
    </row>
    <row r="60" spans="20:20">
      <c r="T60" s="536"/>
    </row>
    <row r="61" spans="20:20">
      <c r="T61" s="536"/>
    </row>
    <row r="62" spans="20:20">
      <c r="T62" s="536"/>
    </row>
    <row r="63" spans="20:20">
      <c r="T63" s="536"/>
    </row>
    <row r="64" spans="20:20">
      <c r="T64" s="536"/>
    </row>
    <row r="65" spans="20:20">
      <c r="T65" s="536"/>
    </row>
    <row r="66" spans="20:20">
      <c r="T66" s="536"/>
    </row>
    <row r="67" spans="20:20">
      <c r="T67" s="536"/>
    </row>
    <row r="68" spans="20:20">
      <c r="T68" s="536"/>
    </row>
    <row r="69" spans="20:20">
      <c r="T69" s="536"/>
    </row>
    <row r="70" spans="20:20">
      <c r="T70" s="536"/>
    </row>
    <row r="71" spans="20:20">
      <c r="T71" s="536"/>
    </row>
    <row r="72" spans="20:20">
      <c r="T72" s="536"/>
    </row>
    <row r="73" spans="20:20">
      <c r="T73" s="536"/>
    </row>
    <row r="74" spans="20:20">
      <c r="T74" s="536"/>
    </row>
    <row r="75" spans="20:20">
      <c r="T75" s="536"/>
    </row>
    <row r="76" spans="20:20">
      <c r="T76" s="536"/>
    </row>
    <row r="77" spans="20:20">
      <c r="T77" s="536"/>
    </row>
    <row r="78" spans="20:20">
      <c r="T78" s="536"/>
    </row>
    <row r="79" spans="20:20">
      <c r="T79" s="536"/>
    </row>
    <row r="80" spans="20:20">
      <c r="T80" s="536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5"/>
  <sheetViews>
    <sheetView showGridLines="0" topLeftCell="L73" workbookViewId="0">
      <selection activeCell="U10" sqref="U1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16.375" style="513" bestFit="1" customWidth="1"/>
    <col min="19" max="19" width="5.125" style="513" customWidth="1"/>
    <col min="20" max="20" width="11.75" style="513" bestFit="1" customWidth="1"/>
    <col min="21" max="16384" width="12.5" style="513"/>
  </cols>
  <sheetData>
    <row r="1" spans="1:21" ht="15">
      <c r="O1" s="514"/>
      <c r="R1" s="516" t="s">
        <v>65</v>
      </c>
      <c r="S1" s="516"/>
      <c r="T1" s="517" t="s">
        <v>271</v>
      </c>
    </row>
    <row r="2" spans="1:21">
      <c r="O2" s="514"/>
      <c r="R2" s="518" t="e">
        <f>'16013-171'!R2</f>
        <v>#REF!</v>
      </c>
      <c r="S2" s="518"/>
      <c r="T2" s="546" t="e">
        <f>'16013-171'!T2</f>
        <v>#REF!</v>
      </c>
    </row>
    <row r="3" spans="1:21">
      <c r="A3" s="515" t="s">
        <v>298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70" t="s">
        <v>301</v>
      </c>
      <c r="N3" s="515"/>
      <c r="O3" s="515"/>
      <c r="R3" s="518" t="e">
        <f>'16013-171'!R3</f>
        <v>#REF!</v>
      </c>
      <c r="S3" s="518"/>
      <c r="T3" s="546" t="e">
        <f>'16013-171'!T3</f>
        <v>#REF!</v>
      </c>
    </row>
    <row r="4" spans="1:21" ht="14.25" thickBot="1">
      <c r="A4" s="57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  <c r="R4" s="518" t="e">
        <f>'16013-171'!R4</f>
        <v>#REF!</v>
      </c>
      <c r="S4" s="518"/>
      <c r="T4" s="546" t="e">
        <f>'16013-171'!T4</f>
        <v>#REF!</v>
      </c>
    </row>
    <row r="5" spans="1:21">
      <c r="A5" s="523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e">
        <f>'16013-171'!R5</f>
        <v>#REF!</v>
      </c>
      <c r="S5" s="518"/>
      <c r="T5" s="546" t="e">
        <f>'16013-171'!T5</f>
        <v>#REF!</v>
      </c>
    </row>
    <row r="6" spans="1:21">
      <c r="A6" s="525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e">
        <f>'16013-171'!R6</f>
        <v>#REF!</v>
      </c>
      <c r="S6" s="518"/>
      <c r="T6" s="546" t="e">
        <f>'16013-171'!T6</f>
        <v>#REF!</v>
      </c>
    </row>
    <row r="7" spans="1:21">
      <c r="A7" s="525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e">
        <f>'16013-171'!R7</f>
        <v>#REF!</v>
      </c>
      <c r="S7" s="518"/>
      <c r="T7" s="546" t="e">
        <f>'16013-171'!T7</f>
        <v>#REF!</v>
      </c>
    </row>
    <row r="8" spans="1:21">
      <c r="A8" s="525" t="s">
        <v>288</v>
      </c>
      <c r="B8" s="525"/>
      <c r="C8" s="525" t="s">
        <v>289</v>
      </c>
      <c r="D8" s="525"/>
      <c r="E8" s="525" t="s">
        <v>290</v>
      </c>
      <c r="F8" s="525"/>
      <c r="G8" s="525" t="s">
        <v>291</v>
      </c>
      <c r="H8" s="525"/>
      <c r="I8" s="525" t="s">
        <v>278</v>
      </c>
      <c r="J8" s="525"/>
      <c r="K8" s="525" t="s">
        <v>290</v>
      </c>
      <c r="L8" s="525"/>
      <c r="M8" s="525" t="s">
        <v>292</v>
      </c>
      <c r="N8" s="525"/>
      <c r="O8" s="525" t="s">
        <v>293</v>
      </c>
    </row>
    <row r="9" spans="1:21">
      <c r="A9" s="572"/>
      <c r="B9" s="515"/>
      <c r="C9" s="572"/>
      <c r="D9" s="529"/>
      <c r="E9" s="565"/>
      <c r="F9" s="529"/>
      <c r="G9" s="565"/>
      <c r="H9" s="529"/>
      <c r="I9" s="565"/>
      <c r="J9" s="529"/>
      <c r="K9" s="565"/>
      <c r="L9" s="529"/>
      <c r="M9" s="565"/>
      <c r="N9" s="529"/>
      <c r="O9" s="565"/>
      <c r="T9" s="530"/>
    </row>
    <row r="10" spans="1:21">
      <c r="A10" s="552">
        <f t="shared" ref="A10:A41" si="0">P10*1000</f>
        <v>0</v>
      </c>
      <c r="B10" s="515"/>
      <c r="C10" s="532">
        <v>12</v>
      </c>
      <c r="D10" s="533"/>
      <c r="E10" s="533">
        <f>C10</f>
        <v>12</v>
      </c>
      <c r="F10" s="533"/>
      <c r="G10" s="533">
        <f t="shared" ref="G10:G41" si="1">A10*C10</f>
        <v>0</v>
      </c>
      <c r="H10" s="533"/>
      <c r="I10" s="533">
        <f>G10</f>
        <v>0</v>
      </c>
      <c r="J10" s="533"/>
      <c r="K10" s="533">
        <f t="shared" ref="K10:K41" si="2">$E$90-E10</f>
        <v>241</v>
      </c>
      <c r="L10" s="533"/>
      <c r="M10" s="533">
        <f t="shared" ref="M10:M41" si="3">(A10*K10)+I10</f>
        <v>0</v>
      </c>
      <c r="N10" s="515"/>
      <c r="O10" s="534">
        <f t="shared" ref="O10:O41" si="4">I10/$I$90</f>
        <v>0</v>
      </c>
      <c r="P10" s="532">
        <v>0</v>
      </c>
      <c r="Q10" s="561"/>
      <c r="R10" s="535"/>
      <c r="T10" s="536" t="e">
        <f t="shared" ref="T10:T41" si="5"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  <c r="U10" s="547"/>
    </row>
    <row r="11" spans="1:21">
      <c r="A11" s="552">
        <f t="shared" si="0"/>
        <v>1000</v>
      </c>
      <c r="B11" s="515"/>
      <c r="C11" s="532">
        <v>13</v>
      </c>
      <c r="D11" s="533"/>
      <c r="E11" s="533">
        <f t="shared" ref="E11:E42" si="6">E10+C11</f>
        <v>25</v>
      </c>
      <c r="F11" s="533"/>
      <c r="G11" s="533">
        <f t="shared" si="1"/>
        <v>13000</v>
      </c>
      <c r="H11" s="533"/>
      <c r="I11" s="533">
        <f t="shared" ref="I11:I42" si="7">I10+G11</f>
        <v>13000</v>
      </c>
      <c r="J11" s="533"/>
      <c r="K11" s="533">
        <f t="shared" si="2"/>
        <v>228</v>
      </c>
      <c r="L11" s="533"/>
      <c r="M11" s="533">
        <f t="shared" si="3"/>
        <v>241000</v>
      </c>
      <c r="N11" s="515"/>
      <c r="O11" s="534">
        <f t="shared" si="4"/>
        <v>1.8110894399554194E-3</v>
      </c>
      <c r="P11" s="532">
        <v>1</v>
      </c>
      <c r="Q11" s="561"/>
      <c r="R11" s="535"/>
      <c r="T11" s="536" t="e">
        <f t="shared" si="5"/>
        <v>#REF!</v>
      </c>
      <c r="U11" s="547"/>
    </row>
    <row r="12" spans="1:21">
      <c r="A12" s="552">
        <f t="shared" si="0"/>
        <v>2000</v>
      </c>
      <c r="B12" s="515"/>
      <c r="C12" s="532">
        <v>20</v>
      </c>
      <c r="D12" s="533"/>
      <c r="E12" s="533">
        <f t="shared" si="6"/>
        <v>45</v>
      </c>
      <c r="F12" s="533"/>
      <c r="G12" s="533">
        <f t="shared" si="1"/>
        <v>40000</v>
      </c>
      <c r="H12" s="533"/>
      <c r="I12" s="533">
        <f t="shared" si="7"/>
        <v>53000</v>
      </c>
      <c r="J12" s="533"/>
      <c r="K12" s="533">
        <f t="shared" si="2"/>
        <v>208</v>
      </c>
      <c r="L12" s="533"/>
      <c r="M12" s="533">
        <f t="shared" si="3"/>
        <v>469000</v>
      </c>
      <c r="N12" s="515"/>
      <c r="O12" s="534">
        <f t="shared" si="4"/>
        <v>7.3836723321259404E-3</v>
      </c>
      <c r="P12" s="532">
        <v>2</v>
      </c>
      <c r="Q12" s="561"/>
      <c r="R12" s="535"/>
      <c r="T12" s="536" t="e">
        <f t="shared" si="5"/>
        <v>#REF!</v>
      </c>
      <c r="U12" s="547"/>
    </row>
    <row r="13" spans="1:21">
      <c r="A13" s="552">
        <f t="shared" si="0"/>
        <v>3000</v>
      </c>
      <c r="B13" s="515"/>
      <c r="C13" s="532">
        <v>11</v>
      </c>
      <c r="D13" s="533"/>
      <c r="E13" s="533">
        <f t="shared" si="6"/>
        <v>56</v>
      </c>
      <c r="F13" s="533"/>
      <c r="G13" s="533">
        <f t="shared" si="1"/>
        <v>33000</v>
      </c>
      <c r="H13" s="533"/>
      <c r="I13" s="533">
        <f t="shared" si="7"/>
        <v>86000</v>
      </c>
      <c r="J13" s="533"/>
      <c r="K13" s="533">
        <f t="shared" si="2"/>
        <v>197</v>
      </c>
      <c r="L13" s="533"/>
      <c r="M13" s="533">
        <f t="shared" si="3"/>
        <v>677000</v>
      </c>
      <c r="N13" s="515"/>
      <c r="O13" s="534">
        <f t="shared" si="4"/>
        <v>1.198105321816662E-2</v>
      </c>
      <c r="P13" s="532">
        <v>3</v>
      </c>
      <c r="Q13" s="561"/>
      <c r="R13" s="535"/>
      <c r="T13" s="536" t="e">
        <f t="shared" si="5"/>
        <v>#REF!</v>
      </c>
      <c r="U13" s="547"/>
    </row>
    <row r="14" spans="1:21">
      <c r="A14" s="552">
        <f t="shared" si="0"/>
        <v>4000</v>
      </c>
      <c r="B14" s="515"/>
      <c r="C14" s="532">
        <v>11</v>
      </c>
      <c r="D14" s="533"/>
      <c r="E14" s="533">
        <f t="shared" si="6"/>
        <v>67</v>
      </c>
      <c r="F14" s="533"/>
      <c r="G14" s="533">
        <f t="shared" si="1"/>
        <v>44000</v>
      </c>
      <c r="H14" s="533"/>
      <c r="I14" s="533">
        <f t="shared" si="7"/>
        <v>130000</v>
      </c>
      <c r="J14" s="533"/>
      <c r="K14" s="533">
        <f t="shared" si="2"/>
        <v>186</v>
      </c>
      <c r="L14" s="533"/>
      <c r="M14" s="533">
        <f t="shared" si="3"/>
        <v>874000</v>
      </c>
      <c r="N14" s="515"/>
      <c r="O14" s="534">
        <f t="shared" si="4"/>
        <v>1.8110894399554194E-2</v>
      </c>
      <c r="P14" s="532">
        <v>4</v>
      </c>
      <c r="Q14" s="561"/>
      <c r="R14" s="535"/>
      <c r="T14" s="536" t="e">
        <f t="shared" si="5"/>
        <v>#REF!</v>
      </c>
      <c r="U14" s="547"/>
    </row>
    <row r="15" spans="1:21">
      <c r="A15" s="552">
        <f t="shared" si="0"/>
        <v>5000</v>
      </c>
      <c r="B15" s="515"/>
      <c r="C15" s="532">
        <v>9</v>
      </c>
      <c r="D15" s="533"/>
      <c r="E15" s="533">
        <f t="shared" si="6"/>
        <v>76</v>
      </c>
      <c r="F15" s="533"/>
      <c r="G15" s="533">
        <f t="shared" si="1"/>
        <v>45000</v>
      </c>
      <c r="H15" s="533"/>
      <c r="I15" s="533">
        <f t="shared" si="7"/>
        <v>175000</v>
      </c>
      <c r="J15" s="533"/>
      <c r="K15" s="533">
        <f t="shared" si="2"/>
        <v>177</v>
      </c>
      <c r="L15" s="533"/>
      <c r="M15" s="533">
        <f t="shared" si="3"/>
        <v>1060000</v>
      </c>
      <c r="N15" s="515"/>
      <c r="O15" s="534">
        <f t="shared" si="4"/>
        <v>2.4380050153246031E-2</v>
      </c>
      <c r="P15" s="532">
        <v>5</v>
      </c>
      <c r="Q15" s="561"/>
      <c r="R15" s="535"/>
      <c r="T15" s="536" t="e">
        <f t="shared" si="5"/>
        <v>#REF!</v>
      </c>
      <c r="U15" s="547"/>
    </row>
    <row r="16" spans="1:21">
      <c r="A16" s="552">
        <f t="shared" si="0"/>
        <v>6000</v>
      </c>
      <c r="B16" s="515"/>
      <c r="C16" s="532">
        <v>3</v>
      </c>
      <c r="D16" s="533"/>
      <c r="E16" s="533">
        <f t="shared" si="6"/>
        <v>79</v>
      </c>
      <c r="F16" s="533"/>
      <c r="G16" s="533">
        <f t="shared" si="1"/>
        <v>18000</v>
      </c>
      <c r="H16" s="533"/>
      <c r="I16" s="533">
        <f t="shared" si="7"/>
        <v>193000</v>
      </c>
      <c r="J16" s="533"/>
      <c r="K16" s="533">
        <f t="shared" si="2"/>
        <v>174</v>
      </c>
      <c r="L16" s="533"/>
      <c r="M16" s="533">
        <f t="shared" si="3"/>
        <v>1237000</v>
      </c>
      <c r="N16" s="515"/>
      <c r="O16" s="534">
        <f t="shared" si="4"/>
        <v>2.6887712454722764E-2</v>
      </c>
      <c r="P16" s="532">
        <v>6</v>
      </c>
      <c r="Q16" s="561"/>
      <c r="R16" s="535"/>
      <c r="T16" s="536" t="e">
        <f t="shared" si="5"/>
        <v>#REF!</v>
      </c>
      <c r="U16" s="547"/>
    </row>
    <row r="17" spans="1:21">
      <c r="A17" s="552">
        <f t="shared" si="0"/>
        <v>7000</v>
      </c>
      <c r="B17" s="515"/>
      <c r="C17" s="532">
        <v>3</v>
      </c>
      <c r="D17" s="533"/>
      <c r="E17" s="533">
        <f t="shared" si="6"/>
        <v>82</v>
      </c>
      <c r="F17" s="533"/>
      <c r="G17" s="533">
        <f t="shared" si="1"/>
        <v>21000</v>
      </c>
      <c r="H17" s="533"/>
      <c r="I17" s="533">
        <f t="shared" si="7"/>
        <v>214000</v>
      </c>
      <c r="J17" s="533"/>
      <c r="K17" s="533">
        <f t="shared" si="2"/>
        <v>171</v>
      </c>
      <c r="L17" s="533"/>
      <c r="M17" s="533">
        <f t="shared" si="3"/>
        <v>1411000</v>
      </c>
      <c r="N17" s="515"/>
      <c r="O17" s="534">
        <f t="shared" si="4"/>
        <v>2.9813318473112287E-2</v>
      </c>
      <c r="P17" s="532">
        <v>7</v>
      </c>
      <c r="Q17" s="561"/>
      <c r="R17" s="535"/>
      <c r="T17" s="536" t="e">
        <f t="shared" si="5"/>
        <v>#REF!</v>
      </c>
      <c r="U17" s="547"/>
    </row>
    <row r="18" spans="1:21">
      <c r="A18" s="552">
        <f t="shared" si="0"/>
        <v>8000</v>
      </c>
      <c r="B18" s="515"/>
      <c r="C18" s="532">
        <v>1</v>
      </c>
      <c r="D18" s="533"/>
      <c r="E18" s="533">
        <f t="shared" si="6"/>
        <v>83</v>
      </c>
      <c r="F18" s="533"/>
      <c r="G18" s="533">
        <f t="shared" si="1"/>
        <v>8000</v>
      </c>
      <c r="H18" s="533"/>
      <c r="I18" s="533">
        <f t="shared" si="7"/>
        <v>222000</v>
      </c>
      <c r="J18" s="533"/>
      <c r="K18" s="533">
        <f t="shared" si="2"/>
        <v>170</v>
      </c>
      <c r="L18" s="533"/>
      <c r="M18" s="533">
        <f t="shared" si="3"/>
        <v>1582000</v>
      </c>
      <c r="N18" s="515"/>
      <c r="O18" s="534">
        <f t="shared" si="4"/>
        <v>3.0927835051546393E-2</v>
      </c>
      <c r="P18" s="532">
        <v>8</v>
      </c>
      <c r="Q18" s="561"/>
      <c r="R18" s="535"/>
      <c r="T18" s="536" t="e">
        <f t="shared" si="5"/>
        <v>#REF!</v>
      </c>
      <c r="U18" s="547"/>
    </row>
    <row r="19" spans="1:21">
      <c r="A19" s="552">
        <f t="shared" si="0"/>
        <v>9000</v>
      </c>
      <c r="B19" s="515"/>
      <c r="C19" s="532">
        <v>1</v>
      </c>
      <c r="D19" s="533"/>
      <c r="E19" s="533">
        <f t="shared" si="6"/>
        <v>84</v>
      </c>
      <c r="F19" s="533"/>
      <c r="G19" s="533">
        <f t="shared" si="1"/>
        <v>9000</v>
      </c>
      <c r="H19" s="533"/>
      <c r="I19" s="533">
        <f t="shared" si="7"/>
        <v>231000</v>
      </c>
      <c r="J19" s="533"/>
      <c r="K19" s="533">
        <f t="shared" si="2"/>
        <v>169</v>
      </c>
      <c r="L19" s="533"/>
      <c r="M19" s="533">
        <f t="shared" si="3"/>
        <v>1752000</v>
      </c>
      <c r="N19" s="515"/>
      <c r="O19" s="534">
        <f t="shared" si="4"/>
        <v>3.2181666202284756E-2</v>
      </c>
      <c r="P19" s="532">
        <v>9</v>
      </c>
      <c r="Q19" s="561"/>
      <c r="R19" s="535"/>
      <c r="T19" s="536" t="e">
        <f t="shared" si="5"/>
        <v>#REF!</v>
      </c>
      <c r="U19" s="547"/>
    </row>
    <row r="20" spans="1:21">
      <c r="A20" s="552">
        <f t="shared" si="0"/>
        <v>10000</v>
      </c>
      <c r="B20" s="515"/>
      <c r="C20" s="532">
        <v>3</v>
      </c>
      <c r="D20" s="533"/>
      <c r="E20" s="533">
        <f t="shared" si="6"/>
        <v>87</v>
      </c>
      <c r="F20" s="533"/>
      <c r="G20" s="533">
        <f t="shared" si="1"/>
        <v>30000</v>
      </c>
      <c r="H20" s="533"/>
      <c r="I20" s="533">
        <f t="shared" si="7"/>
        <v>261000</v>
      </c>
      <c r="J20" s="533"/>
      <c r="K20" s="533">
        <f t="shared" si="2"/>
        <v>166</v>
      </c>
      <c r="L20" s="533"/>
      <c r="M20" s="533">
        <f t="shared" si="3"/>
        <v>1921000</v>
      </c>
      <c r="N20" s="515"/>
      <c r="O20" s="534">
        <f t="shared" si="4"/>
        <v>3.6361103371412649E-2</v>
      </c>
      <c r="P20" s="532">
        <v>10</v>
      </c>
      <c r="Q20" s="561"/>
      <c r="R20" s="535"/>
      <c r="T20" s="536" t="e">
        <f t="shared" si="5"/>
        <v>#REF!</v>
      </c>
      <c r="U20" s="547"/>
    </row>
    <row r="21" spans="1:21">
      <c r="A21" s="552">
        <f t="shared" si="0"/>
        <v>11000</v>
      </c>
      <c r="B21" s="515"/>
      <c r="C21" s="532">
        <v>4</v>
      </c>
      <c r="D21" s="533"/>
      <c r="E21" s="533">
        <f t="shared" si="6"/>
        <v>91</v>
      </c>
      <c r="F21" s="533"/>
      <c r="G21" s="533">
        <f t="shared" si="1"/>
        <v>44000</v>
      </c>
      <c r="H21" s="533"/>
      <c r="I21" s="533">
        <f t="shared" si="7"/>
        <v>305000</v>
      </c>
      <c r="J21" s="533"/>
      <c r="K21" s="533">
        <f t="shared" si="2"/>
        <v>162</v>
      </c>
      <c r="L21" s="533"/>
      <c r="M21" s="533">
        <f t="shared" si="3"/>
        <v>2087000</v>
      </c>
      <c r="N21" s="515"/>
      <c r="O21" s="534">
        <f t="shared" si="4"/>
        <v>4.2490944552800225E-2</v>
      </c>
      <c r="P21" s="532">
        <v>11</v>
      </c>
      <c r="Q21" s="561"/>
      <c r="R21" s="535"/>
      <c r="T21" s="536" t="e">
        <f t="shared" si="5"/>
        <v>#REF!</v>
      </c>
      <c r="U21" s="547"/>
    </row>
    <row r="22" spans="1:21">
      <c r="A22" s="552">
        <f t="shared" si="0"/>
        <v>12000</v>
      </c>
      <c r="B22" s="515"/>
      <c r="C22" s="532">
        <v>4</v>
      </c>
      <c r="D22" s="533"/>
      <c r="E22" s="533">
        <f t="shared" si="6"/>
        <v>95</v>
      </c>
      <c r="F22" s="533"/>
      <c r="G22" s="533">
        <f t="shared" si="1"/>
        <v>48000</v>
      </c>
      <c r="H22" s="533"/>
      <c r="I22" s="533">
        <f t="shared" si="7"/>
        <v>353000</v>
      </c>
      <c r="J22" s="533"/>
      <c r="K22" s="533">
        <f t="shared" si="2"/>
        <v>158</v>
      </c>
      <c r="L22" s="533"/>
      <c r="M22" s="533">
        <f t="shared" si="3"/>
        <v>2249000</v>
      </c>
      <c r="N22" s="515"/>
      <c r="O22" s="534">
        <f t="shared" si="4"/>
        <v>4.9178044023404852E-2</v>
      </c>
      <c r="P22" s="532">
        <v>12</v>
      </c>
      <c r="Q22" s="561"/>
      <c r="R22" s="535"/>
      <c r="T22" s="536" t="e">
        <f t="shared" si="5"/>
        <v>#REF!</v>
      </c>
      <c r="U22" s="547"/>
    </row>
    <row r="23" spans="1:21">
      <c r="A23" s="552">
        <f t="shared" si="0"/>
        <v>13000</v>
      </c>
      <c r="B23" s="515"/>
      <c r="C23" s="532">
        <v>4</v>
      </c>
      <c r="D23" s="533"/>
      <c r="E23" s="533">
        <f t="shared" si="6"/>
        <v>99</v>
      </c>
      <c r="F23" s="533"/>
      <c r="G23" s="533">
        <f t="shared" si="1"/>
        <v>52000</v>
      </c>
      <c r="H23" s="533"/>
      <c r="I23" s="533">
        <f t="shared" si="7"/>
        <v>405000</v>
      </c>
      <c r="J23" s="533"/>
      <c r="K23" s="533">
        <f t="shared" si="2"/>
        <v>154</v>
      </c>
      <c r="L23" s="533"/>
      <c r="M23" s="533">
        <f t="shared" si="3"/>
        <v>2407000</v>
      </c>
      <c r="N23" s="515"/>
      <c r="O23" s="534">
        <f t="shared" si="4"/>
        <v>5.6422401783226522E-2</v>
      </c>
      <c r="P23" s="532">
        <v>13</v>
      </c>
      <c r="Q23" s="561"/>
      <c r="R23" s="535"/>
      <c r="T23" s="536" t="e">
        <f t="shared" si="5"/>
        <v>#REF!</v>
      </c>
      <c r="U23" s="547"/>
    </row>
    <row r="24" spans="1:21">
      <c r="A24" s="552">
        <f t="shared" si="0"/>
        <v>14000</v>
      </c>
      <c r="B24" s="515"/>
      <c r="C24" s="532">
        <v>2</v>
      </c>
      <c r="D24" s="533"/>
      <c r="E24" s="533">
        <f t="shared" si="6"/>
        <v>101</v>
      </c>
      <c r="F24" s="533"/>
      <c r="G24" s="533">
        <f t="shared" si="1"/>
        <v>28000</v>
      </c>
      <c r="H24" s="533"/>
      <c r="I24" s="533">
        <f t="shared" si="7"/>
        <v>433000</v>
      </c>
      <c r="J24" s="533"/>
      <c r="K24" s="533">
        <f t="shared" si="2"/>
        <v>152</v>
      </c>
      <c r="L24" s="533"/>
      <c r="M24" s="533">
        <f t="shared" si="3"/>
        <v>2561000</v>
      </c>
      <c r="N24" s="537"/>
      <c r="O24" s="534">
        <f t="shared" si="4"/>
        <v>6.0323209807745894E-2</v>
      </c>
      <c r="P24" s="532">
        <v>14</v>
      </c>
      <c r="Q24" s="561"/>
      <c r="T24" s="536" t="e">
        <f t="shared" si="5"/>
        <v>#REF!</v>
      </c>
      <c r="U24" s="547"/>
    </row>
    <row r="25" spans="1:21">
      <c r="A25" s="552">
        <f t="shared" si="0"/>
        <v>15000</v>
      </c>
      <c r="B25" s="515"/>
      <c r="C25" s="532">
        <v>3</v>
      </c>
      <c r="D25" s="533"/>
      <c r="E25" s="533">
        <f t="shared" si="6"/>
        <v>104</v>
      </c>
      <c r="F25" s="533"/>
      <c r="G25" s="533">
        <f t="shared" si="1"/>
        <v>45000</v>
      </c>
      <c r="H25" s="533"/>
      <c r="I25" s="533">
        <f t="shared" si="7"/>
        <v>478000</v>
      </c>
      <c r="J25" s="533"/>
      <c r="K25" s="533">
        <f t="shared" si="2"/>
        <v>149</v>
      </c>
      <c r="L25" s="533"/>
      <c r="M25" s="533">
        <f t="shared" si="3"/>
        <v>2713000</v>
      </c>
      <c r="N25" s="515"/>
      <c r="O25" s="534">
        <f t="shared" si="4"/>
        <v>6.659236556143773E-2</v>
      </c>
      <c r="P25" s="532">
        <v>15</v>
      </c>
      <c r="Q25" s="561"/>
      <c r="T25" s="536" t="e">
        <f t="shared" si="5"/>
        <v>#REF!</v>
      </c>
      <c r="U25" s="547"/>
    </row>
    <row r="26" spans="1:21">
      <c r="A26" s="552">
        <f t="shared" si="0"/>
        <v>16000</v>
      </c>
      <c r="B26" s="515"/>
      <c r="C26" s="532">
        <v>3</v>
      </c>
      <c r="D26" s="533"/>
      <c r="E26" s="533">
        <f t="shared" si="6"/>
        <v>107</v>
      </c>
      <c r="F26" s="533"/>
      <c r="G26" s="533">
        <f t="shared" si="1"/>
        <v>48000</v>
      </c>
      <c r="H26" s="533"/>
      <c r="I26" s="533">
        <f t="shared" si="7"/>
        <v>526000</v>
      </c>
      <c r="J26" s="533"/>
      <c r="K26" s="533">
        <f t="shared" si="2"/>
        <v>146</v>
      </c>
      <c r="L26" s="533"/>
      <c r="M26" s="533">
        <f t="shared" si="3"/>
        <v>2862000</v>
      </c>
      <c r="N26" s="515"/>
      <c r="O26" s="534">
        <f t="shared" si="4"/>
        <v>7.3279465032042357E-2</v>
      </c>
      <c r="P26" s="532">
        <v>16</v>
      </c>
      <c r="Q26" s="561"/>
      <c r="T26" s="536" t="e">
        <f t="shared" si="5"/>
        <v>#REF!</v>
      </c>
      <c r="U26" s="547"/>
    </row>
    <row r="27" spans="1:21">
      <c r="A27" s="552">
        <f t="shared" si="0"/>
        <v>17000</v>
      </c>
      <c r="B27" s="515"/>
      <c r="C27" s="532">
        <v>5</v>
      </c>
      <c r="D27" s="533"/>
      <c r="E27" s="533">
        <f t="shared" si="6"/>
        <v>112</v>
      </c>
      <c r="F27" s="533"/>
      <c r="G27" s="533">
        <f t="shared" si="1"/>
        <v>85000</v>
      </c>
      <c r="H27" s="533"/>
      <c r="I27" s="533">
        <f t="shared" si="7"/>
        <v>611000</v>
      </c>
      <c r="J27" s="533"/>
      <c r="K27" s="533">
        <f t="shared" si="2"/>
        <v>141</v>
      </c>
      <c r="L27" s="533"/>
      <c r="M27" s="533">
        <f t="shared" si="3"/>
        <v>3008000</v>
      </c>
      <c r="N27" s="515"/>
      <c r="O27" s="534">
        <f t="shared" si="4"/>
        <v>8.5121203677904711E-2</v>
      </c>
      <c r="P27" s="532">
        <v>17</v>
      </c>
      <c r="Q27" s="561"/>
      <c r="T27" s="536" t="e">
        <f t="shared" si="5"/>
        <v>#REF!</v>
      </c>
      <c r="U27" s="547"/>
    </row>
    <row r="28" spans="1:21">
      <c r="A28" s="552">
        <f t="shared" si="0"/>
        <v>19000</v>
      </c>
      <c r="B28" s="515"/>
      <c r="C28" s="532">
        <v>3</v>
      </c>
      <c r="D28" s="533"/>
      <c r="E28" s="533">
        <f t="shared" si="6"/>
        <v>115</v>
      </c>
      <c r="F28" s="533"/>
      <c r="G28" s="533">
        <f t="shared" si="1"/>
        <v>57000</v>
      </c>
      <c r="H28" s="533"/>
      <c r="I28" s="533">
        <f t="shared" si="7"/>
        <v>668000</v>
      </c>
      <c r="J28" s="533"/>
      <c r="K28" s="533">
        <f t="shared" si="2"/>
        <v>138</v>
      </c>
      <c r="L28" s="533"/>
      <c r="M28" s="533">
        <f t="shared" si="3"/>
        <v>3290000</v>
      </c>
      <c r="N28" s="515"/>
      <c r="O28" s="534">
        <f t="shared" si="4"/>
        <v>9.3062134299247701E-2</v>
      </c>
      <c r="P28" s="532">
        <v>19</v>
      </c>
      <c r="Q28" s="561"/>
      <c r="T28" s="536" t="e">
        <f t="shared" si="5"/>
        <v>#REF!</v>
      </c>
      <c r="U28" s="547"/>
    </row>
    <row r="29" spans="1:21">
      <c r="A29" s="552">
        <f t="shared" si="0"/>
        <v>20000</v>
      </c>
      <c r="B29" s="515"/>
      <c r="C29" s="532">
        <v>7</v>
      </c>
      <c r="D29" s="533"/>
      <c r="E29" s="533">
        <f t="shared" si="6"/>
        <v>122</v>
      </c>
      <c r="F29" s="533"/>
      <c r="G29" s="533">
        <f t="shared" si="1"/>
        <v>140000</v>
      </c>
      <c r="H29" s="533"/>
      <c r="I29" s="533">
        <f t="shared" si="7"/>
        <v>808000</v>
      </c>
      <c r="J29" s="533"/>
      <c r="K29" s="533">
        <f t="shared" si="2"/>
        <v>131</v>
      </c>
      <c r="L29" s="533"/>
      <c r="M29" s="533">
        <f t="shared" si="3"/>
        <v>3428000</v>
      </c>
      <c r="N29" s="515"/>
      <c r="O29" s="534">
        <f t="shared" si="4"/>
        <v>0.11256617442184452</v>
      </c>
      <c r="P29" s="532">
        <v>20</v>
      </c>
      <c r="Q29" s="561"/>
      <c r="T29" s="536" t="e">
        <f t="shared" si="5"/>
        <v>#REF!</v>
      </c>
      <c r="U29" s="547"/>
    </row>
    <row r="30" spans="1:21">
      <c r="A30" s="552">
        <f t="shared" si="0"/>
        <v>21000</v>
      </c>
      <c r="B30" s="515"/>
      <c r="C30" s="532">
        <v>4</v>
      </c>
      <c r="D30" s="533"/>
      <c r="E30" s="533">
        <f t="shared" si="6"/>
        <v>126</v>
      </c>
      <c r="F30" s="533"/>
      <c r="G30" s="533">
        <f t="shared" si="1"/>
        <v>84000</v>
      </c>
      <c r="H30" s="533"/>
      <c r="I30" s="533">
        <f t="shared" si="7"/>
        <v>892000</v>
      </c>
      <c r="J30" s="533"/>
      <c r="K30" s="533">
        <f t="shared" si="2"/>
        <v>127</v>
      </c>
      <c r="L30" s="533"/>
      <c r="M30" s="533">
        <f t="shared" si="3"/>
        <v>3559000</v>
      </c>
      <c r="N30" s="515"/>
      <c r="O30" s="534">
        <f t="shared" si="4"/>
        <v>0.12426859849540262</v>
      </c>
      <c r="P30" s="532">
        <v>21</v>
      </c>
      <c r="Q30" s="561"/>
      <c r="T30" s="536" t="e">
        <f t="shared" si="5"/>
        <v>#REF!</v>
      </c>
      <c r="U30" s="547"/>
    </row>
    <row r="31" spans="1:21">
      <c r="A31" s="552">
        <f t="shared" si="0"/>
        <v>22000</v>
      </c>
      <c r="B31" s="515"/>
      <c r="C31" s="532">
        <v>8</v>
      </c>
      <c r="D31" s="533"/>
      <c r="E31" s="533">
        <f t="shared" si="6"/>
        <v>134</v>
      </c>
      <c r="F31" s="533"/>
      <c r="G31" s="533">
        <f t="shared" si="1"/>
        <v>176000</v>
      </c>
      <c r="H31" s="533"/>
      <c r="I31" s="533">
        <f t="shared" si="7"/>
        <v>1068000</v>
      </c>
      <c r="J31" s="533"/>
      <c r="K31" s="533">
        <f t="shared" si="2"/>
        <v>119</v>
      </c>
      <c r="L31" s="533"/>
      <c r="M31" s="533">
        <f t="shared" si="3"/>
        <v>3686000</v>
      </c>
      <c r="N31" s="515"/>
      <c r="O31" s="534">
        <f t="shared" si="4"/>
        <v>0.14878796322095292</v>
      </c>
      <c r="P31" s="532">
        <v>22</v>
      </c>
      <c r="Q31" s="561"/>
      <c r="T31" s="536" t="e">
        <f t="shared" si="5"/>
        <v>#REF!</v>
      </c>
      <c r="U31" s="547"/>
    </row>
    <row r="32" spans="1:21">
      <c r="A32" s="552">
        <f t="shared" si="0"/>
        <v>23000</v>
      </c>
      <c r="B32" s="515"/>
      <c r="C32" s="532">
        <v>6</v>
      </c>
      <c r="D32" s="533"/>
      <c r="E32" s="533">
        <f t="shared" si="6"/>
        <v>140</v>
      </c>
      <c r="F32" s="533"/>
      <c r="G32" s="533">
        <f t="shared" si="1"/>
        <v>138000</v>
      </c>
      <c r="H32" s="533"/>
      <c r="I32" s="533">
        <f t="shared" si="7"/>
        <v>1206000</v>
      </c>
      <c r="J32" s="533"/>
      <c r="K32" s="533">
        <f t="shared" si="2"/>
        <v>113</v>
      </c>
      <c r="L32" s="533"/>
      <c r="M32" s="533">
        <f t="shared" si="3"/>
        <v>3805000</v>
      </c>
      <c r="N32" s="515"/>
      <c r="O32" s="534">
        <f t="shared" si="4"/>
        <v>0.16801337419894122</v>
      </c>
      <c r="P32" s="532">
        <v>23</v>
      </c>
      <c r="Q32" s="561"/>
      <c r="T32" s="536" t="e">
        <f t="shared" si="5"/>
        <v>#REF!</v>
      </c>
      <c r="U32" s="547"/>
    </row>
    <row r="33" spans="1:21">
      <c r="A33" s="552">
        <f t="shared" si="0"/>
        <v>24000</v>
      </c>
      <c r="B33" s="515"/>
      <c r="C33" s="532">
        <v>4</v>
      </c>
      <c r="D33" s="533"/>
      <c r="E33" s="533">
        <f t="shared" si="6"/>
        <v>144</v>
      </c>
      <c r="F33" s="533"/>
      <c r="G33" s="533">
        <f t="shared" si="1"/>
        <v>96000</v>
      </c>
      <c r="H33" s="533"/>
      <c r="I33" s="533">
        <f t="shared" si="7"/>
        <v>1302000</v>
      </c>
      <c r="J33" s="533"/>
      <c r="K33" s="533">
        <f t="shared" si="2"/>
        <v>109</v>
      </c>
      <c r="L33" s="533"/>
      <c r="M33" s="533">
        <f t="shared" si="3"/>
        <v>3918000</v>
      </c>
      <c r="N33" s="515"/>
      <c r="O33" s="534">
        <f t="shared" si="4"/>
        <v>0.18138757314015047</v>
      </c>
      <c r="P33" s="532">
        <v>24</v>
      </c>
      <c r="Q33" s="561"/>
      <c r="T33" s="536" t="e">
        <f t="shared" si="5"/>
        <v>#REF!</v>
      </c>
      <c r="U33" s="547"/>
    </row>
    <row r="34" spans="1:21">
      <c r="A34" s="552">
        <f t="shared" si="0"/>
        <v>25000</v>
      </c>
      <c r="B34" s="515"/>
      <c r="C34" s="532">
        <v>1</v>
      </c>
      <c r="D34" s="533"/>
      <c r="E34" s="533">
        <f t="shared" si="6"/>
        <v>145</v>
      </c>
      <c r="F34" s="533"/>
      <c r="G34" s="533">
        <f t="shared" si="1"/>
        <v>25000</v>
      </c>
      <c r="H34" s="533"/>
      <c r="I34" s="533">
        <f t="shared" si="7"/>
        <v>1327000</v>
      </c>
      <c r="J34" s="533"/>
      <c r="K34" s="533">
        <f t="shared" si="2"/>
        <v>108</v>
      </c>
      <c r="L34" s="533"/>
      <c r="M34" s="533">
        <f t="shared" si="3"/>
        <v>4027000</v>
      </c>
      <c r="N34" s="515"/>
      <c r="O34" s="534">
        <f t="shared" si="4"/>
        <v>0.18487043744775702</v>
      </c>
      <c r="P34" s="532">
        <v>25</v>
      </c>
      <c r="Q34" s="561"/>
      <c r="T34" s="536" t="e">
        <f t="shared" si="5"/>
        <v>#REF!</v>
      </c>
      <c r="U34" s="547"/>
    </row>
    <row r="35" spans="1:21">
      <c r="A35" s="552">
        <f t="shared" si="0"/>
        <v>26000</v>
      </c>
      <c r="B35" s="515"/>
      <c r="C35" s="532">
        <v>3</v>
      </c>
      <c r="D35" s="533"/>
      <c r="E35" s="533">
        <f t="shared" si="6"/>
        <v>148</v>
      </c>
      <c r="F35" s="533"/>
      <c r="G35" s="533">
        <f t="shared" si="1"/>
        <v>78000</v>
      </c>
      <c r="H35" s="533"/>
      <c r="I35" s="533">
        <f t="shared" si="7"/>
        <v>1405000</v>
      </c>
      <c r="J35" s="533"/>
      <c r="K35" s="533">
        <f t="shared" si="2"/>
        <v>105</v>
      </c>
      <c r="L35" s="533"/>
      <c r="M35" s="533">
        <f t="shared" si="3"/>
        <v>4135000</v>
      </c>
      <c r="N35" s="515"/>
      <c r="O35" s="534">
        <f t="shared" si="4"/>
        <v>0.19573697408748955</v>
      </c>
      <c r="P35" s="532">
        <v>26</v>
      </c>
      <c r="Q35" s="561"/>
      <c r="T35" s="536" t="e">
        <f t="shared" si="5"/>
        <v>#REF!</v>
      </c>
      <c r="U35" s="547"/>
    </row>
    <row r="36" spans="1:21">
      <c r="A36" s="552">
        <f t="shared" si="0"/>
        <v>27000</v>
      </c>
      <c r="B36" s="515"/>
      <c r="C36" s="532">
        <v>2</v>
      </c>
      <c r="D36" s="533"/>
      <c r="E36" s="533">
        <f t="shared" si="6"/>
        <v>150</v>
      </c>
      <c r="F36" s="533"/>
      <c r="G36" s="533">
        <f t="shared" si="1"/>
        <v>54000</v>
      </c>
      <c r="H36" s="533"/>
      <c r="I36" s="533">
        <f t="shared" si="7"/>
        <v>1459000</v>
      </c>
      <c r="J36" s="533"/>
      <c r="K36" s="533">
        <f t="shared" si="2"/>
        <v>103</v>
      </c>
      <c r="L36" s="533"/>
      <c r="M36" s="533">
        <f t="shared" si="3"/>
        <v>4240000</v>
      </c>
      <c r="N36" s="515"/>
      <c r="O36" s="534">
        <f t="shared" si="4"/>
        <v>0.20325996099191976</v>
      </c>
      <c r="P36" s="532">
        <v>27</v>
      </c>
      <c r="Q36" s="561"/>
      <c r="T36" s="536" t="e">
        <f t="shared" si="5"/>
        <v>#REF!</v>
      </c>
      <c r="U36" s="547"/>
    </row>
    <row r="37" spans="1:21">
      <c r="A37" s="552">
        <f t="shared" si="0"/>
        <v>28000</v>
      </c>
      <c r="B37" s="515"/>
      <c r="C37" s="532">
        <v>2</v>
      </c>
      <c r="D37" s="533"/>
      <c r="E37" s="533">
        <f t="shared" si="6"/>
        <v>152</v>
      </c>
      <c r="F37" s="533"/>
      <c r="G37" s="533">
        <f t="shared" si="1"/>
        <v>56000</v>
      </c>
      <c r="H37" s="533"/>
      <c r="I37" s="533">
        <f t="shared" si="7"/>
        <v>1515000</v>
      </c>
      <c r="J37" s="533"/>
      <c r="K37" s="533">
        <f t="shared" si="2"/>
        <v>101</v>
      </c>
      <c r="L37" s="533"/>
      <c r="M37" s="533">
        <f t="shared" si="3"/>
        <v>4343000</v>
      </c>
      <c r="N37" s="515"/>
      <c r="O37" s="534">
        <f t="shared" si="4"/>
        <v>0.21106157704095849</v>
      </c>
      <c r="P37" s="532">
        <v>28</v>
      </c>
      <c r="Q37" s="561"/>
      <c r="T37" s="536" t="e">
        <f t="shared" si="5"/>
        <v>#REF!</v>
      </c>
      <c r="U37" s="547"/>
    </row>
    <row r="38" spans="1:21">
      <c r="A38" s="552">
        <f t="shared" si="0"/>
        <v>29000</v>
      </c>
      <c r="B38" s="515"/>
      <c r="C38" s="532">
        <v>3</v>
      </c>
      <c r="D38" s="533"/>
      <c r="E38" s="533">
        <f t="shared" si="6"/>
        <v>155</v>
      </c>
      <c r="F38" s="533"/>
      <c r="G38" s="533">
        <f t="shared" si="1"/>
        <v>87000</v>
      </c>
      <c r="H38" s="533"/>
      <c r="I38" s="533">
        <f t="shared" si="7"/>
        <v>1602000</v>
      </c>
      <c r="J38" s="533"/>
      <c r="K38" s="533">
        <f t="shared" si="2"/>
        <v>98</v>
      </c>
      <c r="L38" s="533"/>
      <c r="M38" s="533">
        <f t="shared" si="3"/>
        <v>4444000</v>
      </c>
      <c r="N38" s="515"/>
      <c r="O38" s="534">
        <f t="shared" si="4"/>
        <v>0.22318194483142936</v>
      </c>
      <c r="P38" s="532">
        <v>29</v>
      </c>
      <c r="Q38" s="561"/>
      <c r="T38" s="536" t="e">
        <f t="shared" si="5"/>
        <v>#REF!</v>
      </c>
      <c r="U38" s="547"/>
    </row>
    <row r="39" spans="1:21">
      <c r="A39" s="552">
        <f t="shared" si="0"/>
        <v>30000</v>
      </c>
      <c r="B39" s="515"/>
      <c r="C39" s="532">
        <v>2</v>
      </c>
      <c r="D39" s="533"/>
      <c r="E39" s="533">
        <f t="shared" si="6"/>
        <v>157</v>
      </c>
      <c r="F39" s="533"/>
      <c r="G39" s="533">
        <f t="shared" si="1"/>
        <v>60000</v>
      </c>
      <c r="H39" s="533"/>
      <c r="I39" s="533">
        <f t="shared" si="7"/>
        <v>1662000</v>
      </c>
      <c r="J39" s="533"/>
      <c r="K39" s="533">
        <f t="shared" si="2"/>
        <v>96</v>
      </c>
      <c r="L39" s="533"/>
      <c r="M39" s="533">
        <f t="shared" si="3"/>
        <v>4542000</v>
      </c>
      <c r="N39" s="515"/>
      <c r="O39" s="534">
        <f t="shared" si="4"/>
        <v>0.23154081916968514</v>
      </c>
      <c r="P39" s="532">
        <v>30</v>
      </c>
      <c r="Q39" s="561"/>
      <c r="T39" s="536" t="e">
        <f t="shared" si="5"/>
        <v>#REF!</v>
      </c>
      <c r="U39" s="547"/>
    </row>
    <row r="40" spans="1:21">
      <c r="A40" s="552">
        <f t="shared" si="0"/>
        <v>31000</v>
      </c>
      <c r="B40" s="515"/>
      <c r="C40" s="532">
        <v>3</v>
      </c>
      <c r="D40" s="533"/>
      <c r="E40" s="533">
        <f t="shared" si="6"/>
        <v>160</v>
      </c>
      <c r="F40" s="533"/>
      <c r="G40" s="533">
        <f t="shared" si="1"/>
        <v>93000</v>
      </c>
      <c r="H40" s="533"/>
      <c r="I40" s="533">
        <f t="shared" si="7"/>
        <v>1755000</v>
      </c>
      <c r="J40" s="533"/>
      <c r="K40" s="533">
        <f t="shared" si="2"/>
        <v>93</v>
      </c>
      <c r="L40" s="533"/>
      <c r="M40" s="533">
        <f t="shared" si="3"/>
        <v>4638000</v>
      </c>
      <c r="N40" s="515"/>
      <c r="O40" s="534">
        <f t="shared" si="4"/>
        <v>0.24449707439398161</v>
      </c>
      <c r="P40" s="532">
        <v>31</v>
      </c>
      <c r="Q40" s="561"/>
      <c r="T40" s="536" t="e">
        <f t="shared" si="5"/>
        <v>#REF!</v>
      </c>
      <c r="U40" s="547"/>
    </row>
    <row r="41" spans="1:21">
      <c r="A41" s="552">
        <f t="shared" si="0"/>
        <v>32000</v>
      </c>
      <c r="B41" s="515"/>
      <c r="C41" s="532">
        <v>1</v>
      </c>
      <c r="D41" s="533"/>
      <c r="E41" s="533">
        <f t="shared" si="6"/>
        <v>161</v>
      </c>
      <c r="F41" s="533"/>
      <c r="G41" s="533">
        <f t="shared" si="1"/>
        <v>32000</v>
      </c>
      <c r="H41" s="533"/>
      <c r="I41" s="533">
        <f t="shared" si="7"/>
        <v>1787000</v>
      </c>
      <c r="J41" s="533"/>
      <c r="K41" s="533">
        <f t="shared" si="2"/>
        <v>92</v>
      </c>
      <c r="L41" s="533"/>
      <c r="M41" s="533">
        <f t="shared" si="3"/>
        <v>4731000</v>
      </c>
      <c r="N41" s="515"/>
      <c r="O41" s="534">
        <f t="shared" si="4"/>
        <v>0.24895514070771801</v>
      </c>
      <c r="P41" s="532">
        <v>32</v>
      </c>
      <c r="Q41" s="561"/>
      <c r="T41" s="536" t="e">
        <f t="shared" si="5"/>
        <v>#REF!</v>
      </c>
      <c r="U41" s="547"/>
    </row>
    <row r="42" spans="1:21">
      <c r="A42" s="552">
        <f t="shared" ref="A42:A73" si="8">P42*1000</f>
        <v>33000</v>
      </c>
      <c r="B42" s="515"/>
      <c r="C42" s="532">
        <v>5</v>
      </c>
      <c r="D42" s="533"/>
      <c r="E42" s="533">
        <f t="shared" si="6"/>
        <v>166</v>
      </c>
      <c r="F42" s="533"/>
      <c r="G42" s="533">
        <f t="shared" ref="G42:G73" si="9">A42*C42</f>
        <v>165000</v>
      </c>
      <c r="H42" s="533"/>
      <c r="I42" s="533">
        <f t="shared" si="7"/>
        <v>1952000</v>
      </c>
      <c r="J42" s="533"/>
      <c r="K42" s="533">
        <f t="shared" ref="K42:K73" si="10">$E$90-E42</f>
        <v>87</v>
      </c>
      <c r="L42" s="533"/>
      <c r="M42" s="533">
        <f t="shared" ref="M42:M73" si="11">(A42*K42)+I42</f>
        <v>4823000</v>
      </c>
      <c r="N42" s="515"/>
      <c r="O42" s="534">
        <f t="shared" ref="O42:O73" si="12">I42/$I$90</f>
        <v>0.27194204513792142</v>
      </c>
      <c r="P42" s="532">
        <v>33</v>
      </c>
      <c r="Q42" s="561"/>
      <c r="T42" s="536" t="e">
        <f t="shared" ref="T42:T73" si="13">IF(A42&lt;6000,C42*$T$2,IF(A42=6000,C42*$T$2,IF(AND(A42&lt;11000,A42&gt;6000),(C42*$T$2)+((A42-6000)/1000*C42*$T$3),IF(AND(A42&gt;10000,A42&lt;26000),(C42*$T$2)+(9*$T$3*C42)+((A42-10000)/1000*$T$4*C42),IF(AND(A42&lt;51000,A42&gt;25000),(C42*$T$2)+(9*$T$3*C42)+(15*$T$4*C42)+((A42-25000)/1000*$T$5*C42),IF(AND(A42&lt;101000,A42&gt;50000),(C42*$T$2)+(9*$T$3*C42)+(15*$T$4*C42)+(25*$T$5*C42)+((A42-50000)/1000*$T$6*C42),IF(A42&gt;100000,(C42*$T$2)+(9*$T$3*C42)+(15*$T$4*C42)+(25*$T$5*C42)+(50*$T$6*C42)+((A42-100000)/1000*$T$7*C42))))))))</f>
        <v>#REF!</v>
      </c>
      <c r="U42" s="547"/>
    </row>
    <row r="43" spans="1:21">
      <c r="A43" s="552">
        <f t="shared" si="8"/>
        <v>34000</v>
      </c>
      <c r="B43" s="515"/>
      <c r="C43" s="532">
        <v>2</v>
      </c>
      <c r="D43" s="533"/>
      <c r="E43" s="533">
        <f t="shared" ref="E43:E74" si="14">E42+C43</f>
        <v>168</v>
      </c>
      <c r="F43" s="533"/>
      <c r="G43" s="533">
        <f t="shared" si="9"/>
        <v>68000</v>
      </c>
      <c r="H43" s="533"/>
      <c r="I43" s="533">
        <f t="shared" ref="I43:I74" si="15">I42+G43</f>
        <v>2020000</v>
      </c>
      <c r="J43" s="533"/>
      <c r="K43" s="533">
        <f t="shared" si="10"/>
        <v>85</v>
      </c>
      <c r="L43" s="533"/>
      <c r="M43" s="533">
        <f t="shared" si="11"/>
        <v>4910000</v>
      </c>
      <c r="N43" s="515"/>
      <c r="O43" s="534">
        <f t="shared" si="12"/>
        <v>0.28141543605461133</v>
      </c>
      <c r="P43" s="532">
        <v>34</v>
      </c>
      <c r="Q43" s="561"/>
      <c r="T43" s="536" t="e">
        <f t="shared" si="13"/>
        <v>#REF!</v>
      </c>
      <c r="U43" s="547"/>
    </row>
    <row r="44" spans="1:21">
      <c r="A44" s="552">
        <f t="shared" si="8"/>
        <v>35000</v>
      </c>
      <c r="B44" s="515"/>
      <c r="C44" s="532">
        <v>1</v>
      </c>
      <c r="D44" s="533"/>
      <c r="E44" s="533">
        <f t="shared" si="14"/>
        <v>169</v>
      </c>
      <c r="F44" s="533"/>
      <c r="G44" s="533">
        <f t="shared" si="9"/>
        <v>35000</v>
      </c>
      <c r="H44" s="533"/>
      <c r="I44" s="533">
        <f t="shared" si="15"/>
        <v>2055000</v>
      </c>
      <c r="J44" s="533"/>
      <c r="K44" s="533">
        <f t="shared" si="10"/>
        <v>84</v>
      </c>
      <c r="L44" s="533"/>
      <c r="M44" s="533">
        <f t="shared" si="11"/>
        <v>4995000</v>
      </c>
      <c r="N44" s="515"/>
      <c r="O44" s="534">
        <f t="shared" si="12"/>
        <v>0.28629144608526053</v>
      </c>
      <c r="P44" s="532">
        <v>35</v>
      </c>
      <c r="Q44" s="561"/>
      <c r="T44" s="536" t="e">
        <f t="shared" si="13"/>
        <v>#REF!</v>
      </c>
      <c r="U44" s="547"/>
    </row>
    <row r="45" spans="1:21">
      <c r="A45" s="552">
        <f t="shared" si="8"/>
        <v>36000</v>
      </c>
      <c r="B45" s="515"/>
      <c r="C45" s="532">
        <v>5</v>
      </c>
      <c r="D45" s="533"/>
      <c r="E45" s="533">
        <f t="shared" si="14"/>
        <v>174</v>
      </c>
      <c r="F45" s="533"/>
      <c r="G45" s="533">
        <f t="shared" si="9"/>
        <v>180000</v>
      </c>
      <c r="H45" s="533"/>
      <c r="I45" s="533">
        <f t="shared" si="15"/>
        <v>2235000</v>
      </c>
      <c r="J45" s="533"/>
      <c r="K45" s="533">
        <f t="shared" si="10"/>
        <v>79</v>
      </c>
      <c r="L45" s="533"/>
      <c r="M45" s="533">
        <f t="shared" si="11"/>
        <v>5079000</v>
      </c>
      <c r="N45" s="515"/>
      <c r="O45" s="534">
        <f t="shared" si="12"/>
        <v>0.31136806910002784</v>
      </c>
      <c r="P45" s="532">
        <v>36</v>
      </c>
      <c r="Q45" s="561"/>
      <c r="T45" s="536" t="e">
        <f t="shared" si="13"/>
        <v>#REF!</v>
      </c>
      <c r="U45" s="547"/>
    </row>
    <row r="46" spans="1:21">
      <c r="A46" s="552">
        <f t="shared" si="8"/>
        <v>37000</v>
      </c>
      <c r="B46" s="515"/>
      <c r="C46" s="532">
        <v>2</v>
      </c>
      <c r="D46" s="533"/>
      <c r="E46" s="533">
        <f t="shared" si="14"/>
        <v>176</v>
      </c>
      <c r="F46" s="533"/>
      <c r="G46" s="533">
        <f t="shared" si="9"/>
        <v>74000</v>
      </c>
      <c r="H46" s="533"/>
      <c r="I46" s="533">
        <f t="shared" si="15"/>
        <v>2309000</v>
      </c>
      <c r="J46" s="533"/>
      <c r="K46" s="533">
        <f t="shared" si="10"/>
        <v>77</v>
      </c>
      <c r="L46" s="533"/>
      <c r="M46" s="533">
        <f t="shared" si="11"/>
        <v>5158000</v>
      </c>
      <c r="N46" s="515"/>
      <c r="O46" s="534">
        <f t="shared" si="12"/>
        <v>0.32167734745054333</v>
      </c>
      <c r="P46" s="532">
        <v>37</v>
      </c>
      <c r="T46" s="536" t="e">
        <f t="shared" si="13"/>
        <v>#REF!</v>
      </c>
      <c r="U46" s="547"/>
    </row>
    <row r="47" spans="1:21">
      <c r="A47" s="552">
        <f t="shared" si="8"/>
        <v>38000</v>
      </c>
      <c r="B47" s="542"/>
      <c r="C47" s="532">
        <v>2</v>
      </c>
      <c r="D47" s="533"/>
      <c r="E47" s="533">
        <f t="shared" si="14"/>
        <v>178</v>
      </c>
      <c r="F47" s="533"/>
      <c r="G47" s="533">
        <f t="shared" si="9"/>
        <v>76000</v>
      </c>
      <c r="H47" s="533"/>
      <c r="I47" s="533">
        <f t="shared" si="15"/>
        <v>2385000</v>
      </c>
      <c r="J47" s="533"/>
      <c r="K47" s="533">
        <f t="shared" si="10"/>
        <v>75</v>
      </c>
      <c r="L47" s="533"/>
      <c r="M47" s="533">
        <f t="shared" si="11"/>
        <v>5235000</v>
      </c>
      <c r="N47" s="515"/>
      <c r="O47" s="534">
        <f t="shared" si="12"/>
        <v>0.33226525494566733</v>
      </c>
      <c r="P47" s="532">
        <v>38</v>
      </c>
      <c r="T47" s="536" t="e">
        <f t="shared" si="13"/>
        <v>#REF!</v>
      </c>
      <c r="U47" s="547"/>
    </row>
    <row r="48" spans="1:21">
      <c r="A48" s="537">
        <f t="shared" si="8"/>
        <v>40000</v>
      </c>
      <c r="B48" s="542"/>
      <c r="C48" s="532">
        <v>2</v>
      </c>
      <c r="D48" s="533"/>
      <c r="E48" s="533">
        <f t="shared" si="14"/>
        <v>180</v>
      </c>
      <c r="F48" s="533"/>
      <c r="G48" s="533">
        <f t="shared" si="9"/>
        <v>80000</v>
      </c>
      <c r="H48" s="533"/>
      <c r="I48" s="533">
        <f t="shared" si="15"/>
        <v>2465000</v>
      </c>
      <c r="J48" s="533"/>
      <c r="K48" s="533">
        <f t="shared" si="10"/>
        <v>73</v>
      </c>
      <c r="L48" s="533"/>
      <c r="M48" s="533">
        <f t="shared" si="11"/>
        <v>5385000</v>
      </c>
      <c r="N48" s="515"/>
      <c r="O48" s="534">
        <f t="shared" si="12"/>
        <v>0.34341042073000838</v>
      </c>
      <c r="P48" s="532">
        <v>40</v>
      </c>
      <c r="T48" s="536" t="e">
        <f t="shared" si="13"/>
        <v>#REF!</v>
      </c>
      <c r="U48" s="547"/>
    </row>
    <row r="49" spans="1:21">
      <c r="A49" s="552">
        <f t="shared" si="8"/>
        <v>41000</v>
      </c>
      <c r="B49" s="515"/>
      <c r="C49" s="532">
        <v>3</v>
      </c>
      <c r="D49" s="533"/>
      <c r="E49" s="533">
        <f t="shared" si="14"/>
        <v>183</v>
      </c>
      <c r="F49" s="533"/>
      <c r="G49" s="533">
        <f t="shared" si="9"/>
        <v>123000</v>
      </c>
      <c r="H49" s="533"/>
      <c r="I49" s="533">
        <f t="shared" si="15"/>
        <v>2588000</v>
      </c>
      <c r="J49" s="533"/>
      <c r="K49" s="533">
        <f t="shared" si="10"/>
        <v>70</v>
      </c>
      <c r="L49" s="533"/>
      <c r="M49" s="533">
        <f t="shared" si="11"/>
        <v>5458000</v>
      </c>
      <c r="N49" s="515"/>
      <c r="O49" s="534">
        <f t="shared" si="12"/>
        <v>0.36054611312343271</v>
      </c>
      <c r="P49" s="532">
        <v>41</v>
      </c>
      <c r="T49" s="536" t="e">
        <f t="shared" si="13"/>
        <v>#REF!</v>
      </c>
      <c r="U49" s="547"/>
    </row>
    <row r="50" spans="1:21">
      <c r="A50" s="552">
        <f t="shared" si="8"/>
        <v>43000</v>
      </c>
      <c r="B50" s="515"/>
      <c r="C50" s="532">
        <v>2</v>
      </c>
      <c r="D50" s="533"/>
      <c r="E50" s="533">
        <f t="shared" si="14"/>
        <v>185</v>
      </c>
      <c r="F50" s="533"/>
      <c r="G50" s="533">
        <f t="shared" si="9"/>
        <v>86000</v>
      </c>
      <c r="H50" s="533"/>
      <c r="I50" s="533">
        <f t="shared" si="15"/>
        <v>2674000</v>
      </c>
      <c r="J50" s="533"/>
      <c r="K50" s="533">
        <f t="shared" si="10"/>
        <v>68</v>
      </c>
      <c r="L50" s="533"/>
      <c r="M50" s="533">
        <f t="shared" si="11"/>
        <v>5598000</v>
      </c>
      <c r="N50" s="515"/>
      <c r="O50" s="534">
        <f t="shared" si="12"/>
        <v>0.37252716634159933</v>
      </c>
      <c r="P50" s="532">
        <v>43</v>
      </c>
      <c r="T50" s="536" t="e">
        <f t="shared" si="13"/>
        <v>#REF!</v>
      </c>
      <c r="U50" s="577"/>
    </row>
    <row r="51" spans="1:21">
      <c r="A51" s="552">
        <f t="shared" si="8"/>
        <v>44000</v>
      </c>
      <c r="B51" s="538"/>
      <c r="C51" s="532">
        <v>1</v>
      </c>
      <c r="D51" s="533"/>
      <c r="E51" s="533">
        <f t="shared" si="14"/>
        <v>186</v>
      </c>
      <c r="F51" s="533"/>
      <c r="G51" s="533">
        <f t="shared" si="9"/>
        <v>44000</v>
      </c>
      <c r="H51" s="533"/>
      <c r="I51" s="533">
        <f t="shared" si="15"/>
        <v>2718000</v>
      </c>
      <c r="J51" s="533"/>
      <c r="K51" s="533">
        <f t="shared" si="10"/>
        <v>67</v>
      </c>
      <c r="L51" s="533"/>
      <c r="M51" s="533">
        <f t="shared" si="11"/>
        <v>5666000</v>
      </c>
      <c r="N51" s="515"/>
      <c r="O51" s="534">
        <f t="shared" si="12"/>
        <v>0.37865700752298692</v>
      </c>
      <c r="P51" s="532">
        <v>44</v>
      </c>
      <c r="T51" s="536" t="e">
        <f t="shared" si="13"/>
        <v>#REF!</v>
      </c>
      <c r="U51" s="547"/>
    </row>
    <row r="52" spans="1:21">
      <c r="A52" s="552">
        <f t="shared" si="8"/>
        <v>45000</v>
      </c>
      <c r="B52" s="515"/>
      <c r="C52" s="532">
        <v>2</v>
      </c>
      <c r="D52" s="515"/>
      <c r="E52" s="533">
        <f t="shared" si="14"/>
        <v>188</v>
      </c>
      <c r="F52" s="533"/>
      <c r="G52" s="533">
        <f t="shared" si="9"/>
        <v>90000</v>
      </c>
      <c r="H52" s="533"/>
      <c r="I52" s="533">
        <f t="shared" si="15"/>
        <v>2808000</v>
      </c>
      <c r="J52" s="515"/>
      <c r="K52" s="533">
        <f t="shared" si="10"/>
        <v>65</v>
      </c>
      <c r="L52" s="533"/>
      <c r="M52" s="533">
        <f t="shared" si="11"/>
        <v>5733000</v>
      </c>
      <c r="N52" s="515"/>
      <c r="O52" s="534">
        <f t="shared" si="12"/>
        <v>0.39119531903037058</v>
      </c>
      <c r="P52" s="532">
        <v>45</v>
      </c>
      <c r="T52" s="536" t="e">
        <f t="shared" si="13"/>
        <v>#REF!</v>
      </c>
      <c r="U52" s="577"/>
    </row>
    <row r="53" spans="1:21">
      <c r="A53" s="552">
        <f t="shared" si="8"/>
        <v>46000</v>
      </c>
      <c r="B53" s="515"/>
      <c r="C53" s="532">
        <v>4</v>
      </c>
      <c r="D53" s="515"/>
      <c r="E53" s="533">
        <f t="shared" si="14"/>
        <v>192</v>
      </c>
      <c r="F53" s="533"/>
      <c r="G53" s="533">
        <f t="shared" si="9"/>
        <v>184000</v>
      </c>
      <c r="H53" s="533"/>
      <c r="I53" s="533">
        <f t="shared" si="15"/>
        <v>2992000</v>
      </c>
      <c r="J53" s="515"/>
      <c r="K53" s="533">
        <f t="shared" si="10"/>
        <v>61</v>
      </c>
      <c r="L53" s="533"/>
      <c r="M53" s="533">
        <f t="shared" si="11"/>
        <v>5798000</v>
      </c>
      <c r="N53" s="515"/>
      <c r="O53" s="534">
        <f t="shared" si="12"/>
        <v>0.416829200334355</v>
      </c>
      <c r="P53" s="532">
        <v>46</v>
      </c>
      <c r="T53" s="536" t="e">
        <f t="shared" si="13"/>
        <v>#REF!</v>
      </c>
      <c r="U53" s="547"/>
    </row>
    <row r="54" spans="1:21">
      <c r="A54" s="552">
        <f t="shared" si="8"/>
        <v>47000</v>
      </c>
      <c r="B54" s="529"/>
      <c r="C54" s="532">
        <v>2</v>
      </c>
      <c r="D54" s="529"/>
      <c r="E54" s="533">
        <f t="shared" si="14"/>
        <v>194</v>
      </c>
      <c r="F54" s="533"/>
      <c r="G54" s="533">
        <f t="shared" si="9"/>
        <v>94000</v>
      </c>
      <c r="H54" s="533"/>
      <c r="I54" s="533">
        <f t="shared" si="15"/>
        <v>3086000</v>
      </c>
      <c r="J54" s="529"/>
      <c r="K54" s="533">
        <f t="shared" si="10"/>
        <v>59</v>
      </c>
      <c r="L54" s="533"/>
      <c r="M54" s="533">
        <f t="shared" si="11"/>
        <v>5859000</v>
      </c>
      <c r="N54" s="515"/>
      <c r="O54" s="534">
        <f t="shared" si="12"/>
        <v>0.4299247701309557</v>
      </c>
      <c r="P54" s="532">
        <v>47</v>
      </c>
      <c r="T54" s="536" t="e">
        <f t="shared" si="13"/>
        <v>#REF!</v>
      </c>
      <c r="U54" s="547"/>
    </row>
    <row r="55" spans="1:21">
      <c r="A55" s="552">
        <f t="shared" si="8"/>
        <v>48000</v>
      </c>
      <c r="B55" s="523"/>
      <c r="C55" s="532">
        <v>2</v>
      </c>
      <c r="D55" s="523"/>
      <c r="E55" s="533">
        <f t="shared" si="14"/>
        <v>196</v>
      </c>
      <c r="F55" s="533"/>
      <c r="G55" s="533">
        <f t="shared" si="9"/>
        <v>96000</v>
      </c>
      <c r="H55" s="533"/>
      <c r="I55" s="533">
        <f t="shared" si="15"/>
        <v>3182000</v>
      </c>
      <c r="J55" s="523"/>
      <c r="K55" s="533">
        <f t="shared" si="10"/>
        <v>57</v>
      </c>
      <c r="L55" s="533"/>
      <c r="M55" s="533">
        <f t="shared" si="11"/>
        <v>5918000</v>
      </c>
      <c r="N55" s="515"/>
      <c r="O55" s="534">
        <f t="shared" si="12"/>
        <v>0.44329896907216493</v>
      </c>
      <c r="P55" s="532">
        <v>48</v>
      </c>
      <c r="T55" s="536" t="e">
        <f t="shared" si="13"/>
        <v>#REF!</v>
      </c>
      <c r="U55" s="547"/>
    </row>
    <row r="56" spans="1:21">
      <c r="A56" s="552">
        <f t="shared" si="8"/>
        <v>49000</v>
      </c>
      <c r="B56" s="525"/>
      <c r="C56" s="532">
        <v>1</v>
      </c>
      <c r="D56" s="525"/>
      <c r="E56" s="533">
        <f t="shared" si="14"/>
        <v>197</v>
      </c>
      <c r="F56" s="533"/>
      <c r="G56" s="533">
        <f t="shared" si="9"/>
        <v>49000</v>
      </c>
      <c r="H56" s="533"/>
      <c r="I56" s="533">
        <f t="shared" si="15"/>
        <v>3231000</v>
      </c>
      <c r="J56" s="525"/>
      <c r="K56" s="533">
        <f t="shared" si="10"/>
        <v>56</v>
      </c>
      <c r="L56" s="533"/>
      <c r="M56" s="533">
        <f t="shared" si="11"/>
        <v>5975000</v>
      </c>
      <c r="N56" s="515"/>
      <c r="O56" s="534">
        <f t="shared" si="12"/>
        <v>0.45012538311507383</v>
      </c>
      <c r="P56" s="532">
        <v>49</v>
      </c>
      <c r="T56" s="536" t="e">
        <f t="shared" si="13"/>
        <v>#REF!</v>
      </c>
      <c r="U56" s="547"/>
    </row>
    <row r="57" spans="1:21">
      <c r="A57" s="552">
        <f t="shared" si="8"/>
        <v>51000</v>
      </c>
      <c r="B57" s="525"/>
      <c r="C57" s="532">
        <v>2</v>
      </c>
      <c r="D57" s="525"/>
      <c r="E57" s="533">
        <f t="shared" si="14"/>
        <v>199</v>
      </c>
      <c r="F57" s="533"/>
      <c r="G57" s="533">
        <f t="shared" si="9"/>
        <v>102000</v>
      </c>
      <c r="H57" s="533"/>
      <c r="I57" s="533">
        <f t="shared" si="15"/>
        <v>3333000</v>
      </c>
      <c r="J57" s="525"/>
      <c r="K57" s="533">
        <f t="shared" si="10"/>
        <v>54</v>
      </c>
      <c r="L57" s="533"/>
      <c r="M57" s="533">
        <f t="shared" si="11"/>
        <v>6087000</v>
      </c>
      <c r="N57" s="515"/>
      <c r="O57" s="534">
        <f t="shared" si="12"/>
        <v>0.46433546949010868</v>
      </c>
      <c r="P57" s="532">
        <v>51</v>
      </c>
      <c r="T57" s="536" t="e">
        <f t="shared" si="13"/>
        <v>#REF!</v>
      </c>
      <c r="U57" s="547"/>
    </row>
    <row r="58" spans="1:21">
      <c r="A58" s="552">
        <f t="shared" si="8"/>
        <v>52000</v>
      </c>
      <c r="B58" s="525"/>
      <c r="C58" s="532">
        <v>1</v>
      </c>
      <c r="D58" s="525"/>
      <c r="E58" s="533">
        <f t="shared" si="14"/>
        <v>200</v>
      </c>
      <c r="F58" s="533"/>
      <c r="G58" s="533">
        <f t="shared" si="9"/>
        <v>52000</v>
      </c>
      <c r="H58" s="533"/>
      <c r="I58" s="533">
        <f t="shared" si="15"/>
        <v>3385000</v>
      </c>
      <c r="J58" s="525"/>
      <c r="K58" s="533">
        <f t="shared" si="10"/>
        <v>53</v>
      </c>
      <c r="L58" s="533"/>
      <c r="M58" s="533">
        <f t="shared" si="11"/>
        <v>6141000</v>
      </c>
      <c r="N58" s="515"/>
      <c r="O58" s="534">
        <f t="shared" si="12"/>
        <v>0.47157982724993036</v>
      </c>
      <c r="P58" s="532">
        <v>52</v>
      </c>
      <c r="T58" s="536" t="e">
        <f t="shared" si="13"/>
        <v>#REF!</v>
      </c>
      <c r="U58" s="547"/>
    </row>
    <row r="59" spans="1:21">
      <c r="A59" s="552">
        <f t="shared" si="8"/>
        <v>54000</v>
      </c>
      <c r="B59" s="515"/>
      <c r="C59" s="532">
        <v>1</v>
      </c>
      <c r="D59" s="529"/>
      <c r="E59" s="533">
        <f t="shared" si="14"/>
        <v>201</v>
      </c>
      <c r="F59" s="533"/>
      <c r="G59" s="533">
        <f t="shared" si="9"/>
        <v>54000</v>
      </c>
      <c r="H59" s="533"/>
      <c r="I59" s="533">
        <f t="shared" si="15"/>
        <v>3439000</v>
      </c>
      <c r="J59" s="529"/>
      <c r="K59" s="533">
        <f t="shared" si="10"/>
        <v>52</v>
      </c>
      <c r="L59" s="533"/>
      <c r="M59" s="533">
        <f t="shared" si="11"/>
        <v>6247000</v>
      </c>
      <c r="N59" s="515"/>
      <c r="O59" s="534">
        <f t="shared" si="12"/>
        <v>0.47910281415436057</v>
      </c>
      <c r="P59" s="532">
        <v>54</v>
      </c>
      <c r="T59" s="536" t="e">
        <f t="shared" si="13"/>
        <v>#REF!</v>
      </c>
      <c r="U59" s="547"/>
    </row>
    <row r="60" spans="1:21">
      <c r="A60" s="552">
        <f t="shared" si="8"/>
        <v>55000</v>
      </c>
      <c r="B60" s="515"/>
      <c r="C60" s="532">
        <v>2</v>
      </c>
      <c r="D60" s="533"/>
      <c r="E60" s="533">
        <f t="shared" si="14"/>
        <v>203</v>
      </c>
      <c r="F60" s="533"/>
      <c r="G60" s="533">
        <f t="shared" si="9"/>
        <v>110000</v>
      </c>
      <c r="H60" s="533"/>
      <c r="I60" s="533">
        <f t="shared" si="15"/>
        <v>3549000</v>
      </c>
      <c r="J60" s="533"/>
      <c r="K60" s="533">
        <f t="shared" si="10"/>
        <v>50</v>
      </c>
      <c r="L60" s="533"/>
      <c r="M60" s="533">
        <f t="shared" si="11"/>
        <v>6299000</v>
      </c>
      <c r="N60" s="515"/>
      <c r="O60" s="534">
        <f t="shared" si="12"/>
        <v>0.4944274171078295</v>
      </c>
      <c r="P60" s="532">
        <v>55</v>
      </c>
      <c r="T60" s="536" t="e">
        <f t="shared" si="13"/>
        <v>#REF!</v>
      </c>
      <c r="U60" s="547"/>
    </row>
    <row r="61" spans="1:21">
      <c r="A61" s="552">
        <f t="shared" si="8"/>
        <v>56000</v>
      </c>
      <c r="B61" s="515"/>
      <c r="C61" s="532">
        <v>2</v>
      </c>
      <c r="D61" s="533"/>
      <c r="E61" s="533">
        <f t="shared" si="14"/>
        <v>205</v>
      </c>
      <c r="F61" s="533"/>
      <c r="G61" s="533">
        <f t="shared" si="9"/>
        <v>112000</v>
      </c>
      <c r="H61" s="533"/>
      <c r="I61" s="533">
        <f t="shared" si="15"/>
        <v>3661000</v>
      </c>
      <c r="J61" s="533"/>
      <c r="K61" s="533">
        <f t="shared" si="10"/>
        <v>48</v>
      </c>
      <c r="L61" s="533"/>
      <c r="M61" s="533">
        <f t="shared" si="11"/>
        <v>6349000</v>
      </c>
      <c r="N61" s="515"/>
      <c r="O61" s="534">
        <f t="shared" si="12"/>
        <v>0.51003064920590691</v>
      </c>
      <c r="P61" s="532">
        <v>56</v>
      </c>
      <c r="T61" s="536" t="e">
        <f t="shared" si="13"/>
        <v>#REF!</v>
      </c>
      <c r="U61" s="547"/>
    </row>
    <row r="62" spans="1:21">
      <c r="A62" s="552">
        <f t="shared" si="8"/>
        <v>57000</v>
      </c>
      <c r="B62" s="515"/>
      <c r="C62" s="532">
        <v>4</v>
      </c>
      <c r="D62" s="533"/>
      <c r="E62" s="533">
        <f t="shared" si="14"/>
        <v>209</v>
      </c>
      <c r="F62" s="533"/>
      <c r="G62" s="533">
        <f t="shared" si="9"/>
        <v>228000</v>
      </c>
      <c r="H62" s="533"/>
      <c r="I62" s="533">
        <f t="shared" si="15"/>
        <v>3889000</v>
      </c>
      <c r="J62" s="533"/>
      <c r="K62" s="533">
        <f t="shared" si="10"/>
        <v>44</v>
      </c>
      <c r="L62" s="533"/>
      <c r="M62" s="533">
        <f t="shared" si="11"/>
        <v>6397000</v>
      </c>
      <c r="N62" s="515"/>
      <c r="O62" s="534">
        <f t="shared" si="12"/>
        <v>0.54179437169127886</v>
      </c>
      <c r="P62" s="532">
        <v>57</v>
      </c>
      <c r="T62" s="536" t="e">
        <f t="shared" si="13"/>
        <v>#REF!</v>
      </c>
      <c r="U62" s="547"/>
    </row>
    <row r="63" spans="1:21">
      <c r="A63" s="552">
        <f t="shared" si="8"/>
        <v>58000</v>
      </c>
      <c r="B63" s="515"/>
      <c r="C63" s="532">
        <v>2</v>
      </c>
      <c r="D63" s="533"/>
      <c r="E63" s="533">
        <f t="shared" si="14"/>
        <v>211</v>
      </c>
      <c r="F63" s="533"/>
      <c r="G63" s="533">
        <f t="shared" si="9"/>
        <v>116000</v>
      </c>
      <c r="H63" s="533"/>
      <c r="I63" s="533">
        <f t="shared" si="15"/>
        <v>4005000</v>
      </c>
      <c r="J63" s="533"/>
      <c r="K63" s="533">
        <f t="shared" si="10"/>
        <v>42</v>
      </c>
      <c r="L63" s="533"/>
      <c r="M63" s="533">
        <f t="shared" si="11"/>
        <v>6441000</v>
      </c>
      <c r="N63" s="515"/>
      <c r="O63" s="534">
        <f t="shared" si="12"/>
        <v>0.55795486207857337</v>
      </c>
      <c r="P63" s="532">
        <v>58</v>
      </c>
      <c r="T63" s="536" t="e">
        <f t="shared" si="13"/>
        <v>#REF!</v>
      </c>
      <c r="U63" s="547"/>
    </row>
    <row r="64" spans="1:21">
      <c r="A64" s="552">
        <f t="shared" si="8"/>
        <v>59000</v>
      </c>
      <c r="B64" s="515"/>
      <c r="C64" s="532">
        <v>3</v>
      </c>
      <c r="D64" s="533"/>
      <c r="E64" s="533">
        <f t="shared" si="14"/>
        <v>214</v>
      </c>
      <c r="F64" s="533"/>
      <c r="G64" s="533">
        <f t="shared" si="9"/>
        <v>177000</v>
      </c>
      <c r="H64" s="533"/>
      <c r="I64" s="533">
        <f t="shared" si="15"/>
        <v>4182000</v>
      </c>
      <c r="J64" s="533"/>
      <c r="K64" s="533">
        <f t="shared" si="10"/>
        <v>39</v>
      </c>
      <c r="L64" s="533"/>
      <c r="M64" s="533">
        <f t="shared" si="11"/>
        <v>6483000</v>
      </c>
      <c r="N64" s="515"/>
      <c r="O64" s="534">
        <f t="shared" si="12"/>
        <v>0.58261354137642796</v>
      </c>
      <c r="P64" s="532">
        <v>59</v>
      </c>
      <c r="T64" s="536" t="e">
        <f t="shared" si="13"/>
        <v>#REF!</v>
      </c>
      <c r="U64" s="533"/>
    </row>
    <row r="65" spans="1:21">
      <c r="A65" s="552">
        <f t="shared" si="8"/>
        <v>60000</v>
      </c>
      <c r="B65" s="515"/>
      <c r="C65" s="532">
        <v>5</v>
      </c>
      <c r="D65" s="533"/>
      <c r="E65" s="533">
        <f t="shared" si="14"/>
        <v>219</v>
      </c>
      <c r="F65" s="533"/>
      <c r="G65" s="533">
        <f t="shared" si="9"/>
        <v>300000</v>
      </c>
      <c r="H65" s="533"/>
      <c r="I65" s="533">
        <f t="shared" si="15"/>
        <v>4482000</v>
      </c>
      <c r="J65" s="533"/>
      <c r="K65" s="533">
        <f t="shared" si="10"/>
        <v>34</v>
      </c>
      <c r="L65" s="533"/>
      <c r="M65" s="533">
        <f t="shared" si="11"/>
        <v>6522000</v>
      </c>
      <c r="N65" s="515"/>
      <c r="O65" s="534">
        <f t="shared" si="12"/>
        <v>0.62440791306770693</v>
      </c>
      <c r="P65" s="532">
        <v>60</v>
      </c>
      <c r="T65" s="536" t="e">
        <f t="shared" si="13"/>
        <v>#REF!</v>
      </c>
      <c r="U65" s="533"/>
    </row>
    <row r="66" spans="1:21">
      <c r="A66" s="552">
        <f t="shared" si="8"/>
        <v>61000</v>
      </c>
      <c r="B66" s="515"/>
      <c r="C66" s="532">
        <v>1</v>
      </c>
      <c r="D66" s="533"/>
      <c r="E66" s="533">
        <f t="shared" si="14"/>
        <v>220</v>
      </c>
      <c r="F66" s="533"/>
      <c r="G66" s="533">
        <f t="shared" si="9"/>
        <v>61000</v>
      </c>
      <c r="H66" s="533"/>
      <c r="I66" s="533">
        <f t="shared" si="15"/>
        <v>4543000</v>
      </c>
      <c r="J66" s="533"/>
      <c r="K66" s="533">
        <f t="shared" si="10"/>
        <v>33</v>
      </c>
      <c r="L66" s="533"/>
      <c r="M66" s="533">
        <f t="shared" si="11"/>
        <v>6556000</v>
      </c>
      <c r="N66" s="515"/>
      <c r="O66" s="534">
        <f t="shared" si="12"/>
        <v>0.63290610197826691</v>
      </c>
      <c r="P66" s="532">
        <v>61</v>
      </c>
      <c r="T66" s="536" t="e">
        <f t="shared" si="13"/>
        <v>#REF!</v>
      </c>
      <c r="U66" s="533"/>
    </row>
    <row r="67" spans="1:21">
      <c r="A67" s="552">
        <f t="shared" si="8"/>
        <v>62000</v>
      </c>
      <c r="C67" s="532">
        <v>3</v>
      </c>
      <c r="D67" s="545"/>
      <c r="E67" s="533">
        <f t="shared" si="14"/>
        <v>223</v>
      </c>
      <c r="F67" s="545"/>
      <c r="G67" s="533">
        <f t="shared" si="9"/>
        <v>186000</v>
      </c>
      <c r="H67" s="545"/>
      <c r="I67" s="533">
        <f t="shared" si="15"/>
        <v>4729000</v>
      </c>
      <c r="J67" s="545"/>
      <c r="K67" s="533">
        <f t="shared" si="10"/>
        <v>30</v>
      </c>
      <c r="L67" s="545"/>
      <c r="M67" s="533">
        <f t="shared" si="11"/>
        <v>6589000</v>
      </c>
      <c r="O67" s="534">
        <f t="shared" si="12"/>
        <v>0.6588186124268598</v>
      </c>
      <c r="P67" s="532">
        <v>62</v>
      </c>
      <c r="T67" s="536" t="e">
        <f t="shared" si="13"/>
        <v>#REF!</v>
      </c>
      <c r="U67" s="545"/>
    </row>
    <row r="68" spans="1:21">
      <c r="A68" s="552">
        <f t="shared" si="8"/>
        <v>63000</v>
      </c>
      <c r="C68" s="532">
        <v>2</v>
      </c>
      <c r="D68" s="545"/>
      <c r="E68" s="533">
        <f t="shared" si="14"/>
        <v>225</v>
      </c>
      <c r="F68" s="545"/>
      <c r="G68" s="533">
        <f t="shared" si="9"/>
        <v>126000</v>
      </c>
      <c r="H68" s="545"/>
      <c r="I68" s="533">
        <f t="shared" si="15"/>
        <v>4855000</v>
      </c>
      <c r="J68" s="545"/>
      <c r="K68" s="533">
        <f t="shared" si="10"/>
        <v>28</v>
      </c>
      <c r="L68" s="545"/>
      <c r="M68" s="533">
        <f t="shared" si="11"/>
        <v>6619000</v>
      </c>
      <c r="O68" s="534">
        <f t="shared" si="12"/>
        <v>0.67637224853719702</v>
      </c>
      <c r="P68" s="532">
        <v>63</v>
      </c>
      <c r="T68" s="536" t="e">
        <f t="shared" si="13"/>
        <v>#REF!</v>
      </c>
      <c r="U68" s="545"/>
    </row>
    <row r="69" spans="1:21">
      <c r="A69" s="552">
        <f t="shared" si="8"/>
        <v>64000</v>
      </c>
      <c r="C69" s="532">
        <v>1</v>
      </c>
      <c r="D69" s="545"/>
      <c r="E69" s="533">
        <f t="shared" si="14"/>
        <v>226</v>
      </c>
      <c r="F69" s="545"/>
      <c r="G69" s="533">
        <f t="shared" si="9"/>
        <v>64000</v>
      </c>
      <c r="H69" s="545"/>
      <c r="I69" s="533">
        <f t="shared" si="15"/>
        <v>4919000</v>
      </c>
      <c r="J69" s="545"/>
      <c r="K69" s="533">
        <f t="shared" si="10"/>
        <v>27</v>
      </c>
      <c r="L69" s="545"/>
      <c r="M69" s="533">
        <f t="shared" si="11"/>
        <v>6647000</v>
      </c>
      <c r="O69" s="534">
        <f t="shared" si="12"/>
        <v>0.68528838116466984</v>
      </c>
      <c r="P69" s="532">
        <v>64</v>
      </c>
      <c r="T69" s="536" t="e">
        <f t="shared" si="13"/>
        <v>#REF!</v>
      </c>
      <c r="U69" s="545"/>
    </row>
    <row r="70" spans="1:21">
      <c r="A70" s="552">
        <f t="shared" si="8"/>
        <v>65000</v>
      </c>
      <c r="C70" s="532">
        <v>2</v>
      </c>
      <c r="D70" s="545"/>
      <c r="E70" s="533">
        <f t="shared" si="14"/>
        <v>228</v>
      </c>
      <c r="F70" s="545"/>
      <c r="G70" s="533">
        <f t="shared" si="9"/>
        <v>130000</v>
      </c>
      <c r="H70" s="545"/>
      <c r="I70" s="533">
        <f t="shared" si="15"/>
        <v>5049000</v>
      </c>
      <c r="J70" s="545"/>
      <c r="K70" s="533">
        <f t="shared" si="10"/>
        <v>25</v>
      </c>
      <c r="L70" s="545"/>
      <c r="M70" s="533">
        <f t="shared" si="11"/>
        <v>6674000</v>
      </c>
      <c r="O70" s="534">
        <f t="shared" si="12"/>
        <v>0.70339927556422399</v>
      </c>
      <c r="P70" s="532">
        <v>65</v>
      </c>
      <c r="T70" s="536" t="e">
        <f t="shared" si="13"/>
        <v>#REF!</v>
      </c>
      <c r="U70" s="545"/>
    </row>
    <row r="71" spans="1:21">
      <c r="A71" s="552">
        <f t="shared" si="8"/>
        <v>66000</v>
      </c>
      <c r="C71" s="532">
        <v>1</v>
      </c>
      <c r="D71" s="545"/>
      <c r="E71" s="533">
        <f t="shared" si="14"/>
        <v>229</v>
      </c>
      <c r="F71" s="545"/>
      <c r="G71" s="533">
        <f t="shared" si="9"/>
        <v>66000</v>
      </c>
      <c r="H71" s="545"/>
      <c r="I71" s="533">
        <f t="shared" si="15"/>
        <v>5115000</v>
      </c>
      <c r="J71" s="545"/>
      <c r="K71" s="533">
        <f t="shared" si="10"/>
        <v>24</v>
      </c>
      <c r="L71" s="545"/>
      <c r="M71" s="533">
        <f t="shared" si="11"/>
        <v>6699000</v>
      </c>
      <c r="O71" s="534">
        <f t="shared" si="12"/>
        <v>0.71259403733630533</v>
      </c>
      <c r="P71" s="532">
        <v>66</v>
      </c>
      <c r="T71" s="536" t="e">
        <f t="shared" si="13"/>
        <v>#REF!</v>
      </c>
      <c r="U71" s="545"/>
    </row>
    <row r="72" spans="1:21">
      <c r="A72" s="552">
        <f t="shared" si="8"/>
        <v>67000</v>
      </c>
      <c r="C72" s="532">
        <v>1</v>
      </c>
      <c r="D72" s="545"/>
      <c r="E72" s="533">
        <f t="shared" si="14"/>
        <v>230</v>
      </c>
      <c r="F72" s="545"/>
      <c r="G72" s="533">
        <f t="shared" si="9"/>
        <v>67000</v>
      </c>
      <c r="H72" s="545"/>
      <c r="I72" s="533">
        <f t="shared" si="15"/>
        <v>5182000</v>
      </c>
      <c r="J72" s="545"/>
      <c r="K72" s="533">
        <f t="shared" si="10"/>
        <v>23</v>
      </c>
      <c r="L72" s="545"/>
      <c r="M72" s="533">
        <f t="shared" si="11"/>
        <v>6723000</v>
      </c>
      <c r="O72" s="534">
        <f t="shared" si="12"/>
        <v>0.72192811368069099</v>
      </c>
      <c r="P72" s="532">
        <v>67</v>
      </c>
      <c r="T72" s="536" t="e">
        <f t="shared" si="13"/>
        <v>#REF!</v>
      </c>
      <c r="U72" s="545"/>
    </row>
    <row r="73" spans="1:21">
      <c r="A73" s="552">
        <f t="shared" si="8"/>
        <v>70000</v>
      </c>
      <c r="C73" s="532">
        <v>1</v>
      </c>
      <c r="D73" s="545"/>
      <c r="E73" s="533">
        <f t="shared" si="14"/>
        <v>231</v>
      </c>
      <c r="F73" s="545"/>
      <c r="G73" s="533">
        <f t="shared" si="9"/>
        <v>70000</v>
      </c>
      <c r="H73" s="545"/>
      <c r="I73" s="533">
        <f t="shared" si="15"/>
        <v>5252000</v>
      </c>
      <c r="J73" s="545"/>
      <c r="K73" s="533">
        <f t="shared" si="10"/>
        <v>22</v>
      </c>
      <c r="L73" s="545"/>
      <c r="M73" s="533">
        <f t="shared" si="11"/>
        <v>6792000</v>
      </c>
      <c r="O73" s="534">
        <f t="shared" si="12"/>
        <v>0.73168013374198937</v>
      </c>
      <c r="P73" s="532">
        <v>70</v>
      </c>
      <c r="T73" s="536" t="e">
        <f t="shared" si="13"/>
        <v>#REF!</v>
      </c>
      <c r="U73" s="545"/>
    </row>
    <row r="74" spans="1:21">
      <c r="A74" s="552">
        <f t="shared" ref="A74:A90" si="16">P74*1000</f>
        <v>71000</v>
      </c>
      <c r="C74" s="532">
        <v>1</v>
      </c>
      <c r="D74" s="545"/>
      <c r="E74" s="533">
        <f t="shared" si="14"/>
        <v>232</v>
      </c>
      <c r="F74" s="545"/>
      <c r="G74" s="533">
        <f t="shared" ref="G74:G90" si="17">A74*C74</f>
        <v>71000</v>
      </c>
      <c r="H74" s="545"/>
      <c r="I74" s="533">
        <f t="shared" si="15"/>
        <v>5323000</v>
      </c>
      <c r="J74" s="545"/>
      <c r="K74" s="533">
        <f t="shared" ref="K74:K90" si="18">$E$90-E74</f>
        <v>21</v>
      </c>
      <c r="L74" s="545"/>
      <c r="M74" s="533">
        <f t="shared" ref="M74:M90" si="19">(A74*K74)+I74</f>
        <v>6814000</v>
      </c>
      <c r="O74" s="534">
        <f t="shared" ref="O74:O90" si="20">I74/$I$90</f>
        <v>0.74157146837559207</v>
      </c>
      <c r="P74" s="532">
        <v>71</v>
      </c>
      <c r="T74" s="536" t="e">
        <f t="shared" ref="T74:T90" si="21">IF(A74&lt;6000,C74*$T$2,IF(A74=6000,C74*$T$2,IF(AND(A74&lt;11000,A74&gt;6000),(C74*$T$2)+((A74-6000)/1000*C74*$T$3),IF(AND(A74&gt;10000,A74&lt;26000),(C74*$T$2)+(9*$T$3*C74)+((A74-10000)/1000*$T$4*C74),IF(AND(A74&lt;51000,A74&gt;25000),(C74*$T$2)+(9*$T$3*C74)+(15*$T$4*C74)+((A74-25000)/1000*$T$5*C74),IF(AND(A74&lt;101000,A74&gt;50000),(C74*$T$2)+(9*$T$3*C74)+(15*$T$4*C74)+(25*$T$5*C74)+((A74-50000)/1000*$T$6*C74),IF(A74&gt;100000,(C74*$T$2)+(9*$T$3*C74)+(15*$T$4*C74)+(25*$T$5*C74)+(50*$T$6*C74)+((A74-100000)/1000*$T$7*C74))))))))</f>
        <v>#REF!</v>
      </c>
      <c r="U74" s="545"/>
    </row>
    <row r="75" spans="1:21">
      <c r="A75" s="552">
        <f t="shared" si="16"/>
        <v>73000</v>
      </c>
      <c r="C75" s="532">
        <v>4</v>
      </c>
      <c r="D75" s="545"/>
      <c r="E75" s="533">
        <f t="shared" ref="E75:E90" si="22">E74+C75</f>
        <v>236</v>
      </c>
      <c r="F75" s="545"/>
      <c r="G75" s="533">
        <f t="shared" si="17"/>
        <v>292000</v>
      </c>
      <c r="H75" s="545"/>
      <c r="I75" s="533">
        <f t="shared" ref="I75:I90" si="23">I74+G75</f>
        <v>5615000</v>
      </c>
      <c r="J75" s="545"/>
      <c r="K75" s="533">
        <f t="shared" si="18"/>
        <v>17</v>
      </c>
      <c r="L75" s="545"/>
      <c r="M75" s="533">
        <f t="shared" si="19"/>
        <v>6856000</v>
      </c>
      <c r="O75" s="534">
        <f t="shared" si="20"/>
        <v>0.78225132348843684</v>
      </c>
      <c r="P75" s="532">
        <v>73</v>
      </c>
      <c r="T75" s="536" t="e">
        <f t="shared" si="21"/>
        <v>#REF!</v>
      </c>
      <c r="U75" s="545"/>
    </row>
    <row r="76" spans="1:21">
      <c r="A76" s="552">
        <f t="shared" si="16"/>
        <v>74000</v>
      </c>
      <c r="C76" s="532">
        <v>2</v>
      </c>
      <c r="D76" s="545"/>
      <c r="E76" s="533">
        <f t="shared" si="22"/>
        <v>238</v>
      </c>
      <c r="F76" s="545"/>
      <c r="G76" s="533">
        <f t="shared" si="17"/>
        <v>148000</v>
      </c>
      <c r="H76" s="545"/>
      <c r="I76" s="533">
        <f t="shared" si="23"/>
        <v>5763000</v>
      </c>
      <c r="J76" s="545"/>
      <c r="K76" s="533">
        <f t="shared" si="18"/>
        <v>15</v>
      </c>
      <c r="L76" s="545"/>
      <c r="M76" s="533">
        <f t="shared" si="19"/>
        <v>6873000</v>
      </c>
      <c r="O76" s="534">
        <f t="shared" si="20"/>
        <v>0.80286988018946781</v>
      </c>
      <c r="P76" s="532">
        <v>74</v>
      </c>
      <c r="T76" s="536" t="e">
        <f t="shared" si="21"/>
        <v>#REF!</v>
      </c>
      <c r="U76" s="545"/>
    </row>
    <row r="77" spans="1:21">
      <c r="A77" s="552">
        <f t="shared" si="16"/>
        <v>76000</v>
      </c>
      <c r="C77" s="532">
        <v>2</v>
      </c>
      <c r="D77" s="545"/>
      <c r="E77" s="533">
        <f t="shared" si="22"/>
        <v>240</v>
      </c>
      <c r="F77" s="545"/>
      <c r="G77" s="533">
        <f t="shared" si="17"/>
        <v>152000</v>
      </c>
      <c r="H77" s="545"/>
      <c r="I77" s="533">
        <f t="shared" si="23"/>
        <v>5915000</v>
      </c>
      <c r="J77" s="545"/>
      <c r="K77" s="533">
        <f t="shared" si="18"/>
        <v>13</v>
      </c>
      <c r="L77" s="545"/>
      <c r="M77" s="533">
        <f t="shared" si="19"/>
        <v>6903000</v>
      </c>
      <c r="O77" s="534">
        <f t="shared" si="20"/>
        <v>0.82404569517971582</v>
      </c>
      <c r="P77" s="532">
        <v>76</v>
      </c>
      <c r="T77" s="536" t="e">
        <f t="shared" si="21"/>
        <v>#REF!</v>
      </c>
      <c r="U77" s="545"/>
    </row>
    <row r="78" spans="1:21">
      <c r="A78" s="552">
        <f t="shared" si="16"/>
        <v>77000</v>
      </c>
      <c r="C78" s="532">
        <v>1</v>
      </c>
      <c r="D78" s="545"/>
      <c r="E78" s="533">
        <f t="shared" si="22"/>
        <v>241</v>
      </c>
      <c r="F78" s="545"/>
      <c r="G78" s="533">
        <f t="shared" si="17"/>
        <v>77000</v>
      </c>
      <c r="H78" s="545"/>
      <c r="I78" s="533">
        <f t="shared" si="23"/>
        <v>5992000</v>
      </c>
      <c r="J78" s="545"/>
      <c r="K78" s="533">
        <f t="shared" si="18"/>
        <v>12</v>
      </c>
      <c r="L78" s="545"/>
      <c r="M78" s="533">
        <f t="shared" si="19"/>
        <v>6916000</v>
      </c>
      <c r="O78" s="534">
        <f t="shared" si="20"/>
        <v>0.83477291724714409</v>
      </c>
      <c r="P78" s="532">
        <v>77</v>
      </c>
      <c r="T78" s="536" t="e">
        <f t="shared" si="21"/>
        <v>#REF!</v>
      </c>
      <c r="U78" s="545"/>
    </row>
    <row r="79" spans="1:21">
      <c r="A79" s="552">
        <f t="shared" si="16"/>
        <v>83000</v>
      </c>
      <c r="C79" s="532">
        <v>1</v>
      </c>
      <c r="D79" s="545"/>
      <c r="E79" s="533">
        <f t="shared" si="22"/>
        <v>242</v>
      </c>
      <c r="F79" s="545"/>
      <c r="G79" s="533">
        <f t="shared" si="17"/>
        <v>83000</v>
      </c>
      <c r="H79" s="545"/>
      <c r="I79" s="533">
        <f t="shared" si="23"/>
        <v>6075000</v>
      </c>
      <c r="J79" s="545"/>
      <c r="K79" s="533">
        <f t="shared" si="18"/>
        <v>11</v>
      </c>
      <c r="L79" s="545"/>
      <c r="M79" s="533">
        <f t="shared" si="19"/>
        <v>6988000</v>
      </c>
      <c r="O79" s="534">
        <f t="shared" si="20"/>
        <v>0.84633602674839792</v>
      </c>
      <c r="P79" s="532">
        <v>83</v>
      </c>
      <c r="T79" s="536" t="e">
        <f t="shared" si="21"/>
        <v>#REF!</v>
      </c>
      <c r="U79" s="545"/>
    </row>
    <row r="80" spans="1:21">
      <c r="A80" s="552">
        <f t="shared" si="16"/>
        <v>84000</v>
      </c>
      <c r="C80" s="532">
        <v>1</v>
      </c>
      <c r="D80" s="545"/>
      <c r="E80" s="533">
        <f t="shared" si="22"/>
        <v>243</v>
      </c>
      <c r="F80" s="545"/>
      <c r="G80" s="533">
        <f t="shared" si="17"/>
        <v>84000</v>
      </c>
      <c r="H80" s="545"/>
      <c r="I80" s="533">
        <f t="shared" si="23"/>
        <v>6159000</v>
      </c>
      <c r="J80" s="545"/>
      <c r="K80" s="533">
        <f t="shared" si="18"/>
        <v>10</v>
      </c>
      <c r="L80" s="545"/>
      <c r="M80" s="533">
        <f t="shared" si="19"/>
        <v>6999000</v>
      </c>
      <c r="O80" s="534">
        <f t="shared" si="20"/>
        <v>0.85803845082195596</v>
      </c>
      <c r="P80" s="532">
        <v>84</v>
      </c>
      <c r="T80" s="536" t="e">
        <f t="shared" si="21"/>
        <v>#REF!</v>
      </c>
      <c r="U80" s="545"/>
    </row>
    <row r="81" spans="1:21">
      <c r="A81" s="552">
        <f t="shared" si="16"/>
        <v>86000</v>
      </c>
      <c r="C81" s="532">
        <v>1</v>
      </c>
      <c r="D81" s="545"/>
      <c r="E81" s="533">
        <f t="shared" si="22"/>
        <v>244</v>
      </c>
      <c r="F81" s="545"/>
      <c r="G81" s="533">
        <f t="shared" si="17"/>
        <v>86000</v>
      </c>
      <c r="H81" s="545"/>
      <c r="I81" s="533">
        <f t="shared" si="23"/>
        <v>6245000</v>
      </c>
      <c r="J81" s="545"/>
      <c r="K81" s="533">
        <f t="shared" si="18"/>
        <v>9</v>
      </c>
      <c r="L81" s="545"/>
      <c r="M81" s="533">
        <f t="shared" si="19"/>
        <v>7019000</v>
      </c>
      <c r="O81" s="534">
        <f t="shared" si="20"/>
        <v>0.87001950404012263</v>
      </c>
      <c r="P81" s="532">
        <v>86</v>
      </c>
      <c r="T81" s="536" t="e">
        <f t="shared" si="21"/>
        <v>#REF!</v>
      </c>
      <c r="U81" s="545"/>
    </row>
    <row r="82" spans="1:21">
      <c r="A82" s="552">
        <f t="shared" si="16"/>
        <v>88000</v>
      </c>
      <c r="C82" s="532">
        <v>1</v>
      </c>
      <c r="D82" s="545"/>
      <c r="E82" s="533">
        <f t="shared" si="22"/>
        <v>245</v>
      </c>
      <c r="F82" s="545"/>
      <c r="G82" s="533">
        <f t="shared" si="17"/>
        <v>88000</v>
      </c>
      <c r="H82" s="545"/>
      <c r="I82" s="533">
        <f t="shared" si="23"/>
        <v>6333000</v>
      </c>
      <c r="J82" s="545"/>
      <c r="K82" s="533">
        <f t="shared" si="18"/>
        <v>8</v>
      </c>
      <c r="L82" s="545"/>
      <c r="M82" s="533">
        <f t="shared" si="19"/>
        <v>7037000</v>
      </c>
      <c r="O82" s="534">
        <f t="shared" si="20"/>
        <v>0.88227918640289771</v>
      </c>
      <c r="P82" s="532">
        <v>88</v>
      </c>
      <c r="T82" s="536" t="e">
        <f t="shared" si="21"/>
        <v>#REF!</v>
      </c>
      <c r="U82" s="545"/>
    </row>
    <row r="83" spans="1:21">
      <c r="A83" s="552">
        <f t="shared" si="16"/>
        <v>91000</v>
      </c>
      <c r="C83" s="532">
        <v>1</v>
      </c>
      <c r="D83" s="545"/>
      <c r="E83" s="533">
        <f t="shared" si="22"/>
        <v>246</v>
      </c>
      <c r="F83" s="545"/>
      <c r="G83" s="533">
        <f t="shared" si="17"/>
        <v>91000</v>
      </c>
      <c r="H83" s="545"/>
      <c r="I83" s="533">
        <f t="shared" si="23"/>
        <v>6424000</v>
      </c>
      <c r="J83" s="545"/>
      <c r="K83" s="533">
        <f t="shared" si="18"/>
        <v>7</v>
      </c>
      <c r="L83" s="545"/>
      <c r="M83" s="533">
        <f t="shared" si="19"/>
        <v>7061000</v>
      </c>
      <c r="O83" s="534">
        <f t="shared" si="20"/>
        <v>0.89495681248258563</v>
      </c>
      <c r="P83" s="532">
        <v>91</v>
      </c>
      <c r="T83" s="536" t="e">
        <f t="shared" si="21"/>
        <v>#REF!</v>
      </c>
      <c r="U83" s="545"/>
    </row>
    <row r="84" spans="1:21">
      <c r="A84" s="552">
        <f t="shared" si="16"/>
        <v>98000</v>
      </c>
      <c r="C84" s="532">
        <v>1</v>
      </c>
      <c r="D84" s="545"/>
      <c r="E84" s="533">
        <f t="shared" si="22"/>
        <v>247</v>
      </c>
      <c r="F84" s="545"/>
      <c r="G84" s="533">
        <f t="shared" si="17"/>
        <v>98000</v>
      </c>
      <c r="H84" s="545"/>
      <c r="I84" s="533">
        <f t="shared" si="23"/>
        <v>6522000</v>
      </c>
      <c r="J84" s="545"/>
      <c r="K84" s="533">
        <f t="shared" si="18"/>
        <v>6</v>
      </c>
      <c r="L84" s="545"/>
      <c r="M84" s="533">
        <f t="shared" si="19"/>
        <v>7110000</v>
      </c>
      <c r="O84" s="534">
        <f t="shared" si="20"/>
        <v>0.90860964056840343</v>
      </c>
      <c r="P84" s="532">
        <v>98</v>
      </c>
      <c r="T84" s="536" t="e">
        <f t="shared" si="21"/>
        <v>#REF!</v>
      </c>
      <c r="U84" s="545"/>
    </row>
    <row r="85" spans="1:21">
      <c r="A85" s="552">
        <f t="shared" si="16"/>
        <v>102000</v>
      </c>
      <c r="C85" s="532">
        <v>1</v>
      </c>
      <c r="D85" s="545"/>
      <c r="E85" s="533">
        <f t="shared" si="22"/>
        <v>248</v>
      </c>
      <c r="F85" s="545"/>
      <c r="G85" s="533">
        <f t="shared" si="17"/>
        <v>102000</v>
      </c>
      <c r="H85" s="545"/>
      <c r="I85" s="533">
        <f t="shared" si="23"/>
        <v>6624000</v>
      </c>
      <c r="J85" s="545"/>
      <c r="K85" s="533">
        <f t="shared" si="18"/>
        <v>5</v>
      </c>
      <c r="L85" s="545"/>
      <c r="M85" s="533">
        <f t="shared" si="19"/>
        <v>7134000</v>
      </c>
      <c r="O85" s="534">
        <f t="shared" si="20"/>
        <v>0.92281972694343828</v>
      </c>
      <c r="P85" s="532">
        <v>102</v>
      </c>
      <c r="T85" s="536" t="e">
        <f t="shared" si="21"/>
        <v>#REF!</v>
      </c>
      <c r="U85" s="545"/>
    </row>
    <row r="86" spans="1:21">
      <c r="A86" s="552">
        <f t="shared" si="16"/>
        <v>103000</v>
      </c>
      <c r="C86" s="532">
        <v>1</v>
      </c>
      <c r="E86" s="533">
        <f t="shared" si="22"/>
        <v>249</v>
      </c>
      <c r="G86" s="533">
        <f t="shared" si="17"/>
        <v>103000</v>
      </c>
      <c r="I86" s="533">
        <f t="shared" si="23"/>
        <v>6727000</v>
      </c>
      <c r="K86" s="533">
        <f t="shared" si="18"/>
        <v>4</v>
      </c>
      <c r="M86" s="533">
        <f t="shared" si="19"/>
        <v>7139000</v>
      </c>
      <c r="O86" s="534">
        <f t="shared" si="20"/>
        <v>0.93716912789077733</v>
      </c>
      <c r="P86" s="532">
        <v>103</v>
      </c>
      <c r="T86" s="536" t="e">
        <f t="shared" si="21"/>
        <v>#REF!</v>
      </c>
    </row>
    <row r="87" spans="1:21">
      <c r="A87" s="552">
        <f t="shared" si="16"/>
        <v>108000</v>
      </c>
      <c r="C87" s="532">
        <v>1</v>
      </c>
      <c r="E87" s="533">
        <f t="shared" si="22"/>
        <v>250</v>
      </c>
      <c r="G87" s="533">
        <f t="shared" si="17"/>
        <v>108000</v>
      </c>
      <c r="I87" s="533">
        <f t="shared" si="23"/>
        <v>6835000</v>
      </c>
      <c r="K87" s="533">
        <f t="shared" si="18"/>
        <v>3</v>
      </c>
      <c r="M87" s="533">
        <f t="shared" si="19"/>
        <v>7159000</v>
      </c>
      <c r="O87" s="534">
        <f t="shared" si="20"/>
        <v>0.95221510169963774</v>
      </c>
      <c r="P87" s="532">
        <v>108</v>
      </c>
      <c r="T87" s="536" t="e">
        <f t="shared" si="21"/>
        <v>#REF!</v>
      </c>
    </row>
    <row r="88" spans="1:21">
      <c r="A88" s="552">
        <f t="shared" si="16"/>
        <v>110000</v>
      </c>
      <c r="C88" s="532">
        <v>1</v>
      </c>
      <c r="E88" s="533">
        <f t="shared" si="22"/>
        <v>251</v>
      </c>
      <c r="G88" s="533">
        <f t="shared" si="17"/>
        <v>110000</v>
      </c>
      <c r="I88" s="533">
        <f t="shared" si="23"/>
        <v>6945000</v>
      </c>
      <c r="K88" s="533">
        <f t="shared" si="18"/>
        <v>2</v>
      </c>
      <c r="M88" s="533">
        <f t="shared" si="19"/>
        <v>7165000</v>
      </c>
      <c r="O88" s="534">
        <f t="shared" si="20"/>
        <v>0.96753970465310668</v>
      </c>
      <c r="P88" s="532">
        <v>110</v>
      </c>
      <c r="T88" s="536" t="e">
        <f t="shared" si="21"/>
        <v>#REF!</v>
      </c>
    </row>
    <row r="89" spans="1:21">
      <c r="A89" s="552">
        <f t="shared" si="16"/>
        <v>112000</v>
      </c>
      <c r="C89" s="532">
        <v>1</v>
      </c>
      <c r="E89" s="533">
        <f t="shared" si="22"/>
        <v>252</v>
      </c>
      <c r="G89" s="533">
        <f t="shared" si="17"/>
        <v>112000</v>
      </c>
      <c r="I89" s="533">
        <f t="shared" si="23"/>
        <v>7057000</v>
      </c>
      <c r="K89" s="533">
        <f t="shared" si="18"/>
        <v>1</v>
      </c>
      <c r="M89" s="533">
        <f t="shared" si="19"/>
        <v>7169000</v>
      </c>
      <c r="O89" s="534">
        <f t="shared" si="20"/>
        <v>0.98314293675118414</v>
      </c>
      <c r="P89" s="532">
        <v>112</v>
      </c>
      <c r="T89" s="536" t="e">
        <f t="shared" si="21"/>
        <v>#REF!</v>
      </c>
    </row>
    <row r="90" spans="1:21">
      <c r="A90" s="552">
        <f t="shared" si="16"/>
        <v>121000</v>
      </c>
      <c r="C90" s="532">
        <v>1</v>
      </c>
      <c r="E90" s="533">
        <f t="shared" si="22"/>
        <v>253</v>
      </c>
      <c r="G90" s="533">
        <f t="shared" si="17"/>
        <v>121000</v>
      </c>
      <c r="I90" s="533">
        <f t="shared" si="23"/>
        <v>7178000</v>
      </c>
      <c r="K90" s="533">
        <f t="shared" si="18"/>
        <v>0</v>
      </c>
      <c r="M90" s="533">
        <f t="shared" si="19"/>
        <v>7178000</v>
      </c>
      <c r="O90" s="534">
        <f t="shared" si="20"/>
        <v>1</v>
      </c>
      <c r="P90" s="532">
        <v>121</v>
      </c>
      <c r="T90" s="536" t="e">
        <f t="shared" si="21"/>
        <v>#REF!</v>
      </c>
    </row>
    <row r="91" spans="1:21">
      <c r="A91" s="552"/>
    </row>
    <row r="92" spans="1:21">
      <c r="A92" s="552"/>
      <c r="T92" s="539" t="e">
        <f>SUM(T10:T90)</f>
        <v>#REF!</v>
      </c>
    </row>
    <row r="93" spans="1:21" hidden="1">
      <c r="A93" s="552"/>
      <c r="T93" s="513">
        <v>19304</v>
      </c>
    </row>
    <row r="94" spans="1:21" hidden="1">
      <c r="A94" s="552"/>
      <c r="T94" s="540" t="e">
        <f>T92-T93</f>
        <v>#REF!</v>
      </c>
    </row>
    <row r="95" spans="1:21" hidden="1">
      <c r="A95" s="552"/>
      <c r="T95" s="555" t="e">
        <f>T94/T92</f>
        <v>#REF!</v>
      </c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37"/>
  <sheetViews>
    <sheetView showGridLines="0" topLeftCell="J22" workbookViewId="0">
      <selection activeCell="U10" sqref="U1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16.375" style="513" bestFit="1" customWidth="1"/>
    <col min="19" max="19" width="5.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e">
        <f>#REF!</f>
        <v>#REF!</v>
      </c>
      <c r="S2" s="518"/>
      <c r="T2" s="519" t="e">
        <f>#REF!</f>
        <v>#REF!</v>
      </c>
    </row>
    <row r="3" spans="1:20">
      <c r="A3" s="513" t="s">
        <v>298</v>
      </c>
      <c r="M3" s="520" t="s">
        <v>302</v>
      </c>
      <c r="R3" s="518" t="e">
        <f>#REF!</f>
        <v>#REF!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  <c r="R4" s="518" t="e">
        <f>#REF!</f>
        <v>#REF!</v>
      </c>
      <c r="S4" s="518"/>
      <c r="T4" s="519" t="e">
        <f>#REF!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  <c r="R5" s="518" t="e">
        <f>#REF!</f>
        <v>#REF!</v>
      </c>
      <c r="S5" s="518"/>
      <c r="T5" s="519" t="e">
        <f>#REF!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  <c r="R6" s="518" t="e">
        <f>#REF!</f>
        <v>#REF!</v>
      </c>
      <c r="S6" s="518"/>
      <c r="T6" s="519" t="e">
        <f>#REF!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  <c r="T9" s="530"/>
    </row>
    <row r="10" spans="1:20">
      <c r="A10" s="531">
        <f t="shared" ref="A10:A39" si="0">P10*1000</f>
        <v>0</v>
      </c>
      <c r="B10" s="515"/>
      <c r="C10" s="532">
        <v>0</v>
      </c>
      <c r="D10" s="533"/>
      <c r="E10" s="533">
        <f>C10</f>
        <v>0</v>
      </c>
      <c r="F10" s="533"/>
      <c r="G10" s="533">
        <f t="shared" ref="G10:G39" si="1">A10*C10</f>
        <v>0</v>
      </c>
      <c r="H10" s="533"/>
      <c r="I10" s="533">
        <f>G10</f>
        <v>0</v>
      </c>
      <c r="J10" s="533"/>
      <c r="K10" s="533">
        <f t="shared" ref="K10:K39" si="2">$E$39-E10</f>
        <v>37</v>
      </c>
      <c r="L10" s="533"/>
      <c r="M10" s="533">
        <f t="shared" ref="M10:M39" si="3">(A10*K10)+I10</f>
        <v>0</v>
      </c>
      <c r="N10" s="578"/>
      <c r="O10" s="534">
        <f t="shared" ref="O10:O39" si="4">I10/$I$39</f>
        <v>0</v>
      </c>
      <c r="P10" s="532">
        <v>0</v>
      </c>
      <c r="Q10" s="561"/>
      <c r="R10" s="535"/>
      <c r="T10" s="536" t="e">
        <f t="shared" ref="T10:T39" si="5">IF(A10&lt;13000,C10*$T$2,IF(A10=13000,C10*$T$2,IF(AND(A10&lt;26000,A10&gt;13000),(C10*$T$2)+((A10-13000)/1000*$T$3*C10),IF(AND(A10&gt;25000,A10&lt;51000),(C10*$T$2)+(12*$T$3*C10)+((A10-25000)/1000*$T$4*C10),IF(AND(A10&lt;51000,A10&gt;25000),(C10*$T$2)+(12*$T$3*C10)+(25*$T$4*C10)+((A10-25000)/1000*$T$5*C10),IF(AND(A10&lt;101000,A10&gt;50000),(C10*$T$2)+(12*$T$3*C10)+(25*$T$4*C10)+((A10-50000)/1000*$T$5*C10),IF(A10&gt;100000,(C10*$T$2)+(12*$T$3*C10)+(25*$T$4*C10)+(50*$T$5*C10)+((A10-100000)/1000*$T$6*C10))))))))</f>
        <v>#REF!</v>
      </c>
    </row>
    <row r="11" spans="1:20">
      <c r="A11" s="531">
        <f t="shared" si="0"/>
        <v>1000</v>
      </c>
      <c r="B11" s="515"/>
      <c r="C11" s="532">
        <v>1</v>
      </c>
      <c r="D11" s="533"/>
      <c r="E11" s="533">
        <f t="shared" ref="E11:E39" si="6">E10+C11</f>
        <v>1</v>
      </c>
      <c r="F11" s="533"/>
      <c r="G11" s="533">
        <f t="shared" si="1"/>
        <v>1000</v>
      </c>
      <c r="H11" s="533"/>
      <c r="I11" s="533">
        <f>G11</f>
        <v>1000</v>
      </c>
      <c r="J11" s="533"/>
      <c r="K11" s="533">
        <f t="shared" si="2"/>
        <v>36</v>
      </c>
      <c r="L11" s="533"/>
      <c r="M11" s="533">
        <f t="shared" si="3"/>
        <v>37000</v>
      </c>
      <c r="N11" s="578"/>
      <c r="O11" s="534">
        <f t="shared" si="4"/>
        <v>5.1867219917012448E-4</v>
      </c>
      <c r="P11" s="532">
        <v>1</v>
      </c>
      <c r="Q11" s="561"/>
      <c r="R11" s="535"/>
      <c r="T11" s="536" t="e">
        <f t="shared" si="5"/>
        <v>#REF!</v>
      </c>
    </row>
    <row r="12" spans="1:20">
      <c r="A12" s="531">
        <f t="shared" si="0"/>
        <v>2000</v>
      </c>
      <c r="B12" s="515"/>
      <c r="C12" s="532">
        <v>2</v>
      </c>
      <c r="D12" s="533"/>
      <c r="E12" s="533">
        <f t="shared" si="6"/>
        <v>3</v>
      </c>
      <c r="F12" s="533"/>
      <c r="G12" s="533">
        <f t="shared" si="1"/>
        <v>4000</v>
      </c>
      <c r="H12" s="533"/>
      <c r="I12" s="533">
        <f>G12+I10</f>
        <v>4000</v>
      </c>
      <c r="J12" s="533"/>
      <c r="K12" s="533">
        <f t="shared" si="2"/>
        <v>34</v>
      </c>
      <c r="L12" s="533"/>
      <c r="M12" s="533">
        <f t="shared" si="3"/>
        <v>72000</v>
      </c>
      <c r="O12" s="534">
        <f t="shared" si="4"/>
        <v>2.0746887966804979E-3</v>
      </c>
      <c r="P12" s="532">
        <v>2</v>
      </c>
      <c r="Q12" s="561"/>
      <c r="T12" s="536" t="e">
        <f t="shared" si="5"/>
        <v>#REF!</v>
      </c>
    </row>
    <row r="13" spans="1:20">
      <c r="A13" s="531">
        <f t="shared" si="0"/>
        <v>4000</v>
      </c>
      <c r="B13" s="515"/>
      <c r="C13" s="532">
        <v>4</v>
      </c>
      <c r="D13" s="533"/>
      <c r="E13" s="533">
        <f t="shared" si="6"/>
        <v>7</v>
      </c>
      <c r="F13" s="533"/>
      <c r="G13" s="533">
        <f t="shared" si="1"/>
        <v>16000</v>
      </c>
      <c r="H13" s="533"/>
      <c r="I13" s="533">
        <f t="shared" ref="I13:I39" si="7">G13+I12</f>
        <v>20000</v>
      </c>
      <c r="J13" s="533"/>
      <c r="K13" s="533">
        <f t="shared" si="2"/>
        <v>30</v>
      </c>
      <c r="L13" s="533"/>
      <c r="M13" s="533">
        <f t="shared" si="3"/>
        <v>140000</v>
      </c>
      <c r="N13" s="578"/>
      <c r="O13" s="534">
        <f t="shared" si="4"/>
        <v>1.0373443983402489E-2</v>
      </c>
      <c r="P13" s="532">
        <v>4</v>
      </c>
      <c r="Q13" s="561"/>
      <c r="T13" s="536" t="e">
        <f t="shared" si="5"/>
        <v>#REF!</v>
      </c>
    </row>
    <row r="14" spans="1:20">
      <c r="A14" s="531">
        <f t="shared" si="0"/>
        <v>5000</v>
      </c>
      <c r="B14" s="515"/>
      <c r="C14" s="532">
        <v>1</v>
      </c>
      <c r="D14" s="533"/>
      <c r="E14" s="533">
        <f t="shared" si="6"/>
        <v>8</v>
      </c>
      <c r="F14" s="533"/>
      <c r="G14" s="533">
        <f t="shared" si="1"/>
        <v>5000</v>
      </c>
      <c r="H14" s="533"/>
      <c r="I14" s="533">
        <f t="shared" si="7"/>
        <v>25000</v>
      </c>
      <c r="J14" s="533"/>
      <c r="K14" s="533">
        <f t="shared" si="2"/>
        <v>29</v>
      </c>
      <c r="L14" s="533"/>
      <c r="M14" s="533">
        <f t="shared" si="3"/>
        <v>170000</v>
      </c>
      <c r="N14" s="578"/>
      <c r="O14" s="534">
        <f t="shared" si="4"/>
        <v>1.2966804979253113E-2</v>
      </c>
      <c r="P14" s="532">
        <v>5</v>
      </c>
      <c r="Q14" s="561"/>
      <c r="T14" s="536" t="e">
        <f t="shared" si="5"/>
        <v>#REF!</v>
      </c>
    </row>
    <row r="15" spans="1:20">
      <c r="A15" s="531">
        <f t="shared" si="0"/>
        <v>9000</v>
      </c>
      <c r="B15" s="515"/>
      <c r="C15" s="532">
        <v>1</v>
      </c>
      <c r="D15" s="533"/>
      <c r="E15" s="533">
        <f t="shared" si="6"/>
        <v>9</v>
      </c>
      <c r="F15" s="533"/>
      <c r="G15" s="533">
        <f t="shared" si="1"/>
        <v>9000</v>
      </c>
      <c r="H15" s="533"/>
      <c r="I15" s="533">
        <f t="shared" si="7"/>
        <v>34000</v>
      </c>
      <c r="J15" s="533"/>
      <c r="K15" s="533">
        <f t="shared" si="2"/>
        <v>28</v>
      </c>
      <c r="L15" s="533"/>
      <c r="M15" s="533">
        <f t="shared" si="3"/>
        <v>286000</v>
      </c>
      <c r="N15" s="578"/>
      <c r="O15" s="534">
        <f t="shared" si="4"/>
        <v>1.7634854771784232E-2</v>
      </c>
      <c r="P15" s="532">
        <v>9</v>
      </c>
      <c r="Q15" s="561"/>
      <c r="T15" s="536" t="e">
        <f t="shared" si="5"/>
        <v>#REF!</v>
      </c>
    </row>
    <row r="16" spans="1:20">
      <c r="A16" s="531">
        <f t="shared" si="0"/>
        <v>11000</v>
      </c>
      <c r="B16" s="515"/>
      <c r="C16" s="532">
        <v>1</v>
      </c>
      <c r="D16" s="533"/>
      <c r="E16" s="533">
        <f t="shared" si="6"/>
        <v>10</v>
      </c>
      <c r="F16" s="533"/>
      <c r="G16" s="533">
        <f t="shared" si="1"/>
        <v>11000</v>
      </c>
      <c r="H16" s="533"/>
      <c r="I16" s="533">
        <f t="shared" si="7"/>
        <v>45000</v>
      </c>
      <c r="J16" s="533"/>
      <c r="K16" s="533">
        <f t="shared" si="2"/>
        <v>27</v>
      </c>
      <c r="L16" s="533"/>
      <c r="M16" s="533">
        <f t="shared" si="3"/>
        <v>342000</v>
      </c>
      <c r="N16" s="578"/>
      <c r="O16" s="534">
        <f t="shared" si="4"/>
        <v>2.3340248962655602E-2</v>
      </c>
      <c r="P16" s="532">
        <v>11</v>
      </c>
      <c r="Q16" s="561"/>
      <c r="T16" s="536" t="e">
        <f t="shared" si="5"/>
        <v>#REF!</v>
      </c>
    </row>
    <row r="17" spans="1:20">
      <c r="A17" s="531">
        <f t="shared" si="0"/>
        <v>12000</v>
      </c>
      <c r="B17" s="515"/>
      <c r="C17" s="532">
        <v>1</v>
      </c>
      <c r="D17" s="533"/>
      <c r="E17" s="533">
        <f t="shared" si="6"/>
        <v>11</v>
      </c>
      <c r="F17" s="533"/>
      <c r="G17" s="533">
        <f t="shared" si="1"/>
        <v>12000</v>
      </c>
      <c r="H17" s="533"/>
      <c r="I17" s="533">
        <f t="shared" si="7"/>
        <v>57000</v>
      </c>
      <c r="J17" s="533"/>
      <c r="K17" s="533">
        <f t="shared" si="2"/>
        <v>26</v>
      </c>
      <c r="L17" s="533"/>
      <c r="M17" s="533">
        <f t="shared" si="3"/>
        <v>369000</v>
      </c>
      <c r="N17" s="578"/>
      <c r="O17" s="534">
        <f t="shared" si="4"/>
        <v>2.9564315352697094E-2</v>
      </c>
      <c r="P17" s="532">
        <v>12</v>
      </c>
      <c r="Q17" s="561"/>
      <c r="T17" s="536" t="e">
        <f t="shared" si="5"/>
        <v>#REF!</v>
      </c>
    </row>
    <row r="18" spans="1:20">
      <c r="A18" s="531">
        <f t="shared" si="0"/>
        <v>15000</v>
      </c>
      <c r="B18" s="515"/>
      <c r="C18" s="532">
        <v>1</v>
      </c>
      <c r="D18" s="533"/>
      <c r="E18" s="533">
        <f t="shared" si="6"/>
        <v>12</v>
      </c>
      <c r="F18" s="533"/>
      <c r="G18" s="533">
        <f t="shared" si="1"/>
        <v>15000</v>
      </c>
      <c r="H18" s="533"/>
      <c r="I18" s="533">
        <f t="shared" si="7"/>
        <v>72000</v>
      </c>
      <c r="J18" s="533"/>
      <c r="K18" s="533">
        <f t="shared" si="2"/>
        <v>25</v>
      </c>
      <c r="L18" s="533"/>
      <c r="M18" s="533">
        <f t="shared" si="3"/>
        <v>447000</v>
      </c>
      <c r="N18" s="578"/>
      <c r="O18" s="534">
        <f t="shared" si="4"/>
        <v>3.7344398340248962E-2</v>
      </c>
      <c r="P18" s="532">
        <v>15</v>
      </c>
      <c r="Q18" s="561"/>
      <c r="T18" s="536" t="e">
        <f t="shared" si="5"/>
        <v>#REF!</v>
      </c>
    </row>
    <row r="19" spans="1:20">
      <c r="A19" s="531">
        <f t="shared" si="0"/>
        <v>16000</v>
      </c>
      <c r="B19" s="515"/>
      <c r="C19" s="532">
        <v>1</v>
      </c>
      <c r="D19" s="533"/>
      <c r="E19" s="533">
        <f t="shared" si="6"/>
        <v>13</v>
      </c>
      <c r="F19" s="533"/>
      <c r="G19" s="533">
        <f t="shared" si="1"/>
        <v>16000</v>
      </c>
      <c r="H19" s="533"/>
      <c r="I19" s="533">
        <f t="shared" si="7"/>
        <v>88000</v>
      </c>
      <c r="J19" s="533"/>
      <c r="K19" s="533">
        <f t="shared" si="2"/>
        <v>24</v>
      </c>
      <c r="L19" s="533"/>
      <c r="M19" s="533">
        <f t="shared" si="3"/>
        <v>472000</v>
      </c>
      <c r="N19" s="578"/>
      <c r="O19" s="534">
        <f t="shared" si="4"/>
        <v>4.5643153526970952E-2</v>
      </c>
      <c r="P19" s="532">
        <v>16</v>
      </c>
      <c r="Q19" s="561"/>
      <c r="T19" s="536" t="e">
        <f t="shared" si="5"/>
        <v>#REF!</v>
      </c>
    </row>
    <row r="20" spans="1:20">
      <c r="A20" s="531">
        <f t="shared" si="0"/>
        <v>17000</v>
      </c>
      <c r="B20" s="515"/>
      <c r="C20" s="532">
        <v>1</v>
      </c>
      <c r="D20" s="533"/>
      <c r="E20" s="533">
        <f t="shared" si="6"/>
        <v>14</v>
      </c>
      <c r="F20" s="533"/>
      <c r="G20" s="533">
        <f t="shared" si="1"/>
        <v>17000</v>
      </c>
      <c r="H20" s="533"/>
      <c r="I20" s="533">
        <f t="shared" si="7"/>
        <v>105000</v>
      </c>
      <c r="J20" s="533"/>
      <c r="K20" s="533">
        <f t="shared" si="2"/>
        <v>23</v>
      </c>
      <c r="L20" s="533"/>
      <c r="M20" s="533">
        <f t="shared" si="3"/>
        <v>496000</v>
      </c>
      <c r="N20" s="578"/>
      <c r="O20" s="534">
        <f t="shared" si="4"/>
        <v>5.4460580912863071E-2</v>
      </c>
      <c r="P20" s="532">
        <v>17</v>
      </c>
      <c r="Q20" s="561"/>
      <c r="T20" s="536" t="e">
        <f t="shared" si="5"/>
        <v>#REF!</v>
      </c>
    </row>
    <row r="21" spans="1:20">
      <c r="A21" s="531">
        <f t="shared" si="0"/>
        <v>42000</v>
      </c>
      <c r="B21" s="515"/>
      <c r="C21" s="532">
        <v>2</v>
      </c>
      <c r="D21" s="533"/>
      <c r="E21" s="533">
        <f t="shared" si="6"/>
        <v>16</v>
      </c>
      <c r="F21" s="533"/>
      <c r="G21" s="533">
        <f t="shared" si="1"/>
        <v>84000</v>
      </c>
      <c r="H21" s="533"/>
      <c r="I21" s="533">
        <f t="shared" si="7"/>
        <v>189000</v>
      </c>
      <c r="J21" s="533"/>
      <c r="K21" s="533">
        <f t="shared" si="2"/>
        <v>21</v>
      </c>
      <c r="L21" s="533"/>
      <c r="M21" s="533">
        <f t="shared" si="3"/>
        <v>1071000</v>
      </c>
      <c r="N21" s="578"/>
      <c r="O21" s="534">
        <f t="shared" si="4"/>
        <v>9.8029045643153526E-2</v>
      </c>
      <c r="P21" s="532">
        <v>42</v>
      </c>
      <c r="Q21" s="561"/>
      <c r="T21" s="536" t="e">
        <f t="shared" si="5"/>
        <v>#REF!</v>
      </c>
    </row>
    <row r="22" spans="1:20">
      <c r="A22" s="552">
        <f t="shared" si="0"/>
        <v>45000</v>
      </c>
      <c r="B22" s="515"/>
      <c r="C22" s="532">
        <v>1</v>
      </c>
      <c r="D22" s="533"/>
      <c r="E22" s="533">
        <f t="shared" si="6"/>
        <v>17</v>
      </c>
      <c r="F22" s="533"/>
      <c r="G22" s="533">
        <f t="shared" si="1"/>
        <v>45000</v>
      </c>
      <c r="H22" s="533"/>
      <c r="I22" s="533">
        <f t="shared" si="7"/>
        <v>234000</v>
      </c>
      <c r="J22" s="533"/>
      <c r="K22" s="533">
        <f t="shared" si="2"/>
        <v>20</v>
      </c>
      <c r="L22" s="533"/>
      <c r="M22" s="533">
        <f t="shared" si="3"/>
        <v>1134000</v>
      </c>
      <c r="N22" s="578"/>
      <c r="O22" s="534">
        <f t="shared" si="4"/>
        <v>0.12136929460580913</v>
      </c>
      <c r="P22" s="532">
        <v>45</v>
      </c>
      <c r="Q22" s="561"/>
      <c r="T22" s="536" t="e">
        <f t="shared" si="5"/>
        <v>#REF!</v>
      </c>
    </row>
    <row r="23" spans="1:20">
      <c r="A23" s="552">
        <f t="shared" si="0"/>
        <v>52000</v>
      </c>
      <c r="B23" s="515"/>
      <c r="C23" s="532">
        <v>1</v>
      </c>
      <c r="D23" s="533"/>
      <c r="E23" s="533">
        <f t="shared" si="6"/>
        <v>18</v>
      </c>
      <c r="F23" s="533"/>
      <c r="G23" s="533">
        <f t="shared" si="1"/>
        <v>52000</v>
      </c>
      <c r="H23" s="533"/>
      <c r="I23" s="533">
        <f t="shared" si="7"/>
        <v>286000</v>
      </c>
      <c r="J23" s="533"/>
      <c r="K23" s="533">
        <f t="shared" si="2"/>
        <v>19</v>
      </c>
      <c r="L23" s="533"/>
      <c r="M23" s="533">
        <f t="shared" si="3"/>
        <v>1274000</v>
      </c>
      <c r="N23" s="578"/>
      <c r="O23" s="534">
        <f t="shared" si="4"/>
        <v>0.1483402489626556</v>
      </c>
      <c r="P23" s="532">
        <v>52</v>
      </c>
      <c r="Q23" s="561"/>
      <c r="T23" s="536" t="e">
        <f t="shared" si="5"/>
        <v>#REF!</v>
      </c>
    </row>
    <row r="24" spans="1:20">
      <c r="A24" s="552">
        <f t="shared" si="0"/>
        <v>57000</v>
      </c>
      <c r="B24" s="515"/>
      <c r="C24" s="532">
        <v>1</v>
      </c>
      <c r="D24" s="533"/>
      <c r="E24" s="533">
        <f t="shared" si="6"/>
        <v>19</v>
      </c>
      <c r="F24" s="533"/>
      <c r="G24" s="533">
        <f t="shared" si="1"/>
        <v>57000</v>
      </c>
      <c r="H24" s="533"/>
      <c r="I24" s="533">
        <f t="shared" si="7"/>
        <v>343000</v>
      </c>
      <c r="J24" s="533"/>
      <c r="K24" s="533">
        <f t="shared" si="2"/>
        <v>18</v>
      </c>
      <c r="L24" s="533"/>
      <c r="M24" s="533">
        <f t="shared" si="3"/>
        <v>1369000</v>
      </c>
      <c r="N24" s="515"/>
      <c r="O24" s="534">
        <f t="shared" si="4"/>
        <v>0.1779045643153527</v>
      </c>
      <c r="P24" s="532">
        <v>57</v>
      </c>
      <c r="T24" s="536" t="e">
        <f t="shared" si="5"/>
        <v>#REF!</v>
      </c>
    </row>
    <row r="25" spans="1:20">
      <c r="A25" s="552">
        <f t="shared" si="0"/>
        <v>65000</v>
      </c>
      <c r="B25" s="579"/>
      <c r="C25" s="532">
        <v>1</v>
      </c>
      <c r="D25" s="533"/>
      <c r="E25" s="533">
        <f t="shared" si="6"/>
        <v>20</v>
      </c>
      <c r="F25" s="533"/>
      <c r="G25" s="533">
        <f t="shared" si="1"/>
        <v>65000</v>
      </c>
      <c r="H25" s="533"/>
      <c r="I25" s="533">
        <f t="shared" si="7"/>
        <v>408000</v>
      </c>
      <c r="J25" s="533"/>
      <c r="K25" s="533">
        <f t="shared" si="2"/>
        <v>17</v>
      </c>
      <c r="L25" s="533"/>
      <c r="M25" s="533">
        <f t="shared" si="3"/>
        <v>1513000</v>
      </c>
      <c r="N25" s="515"/>
      <c r="O25" s="534">
        <f t="shared" si="4"/>
        <v>0.21161825726141079</v>
      </c>
      <c r="P25" s="532">
        <v>65</v>
      </c>
      <c r="T25" s="536" t="e">
        <f t="shared" si="5"/>
        <v>#REF!</v>
      </c>
    </row>
    <row r="26" spans="1:20">
      <c r="A26" s="552">
        <f t="shared" si="0"/>
        <v>66000</v>
      </c>
      <c r="B26" s="579"/>
      <c r="C26" s="532">
        <v>1</v>
      </c>
      <c r="D26" s="533"/>
      <c r="E26" s="533">
        <f t="shared" si="6"/>
        <v>21</v>
      </c>
      <c r="F26" s="533"/>
      <c r="G26" s="533">
        <f t="shared" si="1"/>
        <v>66000</v>
      </c>
      <c r="H26" s="533"/>
      <c r="I26" s="533">
        <f t="shared" si="7"/>
        <v>474000</v>
      </c>
      <c r="J26" s="533"/>
      <c r="K26" s="533">
        <f t="shared" si="2"/>
        <v>16</v>
      </c>
      <c r="L26" s="533"/>
      <c r="M26" s="533">
        <f t="shared" si="3"/>
        <v>1530000</v>
      </c>
      <c r="N26" s="515"/>
      <c r="O26" s="534">
        <f t="shared" si="4"/>
        <v>0.24585062240663899</v>
      </c>
      <c r="P26" s="532">
        <v>66</v>
      </c>
      <c r="T26" s="536" t="e">
        <f t="shared" si="5"/>
        <v>#REF!</v>
      </c>
    </row>
    <row r="27" spans="1:20">
      <c r="A27" s="552">
        <f t="shared" si="0"/>
        <v>68000</v>
      </c>
      <c r="B27" s="515"/>
      <c r="C27" s="532">
        <v>2</v>
      </c>
      <c r="D27" s="533"/>
      <c r="E27" s="533">
        <f t="shared" si="6"/>
        <v>23</v>
      </c>
      <c r="F27" s="533"/>
      <c r="G27" s="533">
        <f t="shared" si="1"/>
        <v>136000</v>
      </c>
      <c r="H27" s="533"/>
      <c r="I27" s="533">
        <f t="shared" si="7"/>
        <v>610000</v>
      </c>
      <c r="J27" s="533"/>
      <c r="K27" s="533">
        <f t="shared" si="2"/>
        <v>14</v>
      </c>
      <c r="L27" s="533"/>
      <c r="M27" s="533">
        <f t="shared" si="3"/>
        <v>1562000</v>
      </c>
      <c r="N27" s="515"/>
      <c r="O27" s="534">
        <f t="shared" si="4"/>
        <v>0.31639004149377592</v>
      </c>
      <c r="P27" s="532">
        <v>68</v>
      </c>
      <c r="T27" s="536" t="e">
        <f t="shared" si="5"/>
        <v>#REF!</v>
      </c>
    </row>
    <row r="28" spans="1:20">
      <c r="A28" s="552">
        <f t="shared" si="0"/>
        <v>69000</v>
      </c>
      <c r="B28" s="515"/>
      <c r="C28" s="532">
        <v>1</v>
      </c>
      <c r="D28" s="533"/>
      <c r="E28" s="533">
        <f t="shared" si="6"/>
        <v>24</v>
      </c>
      <c r="F28" s="533"/>
      <c r="G28" s="533">
        <f t="shared" si="1"/>
        <v>69000</v>
      </c>
      <c r="H28" s="533"/>
      <c r="I28" s="533">
        <f t="shared" si="7"/>
        <v>679000</v>
      </c>
      <c r="J28" s="533"/>
      <c r="K28" s="533">
        <f t="shared" si="2"/>
        <v>13</v>
      </c>
      <c r="L28" s="533"/>
      <c r="M28" s="533">
        <f t="shared" si="3"/>
        <v>1576000</v>
      </c>
      <c r="N28" s="515"/>
      <c r="O28" s="534">
        <f t="shared" si="4"/>
        <v>0.35217842323651455</v>
      </c>
      <c r="P28" s="532">
        <v>69</v>
      </c>
      <c r="T28" s="536" t="e">
        <f t="shared" si="5"/>
        <v>#REF!</v>
      </c>
    </row>
    <row r="29" spans="1:20">
      <c r="A29" s="552">
        <f t="shared" si="0"/>
        <v>70000</v>
      </c>
      <c r="B29" s="544"/>
      <c r="C29" s="532">
        <v>1</v>
      </c>
      <c r="D29" s="545"/>
      <c r="E29" s="533">
        <f t="shared" si="6"/>
        <v>25</v>
      </c>
      <c r="F29" s="533"/>
      <c r="G29" s="533">
        <f t="shared" si="1"/>
        <v>70000</v>
      </c>
      <c r="H29" s="533"/>
      <c r="I29" s="533">
        <f t="shared" si="7"/>
        <v>749000</v>
      </c>
      <c r="J29" s="533"/>
      <c r="K29" s="533">
        <f t="shared" si="2"/>
        <v>12</v>
      </c>
      <c r="L29" s="533"/>
      <c r="M29" s="533">
        <f t="shared" si="3"/>
        <v>1589000</v>
      </c>
      <c r="N29" s="515"/>
      <c r="O29" s="534">
        <f t="shared" si="4"/>
        <v>0.38848547717842324</v>
      </c>
      <c r="P29" s="532">
        <v>70</v>
      </c>
      <c r="T29" s="536" t="e">
        <f t="shared" si="5"/>
        <v>#REF!</v>
      </c>
    </row>
    <row r="30" spans="1:20">
      <c r="A30" s="552">
        <f t="shared" si="0"/>
        <v>72000</v>
      </c>
      <c r="B30" s="515"/>
      <c r="C30" s="532">
        <v>1</v>
      </c>
      <c r="D30" s="515"/>
      <c r="E30" s="533">
        <f t="shared" si="6"/>
        <v>26</v>
      </c>
      <c r="F30" s="533"/>
      <c r="G30" s="533">
        <f t="shared" si="1"/>
        <v>72000</v>
      </c>
      <c r="H30" s="533"/>
      <c r="I30" s="533">
        <f t="shared" si="7"/>
        <v>821000</v>
      </c>
      <c r="J30" s="533"/>
      <c r="K30" s="533">
        <f t="shared" si="2"/>
        <v>11</v>
      </c>
      <c r="L30" s="533"/>
      <c r="M30" s="533">
        <f t="shared" si="3"/>
        <v>1613000</v>
      </c>
      <c r="N30" s="515"/>
      <c r="O30" s="534">
        <f t="shared" si="4"/>
        <v>0.42582987551867219</v>
      </c>
      <c r="P30" s="532">
        <v>72</v>
      </c>
      <c r="T30" s="536" t="e">
        <f t="shared" si="5"/>
        <v>#REF!</v>
      </c>
    </row>
    <row r="31" spans="1:20">
      <c r="A31" s="552">
        <f t="shared" si="0"/>
        <v>75000</v>
      </c>
      <c r="B31" s="515"/>
      <c r="C31" s="532">
        <v>1</v>
      </c>
      <c r="D31" s="515"/>
      <c r="E31" s="533">
        <f t="shared" si="6"/>
        <v>27</v>
      </c>
      <c r="F31" s="533"/>
      <c r="G31" s="533">
        <f t="shared" si="1"/>
        <v>75000</v>
      </c>
      <c r="H31" s="533"/>
      <c r="I31" s="533">
        <f t="shared" si="7"/>
        <v>896000</v>
      </c>
      <c r="J31" s="533"/>
      <c r="K31" s="533">
        <f t="shared" si="2"/>
        <v>10</v>
      </c>
      <c r="L31" s="533"/>
      <c r="M31" s="533">
        <f t="shared" si="3"/>
        <v>1646000</v>
      </c>
      <c r="N31" s="515"/>
      <c r="O31" s="534">
        <f t="shared" si="4"/>
        <v>0.46473029045643155</v>
      </c>
      <c r="P31" s="532">
        <v>75</v>
      </c>
      <c r="T31" s="536" t="e">
        <f t="shared" si="5"/>
        <v>#REF!</v>
      </c>
    </row>
    <row r="32" spans="1:20">
      <c r="A32" s="531">
        <f t="shared" si="0"/>
        <v>79000</v>
      </c>
      <c r="B32" s="529"/>
      <c r="C32" s="532">
        <v>1</v>
      </c>
      <c r="D32" s="529"/>
      <c r="E32" s="533">
        <f t="shared" si="6"/>
        <v>28</v>
      </c>
      <c r="F32" s="533"/>
      <c r="G32" s="533">
        <f t="shared" si="1"/>
        <v>79000</v>
      </c>
      <c r="H32" s="533"/>
      <c r="I32" s="533">
        <f t="shared" si="7"/>
        <v>975000</v>
      </c>
      <c r="J32" s="533"/>
      <c r="K32" s="533">
        <f t="shared" si="2"/>
        <v>9</v>
      </c>
      <c r="L32" s="533"/>
      <c r="M32" s="533">
        <f t="shared" si="3"/>
        <v>1686000</v>
      </c>
      <c r="N32" s="515"/>
      <c r="O32" s="534">
        <f t="shared" si="4"/>
        <v>0.50570539419087135</v>
      </c>
      <c r="P32" s="532">
        <v>79</v>
      </c>
      <c r="T32" s="536" t="e">
        <f t="shared" si="5"/>
        <v>#REF!</v>
      </c>
    </row>
    <row r="33" spans="1:20">
      <c r="A33" s="531">
        <f t="shared" si="0"/>
        <v>82000</v>
      </c>
      <c r="B33" s="523"/>
      <c r="C33" s="532">
        <v>1</v>
      </c>
      <c r="D33" s="523"/>
      <c r="E33" s="533">
        <f t="shared" si="6"/>
        <v>29</v>
      </c>
      <c r="F33" s="533"/>
      <c r="G33" s="533">
        <f t="shared" si="1"/>
        <v>82000</v>
      </c>
      <c r="H33" s="533"/>
      <c r="I33" s="533">
        <f t="shared" si="7"/>
        <v>1057000</v>
      </c>
      <c r="J33" s="533"/>
      <c r="K33" s="533">
        <f t="shared" si="2"/>
        <v>8</v>
      </c>
      <c r="L33" s="533"/>
      <c r="M33" s="533">
        <f t="shared" si="3"/>
        <v>1713000</v>
      </c>
      <c r="N33" s="515"/>
      <c r="O33" s="534">
        <f t="shared" si="4"/>
        <v>0.54823651452282163</v>
      </c>
      <c r="P33" s="532">
        <v>82</v>
      </c>
      <c r="T33" s="536" t="e">
        <f t="shared" si="5"/>
        <v>#REF!</v>
      </c>
    </row>
    <row r="34" spans="1:20">
      <c r="A34" s="531">
        <f t="shared" si="0"/>
        <v>83000</v>
      </c>
      <c r="C34" s="532">
        <v>1</v>
      </c>
      <c r="E34" s="533">
        <f t="shared" si="6"/>
        <v>30</v>
      </c>
      <c r="G34" s="513">
        <f t="shared" si="1"/>
        <v>83000</v>
      </c>
      <c r="I34" s="533">
        <f t="shared" si="7"/>
        <v>1140000</v>
      </c>
      <c r="J34" s="533"/>
      <c r="K34" s="533">
        <f t="shared" si="2"/>
        <v>7</v>
      </c>
      <c r="L34" s="533"/>
      <c r="M34" s="533">
        <f t="shared" si="3"/>
        <v>1721000</v>
      </c>
      <c r="N34" s="515"/>
      <c r="O34" s="534">
        <f t="shared" si="4"/>
        <v>0.59128630705394192</v>
      </c>
      <c r="P34" s="532">
        <v>83</v>
      </c>
      <c r="T34" s="536" t="e">
        <f t="shared" si="5"/>
        <v>#REF!</v>
      </c>
    </row>
    <row r="35" spans="1:20">
      <c r="A35" s="580">
        <f t="shared" si="0"/>
        <v>92000</v>
      </c>
      <c r="C35" s="532">
        <v>2</v>
      </c>
      <c r="D35" s="545"/>
      <c r="E35" s="533">
        <f t="shared" si="6"/>
        <v>32</v>
      </c>
      <c r="F35" s="545"/>
      <c r="G35" s="545">
        <f t="shared" si="1"/>
        <v>184000</v>
      </c>
      <c r="H35" s="545"/>
      <c r="I35" s="533">
        <f t="shared" si="7"/>
        <v>1324000</v>
      </c>
      <c r="J35" s="533"/>
      <c r="K35" s="533">
        <f t="shared" si="2"/>
        <v>5</v>
      </c>
      <c r="L35" s="533"/>
      <c r="M35" s="533">
        <f t="shared" si="3"/>
        <v>1784000</v>
      </c>
      <c r="N35" s="515"/>
      <c r="O35" s="534">
        <f t="shared" si="4"/>
        <v>0.68672199170124482</v>
      </c>
      <c r="P35" s="532">
        <v>92</v>
      </c>
      <c r="T35" s="536" t="e">
        <f t="shared" si="5"/>
        <v>#REF!</v>
      </c>
    </row>
    <row r="36" spans="1:20">
      <c r="A36" s="531">
        <f t="shared" si="0"/>
        <v>94000</v>
      </c>
      <c r="B36" s="515"/>
      <c r="C36" s="532">
        <v>2</v>
      </c>
      <c r="D36" s="533"/>
      <c r="E36" s="533">
        <f t="shared" si="6"/>
        <v>34</v>
      </c>
      <c r="F36" s="533"/>
      <c r="G36" s="533">
        <f t="shared" si="1"/>
        <v>188000</v>
      </c>
      <c r="H36" s="533"/>
      <c r="I36" s="533">
        <f t="shared" si="7"/>
        <v>1512000</v>
      </c>
      <c r="J36" s="533"/>
      <c r="K36" s="533">
        <f t="shared" si="2"/>
        <v>3</v>
      </c>
      <c r="L36" s="533"/>
      <c r="M36" s="533">
        <f t="shared" si="3"/>
        <v>1794000</v>
      </c>
      <c r="N36" s="515"/>
      <c r="O36" s="534">
        <f t="shared" si="4"/>
        <v>0.78423236514522821</v>
      </c>
      <c r="P36" s="532">
        <v>94</v>
      </c>
      <c r="T36" s="536" t="e">
        <f t="shared" si="5"/>
        <v>#REF!</v>
      </c>
    </row>
    <row r="37" spans="1:20">
      <c r="A37" s="531">
        <f t="shared" si="0"/>
        <v>96000</v>
      </c>
      <c r="B37" s="515"/>
      <c r="C37" s="532">
        <v>1</v>
      </c>
      <c r="D37" s="533"/>
      <c r="E37" s="533">
        <f t="shared" si="6"/>
        <v>35</v>
      </c>
      <c r="F37" s="533"/>
      <c r="G37" s="533">
        <f t="shared" si="1"/>
        <v>96000</v>
      </c>
      <c r="H37" s="533"/>
      <c r="I37" s="533">
        <f t="shared" si="7"/>
        <v>1608000</v>
      </c>
      <c r="J37" s="533"/>
      <c r="K37" s="533">
        <f t="shared" si="2"/>
        <v>2</v>
      </c>
      <c r="L37" s="533"/>
      <c r="M37" s="533">
        <f t="shared" si="3"/>
        <v>1800000</v>
      </c>
      <c r="N37" s="515"/>
      <c r="O37" s="534">
        <f t="shared" si="4"/>
        <v>0.8340248962655602</v>
      </c>
      <c r="P37" s="532">
        <v>96</v>
      </c>
      <c r="T37" s="536" t="e">
        <f t="shared" si="5"/>
        <v>#REF!</v>
      </c>
    </row>
    <row r="38" spans="1:20">
      <c r="A38" s="531">
        <f t="shared" si="0"/>
        <v>128000</v>
      </c>
      <c r="B38" s="515"/>
      <c r="C38" s="532">
        <v>1</v>
      </c>
      <c r="D38" s="533"/>
      <c r="E38" s="533">
        <f t="shared" si="6"/>
        <v>36</v>
      </c>
      <c r="F38" s="533"/>
      <c r="G38" s="533">
        <f t="shared" si="1"/>
        <v>128000</v>
      </c>
      <c r="H38" s="533"/>
      <c r="I38" s="533">
        <f t="shared" si="7"/>
        <v>1736000</v>
      </c>
      <c r="J38" s="533"/>
      <c r="K38" s="533">
        <f t="shared" si="2"/>
        <v>1</v>
      </c>
      <c r="L38" s="533"/>
      <c r="M38" s="533">
        <f t="shared" si="3"/>
        <v>1864000</v>
      </c>
      <c r="N38" s="515"/>
      <c r="O38" s="534">
        <f t="shared" si="4"/>
        <v>0.90041493775933612</v>
      </c>
      <c r="P38" s="532">
        <v>128</v>
      </c>
      <c r="T38" s="536" t="e">
        <f t="shared" si="5"/>
        <v>#REF!</v>
      </c>
    </row>
    <row r="39" spans="1:20">
      <c r="A39" s="531">
        <f t="shared" si="0"/>
        <v>192000</v>
      </c>
      <c r="B39" s="544"/>
      <c r="C39" s="532">
        <v>1</v>
      </c>
      <c r="D39" s="545"/>
      <c r="E39" s="533">
        <f t="shared" si="6"/>
        <v>37</v>
      </c>
      <c r="F39" s="533"/>
      <c r="G39" s="533">
        <f t="shared" si="1"/>
        <v>192000</v>
      </c>
      <c r="H39" s="533"/>
      <c r="I39" s="533">
        <f t="shared" si="7"/>
        <v>1928000</v>
      </c>
      <c r="J39" s="545"/>
      <c r="K39" s="533">
        <f t="shared" si="2"/>
        <v>0</v>
      </c>
      <c r="L39" s="545"/>
      <c r="M39" s="533">
        <f t="shared" si="3"/>
        <v>1928000</v>
      </c>
      <c r="O39" s="534">
        <f t="shared" si="4"/>
        <v>1</v>
      </c>
      <c r="P39" s="532">
        <v>192</v>
      </c>
      <c r="T39" s="536" t="e">
        <f t="shared" si="5"/>
        <v>#REF!</v>
      </c>
    </row>
    <row r="40" spans="1:20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61"/>
    </row>
    <row r="41" spans="1:20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61"/>
      <c r="T41" s="581" t="e">
        <f>SUM(T10:T39)</f>
        <v>#REF!</v>
      </c>
    </row>
    <row r="42" spans="1:20" hidden="1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61"/>
      <c r="T42" s="513">
        <v>6016</v>
      </c>
    </row>
    <row r="43" spans="1:20" hidden="1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61"/>
      <c r="T43" s="540" t="e">
        <f>T41-T42</f>
        <v>#REF!</v>
      </c>
    </row>
    <row r="44" spans="1:20" hidden="1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61"/>
      <c r="T44" s="555" t="e">
        <f>T43/T41</f>
        <v>#REF!</v>
      </c>
    </row>
    <row r="45" spans="1:20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34"/>
    </row>
    <row r="46" spans="1:20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34"/>
    </row>
    <row r="47" spans="1:20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34"/>
    </row>
    <row r="48" spans="1:20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34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34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34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34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34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34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34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34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34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34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34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34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34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34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34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34"/>
    </row>
    <row r="64" spans="1:15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34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34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15"/>
    </row>
    <row r="67" spans="1:15">
      <c r="O67" s="515"/>
    </row>
    <row r="68" spans="1:15">
      <c r="O68" s="515"/>
    </row>
    <row r="69" spans="1:15">
      <c r="O69" s="515"/>
    </row>
    <row r="70" spans="1:15">
      <c r="O70" s="515"/>
    </row>
    <row r="71" spans="1:15">
      <c r="O71" s="515"/>
    </row>
    <row r="72" spans="1:15">
      <c r="O72" s="515"/>
    </row>
    <row r="73" spans="1:15">
      <c r="O73" s="515"/>
    </row>
    <row r="74" spans="1:15">
      <c r="O74" s="515"/>
    </row>
    <row r="75" spans="1:15">
      <c r="O75" s="515"/>
    </row>
    <row r="76" spans="1:15">
      <c r="O76" s="515"/>
    </row>
    <row r="77" spans="1:15">
      <c r="O77" s="515"/>
    </row>
    <row r="78" spans="1:15">
      <c r="O78" s="515"/>
    </row>
    <row r="79" spans="1:15">
      <c r="O79" s="515"/>
    </row>
    <row r="80" spans="1:15">
      <c r="O80" s="515"/>
    </row>
    <row r="81" spans="15:15">
      <c r="O81" s="515"/>
    </row>
    <row r="82" spans="15:15">
      <c r="O82" s="515"/>
    </row>
    <row r="83" spans="15:15">
      <c r="O83" s="515"/>
    </row>
    <row r="84" spans="15:15">
      <c r="O84" s="515"/>
    </row>
    <row r="85" spans="15:15">
      <c r="O85" s="515"/>
    </row>
    <row r="86" spans="15:15">
      <c r="O86" s="515"/>
    </row>
    <row r="87" spans="15:15">
      <c r="O87" s="515"/>
    </row>
    <row r="88" spans="15:15">
      <c r="O88" s="515"/>
    </row>
    <row r="89" spans="15:15">
      <c r="O89" s="515"/>
    </row>
    <row r="90" spans="15:15">
      <c r="O90" s="515"/>
    </row>
    <row r="91" spans="15:15">
      <c r="O91" s="515"/>
    </row>
    <row r="92" spans="15:15">
      <c r="O92" s="515"/>
    </row>
    <row r="93" spans="15:15">
      <c r="O93" s="515"/>
    </row>
    <row r="94" spans="15:15">
      <c r="O94" s="515"/>
    </row>
    <row r="95" spans="15:15">
      <c r="O95" s="515"/>
    </row>
    <row r="96" spans="15:15">
      <c r="O96" s="515"/>
    </row>
    <row r="97" spans="15:15">
      <c r="O97" s="515"/>
    </row>
    <row r="98" spans="15:15">
      <c r="O98" s="515"/>
    </row>
    <row r="99" spans="15:15">
      <c r="O99" s="515"/>
    </row>
    <row r="100" spans="15:15">
      <c r="O100" s="515"/>
    </row>
    <row r="101" spans="15:15">
      <c r="O101" s="515"/>
    </row>
    <row r="102" spans="15:15">
      <c r="O102" s="515"/>
    </row>
    <row r="103" spans="15:15">
      <c r="O103" s="515"/>
    </row>
    <row r="104" spans="15:15">
      <c r="O104" s="515"/>
    </row>
    <row r="105" spans="15:15">
      <c r="O105" s="515"/>
    </row>
    <row r="106" spans="15:15">
      <c r="O106" s="515"/>
    </row>
    <row r="107" spans="15:15">
      <c r="O107" s="515"/>
    </row>
    <row r="108" spans="15:15">
      <c r="O108" s="515"/>
    </row>
    <row r="109" spans="15:15">
      <c r="O109" s="515"/>
    </row>
    <row r="110" spans="15:15">
      <c r="O110" s="515"/>
    </row>
    <row r="111" spans="15:15">
      <c r="O111" s="515"/>
    </row>
    <row r="112" spans="15:15">
      <c r="O112" s="515"/>
    </row>
    <row r="113" spans="15:15">
      <c r="O113" s="515"/>
    </row>
    <row r="114" spans="15:15">
      <c r="O114" s="515"/>
    </row>
    <row r="115" spans="15:15">
      <c r="O115" s="515"/>
    </row>
    <row r="116" spans="15:15">
      <c r="O116" s="515"/>
    </row>
    <row r="117" spans="15:15">
      <c r="O117" s="515"/>
    </row>
    <row r="118" spans="15:15">
      <c r="O118" s="515"/>
    </row>
    <row r="119" spans="15:15">
      <c r="O119" s="515"/>
    </row>
    <row r="120" spans="15:15">
      <c r="O120" s="515"/>
    </row>
    <row r="121" spans="15:15">
      <c r="O121" s="515"/>
    </row>
    <row r="122" spans="15:15">
      <c r="O122" s="515"/>
    </row>
    <row r="123" spans="15:15">
      <c r="O123" s="515"/>
    </row>
    <row r="124" spans="15:15">
      <c r="O124" s="515"/>
    </row>
    <row r="125" spans="15:15">
      <c r="O125" s="515"/>
    </row>
    <row r="126" spans="15:15">
      <c r="O126" s="515"/>
    </row>
    <row r="127" spans="15:15">
      <c r="O127" s="515"/>
    </row>
    <row r="128" spans="15:15">
      <c r="O128" s="515"/>
    </row>
    <row r="129" spans="15:15">
      <c r="O129" s="515"/>
    </row>
    <row r="130" spans="15:15">
      <c r="O130" s="515"/>
    </row>
    <row r="131" spans="15:15">
      <c r="O131" s="515"/>
    </row>
    <row r="132" spans="15:15">
      <c r="O132" s="515"/>
    </row>
    <row r="133" spans="15:15">
      <c r="O133" s="515"/>
    </row>
    <row r="134" spans="15:15">
      <c r="O134" s="515"/>
    </row>
    <row r="135" spans="15:15">
      <c r="O135" s="515"/>
    </row>
    <row r="136" spans="15:15">
      <c r="O136" s="515"/>
    </row>
    <row r="137" spans="15:15">
      <c r="O137" s="51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63"/>
  <sheetViews>
    <sheetView showGridLines="0" topLeftCell="H31" workbookViewId="0">
      <selection activeCell="U10" sqref="U1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16.375" style="513" bestFit="1" customWidth="1"/>
    <col min="19" max="19" width="2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e">
        <f>'16015-172'!R2</f>
        <v>#REF!</v>
      </c>
      <c r="S2" s="518"/>
      <c r="T2" s="519" t="e">
        <f>'16015-172'!T2</f>
        <v>#REF!</v>
      </c>
    </row>
    <row r="3" spans="1:20">
      <c r="A3" s="513" t="s">
        <v>298</v>
      </c>
      <c r="M3" s="520" t="s">
        <v>302</v>
      </c>
      <c r="R3" s="518" t="e">
        <f>'16015-172'!R3</f>
        <v>#REF!</v>
      </c>
      <c r="S3" s="518"/>
      <c r="T3" s="519" t="e">
        <f>'16015-172'!T3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  <c r="R4" s="518" t="e">
        <f>'16015-172'!R4</f>
        <v>#REF!</v>
      </c>
      <c r="S4" s="518"/>
      <c r="T4" s="519" t="e">
        <f>'16015-172'!T4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  <c r="R5" s="518" t="e">
        <f>'16015-172'!R5</f>
        <v>#REF!</v>
      </c>
      <c r="S5" s="518"/>
      <c r="T5" s="519" t="e">
        <f>'16015-172'!T5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  <c r="R6" s="518" t="e">
        <f>'16015-172'!R6</f>
        <v>#REF!</v>
      </c>
      <c r="S6" s="518"/>
      <c r="T6" s="519" t="e">
        <f>'16015-172'!T6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  <c r="T9" s="530"/>
    </row>
    <row r="10" spans="1:20">
      <c r="A10" s="531">
        <f t="shared" ref="A10:A39" si="0">P10*1000</f>
        <v>0</v>
      </c>
      <c r="B10" s="515"/>
      <c r="C10" s="532">
        <v>0</v>
      </c>
      <c r="D10" s="533"/>
      <c r="E10" s="533">
        <f>C10</f>
        <v>0</v>
      </c>
      <c r="F10" s="533"/>
      <c r="G10" s="533">
        <f t="shared" ref="G10:G39" si="1">A10*C10</f>
        <v>0</v>
      </c>
      <c r="H10" s="533"/>
      <c r="I10" s="533">
        <f>G10</f>
        <v>0</v>
      </c>
      <c r="J10" s="533"/>
      <c r="K10" s="533">
        <f t="shared" ref="K10:K39" si="2">$E$39-E10</f>
        <v>44</v>
      </c>
      <c r="L10" s="533"/>
      <c r="M10" s="533">
        <f t="shared" ref="M10:M39" si="3">(A10*K10)+I10</f>
        <v>0</v>
      </c>
      <c r="N10" s="578"/>
      <c r="O10" s="534">
        <f t="shared" ref="O10:O39" si="4">I10/$I$39</f>
        <v>0</v>
      </c>
      <c r="P10" s="532">
        <v>0</v>
      </c>
      <c r="Q10" s="561"/>
      <c r="R10" s="535"/>
      <c r="T10" s="536" t="e">
        <f t="shared" ref="T10:T39" si="5">IF(A10&lt;13000,C10*$T$2,IF(A10=13000,C10*$T$2,IF(AND(A10&lt;26000,A10&gt;13000),(C10*$T$2)+((A10-13000)/1000*$T$3*C10),IF(AND(A10&gt;25000,A10&lt;51000),(C10*$T$2)+(12*$T$3*C10)+((A10-25000)/1000*$T$4*C10),IF(AND(A10&lt;51000,A10&gt;25000),(C10*$T$2)+(12*$T$3*C10)+(25*$T$4*C10)+((A10-25000)/1000*$T$5*C10),IF(AND(A10&lt;101000,A10&gt;50000),(C10*$T$2)+(12*$T$3*C10)+(25*$T$4*C10)+((A10-50000)/1000*$T$5*C10),IF(A10&gt;100000,(C10*$T$2)+(12*$T$3*C10)+(25*$T$4*C10)+(50*$T$5*C10)+((A10-100000)/1000*$T$6*C10))))))))</f>
        <v>#REF!</v>
      </c>
    </row>
    <row r="11" spans="1:20">
      <c r="A11" s="531">
        <f t="shared" si="0"/>
        <v>1000</v>
      </c>
      <c r="B11" s="515"/>
      <c r="C11" s="532">
        <v>2</v>
      </c>
      <c r="D11" s="533"/>
      <c r="E11" s="533">
        <f t="shared" ref="E11:E39" si="6">E10+C11</f>
        <v>2</v>
      </c>
      <c r="F11" s="533"/>
      <c r="G11" s="533">
        <f t="shared" si="1"/>
        <v>2000</v>
      </c>
      <c r="H11" s="533"/>
      <c r="I11" s="533">
        <f>G11</f>
        <v>2000</v>
      </c>
      <c r="J11" s="533"/>
      <c r="K11" s="533">
        <f t="shared" si="2"/>
        <v>42</v>
      </c>
      <c r="L11" s="533"/>
      <c r="M11" s="533">
        <f t="shared" si="3"/>
        <v>44000</v>
      </c>
      <c r="N11" s="578"/>
      <c r="O11" s="534">
        <f t="shared" si="4"/>
        <v>1.0515247108307045E-3</v>
      </c>
      <c r="P11" s="532">
        <v>1</v>
      </c>
      <c r="Q11" s="561"/>
      <c r="R11" s="535"/>
      <c r="T11" s="536" t="e">
        <f t="shared" si="5"/>
        <v>#REF!</v>
      </c>
    </row>
    <row r="12" spans="1:20">
      <c r="A12" s="531">
        <f t="shared" si="0"/>
        <v>2000</v>
      </c>
      <c r="B12" s="515"/>
      <c r="C12" s="532">
        <v>8</v>
      </c>
      <c r="D12" s="533"/>
      <c r="E12" s="533">
        <f t="shared" si="6"/>
        <v>10</v>
      </c>
      <c r="F12" s="533"/>
      <c r="G12" s="533">
        <f t="shared" si="1"/>
        <v>16000</v>
      </c>
      <c r="H12" s="533"/>
      <c r="I12" s="533">
        <f>G12+I10</f>
        <v>16000</v>
      </c>
      <c r="J12" s="533"/>
      <c r="K12" s="533">
        <f t="shared" si="2"/>
        <v>34</v>
      </c>
      <c r="L12" s="533"/>
      <c r="M12" s="533">
        <f t="shared" si="3"/>
        <v>84000</v>
      </c>
      <c r="O12" s="534">
        <f t="shared" si="4"/>
        <v>8.4121976866456359E-3</v>
      </c>
      <c r="P12" s="532">
        <v>2</v>
      </c>
      <c r="Q12" s="561"/>
      <c r="T12" s="536" t="e">
        <f t="shared" si="5"/>
        <v>#REF!</v>
      </c>
    </row>
    <row r="13" spans="1:20">
      <c r="A13" s="531">
        <f t="shared" si="0"/>
        <v>4000</v>
      </c>
      <c r="B13" s="515"/>
      <c r="C13" s="532">
        <v>1</v>
      </c>
      <c r="D13" s="533"/>
      <c r="E13" s="533">
        <f t="shared" si="6"/>
        <v>11</v>
      </c>
      <c r="F13" s="533"/>
      <c r="G13" s="533">
        <f t="shared" si="1"/>
        <v>4000</v>
      </c>
      <c r="H13" s="533"/>
      <c r="I13" s="533">
        <f t="shared" ref="I13:I39" si="7">G13+I12</f>
        <v>20000</v>
      </c>
      <c r="J13" s="533"/>
      <c r="K13" s="533">
        <f t="shared" si="2"/>
        <v>33</v>
      </c>
      <c r="L13" s="533"/>
      <c r="M13" s="533">
        <f t="shared" si="3"/>
        <v>152000</v>
      </c>
      <c r="N13" s="578"/>
      <c r="O13" s="534">
        <f t="shared" si="4"/>
        <v>1.0515247108307046E-2</v>
      </c>
      <c r="P13" s="532">
        <v>4</v>
      </c>
      <c r="Q13" s="561"/>
      <c r="T13" s="536" t="e">
        <f t="shared" si="5"/>
        <v>#REF!</v>
      </c>
    </row>
    <row r="14" spans="1:20">
      <c r="A14" s="531">
        <f t="shared" si="0"/>
        <v>5000</v>
      </c>
      <c r="B14" s="515"/>
      <c r="C14" s="532">
        <v>3</v>
      </c>
      <c r="D14" s="533"/>
      <c r="E14" s="533">
        <f t="shared" si="6"/>
        <v>14</v>
      </c>
      <c r="F14" s="533"/>
      <c r="G14" s="533">
        <f t="shared" si="1"/>
        <v>15000</v>
      </c>
      <c r="H14" s="533"/>
      <c r="I14" s="533">
        <f t="shared" si="7"/>
        <v>35000</v>
      </c>
      <c r="J14" s="533"/>
      <c r="K14" s="533">
        <f t="shared" si="2"/>
        <v>30</v>
      </c>
      <c r="L14" s="533"/>
      <c r="M14" s="533">
        <f t="shared" si="3"/>
        <v>185000</v>
      </c>
      <c r="N14" s="578"/>
      <c r="O14" s="534">
        <f t="shared" si="4"/>
        <v>1.8401682439537329E-2</v>
      </c>
      <c r="P14" s="532">
        <v>5</v>
      </c>
      <c r="Q14" s="561"/>
      <c r="T14" s="536" t="e">
        <f t="shared" si="5"/>
        <v>#REF!</v>
      </c>
    </row>
    <row r="15" spans="1:20">
      <c r="A15" s="531">
        <f t="shared" si="0"/>
        <v>9000</v>
      </c>
      <c r="B15" s="515"/>
      <c r="C15" s="532">
        <v>1</v>
      </c>
      <c r="D15" s="533"/>
      <c r="E15" s="533">
        <f t="shared" si="6"/>
        <v>15</v>
      </c>
      <c r="F15" s="533"/>
      <c r="G15" s="533">
        <f t="shared" si="1"/>
        <v>9000</v>
      </c>
      <c r="H15" s="533"/>
      <c r="I15" s="533">
        <f t="shared" si="7"/>
        <v>44000</v>
      </c>
      <c r="J15" s="533"/>
      <c r="K15" s="533">
        <f t="shared" si="2"/>
        <v>29</v>
      </c>
      <c r="L15" s="533"/>
      <c r="M15" s="533">
        <f t="shared" si="3"/>
        <v>305000</v>
      </c>
      <c r="N15" s="578"/>
      <c r="O15" s="534">
        <f t="shared" si="4"/>
        <v>2.3133543638275498E-2</v>
      </c>
      <c r="P15" s="532">
        <v>9</v>
      </c>
      <c r="Q15" s="561"/>
      <c r="T15" s="536" t="e">
        <f t="shared" si="5"/>
        <v>#REF!</v>
      </c>
    </row>
    <row r="16" spans="1:20">
      <c r="A16" s="531">
        <f t="shared" si="0"/>
        <v>11000</v>
      </c>
      <c r="B16" s="515"/>
      <c r="C16" s="532">
        <v>1</v>
      </c>
      <c r="D16" s="533"/>
      <c r="E16" s="533">
        <f t="shared" si="6"/>
        <v>16</v>
      </c>
      <c r="F16" s="533"/>
      <c r="G16" s="533">
        <f t="shared" si="1"/>
        <v>11000</v>
      </c>
      <c r="H16" s="533"/>
      <c r="I16" s="533">
        <f t="shared" si="7"/>
        <v>55000</v>
      </c>
      <c r="J16" s="533"/>
      <c r="K16" s="533">
        <f t="shared" si="2"/>
        <v>28</v>
      </c>
      <c r="L16" s="533"/>
      <c r="M16" s="533">
        <f t="shared" si="3"/>
        <v>363000</v>
      </c>
      <c r="N16" s="578"/>
      <c r="O16" s="534">
        <f t="shared" si="4"/>
        <v>2.8916929547844375E-2</v>
      </c>
      <c r="P16" s="532">
        <v>11</v>
      </c>
      <c r="Q16" s="561"/>
      <c r="T16" s="536" t="e">
        <f t="shared" si="5"/>
        <v>#REF!</v>
      </c>
    </row>
    <row r="17" spans="1:20">
      <c r="A17" s="531">
        <f t="shared" si="0"/>
        <v>12000</v>
      </c>
      <c r="B17" s="515"/>
      <c r="C17" s="532">
        <v>1</v>
      </c>
      <c r="D17" s="533"/>
      <c r="E17" s="533">
        <f t="shared" si="6"/>
        <v>17</v>
      </c>
      <c r="F17" s="533"/>
      <c r="G17" s="533">
        <f t="shared" si="1"/>
        <v>12000</v>
      </c>
      <c r="H17" s="533"/>
      <c r="I17" s="533">
        <f t="shared" si="7"/>
        <v>67000</v>
      </c>
      <c r="J17" s="533"/>
      <c r="K17" s="533">
        <f t="shared" si="2"/>
        <v>27</v>
      </c>
      <c r="L17" s="533"/>
      <c r="M17" s="533">
        <f t="shared" si="3"/>
        <v>391000</v>
      </c>
      <c r="N17" s="578"/>
      <c r="O17" s="534">
        <f t="shared" si="4"/>
        <v>3.5226077812828605E-2</v>
      </c>
      <c r="P17" s="532">
        <v>12</v>
      </c>
      <c r="Q17" s="561"/>
      <c r="T17" s="536" t="e">
        <f t="shared" si="5"/>
        <v>#REF!</v>
      </c>
    </row>
    <row r="18" spans="1:20">
      <c r="A18" s="531">
        <f t="shared" si="0"/>
        <v>15000</v>
      </c>
      <c r="B18" s="515"/>
      <c r="C18" s="532">
        <v>2</v>
      </c>
      <c r="D18" s="533"/>
      <c r="E18" s="533">
        <f t="shared" si="6"/>
        <v>19</v>
      </c>
      <c r="F18" s="533"/>
      <c r="G18" s="533">
        <f t="shared" si="1"/>
        <v>30000</v>
      </c>
      <c r="H18" s="533"/>
      <c r="I18" s="533">
        <f t="shared" si="7"/>
        <v>97000</v>
      </c>
      <c r="J18" s="533"/>
      <c r="K18" s="533">
        <f t="shared" si="2"/>
        <v>25</v>
      </c>
      <c r="L18" s="533"/>
      <c r="M18" s="533">
        <f t="shared" si="3"/>
        <v>472000</v>
      </c>
      <c r="N18" s="578"/>
      <c r="O18" s="534">
        <f t="shared" si="4"/>
        <v>5.0998948475289171E-2</v>
      </c>
      <c r="P18" s="532">
        <v>15</v>
      </c>
      <c r="Q18" s="561"/>
      <c r="T18" s="536" t="e">
        <f t="shared" si="5"/>
        <v>#REF!</v>
      </c>
    </row>
    <row r="19" spans="1:20">
      <c r="A19" s="531">
        <f t="shared" si="0"/>
        <v>16000</v>
      </c>
      <c r="B19" s="515"/>
      <c r="C19" s="532">
        <v>2</v>
      </c>
      <c r="D19" s="533"/>
      <c r="E19" s="533">
        <f t="shared" si="6"/>
        <v>21</v>
      </c>
      <c r="F19" s="533"/>
      <c r="G19" s="533">
        <f t="shared" si="1"/>
        <v>32000</v>
      </c>
      <c r="H19" s="533"/>
      <c r="I19" s="533">
        <f t="shared" si="7"/>
        <v>129000</v>
      </c>
      <c r="J19" s="533"/>
      <c r="K19" s="533">
        <f t="shared" si="2"/>
        <v>23</v>
      </c>
      <c r="L19" s="533"/>
      <c r="M19" s="533">
        <f t="shared" si="3"/>
        <v>497000</v>
      </c>
      <c r="N19" s="578"/>
      <c r="O19" s="534">
        <f t="shared" si="4"/>
        <v>6.7823343848580436E-2</v>
      </c>
      <c r="P19" s="532">
        <v>16</v>
      </c>
      <c r="Q19" s="561"/>
      <c r="T19" s="536" t="e">
        <f t="shared" si="5"/>
        <v>#REF!</v>
      </c>
    </row>
    <row r="20" spans="1:20">
      <c r="A20" s="531">
        <f t="shared" si="0"/>
        <v>17000</v>
      </c>
      <c r="B20" s="515"/>
      <c r="C20" s="532">
        <v>1</v>
      </c>
      <c r="D20" s="533"/>
      <c r="E20" s="533">
        <f t="shared" si="6"/>
        <v>22</v>
      </c>
      <c r="F20" s="533"/>
      <c r="G20" s="533">
        <f t="shared" si="1"/>
        <v>17000</v>
      </c>
      <c r="H20" s="533"/>
      <c r="I20" s="533">
        <f t="shared" si="7"/>
        <v>146000</v>
      </c>
      <c r="J20" s="533"/>
      <c r="K20" s="533">
        <f t="shared" si="2"/>
        <v>22</v>
      </c>
      <c r="L20" s="533"/>
      <c r="M20" s="533">
        <f t="shared" si="3"/>
        <v>520000</v>
      </c>
      <c r="N20" s="578"/>
      <c r="O20" s="534">
        <f t="shared" si="4"/>
        <v>7.6761303890641425E-2</v>
      </c>
      <c r="P20" s="532">
        <v>17</v>
      </c>
      <c r="Q20" s="561"/>
      <c r="T20" s="536" t="e">
        <f t="shared" si="5"/>
        <v>#REF!</v>
      </c>
    </row>
    <row r="21" spans="1:20">
      <c r="A21" s="531">
        <f t="shared" si="0"/>
        <v>42000</v>
      </c>
      <c r="B21" s="515"/>
      <c r="C21" s="532">
        <v>1</v>
      </c>
      <c r="D21" s="533"/>
      <c r="E21" s="533">
        <f t="shared" si="6"/>
        <v>23</v>
      </c>
      <c r="F21" s="533"/>
      <c r="G21" s="533">
        <f t="shared" si="1"/>
        <v>42000</v>
      </c>
      <c r="H21" s="533"/>
      <c r="I21" s="533">
        <f t="shared" si="7"/>
        <v>188000</v>
      </c>
      <c r="J21" s="533"/>
      <c r="K21" s="533">
        <f t="shared" si="2"/>
        <v>21</v>
      </c>
      <c r="L21" s="533"/>
      <c r="M21" s="533">
        <f t="shared" si="3"/>
        <v>1070000</v>
      </c>
      <c r="N21" s="578"/>
      <c r="O21" s="534">
        <f t="shared" si="4"/>
        <v>9.8843322818086221E-2</v>
      </c>
      <c r="P21" s="532">
        <v>42</v>
      </c>
      <c r="Q21" s="561"/>
      <c r="T21" s="536" t="e">
        <f t="shared" si="5"/>
        <v>#REF!</v>
      </c>
    </row>
    <row r="22" spans="1:20">
      <c r="A22" s="552">
        <f t="shared" si="0"/>
        <v>45000</v>
      </c>
      <c r="B22" s="515"/>
      <c r="C22" s="532">
        <v>1</v>
      </c>
      <c r="D22" s="533"/>
      <c r="E22" s="533">
        <f t="shared" si="6"/>
        <v>24</v>
      </c>
      <c r="F22" s="533"/>
      <c r="G22" s="533">
        <f t="shared" si="1"/>
        <v>45000</v>
      </c>
      <c r="H22" s="533"/>
      <c r="I22" s="533">
        <f t="shared" si="7"/>
        <v>233000</v>
      </c>
      <c r="J22" s="533"/>
      <c r="K22" s="533">
        <f t="shared" si="2"/>
        <v>20</v>
      </c>
      <c r="L22" s="533"/>
      <c r="M22" s="533">
        <f t="shared" si="3"/>
        <v>1133000</v>
      </c>
      <c r="N22" s="578"/>
      <c r="O22" s="534">
        <f t="shared" si="4"/>
        <v>0.12250262881177708</v>
      </c>
      <c r="P22" s="532">
        <v>45</v>
      </c>
      <c r="Q22" s="561"/>
      <c r="T22" s="536" t="e">
        <f t="shared" si="5"/>
        <v>#REF!</v>
      </c>
    </row>
    <row r="23" spans="1:20">
      <c r="A23" s="552">
        <f t="shared" si="0"/>
        <v>52000</v>
      </c>
      <c r="B23" s="515"/>
      <c r="C23" s="532">
        <v>1</v>
      </c>
      <c r="D23" s="533"/>
      <c r="E23" s="533">
        <f t="shared" si="6"/>
        <v>25</v>
      </c>
      <c r="F23" s="533"/>
      <c r="G23" s="533">
        <f t="shared" si="1"/>
        <v>52000</v>
      </c>
      <c r="H23" s="533"/>
      <c r="I23" s="533">
        <f t="shared" si="7"/>
        <v>285000</v>
      </c>
      <c r="J23" s="533"/>
      <c r="K23" s="533">
        <f t="shared" si="2"/>
        <v>19</v>
      </c>
      <c r="L23" s="533"/>
      <c r="M23" s="533">
        <f t="shared" si="3"/>
        <v>1273000</v>
      </c>
      <c r="N23" s="578"/>
      <c r="O23" s="534">
        <f t="shared" si="4"/>
        <v>0.14984227129337541</v>
      </c>
      <c r="P23" s="532">
        <v>52</v>
      </c>
      <c r="Q23" s="561"/>
      <c r="T23" s="536" t="e">
        <f t="shared" si="5"/>
        <v>#REF!</v>
      </c>
    </row>
    <row r="24" spans="1:20">
      <c r="A24" s="552">
        <f t="shared" si="0"/>
        <v>57000</v>
      </c>
      <c r="B24" s="515"/>
      <c r="C24" s="532">
        <v>1</v>
      </c>
      <c r="D24" s="533"/>
      <c r="E24" s="533">
        <f t="shared" si="6"/>
        <v>26</v>
      </c>
      <c r="F24" s="533"/>
      <c r="G24" s="533">
        <f t="shared" si="1"/>
        <v>57000</v>
      </c>
      <c r="H24" s="533"/>
      <c r="I24" s="533">
        <f t="shared" si="7"/>
        <v>342000</v>
      </c>
      <c r="J24" s="533"/>
      <c r="K24" s="533">
        <f t="shared" si="2"/>
        <v>18</v>
      </c>
      <c r="L24" s="533"/>
      <c r="M24" s="533">
        <f t="shared" si="3"/>
        <v>1368000</v>
      </c>
      <c r="N24" s="515"/>
      <c r="O24" s="534">
        <f t="shared" si="4"/>
        <v>0.17981072555205047</v>
      </c>
      <c r="P24" s="532">
        <v>57</v>
      </c>
      <c r="T24" s="536" t="e">
        <f t="shared" si="5"/>
        <v>#REF!</v>
      </c>
    </row>
    <row r="25" spans="1:20">
      <c r="A25" s="552">
        <f t="shared" si="0"/>
        <v>65000</v>
      </c>
      <c r="B25" s="579"/>
      <c r="C25" s="532">
        <v>2</v>
      </c>
      <c r="D25" s="533"/>
      <c r="E25" s="533">
        <f t="shared" si="6"/>
        <v>28</v>
      </c>
      <c r="F25" s="533"/>
      <c r="G25" s="533">
        <f t="shared" si="1"/>
        <v>130000</v>
      </c>
      <c r="H25" s="533"/>
      <c r="I25" s="533">
        <f t="shared" si="7"/>
        <v>472000</v>
      </c>
      <c r="J25" s="533"/>
      <c r="K25" s="533">
        <f t="shared" si="2"/>
        <v>16</v>
      </c>
      <c r="L25" s="533"/>
      <c r="M25" s="533">
        <f t="shared" si="3"/>
        <v>1512000</v>
      </c>
      <c r="N25" s="515"/>
      <c r="O25" s="534">
        <f t="shared" si="4"/>
        <v>0.24815983175604628</v>
      </c>
      <c r="P25" s="532">
        <v>65</v>
      </c>
      <c r="T25" s="536" t="e">
        <f t="shared" si="5"/>
        <v>#REF!</v>
      </c>
    </row>
    <row r="26" spans="1:20">
      <c r="A26" s="552">
        <f t="shared" si="0"/>
        <v>66000</v>
      </c>
      <c r="B26" s="579"/>
      <c r="C26" s="532">
        <v>1</v>
      </c>
      <c r="D26" s="533"/>
      <c r="E26" s="533">
        <f t="shared" si="6"/>
        <v>29</v>
      </c>
      <c r="F26" s="533"/>
      <c r="G26" s="533">
        <f t="shared" si="1"/>
        <v>66000</v>
      </c>
      <c r="H26" s="533"/>
      <c r="I26" s="533">
        <f t="shared" si="7"/>
        <v>538000</v>
      </c>
      <c r="J26" s="533"/>
      <c r="K26" s="533">
        <f t="shared" si="2"/>
        <v>15</v>
      </c>
      <c r="L26" s="533"/>
      <c r="M26" s="533">
        <f t="shared" si="3"/>
        <v>1528000</v>
      </c>
      <c r="N26" s="515"/>
      <c r="O26" s="534">
        <f t="shared" si="4"/>
        <v>0.28286014721345953</v>
      </c>
      <c r="P26" s="532">
        <v>66</v>
      </c>
      <c r="T26" s="536" t="e">
        <f t="shared" si="5"/>
        <v>#REF!</v>
      </c>
    </row>
    <row r="27" spans="1:20">
      <c r="A27" s="552">
        <f t="shared" si="0"/>
        <v>68000</v>
      </c>
      <c r="B27" s="515"/>
      <c r="C27" s="532">
        <v>1</v>
      </c>
      <c r="D27" s="533"/>
      <c r="E27" s="533">
        <f t="shared" si="6"/>
        <v>30</v>
      </c>
      <c r="F27" s="533"/>
      <c r="G27" s="533">
        <f t="shared" si="1"/>
        <v>68000</v>
      </c>
      <c r="H27" s="533"/>
      <c r="I27" s="533">
        <f t="shared" si="7"/>
        <v>606000</v>
      </c>
      <c r="J27" s="533"/>
      <c r="K27" s="533">
        <f t="shared" si="2"/>
        <v>14</v>
      </c>
      <c r="L27" s="533"/>
      <c r="M27" s="533">
        <f t="shared" si="3"/>
        <v>1558000</v>
      </c>
      <c r="N27" s="515"/>
      <c r="O27" s="534">
        <f t="shared" si="4"/>
        <v>0.31861198738170349</v>
      </c>
      <c r="P27" s="532">
        <v>68</v>
      </c>
      <c r="T27" s="536" t="e">
        <f t="shared" si="5"/>
        <v>#REF!</v>
      </c>
    </row>
    <row r="28" spans="1:20">
      <c r="A28" s="552">
        <f t="shared" si="0"/>
        <v>69000</v>
      </c>
      <c r="B28" s="515"/>
      <c r="C28" s="532">
        <v>1</v>
      </c>
      <c r="D28" s="533"/>
      <c r="E28" s="533">
        <f t="shared" si="6"/>
        <v>31</v>
      </c>
      <c r="F28" s="533"/>
      <c r="G28" s="533">
        <f t="shared" si="1"/>
        <v>69000</v>
      </c>
      <c r="H28" s="533"/>
      <c r="I28" s="533">
        <f t="shared" si="7"/>
        <v>675000</v>
      </c>
      <c r="J28" s="533"/>
      <c r="K28" s="533">
        <f t="shared" si="2"/>
        <v>13</v>
      </c>
      <c r="L28" s="533"/>
      <c r="M28" s="533">
        <f t="shared" si="3"/>
        <v>1572000</v>
      </c>
      <c r="N28" s="515"/>
      <c r="O28" s="534">
        <f t="shared" si="4"/>
        <v>0.35488958990536279</v>
      </c>
      <c r="P28" s="532">
        <v>69</v>
      </c>
      <c r="T28" s="536" t="e">
        <f t="shared" si="5"/>
        <v>#REF!</v>
      </c>
    </row>
    <row r="29" spans="1:20">
      <c r="A29" s="552">
        <f t="shared" si="0"/>
        <v>70000</v>
      </c>
      <c r="B29" s="544"/>
      <c r="C29" s="532">
        <v>1</v>
      </c>
      <c r="D29" s="545"/>
      <c r="E29" s="533">
        <f t="shared" si="6"/>
        <v>32</v>
      </c>
      <c r="F29" s="533"/>
      <c r="G29" s="533">
        <f t="shared" si="1"/>
        <v>70000</v>
      </c>
      <c r="H29" s="533"/>
      <c r="I29" s="533">
        <f t="shared" si="7"/>
        <v>745000</v>
      </c>
      <c r="J29" s="533"/>
      <c r="K29" s="533">
        <f t="shared" si="2"/>
        <v>12</v>
      </c>
      <c r="L29" s="533"/>
      <c r="M29" s="533">
        <f t="shared" si="3"/>
        <v>1585000</v>
      </c>
      <c r="N29" s="515"/>
      <c r="O29" s="534">
        <f t="shared" si="4"/>
        <v>0.39169295478443744</v>
      </c>
      <c r="P29" s="532">
        <v>70</v>
      </c>
      <c r="T29" s="536" t="e">
        <f t="shared" si="5"/>
        <v>#REF!</v>
      </c>
    </row>
    <row r="30" spans="1:20">
      <c r="A30" s="552">
        <f t="shared" si="0"/>
        <v>72000</v>
      </c>
      <c r="B30" s="515"/>
      <c r="C30" s="532">
        <v>2</v>
      </c>
      <c r="D30" s="515"/>
      <c r="E30" s="533">
        <f t="shared" si="6"/>
        <v>34</v>
      </c>
      <c r="F30" s="533"/>
      <c r="G30" s="533">
        <f t="shared" si="1"/>
        <v>144000</v>
      </c>
      <c r="H30" s="533"/>
      <c r="I30" s="533">
        <f t="shared" si="7"/>
        <v>889000</v>
      </c>
      <c r="J30" s="533"/>
      <c r="K30" s="533">
        <f t="shared" si="2"/>
        <v>10</v>
      </c>
      <c r="L30" s="533"/>
      <c r="M30" s="533">
        <f t="shared" si="3"/>
        <v>1609000</v>
      </c>
      <c r="N30" s="515"/>
      <c r="O30" s="534">
        <f t="shared" si="4"/>
        <v>0.46740273396424814</v>
      </c>
      <c r="P30" s="532">
        <v>72</v>
      </c>
      <c r="T30" s="536" t="e">
        <f t="shared" si="5"/>
        <v>#REF!</v>
      </c>
    </row>
    <row r="31" spans="1:20">
      <c r="A31" s="552">
        <f t="shared" si="0"/>
        <v>75000</v>
      </c>
      <c r="B31" s="515"/>
      <c r="C31" s="532">
        <v>1</v>
      </c>
      <c r="D31" s="515"/>
      <c r="E31" s="533">
        <f t="shared" si="6"/>
        <v>35</v>
      </c>
      <c r="F31" s="533"/>
      <c r="G31" s="533">
        <f t="shared" si="1"/>
        <v>75000</v>
      </c>
      <c r="H31" s="533"/>
      <c r="I31" s="533">
        <f t="shared" si="7"/>
        <v>964000</v>
      </c>
      <c r="J31" s="533"/>
      <c r="K31" s="533">
        <f t="shared" si="2"/>
        <v>9</v>
      </c>
      <c r="L31" s="533"/>
      <c r="M31" s="533">
        <f t="shared" si="3"/>
        <v>1639000</v>
      </c>
      <c r="N31" s="515"/>
      <c r="O31" s="534">
        <f t="shared" si="4"/>
        <v>0.50683491062039954</v>
      </c>
      <c r="P31" s="532">
        <v>75</v>
      </c>
      <c r="T31" s="536" t="e">
        <f t="shared" si="5"/>
        <v>#REF!</v>
      </c>
    </row>
    <row r="32" spans="1:20">
      <c r="A32" s="552">
        <f t="shared" si="0"/>
        <v>79000</v>
      </c>
      <c r="B32" s="515"/>
      <c r="C32" s="532">
        <v>1</v>
      </c>
      <c r="D32" s="515"/>
      <c r="E32" s="533">
        <f t="shared" si="6"/>
        <v>36</v>
      </c>
      <c r="F32" s="533"/>
      <c r="G32" s="533">
        <f t="shared" si="1"/>
        <v>79000</v>
      </c>
      <c r="H32" s="533"/>
      <c r="I32" s="533">
        <f t="shared" si="7"/>
        <v>1043000</v>
      </c>
      <c r="J32" s="533"/>
      <c r="K32" s="533">
        <f t="shared" si="2"/>
        <v>8</v>
      </c>
      <c r="L32" s="533"/>
      <c r="M32" s="533">
        <f t="shared" si="3"/>
        <v>1675000</v>
      </c>
      <c r="N32" s="515"/>
      <c r="O32" s="534">
        <f t="shared" si="4"/>
        <v>0.54837013669821244</v>
      </c>
      <c r="P32" s="532">
        <v>79</v>
      </c>
      <c r="T32" s="536" t="e">
        <f t="shared" si="5"/>
        <v>#REF!</v>
      </c>
    </row>
    <row r="33" spans="1:20">
      <c r="A33" s="552">
        <f t="shared" si="0"/>
        <v>82000</v>
      </c>
      <c r="B33" s="515"/>
      <c r="C33" s="532">
        <v>1</v>
      </c>
      <c r="D33" s="515"/>
      <c r="E33" s="533">
        <f t="shared" si="6"/>
        <v>37</v>
      </c>
      <c r="F33" s="533"/>
      <c r="G33" s="533">
        <f t="shared" si="1"/>
        <v>82000</v>
      </c>
      <c r="H33" s="533"/>
      <c r="I33" s="533">
        <f t="shared" si="7"/>
        <v>1125000</v>
      </c>
      <c r="J33" s="533"/>
      <c r="K33" s="533">
        <f t="shared" si="2"/>
        <v>7</v>
      </c>
      <c r="L33" s="533"/>
      <c r="M33" s="533">
        <f t="shared" si="3"/>
        <v>1699000</v>
      </c>
      <c r="N33" s="515"/>
      <c r="O33" s="534">
        <f t="shared" si="4"/>
        <v>0.59148264984227128</v>
      </c>
      <c r="P33" s="532">
        <v>82</v>
      </c>
      <c r="T33" s="536" t="e">
        <f t="shared" si="5"/>
        <v>#REF!</v>
      </c>
    </row>
    <row r="34" spans="1:20">
      <c r="A34" s="552">
        <f t="shared" si="0"/>
        <v>83000</v>
      </c>
      <c r="B34" s="515"/>
      <c r="C34" s="532">
        <v>1</v>
      </c>
      <c r="D34" s="515"/>
      <c r="E34" s="533">
        <f t="shared" si="6"/>
        <v>38</v>
      </c>
      <c r="F34" s="533"/>
      <c r="G34" s="533">
        <f t="shared" si="1"/>
        <v>83000</v>
      </c>
      <c r="H34" s="533"/>
      <c r="I34" s="533">
        <f t="shared" si="7"/>
        <v>1208000</v>
      </c>
      <c r="J34" s="533"/>
      <c r="K34" s="533">
        <f t="shared" si="2"/>
        <v>6</v>
      </c>
      <c r="L34" s="533"/>
      <c r="M34" s="533">
        <f t="shared" si="3"/>
        <v>1706000</v>
      </c>
      <c r="N34" s="515"/>
      <c r="O34" s="534">
        <f t="shared" si="4"/>
        <v>0.63512092534174558</v>
      </c>
      <c r="P34" s="532">
        <v>83</v>
      </c>
      <c r="T34" s="536" t="e">
        <f t="shared" si="5"/>
        <v>#REF!</v>
      </c>
    </row>
    <row r="35" spans="1:20">
      <c r="A35" s="552">
        <f t="shared" si="0"/>
        <v>92000</v>
      </c>
      <c r="B35" s="515"/>
      <c r="C35" s="532">
        <v>2</v>
      </c>
      <c r="D35" s="515"/>
      <c r="E35" s="533">
        <f t="shared" si="6"/>
        <v>40</v>
      </c>
      <c r="F35" s="533"/>
      <c r="G35" s="533">
        <f t="shared" si="1"/>
        <v>184000</v>
      </c>
      <c r="H35" s="533"/>
      <c r="I35" s="533">
        <f t="shared" si="7"/>
        <v>1392000</v>
      </c>
      <c r="J35" s="533"/>
      <c r="K35" s="533">
        <f t="shared" si="2"/>
        <v>4</v>
      </c>
      <c r="L35" s="533"/>
      <c r="M35" s="533">
        <f t="shared" si="3"/>
        <v>1760000</v>
      </c>
      <c r="N35" s="515"/>
      <c r="O35" s="534">
        <f t="shared" si="4"/>
        <v>0.73186119873817035</v>
      </c>
      <c r="P35" s="532">
        <v>92</v>
      </c>
      <c r="T35" s="536" t="e">
        <f t="shared" si="5"/>
        <v>#REF!</v>
      </c>
    </row>
    <row r="36" spans="1:20">
      <c r="A36" s="552">
        <f t="shared" si="0"/>
        <v>94000</v>
      </c>
      <c r="B36" s="515"/>
      <c r="C36" s="532">
        <v>1</v>
      </c>
      <c r="D36" s="515"/>
      <c r="E36" s="533">
        <f t="shared" si="6"/>
        <v>41</v>
      </c>
      <c r="F36" s="533"/>
      <c r="G36" s="533">
        <f t="shared" si="1"/>
        <v>94000</v>
      </c>
      <c r="H36" s="533"/>
      <c r="I36" s="533">
        <f t="shared" si="7"/>
        <v>1486000</v>
      </c>
      <c r="J36" s="533"/>
      <c r="K36" s="533">
        <f t="shared" si="2"/>
        <v>3</v>
      </c>
      <c r="L36" s="533"/>
      <c r="M36" s="533">
        <f t="shared" si="3"/>
        <v>1768000</v>
      </c>
      <c r="N36" s="515"/>
      <c r="O36" s="534">
        <f t="shared" si="4"/>
        <v>0.78128286014721349</v>
      </c>
      <c r="P36" s="532">
        <v>94</v>
      </c>
      <c r="T36" s="536" t="e">
        <f t="shared" si="5"/>
        <v>#REF!</v>
      </c>
    </row>
    <row r="37" spans="1:20">
      <c r="A37" s="552">
        <f t="shared" si="0"/>
        <v>96000</v>
      </c>
      <c r="B37" s="515"/>
      <c r="C37" s="532">
        <v>1</v>
      </c>
      <c r="D37" s="515"/>
      <c r="E37" s="533">
        <f t="shared" si="6"/>
        <v>42</v>
      </c>
      <c r="F37" s="533"/>
      <c r="G37" s="533">
        <f t="shared" si="1"/>
        <v>96000</v>
      </c>
      <c r="H37" s="533"/>
      <c r="I37" s="533">
        <f t="shared" si="7"/>
        <v>1582000</v>
      </c>
      <c r="J37" s="533"/>
      <c r="K37" s="533">
        <f t="shared" si="2"/>
        <v>2</v>
      </c>
      <c r="L37" s="533"/>
      <c r="M37" s="533">
        <f t="shared" si="3"/>
        <v>1774000</v>
      </c>
      <c r="N37" s="515"/>
      <c r="O37" s="534">
        <f t="shared" si="4"/>
        <v>0.83175604626708732</v>
      </c>
      <c r="P37" s="532">
        <v>96</v>
      </c>
      <c r="T37" s="536" t="e">
        <f t="shared" si="5"/>
        <v>#REF!</v>
      </c>
    </row>
    <row r="38" spans="1:20">
      <c r="A38" s="552">
        <f t="shared" si="0"/>
        <v>128000</v>
      </c>
      <c r="B38" s="515"/>
      <c r="C38" s="532">
        <v>1</v>
      </c>
      <c r="D38" s="515"/>
      <c r="E38" s="533">
        <f t="shared" si="6"/>
        <v>43</v>
      </c>
      <c r="F38" s="533"/>
      <c r="G38" s="533">
        <f t="shared" si="1"/>
        <v>128000</v>
      </c>
      <c r="H38" s="533"/>
      <c r="I38" s="533">
        <f t="shared" si="7"/>
        <v>1710000</v>
      </c>
      <c r="J38" s="533"/>
      <c r="K38" s="533">
        <f t="shared" si="2"/>
        <v>1</v>
      </c>
      <c r="L38" s="533"/>
      <c r="M38" s="533">
        <f t="shared" si="3"/>
        <v>1838000</v>
      </c>
      <c r="N38" s="515"/>
      <c r="O38" s="534">
        <f t="shared" si="4"/>
        <v>0.89905362776025233</v>
      </c>
      <c r="P38" s="532">
        <v>128</v>
      </c>
      <c r="T38" s="536" t="e">
        <f t="shared" si="5"/>
        <v>#REF!</v>
      </c>
    </row>
    <row r="39" spans="1:20">
      <c r="A39" s="552">
        <f t="shared" si="0"/>
        <v>192000</v>
      </c>
      <c r="B39" s="515"/>
      <c r="C39" s="532">
        <v>1</v>
      </c>
      <c r="D39" s="515"/>
      <c r="E39" s="533">
        <f t="shared" si="6"/>
        <v>44</v>
      </c>
      <c r="F39" s="533"/>
      <c r="G39" s="533">
        <f t="shared" si="1"/>
        <v>192000</v>
      </c>
      <c r="H39" s="533"/>
      <c r="I39" s="533">
        <f t="shared" si="7"/>
        <v>1902000</v>
      </c>
      <c r="J39" s="533"/>
      <c r="K39" s="533">
        <f t="shared" si="2"/>
        <v>0</v>
      </c>
      <c r="L39" s="533"/>
      <c r="M39" s="533">
        <f t="shared" si="3"/>
        <v>1902000</v>
      </c>
      <c r="N39" s="515"/>
      <c r="O39" s="534">
        <f t="shared" si="4"/>
        <v>1</v>
      </c>
      <c r="P39" s="532">
        <v>192</v>
      </c>
      <c r="T39" s="536" t="e">
        <f t="shared" si="5"/>
        <v>#REF!</v>
      </c>
    </row>
    <row r="40" spans="1:20">
      <c r="A40" s="552"/>
      <c r="B40" s="515"/>
      <c r="C40" s="568"/>
      <c r="D40" s="515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61"/>
      <c r="T40" s="536"/>
    </row>
    <row r="41" spans="1:20">
      <c r="A41" s="552"/>
      <c r="B41" s="515"/>
      <c r="C41" s="568"/>
      <c r="D41" s="515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61"/>
      <c r="T41" s="536"/>
    </row>
    <row r="42" spans="1:20">
      <c r="A42" s="552"/>
      <c r="B42" s="515"/>
      <c r="C42" s="568"/>
      <c r="D42" s="515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61"/>
      <c r="T42" s="536"/>
    </row>
    <row r="43" spans="1:20">
      <c r="A43" s="552"/>
      <c r="B43" s="515"/>
      <c r="C43" s="568"/>
      <c r="D43" s="515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61"/>
      <c r="T43" s="536"/>
    </row>
    <row r="44" spans="1:20">
      <c r="A44" s="552"/>
      <c r="B44" s="515"/>
      <c r="C44" s="568"/>
      <c r="D44" s="515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61"/>
      <c r="T44" s="536"/>
    </row>
    <row r="45" spans="1:20">
      <c r="A45" s="552"/>
      <c r="B45" s="515"/>
      <c r="C45" s="568"/>
      <c r="D45" s="515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61"/>
      <c r="T45" s="536"/>
    </row>
    <row r="46" spans="1:20">
      <c r="A46" s="531"/>
      <c r="B46" s="529"/>
      <c r="C46" s="561"/>
      <c r="D46" s="529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61"/>
      <c r="T46" s="536"/>
    </row>
    <row r="47" spans="1:20">
      <c r="A47" s="531"/>
      <c r="B47" s="523"/>
      <c r="C47" s="561"/>
      <c r="D47" s="52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61"/>
      <c r="T47" s="554" t="e">
        <f>SUM(T10:T39)</f>
        <v>#REF!</v>
      </c>
    </row>
    <row r="48" spans="1:20" hidden="1">
      <c r="J48" s="533"/>
      <c r="K48" s="533"/>
      <c r="L48" s="533"/>
      <c r="M48" s="533"/>
      <c r="N48" s="515"/>
      <c r="O48" s="534"/>
      <c r="P48" s="561"/>
      <c r="T48" s="536">
        <v>5022</v>
      </c>
    </row>
    <row r="49" spans="1:20" hidden="1">
      <c r="A49" s="580"/>
      <c r="C49" s="545"/>
      <c r="D49" s="545"/>
      <c r="E49" s="545"/>
      <c r="F49" s="545"/>
      <c r="G49" s="545"/>
      <c r="H49" s="545"/>
      <c r="I49" s="545"/>
      <c r="J49" s="533"/>
      <c r="K49" s="533"/>
      <c r="L49" s="533"/>
      <c r="M49" s="533"/>
      <c r="N49" s="515"/>
      <c r="O49" s="534"/>
      <c r="P49" s="561"/>
      <c r="T49" s="536" t="e">
        <f>T47-T48</f>
        <v>#REF!</v>
      </c>
    </row>
    <row r="50" spans="1:20" hidden="1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61"/>
      <c r="T50" s="569" t="e">
        <f>T49/T47</f>
        <v>#REF!</v>
      </c>
    </row>
    <row r="51" spans="1:20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61"/>
      <c r="T51" s="536"/>
    </row>
    <row r="52" spans="1:20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61"/>
      <c r="T52" s="536"/>
    </row>
    <row r="53" spans="1:20">
      <c r="A53" s="531"/>
      <c r="B53" s="544"/>
      <c r="C53" s="561"/>
      <c r="D53" s="545"/>
      <c r="E53" s="533"/>
      <c r="F53" s="533"/>
      <c r="G53" s="533"/>
      <c r="H53" s="533"/>
      <c r="I53" s="533"/>
      <c r="J53" s="545"/>
      <c r="K53" s="533"/>
      <c r="L53" s="545"/>
      <c r="M53" s="533"/>
      <c r="O53" s="534"/>
      <c r="P53" s="561"/>
      <c r="T53" s="536"/>
    </row>
    <row r="54" spans="1:20">
      <c r="A54" s="531"/>
      <c r="B54" s="515"/>
      <c r="C54" s="561"/>
      <c r="D54" s="515"/>
      <c r="E54" s="533"/>
      <c r="F54" s="533"/>
      <c r="G54" s="533"/>
      <c r="H54" s="533"/>
      <c r="I54" s="533"/>
      <c r="J54" s="515"/>
      <c r="K54" s="533"/>
      <c r="L54" s="515"/>
      <c r="M54" s="533"/>
      <c r="N54" s="515"/>
      <c r="O54" s="534"/>
      <c r="P54" s="561"/>
      <c r="T54" s="536"/>
    </row>
    <row r="55" spans="1:20">
      <c r="A55" s="531"/>
      <c r="B55" s="515"/>
      <c r="C55" s="561"/>
      <c r="D55" s="515"/>
      <c r="E55" s="533"/>
      <c r="F55" s="533"/>
      <c r="G55" s="533"/>
      <c r="H55" s="533"/>
      <c r="I55" s="533"/>
      <c r="J55" s="515"/>
      <c r="K55" s="533"/>
      <c r="L55" s="515"/>
      <c r="M55" s="533"/>
      <c r="N55" s="515"/>
      <c r="O55" s="534"/>
      <c r="P55" s="561"/>
      <c r="T55" s="536"/>
    </row>
    <row r="56" spans="1:20">
      <c r="A56" s="531"/>
      <c r="B56" s="529"/>
      <c r="C56" s="561"/>
      <c r="D56" s="529"/>
      <c r="E56" s="533"/>
      <c r="F56" s="533"/>
      <c r="G56" s="533"/>
      <c r="H56" s="533"/>
      <c r="I56" s="533"/>
      <c r="J56" s="529"/>
      <c r="K56" s="533"/>
      <c r="L56" s="529"/>
      <c r="M56" s="533"/>
      <c r="N56" s="529"/>
      <c r="O56" s="534"/>
      <c r="P56" s="561"/>
      <c r="T56" s="536"/>
    </row>
    <row r="57" spans="1:20">
      <c r="A57" s="531"/>
      <c r="B57" s="523"/>
      <c r="C57" s="561"/>
      <c r="D57" s="523"/>
      <c r="E57" s="533"/>
      <c r="F57" s="533"/>
      <c r="G57" s="533"/>
      <c r="H57" s="533"/>
      <c r="I57" s="533"/>
      <c r="J57" s="523"/>
      <c r="K57" s="533"/>
      <c r="L57" s="523"/>
      <c r="M57" s="533"/>
      <c r="N57" s="523"/>
      <c r="O57" s="534"/>
      <c r="P57" s="561"/>
      <c r="T57" s="536"/>
    </row>
    <row r="58" spans="1:20">
      <c r="A58" s="531"/>
      <c r="B58" s="525"/>
      <c r="C58" s="561"/>
      <c r="D58" s="525"/>
      <c r="E58" s="533"/>
      <c r="F58" s="533"/>
      <c r="G58" s="533"/>
      <c r="H58" s="533"/>
      <c r="I58" s="533"/>
      <c r="J58" s="525"/>
      <c r="K58" s="533"/>
      <c r="L58" s="525"/>
      <c r="M58" s="533"/>
      <c r="N58" s="525"/>
      <c r="O58" s="534"/>
      <c r="P58" s="561"/>
      <c r="T58" s="536"/>
    </row>
    <row r="59" spans="1:20">
      <c r="A59" s="531"/>
      <c r="B59" s="525"/>
      <c r="C59" s="561"/>
      <c r="D59" s="525"/>
      <c r="E59" s="533"/>
      <c r="F59" s="533"/>
      <c r="G59" s="533"/>
      <c r="H59" s="533"/>
      <c r="I59" s="533"/>
      <c r="J59" s="525"/>
      <c r="K59" s="533"/>
      <c r="L59" s="525"/>
      <c r="M59" s="533"/>
      <c r="N59" s="525"/>
      <c r="O59" s="534"/>
      <c r="P59" s="561"/>
      <c r="T59" s="536"/>
    </row>
    <row r="60" spans="1:20">
      <c r="A60" s="531"/>
      <c r="B60" s="525"/>
      <c r="C60" s="561"/>
      <c r="D60" s="525"/>
      <c r="E60" s="533"/>
      <c r="F60" s="533"/>
      <c r="G60" s="533"/>
      <c r="H60" s="533"/>
      <c r="I60" s="533"/>
      <c r="J60" s="525"/>
      <c r="K60" s="533"/>
      <c r="L60" s="525"/>
      <c r="M60" s="533"/>
      <c r="N60" s="525"/>
      <c r="O60" s="534"/>
      <c r="P60" s="561"/>
      <c r="T60" s="536"/>
    </row>
    <row r="61" spans="1:20">
      <c r="A61" s="531"/>
      <c r="B61" s="515"/>
      <c r="C61" s="561"/>
      <c r="D61" s="529"/>
      <c r="E61" s="533"/>
      <c r="F61" s="533"/>
      <c r="G61" s="533"/>
      <c r="H61" s="533"/>
      <c r="I61" s="533"/>
      <c r="J61" s="529"/>
      <c r="K61" s="533"/>
      <c r="L61" s="529"/>
      <c r="M61" s="533"/>
      <c r="N61" s="529"/>
      <c r="O61" s="534"/>
      <c r="P61" s="561"/>
      <c r="T61" s="536"/>
    </row>
    <row r="62" spans="1:20">
      <c r="A62" s="531"/>
      <c r="B62" s="515"/>
      <c r="C62" s="561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61"/>
      <c r="T62" s="536"/>
    </row>
    <row r="63" spans="1:20">
      <c r="A63" s="531"/>
      <c r="B63" s="515"/>
      <c r="C63" s="561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61"/>
      <c r="T63" s="536"/>
    </row>
    <row r="64" spans="1:20">
      <c r="A64" s="531"/>
      <c r="B64" s="515"/>
      <c r="C64" s="561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61"/>
      <c r="T64" s="536"/>
    </row>
    <row r="65" spans="1:20">
      <c r="A65" s="531"/>
      <c r="B65" s="515"/>
      <c r="C65" s="561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61"/>
      <c r="T65" s="536"/>
    </row>
    <row r="66" spans="1:20">
      <c r="A66" s="531"/>
      <c r="B66" s="515"/>
      <c r="C66" s="561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61"/>
    </row>
    <row r="67" spans="1:20">
      <c r="A67" s="531"/>
      <c r="B67" s="515"/>
      <c r="C67" s="561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N67" s="515"/>
      <c r="O67" s="534"/>
      <c r="P67" s="561"/>
    </row>
    <row r="68" spans="1:20">
      <c r="A68" s="531"/>
      <c r="B68" s="515"/>
      <c r="C68" s="561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N68" s="515"/>
      <c r="O68" s="534"/>
      <c r="P68" s="561"/>
    </row>
    <row r="69" spans="1:20">
      <c r="A69" s="531"/>
      <c r="B69" s="515"/>
      <c r="C69" s="561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N69" s="515"/>
      <c r="O69" s="534"/>
      <c r="P69" s="561"/>
    </row>
    <row r="70" spans="1:20">
      <c r="A70" s="531"/>
      <c r="B70" s="515"/>
      <c r="C70" s="561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N70" s="515"/>
      <c r="O70" s="534"/>
      <c r="P70" s="561"/>
    </row>
    <row r="71" spans="1:20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34"/>
    </row>
    <row r="72" spans="1:20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34"/>
    </row>
    <row r="73" spans="1:20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34"/>
    </row>
    <row r="74" spans="1:20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34"/>
    </row>
    <row r="75" spans="1:20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O75" s="534"/>
    </row>
    <row r="76" spans="1:20">
      <c r="A76" s="580"/>
      <c r="C76" s="545"/>
      <c r="D76" s="545"/>
      <c r="E76" s="545"/>
      <c r="F76" s="545"/>
      <c r="G76" s="545"/>
      <c r="H76" s="545"/>
      <c r="I76" s="545"/>
      <c r="J76" s="545"/>
      <c r="K76" s="545"/>
      <c r="L76" s="545"/>
      <c r="M76" s="545"/>
      <c r="O76" s="534"/>
    </row>
    <row r="77" spans="1:20">
      <c r="A77" s="580"/>
      <c r="C77" s="545"/>
      <c r="D77" s="545"/>
      <c r="E77" s="545"/>
      <c r="F77" s="545"/>
      <c r="G77" s="545"/>
      <c r="H77" s="545"/>
      <c r="I77" s="545"/>
      <c r="J77" s="545"/>
      <c r="K77" s="545"/>
      <c r="L77" s="545"/>
      <c r="M77" s="545"/>
      <c r="O77" s="534"/>
    </row>
    <row r="78" spans="1:20">
      <c r="A78" s="580"/>
      <c r="C78" s="545"/>
      <c r="D78" s="545"/>
      <c r="E78" s="545"/>
      <c r="F78" s="545"/>
      <c r="G78" s="545"/>
      <c r="H78" s="545"/>
      <c r="I78" s="545"/>
      <c r="J78" s="545"/>
      <c r="K78" s="545"/>
      <c r="L78" s="545"/>
      <c r="M78" s="545"/>
      <c r="O78" s="534"/>
    </row>
    <row r="79" spans="1:20">
      <c r="A79" s="580"/>
      <c r="C79" s="545"/>
      <c r="D79" s="545"/>
      <c r="E79" s="545"/>
      <c r="F79" s="545"/>
      <c r="G79" s="545"/>
      <c r="H79" s="545"/>
      <c r="I79" s="545"/>
      <c r="J79" s="545"/>
      <c r="K79" s="545"/>
      <c r="L79" s="545"/>
      <c r="M79" s="545"/>
      <c r="O79" s="534"/>
    </row>
    <row r="80" spans="1:20">
      <c r="A80" s="580"/>
      <c r="C80" s="545"/>
      <c r="D80" s="545"/>
      <c r="E80" s="545"/>
      <c r="F80" s="545"/>
      <c r="G80" s="545"/>
      <c r="H80" s="545"/>
      <c r="I80" s="545"/>
      <c r="J80" s="545"/>
      <c r="K80" s="545"/>
      <c r="L80" s="545"/>
      <c r="M80" s="545"/>
      <c r="O80" s="534"/>
    </row>
    <row r="81" spans="1:15">
      <c r="A81" s="580"/>
      <c r="C81" s="545"/>
      <c r="D81" s="545"/>
      <c r="E81" s="545"/>
      <c r="F81" s="545"/>
      <c r="G81" s="545"/>
      <c r="H81" s="545"/>
      <c r="I81" s="545"/>
      <c r="J81" s="545"/>
      <c r="K81" s="545"/>
      <c r="L81" s="545"/>
      <c r="M81" s="545"/>
      <c r="O81" s="534"/>
    </row>
    <row r="82" spans="1:15">
      <c r="A82" s="580"/>
      <c r="C82" s="545"/>
      <c r="D82" s="545"/>
      <c r="E82" s="545"/>
      <c r="F82" s="545"/>
      <c r="G82" s="545"/>
      <c r="H82" s="545"/>
      <c r="I82" s="545"/>
      <c r="J82" s="545"/>
      <c r="K82" s="545"/>
      <c r="L82" s="545"/>
      <c r="M82" s="545"/>
      <c r="O82" s="534"/>
    </row>
    <row r="83" spans="1:15">
      <c r="A83" s="580"/>
      <c r="C83" s="545"/>
      <c r="D83" s="545"/>
      <c r="E83" s="545"/>
      <c r="F83" s="545"/>
      <c r="G83" s="545"/>
      <c r="H83" s="545"/>
      <c r="I83" s="545"/>
      <c r="J83" s="545"/>
      <c r="K83" s="545"/>
      <c r="L83" s="545"/>
      <c r="M83" s="545"/>
      <c r="O83" s="534"/>
    </row>
    <row r="84" spans="1:15">
      <c r="A84" s="580"/>
      <c r="C84" s="545"/>
      <c r="D84" s="545"/>
      <c r="E84" s="545"/>
      <c r="F84" s="545"/>
      <c r="G84" s="545"/>
      <c r="H84" s="545"/>
      <c r="I84" s="545"/>
      <c r="J84" s="545"/>
      <c r="K84" s="545"/>
      <c r="L84" s="545"/>
      <c r="M84" s="545"/>
      <c r="O84" s="534"/>
    </row>
    <row r="85" spans="1:15">
      <c r="A85" s="580"/>
      <c r="C85" s="545"/>
      <c r="D85" s="545"/>
      <c r="E85" s="545"/>
      <c r="F85" s="545"/>
      <c r="G85" s="545"/>
      <c r="H85" s="545"/>
      <c r="I85" s="545"/>
      <c r="J85" s="545"/>
      <c r="K85" s="545"/>
      <c r="L85" s="545"/>
      <c r="M85" s="545"/>
      <c r="O85" s="534"/>
    </row>
    <row r="86" spans="1:15">
      <c r="A86" s="580"/>
      <c r="C86" s="545"/>
      <c r="D86" s="545"/>
      <c r="E86" s="545"/>
      <c r="F86" s="545"/>
      <c r="G86" s="545"/>
      <c r="H86" s="545"/>
      <c r="I86" s="545"/>
      <c r="J86" s="545"/>
      <c r="K86" s="545"/>
      <c r="L86" s="545"/>
      <c r="M86" s="545"/>
      <c r="O86" s="534"/>
    </row>
    <row r="87" spans="1:15">
      <c r="A87" s="580"/>
      <c r="C87" s="545"/>
      <c r="D87" s="545"/>
      <c r="E87" s="545"/>
      <c r="F87" s="545"/>
      <c r="G87" s="545"/>
      <c r="H87" s="545"/>
      <c r="I87" s="545"/>
      <c r="J87" s="545"/>
      <c r="K87" s="545"/>
      <c r="L87" s="545"/>
      <c r="M87" s="545"/>
      <c r="O87" s="534"/>
    </row>
    <row r="88" spans="1:15">
      <c r="A88" s="580"/>
      <c r="C88" s="545"/>
      <c r="D88" s="545"/>
      <c r="E88" s="545"/>
      <c r="F88" s="545"/>
      <c r="G88" s="545"/>
      <c r="H88" s="545"/>
      <c r="I88" s="545"/>
      <c r="J88" s="545"/>
      <c r="K88" s="545"/>
      <c r="L88" s="545"/>
      <c r="M88" s="545"/>
      <c r="O88" s="534"/>
    </row>
    <row r="89" spans="1:15">
      <c r="A89" s="580"/>
      <c r="C89" s="545"/>
      <c r="D89" s="545"/>
      <c r="E89" s="545"/>
      <c r="F89" s="545"/>
      <c r="G89" s="545"/>
      <c r="H89" s="545"/>
      <c r="I89" s="545"/>
      <c r="J89" s="545"/>
      <c r="K89" s="545"/>
      <c r="L89" s="545"/>
      <c r="M89" s="545"/>
      <c r="O89" s="534"/>
    </row>
    <row r="90" spans="1:15">
      <c r="A90" s="580"/>
      <c r="C90" s="545"/>
      <c r="D90" s="545"/>
      <c r="E90" s="545"/>
      <c r="F90" s="545"/>
      <c r="G90" s="545"/>
      <c r="H90" s="545"/>
      <c r="I90" s="545"/>
      <c r="J90" s="545"/>
      <c r="K90" s="545"/>
      <c r="L90" s="545"/>
      <c r="M90" s="545"/>
      <c r="O90" s="534"/>
    </row>
    <row r="91" spans="1:15">
      <c r="A91" s="580"/>
      <c r="C91" s="545"/>
      <c r="D91" s="545"/>
      <c r="E91" s="545"/>
      <c r="F91" s="545"/>
      <c r="G91" s="545"/>
      <c r="H91" s="545"/>
      <c r="I91" s="545"/>
      <c r="J91" s="545"/>
      <c r="K91" s="545"/>
      <c r="L91" s="545"/>
      <c r="M91" s="545"/>
      <c r="O91" s="534"/>
    </row>
    <row r="92" spans="1:15">
      <c r="A92" s="580"/>
      <c r="C92" s="545"/>
      <c r="D92" s="545"/>
      <c r="E92" s="545"/>
      <c r="F92" s="545"/>
      <c r="G92" s="545"/>
      <c r="H92" s="545"/>
      <c r="I92" s="545"/>
      <c r="J92" s="545"/>
      <c r="K92" s="545"/>
      <c r="L92" s="545"/>
      <c r="M92" s="545"/>
      <c r="O92" s="515"/>
    </row>
    <row r="93" spans="1:15">
      <c r="O93" s="515"/>
    </row>
    <row r="94" spans="1:15">
      <c r="O94" s="515"/>
    </row>
    <row r="95" spans="1:15">
      <c r="O95" s="515"/>
    </row>
    <row r="96" spans="1:15">
      <c r="O96" s="515"/>
    </row>
    <row r="97" spans="15:15">
      <c r="O97" s="515"/>
    </row>
    <row r="98" spans="15:15">
      <c r="O98" s="515"/>
    </row>
    <row r="99" spans="15:15">
      <c r="O99" s="515"/>
    </row>
    <row r="100" spans="15:15">
      <c r="O100" s="515"/>
    </row>
    <row r="101" spans="15:15">
      <c r="O101" s="515"/>
    </row>
    <row r="102" spans="15:15">
      <c r="O102" s="515"/>
    </row>
    <row r="103" spans="15:15">
      <c r="O103" s="515"/>
    </row>
    <row r="104" spans="15:15">
      <c r="O104" s="515"/>
    </row>
    <row r="105" spans="15:15">
      <c r="O105" s="515"/>
    </row>
    <row r="106" spans="15:15">
      <c r="O106" s="515"/>
    </row>
    <row r="107" spans="15:15">
      <c r="O107" s="515"/>
    </row>
    <row r="108" spans="15:15">
      <c r="O108" s="515"/>
    </row>
    <row r="109" spans="15:15">
      <c r="O109" s="515"/>
    </row>
    <row r="110" spans="15:15">
      <c r="O110" s="515"/>
    </row>
    <row r="111" spans="15:15">
      <c r="O111" s="515"/>
    </row>
    <row r="112" spans="15:15">
      <c r="O112" s="515"/>
    </row>
    <row r="113" spans="15:15">
      <c r="O113" s="515"/>
    </row>
    <row r="114" spans="15:15">
      <c r="O114" s="515"/>
    </row>
    <row r="115" spans="15:15">
      <c r="O115" s="515"/>
    </row>
    <row r="116" spans="15:15">
      <c r="O116" s="515"/>
    </row>
    <row r="117" spans="15:15">
      <c r="O117" s="515"/>
    </row>
    <row r="118" spans="15:15">
      <c r="O118" s="515"/>
    </row>
    <row r="119" spans="15:15">
      <c r="O119" s="515"/>
    </row>
    <row r="120" spans="15:15">
      <c r="O120" s="515"/>
    </row>
    <row r="121" spans="15:15">
      <c r="O121" s="515"/>
    </row>
    <row r="122" spans="15:15">
      <c r="O122" s="515"/>
    </row>
    <row r="123" spans="15:15">
      <c r="O123" s="515"/>
    </row>
    <row r="124" spans="15:15">
      <c r="O124" s="515"/>
    </row>
    <row r="125" spans="15:15">
      <c r="O125" s="515"/>
    </row>
    <row r="126" spans="15:15">
      <c r="O126" s="515"/>
    </row>
    <row r="127" spans="15:15">
      <c r="O127" s="515"/>
    </row>
    <row r="128" spans="15:15">
      <c r="O128" s="515"/>
    </row>
    <row r="129" spans="15:15">
      <c r="O129" s="515"/>
    </row>
    <row r="130" spans="15:15">
      <c r="O130" s="515"/>
    </row>
    <row r="131" spans="15:15">
      <c r="O131" s="515"/>
    </row>
    <row r="132" spans="15:15">
      <c r="O132" s="515"/>
    </row>
    <row r="133" spans="15:15">
      <c r="O133" s="515"/>
    </row>
    <row r="134" spans="15:15">
      <c r="O134" s="515"/>
    </row>
    <row r="135" spans="15:15">
      <c r="O135" s="515"/>
    </row>
    <row r="136" spans="15:15">
      <c r="O136" s="515"/>
    </row>
    <row r="137" spans="15:15">
      <c r="O137" s="515"/>
    </row>
    <row r="138" spans="15:15">
      <c r="O138" s="515"/>
    </row>
    <row r="139" spans="15:15">
      <c r="O139" s="515"/>
    </row>
    <row r="140" spans="15:15">
      <c r="O140" s="515"/>
    </row>
    <row r="141" spans="15:15">
      <c r="O141" s="515"/>
    </row>
    <row r="142" spans="15:15">
      <c r="O142" s="515"/>
    </row>
    <row r="143" spans="15:15">
      <c r="O143" s="515"/>
    </row>
    <row r="144" spans="15:15">
      <c r="O144" s="515"/>
    </row>
    <row r="145" spans="15:15">
      <c r="O145" s="515"/>
    </row>
    <row r="146" spans="15:15">
      <c r="O146" s="515"/>
    </row>
    <row r="147" spans="15:15">
      <c r="O147" s="515"/>
    </row>
    <row r="148" spans="15:15">
      <c r="O148" s="515"/>
    </row>
    <row r="149" spans="15:15">
      <c r="O149" s="515"/>
    </row>
    <row r="150" spans="15:15">
      <c r="O150" s="515"/>
    </row>
    <row r="151" spans="15:15">
      <c r="O151" s="515"/>
    </row>
    <row r="152" spans="15:15">
      <c r="O152" s="515"/>
    </row>
    <row r="153" spans="15:15">
      <c r="O153" s="515"/>
    </row>
    <row r="154" spans="15:15">
      <c r="O154" s="515"/>
    </row>
    <row r="155" spans="15:15">
      <c r="O155" s="515"/>
    </row>
    <row r="156" spans="15:15">
      <c r="O156" s="515"/>
    </row>
    <row r="157" spans="15:15">
      <c r="O157" s="515"/>
    </row>
    <row r="158" spans="15:15">
      <c r="O158" s="515"/>
    </row>
    <row r="159" spans="15:15">
      <c r="O159" s="515"/>
    </row>
    <row r="160" spans="15:15">
      <c r="O160" s="515"/>
    </row>
    <row r="161" spans="15:15">
      <c r="O161" s="515"/>
    </row>
    <row r="162" spans="15:15">
      <c r="O162" s="515"/>
    </row>
    <row r="163" spans="15:15">
      <c r="O163" s="51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6"/>
  <sheetViews>
    <sheetView showGridLines="0" topLeftCell="J43" workbookViewId="0">
      <selection activeCell="J58" sqref="A58:IV6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2.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e">
        <f>#REF!</f>
        <v>#REF!</v>
      </c>
      <c r="S2" s="518"/>
      <c r="T2" s="519" t="e">
        <f>#REF!</f>
        <v>#REF!</v>
      </c>
    </row>
    <row r="3" spans="1:20">
      <c r="A3" s="513" t="s">
        <v>298</v>
      </c>
      <c r="M3" s="520" t="s">
        <v>303</v>
      </c>
      <c r="R3" s="518" t="e">
        <f>#REF!</f>
        <v>#REF!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e">
        <f>#REF!</f>
        <v>#REF!</v>
      </c>
      <c r="S4" s="518"/>
      <c r="T4" s="519" t="e">
        <f>#REF!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e">
        <f>#REF!</f>
        <v>#REF!</v>
      </c>
      <c r="S5" s="518"/>
      <c r="T5" s="519" t="e">
        <f>#REF!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e">
        <f>#REF!</f>
        <v>#REF!</v>
      </c>
      <c r="S6" s="518"/>
      <c r="T6" s="519" t="e">
        <f>#REF!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 t="shared" ref="A10:A41" si="0">P10*1000</f>
        <v>0</v>
      </c>
      <c r="B10" s="515"/>
      <c r="C10" s="532">
        <v>11</v>
      </c>
      <c r="D10" s="533"/>
      <c r="E10" s="533">
        <f>C10</f>
        <v>11</v>
      </c>
      <c r="F10" s="533"/>
      <c r="G10" s="533">
        <f t="shared" ref="G10:G41" si="1">A10*C10</f>
        <v>0</v>
      </c>
      <c r="H10" s="533"/>
      <c r="I10" s="533">
        <f>G10</f>
        <v>0</v>
      </c>
      <c r="J10" s="533"/>
      <c r="K10" s="533">
        <f t="shared" ref="K10:K41" si="2">$E$65-E10</f>
        <v>88</v>
      </c>
      <c r="L10" s="533"/>
      <c r="M10" s="533">
        <f t="shared" ref="M10:M41" si="3">(A10*K10)+I10</f>
        <v>0</v>
      </c>
      <c r="N10" s="515"/>
      <c r="O10" s="534">
        <f t="shared" ref="O10:O41" si="4">I10/$I$65</f>
        <v>0</v>
      </c>
      <c r="P10" s="532">
        <v>0</v>
      </c>
      <c r="Q10" s="561"/>
      <c r="R10" s="535"/>
      <c r="T10" s="536" t="e">
        <f t="shared" ref="T10:T41" si="5">IF(A10&lt;21400,C10*$T$2,IF(A10=21400,C10*$T$2,IF(AND(A10&lt;26000,A10&gt;21400),(C10*$T$2)+((A10-21400)*C10/1000*$T$3),IF(AND(A10&gt;25000,A10&lt;51000),(C10*$T$2)+(3.6*$T$3*C10)+((A10-25000)/1000*$T$4*C10),IF(AND(A10&lt;101000,A10&gt;50000),(C10*$T$2)+(3.6*$T$3*C10)+(25*$T$4*C10)+((A10-50000)/1000*$T$5*C10),IF(A10&gt;100000,(C10*$T$2)+(3.6*$T$3*C10)+(25*$T$4*C10)+(50*$T$5*C10)+((A10-100000)/1000*$T$6*C10)))))))</f>
        <v>#REF!</v>
      </c>
    </row>
    <row r="11" spans="1:20">
      <c r="A11" s="531">
        <f t="shared" si="0"/>
        <v>9000</v>
      </c>
      <c r="B11" s="515"/>
      <c r="C11" s="532">
        <v>1</v>
      </c>
      <c r="D11" s="533"/>
      <c r="E11" s="533">
        <f t="shared" ref="E11:E42" si="6">E10+C11</f>
        <v>12</v>
      </c>
      <c r="F11" s="533"/>
      <c r="G11" s="533">
        <f t="shared" si="1"/>
        <v>9000</v>
      </c>
      <c r="H11" s="533"/>
      <c r="I11" s="533">
        <f t="shared" ref="I11:I42" si="7">G11+I10</f>
        <v>9000</v>
      </c>
      <c r="J11" s="533"/>
      <c r="K11" s="533">
        <f t="shared" si="2"/>
        <v>87</v>
      </c>
      <c r="L11" s="533"/>
      <c r="M11" s="533">
        <f t="shared" si="3"/>
        <v>792000</v>
      </c>
      <c r="N11" s="515"/>
      <c r="O11" s="534">
        <f t="shared" si="4"/>
        <v>1.366742596810934E-3</v>
      </c>
      <c r="P11" s="532">
        <v>9</v>
      </c>
      <c r="Q11" s="561"/>
      <c r="R11" s="535"/>
      <c r="T11" s="536" t="e">
        <f t="shared" si="5"/>
        <v>#REF!</v>
      </c>
    </row>
    <row r="12" spans="1:20">
      <c r="A12" s="531">
        <f t="shared" si="0"/>
        <v>10000</v>
      </c>
      <c r="B12" s="515"/>
      <c r="C12" s="532">
        <v>4</v>
      </c>
      <c r="D12" s="533"/>
      <c r="E12" s="533">
        <f t="shared" si="6"/>
        <v>16</v>
      </c>
      <c r="F12" s="533"/>
      <c r="G12" s="533">
        <f t="shared" si="1"/>
        <v>40000</v>
      </c>
      <c r="H12" s="533"/>
      <c r="I12" s="533">
        <f t="shared" si="7"/>
        <v>49000</v>
      </c>
      <c r="J12" s="533"/>
      <c r="K12" s="533">
        <f t="shared" si="2"/>
        <v>83</v>
      </c>
      <c r="L12" s="533"/>
      <c r="M12" s="533">
        <f t="shared" si="3"/>
        <v>879000</v>
      </c>
      <c r="N12" s="515"/>
      <c r="O12" s="534">
        <f t="shared" si="4"/>
        <v>7.4411541381928627E-3</v>
      </c>
      <c r="P12" s="532">
        <v>10</v>
      </c>
      <c r="Q12" s="561"/>
      <c r="T12" s="536" t="e">
        <f t="shared" si="5"/>
        <v>#REF!</v>
      </c>
    </row>
    <row r="13" spans="1:20">
      <c r="A13" s="531">
        <f t="shared" si="0"/>
        <v>11000</v>
      </c>
      <c r="B13" s="515"/>
      <c r="C13" s="532">
        <v>3</v>
      </c>
      <c r="D13" s="533"/>
      <c r="E13" s="533">
        <f t="shared" si="6"/>
        <v>19</v>
      </c>
      <c r="F13" s="533"/>
      <c r="G13" s="533">
        <f t="shared" si="1"/>
        <v>33000</v>
      </c>
      <c r="H13" s="533"/>
      <c r="I13" s="533">
        <f t="shared" si="7"/>
        <v>82000</v>
      </c>
      <c r="J13" s="533"/>
      <c r="K13" s="533">
        <f t="shared" si="2"/>
        <v>80</v>
      </c>
      <c r="L13" s="533"/>
      <c r="M13" s="533">
        <f t="shared" si="3"/>
        <v>962000</v>
      </c>
      <c r="N13" s="515"/>
      <c r="O13" s="534">
        <f t="shared" si="4"/>
        <v>1.2452543659832954E-2</v>
      </c>
      <c r="P13" s="532">
        <v>11</v>
      </c>
      <c r="Q13" s="561"/>
      <c r="T13" s="536" t="e">
        <f t="shared" si="5"/>
        <v>#REF!</v>
      </c>
    </row>
    <row r="14" spans="1:20">
      <c r="A14" s="531">
        <f t="shared" si="0"/>
        <v>12000</v>
      </c>
      <c r="B14" s="515"/>
      <c r="C14" s="532">
        <v>3</v>
      </c>
      <c r="D14" s="533"/>
      <c r="E14" s="533">
        <f t="shared" si="6"/>
        <v>22</v>
      </c>
      <c r="F14" s="533"/>
      <c r="G14" s="533">
        <f t="shared" si="1"/>
        <v>36000</v>
      </c>
      <c r="H14" s="533"/>
      <c r="I14" s="533">
        <f t="shared" si="7"/>
        <v>118000</v>
      </c>
      <c r="J14" s="533"/>
      <c r="K14" s="533">
        <f t="shared" si="2"/>
        <v>77</v>
      </c>
      <c r="L14" s="533"/>
      <c r="M14" s="533">
        <f t="shared" si="3"/>
        <v>1042000</v>
      </c>
      <c r="N14" s="515"/>
      <c r="O14" s="534">
        <f t="shared" si="4"/>
        <v>1.7919514047076691E-2</v>
      </c>
      <c r="P14" s="532">
        <v>12</v>
      </c>
      <c r="Q14" s="561"/>
      <c r="T14" s="536" t="e">
        <f t="shared" si="5"/>
        <v>#REF!</v>
      </c>
    </row>
    <row r="15" spans="1:20">
      <c r="A15" s="531">
        <f t="shared" si="0"/>
        <v>13000</v>
      </c>
      <c r="B15" s="515"/>
      <c r="C15" s="532">
        <v>4</v>
      </c>
      <c r="D15" s="533"/>
      <c r="E15" s="533">
        <f t="shared" si="6"/>
        <v>26</v>
      </c>
      <c r="F15" s="533"/>
      <c r="G15" s="533">
        <f t="shared" si="1"/>
        <v>52000</v>
      </c>
      <c r="H15" s="533"/>
      <c r="I15" s="533">
        <f t="shared" si="7"/>
        <v>170000</v>
      </c>
      <c r="J15" s="533"/>
      <c r="K15" s="533">
        <f t="shared" si="2"/>
        <v>73</v>
      </c>
      <c r="L15" s="533"/>
      <c r="M15" s="533">
        <f t="shared" si="3"/>
        <v>1119000</v>
      </c>
      <c r="N15" s="515"/>
      <c r="O15" s="534">
        <f t="shared" si="4"/>
        <v>2.5816249050873197E-2</v>
      </c>
      <c r="P15" s="532">
        <v>13</v>
      </c>
      <c r="Q15" s="561"/>
      <c r="T15" s="536" t="e">
        <f t="shared" si="5"/>
        <v>#REF!</v>
      </c>
    </row>
    <row r="16" spans="1:20">
      <c r="A16" s="531">
        <f t="shared" si="0"/>
        <v>14000</v>
      </c>
      <c r="B16" s="515"/>
      <c r="C16" s="532">
        <v>4</v>
      </c>
      <c r="D16" s="533"/>
      <c r="E16" s="533">
        <f t="shared" si="6"/>
        <v>30</v>
      </c>
      <c r="F16" s="533"/>
      <c r="G16" s="533">
        <f t="shared" si="1"/>
        <v>56000</v>
      </c>
      <c r="H16" s="533"/>
      <c r="I16" s="533">
        <f t="shared" si="7"/>
        <v>226000</v>
      </c>
      <c r="J16" s="533"/>
      <c r="K16" s="533">
        <f t="shared" si="2"/>
        <v>69</v>
      </c>
      <c r="L16" s="533"/>
      <c r="M16" s="533">
        <f t="shared" si="3"/>
        <v>1192000</v>
      </c>
      <c r="N16" s="515"/>
      <c r="O16" s="534">
        <f t="shared" si="4"/>
        <v>3.4320425208807896E-2</v>
      </c>
      <c r="P16" s="532">
        <v>14</v>
      </c>
      <c r="Q16" s="561"/>
      <c r="T16" s="536" t="e">
        <f t="shared" si="5"/>
        <v>#REF!</v>
      </c>
    </row>
    <row r="17" spans="1:20">
      <c r="A17" s="531">
        <f t="shared" si="0"/>
        <v>15000</v>
      </c>
      <c r="B17" s="515"/>
      <c r="C17" s="532">
        <v>1</v>
      </c>
      <c r="D17" s="533"/>
      <c r="E17" s="533">
        <f t="shared" si="6"/>
        <v>31</v>
      </c>
      <c r="F17" s="533"/>
      <c r="G17" s="533">
        <f t="shared" si="1"/>
        <v>15000</v>
      </c>
      <c r="H17" s="533"/>
      <c r="I17" s="533">
        <f t="shared" si="7"/>
        <v>241000</v>
      </c>
      <c r="J17" s="533"/>
      <c r="K17" s="533">
        <f t="shared" si="2"/>
        <v>68</v>
      </c>
      <c r="L17" s="533"/>
      <c r="M17" s="533">
        <f t="shared" si="3"/>
        <v>1261000</v>
      </c>
      <c r="N17" s="515"/>
      <c r="O17" s="534">
        <f t="shared" si="4"/>
        <v>3.6598329536826117E-2</v>
      </c>
      <c r="P17" s="532">
        <v>15</v>
      </c>
      <c r="Q17" s="561"/>
      <c r="T17" s="536" t="e">
        <f t="shared" si="5"/>
        <v>#REF!</v>
      </c>
    </row>
    <row r="18" spans="1:20">
      <c r="A18" s="531">
        <f t="shared" si="0"/>
        <v>16000</v>
      </c>
      <c r="B18" s="515"/>
      <c r="C18" s="532">
        <v>1</v>
      </c>
      <c r="D18" s="533"/>
      <c r="E18" s="533">
        <f t="shared" si="6"/>
        <v>32</v>
      </c>
      <c r="F18" s="533"/>
      <c r="G18" s="533">
        <f t="shared" si="1"/>
        <v>16000</v>
      </c>
      <c r="H18" s="533"/>
      <c r="I18" s="533">
        <f t="shared" si="7"/>
        <v>257000</v>
      </c>
      <c r="J18" s="533"/>
      <c r="K18" s="533">
        <f t="shared" si="2"/>
        <v>67</v>
      </c>
      <c r="L18" s="533"/>
      <c r="M18" s="533">
        <f t="shared" si="3"/>
        <v>1329000</v>
      </c>
      <c r="N18" s="515"/>
      <c r="O18" s="534">
        <f t="shared" si="4"/>
        <v>3.9028094153378892E-2</v>
      </c>
      <c r="P18" s="532">
        <v>16</v>
      </c>
      <c r="Q18" s="561"/>
      <c r="T18" s="536" t="e">
        <f t="shared" si="5"/>
        <v>#REF!</v>
      </c>
    </row>
    <row r="19" spans="1:20">
      <c r="A19" s="531">
        <f t="shared" si="0"/>
        <v>17000</v>
      </c>
      <c r="B19" s="515"/>
      <c r="C19" s="532">
        <v>1</v>
      </c>
      <c r="D19" s="533"/>
      <c r="E19" s="533">
        <f t="shared" si="6"/>
        <v>33</v>
      </c>
      <c r="F19" s="533"/>
      <c r="G19" s="533">
        <f t="shared" si="1"/>
        <v>17000</v>
      </c>
      <c r="H19" s="533"/>
      <c r="I19" s="533">
        <f t="shared" si="7"/>
        <v>274000</v>
      </c>
      <c r="J19" s="533"/>
      <c r="K19" s="533">
        <f t="shared" si="2"/>
        <v>66</v>
      </c>
      <c r="L19" s="533"/>
      <c r="M19" s="533">
        <f t="shared" si="3"/>
        <v>1396000</v>
      </c>
      <c r="N19" s="515"/>
      <c r="O19" s="534">
        <f t="shared" si="4"/>
        <v>4.1609719058466214E-2</v>
      </c>
      <c r="P19" s="532">
        <v>17</v>
      </c>
      <c r="Q19" s="561"/>
      <c r="T19" s="536" t="e">
        <f t="shared" si="5"/>
        <v>#REF!</v>
      </c>
    </row>
    <row r="20" spans="1:20">
      <c r="A20" s="531">
        <f t="shared" si="0"/>
        <v>21000</v>
      </c>
      <c r="B20" s="515"/>
      <c r="C20" s="532">
        <v>2</v>
      </c>
      <c r="D20" s="533"/>
      <c r="E20" s="533">
        <f t="shared" si="6"/>
        <v>35</v>
      </c>
      <c r="F20" s="533"/>
      <c r="G20" s="533">
        <f t="shared" si="1"/>
        <v>42000</v>
      </c>
      <c r="H20" s="533"/>
      <c r="I20" s="533">
        <f t="shared" si="7"/>
        <v>316000</v>
      </c>
      <c r="J20" s="533"/>
      <c r="K20" s="533">
        <f t="shared" si="2"/>
        <v>64</v>
      </c>
      <c r="L20" s="533"/>
      <c r="M20" s="533">
        <f t="shared" si="3"/>
        <v>1660000</v>
      </c>
      <c r="N20" s="515"/>
      <c r="O20" s="534">
        <f t="shared" si="4"/>
        <v>4.7987851176917236E-2</v>
      </c>
      <c r="P20" s="532">
        <v>21</v>
      </c>
      <c r="Q20" s="561"/>
      <c r="T20" s="536" t="e">
        <f t="shared" si="5"/>
        <v>#REF!</v>
      </c>
    </row>
    <row r="21" spans="1:20">
      <c r="A21" s="531">
        <f t="shared" si="0"/>
        <v>23000</v>
      </c>
      <c r="B21" s="515"/>
      <c r="C21" s="532">
        <v>2</v>
      </c>
      <c r="D21" s="533"/>
      <c r="E21" s="533">
        <f t="shared" si="6"/>
        <v>37</v>
      </c>
      <c r="F21" s="533"/>
      <c r="G21" s="533">
        <f t="shared" si="1"/>
        <v>46000</v>
      </c>
      <c r="H21" s="533"/>
      <c r="I21" s="533">
        <f t="shared" si="7"/>
        <v>362000</v>
      </c>
      <c r="J21" s="533"/>
      <c r="K21" s="533">
        <f t="shared" si="2"/>
        <v>62</v>
      </c>
      <c r="L21" s="533"/>
      <c r="M21" s="533">
        <f t="shared" si="3"/>
        <v>1788000</v>
      </c>
      <c r="N21" s="515"/>
      <c r="O21" s="534">
        <f t="shared" si="4"/>
        <v>5.4973424449506453E-2</v>
      </c>
      <c r="P21" s="532">
        <v>23</v>
      </c>
      <c r="Q21" s="561"/>
      <c r="T21" s="536" t="e">
        <f t="shared" si="5"/>
        <v>#REF!</v>
      </c>
    </row>
    <row r="22" spans="1:20">
      <c r="A22" s="531">
        <f t="shared" si="0"/>
        <v>26000</v>
      </c>
      <c r="B22" s="515"/>
      <c r="C22" s="532">
        <v>5</v>
      </c>
      <c r="D22" s="533"/>
      <c r="E22" s="533">
        <f t="shared" si="6"/>
        <v>42</v>
      </c>
      <c r="F22" s="533"/>
      <c r="G22" s="533">
        <f t="shared" si="1"/>
        <v>130000</v>
      </c>
      <c r="H22" s="533"/>
      <c r="I22" s="533">
        <f t="shared" si="7"/>
        <v>492000</v>
      </c>
      <c r="J22" s="533"/>
      <c r="K22" s="533">
        <f t="shared" si="2"/>
        <v>57</v>
      </c>
      <c r="L22" s="533"/>
      <c r="M22" s="533">
        <f t="shared" si="3"/>
        <v>1974000</v>
      </c>
      <c r="N22" s="515"/>
      <c r="O22" s="534">
        <f t="shared" si="4"/>
        <v>7.471526195899772E-2</v>
      </c>
      <c r="P22" s="532">
        <v>26</v>
      </c>
      <c r="Q22" s="561"/>
      <c r="T22" s="536" t="e">
        <f t="shared" si="5"/>
        <v>#REF!</v>
      </c>
    </row>
    <row r="23" spans="1:20">
      <c r="A23" s="531">
        <f t="shared" si="0"/>
        <v>27000</v>
      </c>
      <c r="B23" s="515"/>
      <c r="C23" s="532">
        <v>3</v>
      </c>
      <c r="D23" s="533"/>
      <c r="E23" s="533">
        <f t="shared" si="6"/>
        <v>45</v>
      </c>
      <c r="F23" s="533"/>
      <c r="G23" s="533">
        <f t="shared" si="1"/>
        <v>81000</v>
      </c>
      <c r="H23" s="533"/>
      <c r="I23" s="533">
        <f t="shared" si="7"/>
        <v>573000</v>
      </c>
      <c r="J23" s="533"/>
      <c r="K23" s="533">
        <f t="shared" si="2"/>
        <v>54</v>
      </c>
      <c r="L23" s="533"/>
      <c r="M23" s="533">
        <f t="shared" si="3"/>
        <v>2031000</v>
      </c>
      <c r="N23" s="515"/>
      <c r="O23" s="534">
        <f t="shared" si="4"/>
        <v>8.7015945330296121E-2</v>
      </c>
      <c r="P23" s="532">
        <v>27</v>
      </c>
      <c r="Q23" s="561"/>
      <c r="T23" s="536" t="e">
        <f t="shared" si="5"/>
        <v>#REF!</v>
      </c>
    </row>
    <row r="24" spans="1:20">
      <c r="A24" s="531">
        <f t="shared" si="0"/>
        <v>28000</v>
      </c>
      <c r="B24" s="515"/>
      <c r="C24" s="532">
        <v>1</v>
      </c>
      <c r="D24" s="533"/>
      <c r="E24" s="533">
        <f t="shared" si="6"/>
        <v>46</v>
      </c>
      <c r="F24" s="533"/>
      <c r="G24" s="533">
        <f t="shared" si="1"/>
        <v>28000</v>
      </c>
      <c r="H24" s="533"/>
      <c r="I24" s="533">
        <f t="shared" si="7"/>
        <v>601000</v>
      </c>
      <c r="J24" s="533"/>
      <c r="K24" s="533">
        <f t="shared" si="2"/>
        <v>53</v>
      </c>
      <c r="L24" s="533"/>
      <c r="M24" s="533">
        <f t="shared" si="3"/>
        <v>2085000</v>
      </c>
      <c r="N24" s="515"/>
      <c r="O24" s="534">
        <f t="shared" si="4"/>
        <v>9.1268033409263483E-2</v>
      </c>
      <c r="P24" s="532">
        <v>28</v>
      </c>
      <c r="Q24" s="561"/>
      <c r="T24" s="536" t="e">
        <f t="shared" si="5"/>
        <v>#REF!</v>
      </c>
    </row>
    <row r="25" spans="1:20">
      <c r="A25" s="531">
        <f t="shared" si="0"/>
        <v>29000</v>
      </c>
      <c r="B25" s="515"/>
      <c r="C25" s="532">
        <v>1</v>
      </c>
      <c r="D25" s="533"/>
      <c r="E25" s="533">
        <f t="shared" si="6"/>
        <v>47</v>
      </c>
      <c r="F25" s="533"/>
      <c r="G25" s="533">
        <f t="shared" si="1"/>
        <v>29000</v>
      </c>
      <c r="H25" s="533"/>
      <c r="I25" s="533">
        <f t="shared" si="7"/>
        <v>630000</v>
      </c>
      <c r="J25" s="533"/>
      <c r="K25" s="533">
        <f t="shared" si="2"/>
        <v>52</v>
      </c>
      <c r="L25" s="533"/>
      <c r="M25" s="533">
        <f t="shared" si="3"/>
        <v>2138000</v>
      </c>
      <c r="N25" s="515"/>
      <c r="O25" s="534">
        <f t="shared" si="4"/>
        <v>9.5671981776765377E-2</v>
      </c>
      <c r="P25" s="532">
        <v>29</v>
      </c>
      <c r="Q25" s="561"/>
      <c r="T25" s="536" t="e">
        <f t="shared" si="5"/>
        <v>#REF!</v>
      </c>
    </row>
    <row r="26" spans="1:20">
      <c r="A26" s="531">
        <f t="shared" si="0"/>
        <v>30000</v>
      </c>
      <c r="B26" s="515"/>
      <c r="C26" s="532">
        <v>4</v>
      </c>
      <c r="D26" s="533"/>
      <c r="E26" s="533">
        <f t="shared" si="6"/>
        <v>51</v>
      </c>
      <c r="F26" s="533"/>
      <c r="G26" s="533">
        <f t="shared" si="1"/>
        <v>120000</v>
      </c>
      <c r="H26" s="533"/>
      <c r="I26" s="533">
        <f t="shared" si="7"/>
        <v>750000</v>
      </c>
      <c r="J26" s="533"/>
      <c r="K26" s="533">
        <f t="shared" si="2"/>
        <v>48</v>
      </c>
      <c r="L26" s="533"/>
      <c r="M26" s="533">
        <f t="shared" si="3"/>
        <v>2190000</v>
      </c>
      <c r="N26" s="515"/>
      <c r="O26" s="534">
        <f t="shared" si="4"/>
        <v>0.11389521640091116</v>
      </c>
      <c r="P26" s="532">
        <v>30</v>
      </c>
      <c r="Q26" s="561"/>
      <c r="T26" s="536" t="e">
        <f t="shared" si="5"/>
        <v>#REF!</v>
      </c>
    </row>
    <row r="27" spans="1:20">
      <c r="A27" s="531">
        <f t="shared" si="0"/>
        <v>31000</v>
      </c>
      <c r="B27" s="515"/>
      <c r="C27" s="532">
        <v>3</v>
      </c>
      <c r="D27" s="533"/>
      <c r="E27" s="533">
        <f t="shared" si="6"/>
        <v>54</v>
      </c>
      <c r="F27" s="533"/>
      <c r="G27" s="533">
        <f t="shared" si="1"/>
        <v>93000</v>
      </c>
      <c r="H27" s="533"/>
      <c r="I27" s="533">
        <f t="shared" si="7"/>
        <v>843000</v>
      </c>
      <c r="J27" s="533"/>
      <c r="K27" s="533">
        <f t="shared" si="2"/>
        <v>45</v>
      </c>
      <c r="L27" s="533"/>
      <c r="M27" s="533">
        <f t="shared" si="3"/>
        <v>2238000</v>
      </c>
      <c r="N27" s="515"/>
      <c r="O27" s="534">
        <f t="shared" si="4"/>
        <v>0.12801822323462414</v>
      </c>
      <c r="P27" s="532">
        <v>31</v>
      </c>
      <c r="Q27" s="561"/>
      <c r="T27" s="536" t="e">
        <f t="shared" si="5"/>
        <v>#REF!</v>
      </c>
    </row>
    <row r="28" spans="1:20">
      <c r="A28" s="531">
        <f t="shared" si="0"/>
        <v>32000</v>
      </c>
      <c r="B28" s="515"/>
      <c r="C28" s="532">
        <v>2</v>
      </c>
      <c r="D28" s="533"/>
      <c r="E28" s="533">
        <f t="shared" si="6"/>
        <v>56</v>
      </c>
      <c r="F28" s="533"/>
      <c r="G28" s="533">
        <f t="shared" si="1"/>
        <v>64000</v>
      </c>
      <c r="H28" s="533"/>
      <c r="I28" s="533">
        <f t="shared" si="7"/>
        <v>907000</v>
      </c>
      <c r="J28" s="533"/>
      <c r="K28" s="533">
        <f t="shared" si="2"/>
        <v>43</v>
      </c>
      <c r="L28" s="533"/>
      <c r="M28" s="533">
        <f t="shared" si="3"/>
        <v>2283000</v>
      </c>
      <c r="N28" s="515"/>
      <c r="O28" s="534">
        <f t="shared" si="4"/>
        <v>0.13773728170083524</v>
      </c>
      <c r="P28" s="532">
        <v>32</v>
      </c>
      <c r="Q28" s="561"/>
      <c r="T28" s="536" t="e">
        <f t="shared" si="5"/>
        <v>#REF!</v>
      </c>
    </row>
    <row r="29" spans="1:20">
      <c r="A29" s="531">
        <f t="shared" si="0"/>
        <v>33000</v>
      </c>
      <c r="B29" s="515"/>
      <c r="C29" s="532">
        <v>3</v>
      </c>
      <c r="D29" s="533"/>
      <c r="E29" s="533">
        <f t="shared" si="6"/>
        <v>59</v>
      </c>
      <c r="F29" s="533"/>
      <c r="G29" s="533">
        <f t="shared" si="1"/>
        <v>99000</v>
      </c>
      <c r="H29" s="533"/>
      <c r="I29" s="533">
        <f t="shared" si="7"/>
        <v>1006000</v>
      </c>
      <c r="J29" s="533"/>
      <c r="K29" s="533">
        <f t="shared" si="2"/>
        <v>40</v>
      </c>
      <c r="L29" s="533"/>
      <c r="M29" s="533">
        <f t="shared" si="3"/>
        <v>2326000</v>
      </c>
      <c r="N29" s="515"/>
      <c r="O29" s="534">
        <f t="shared" si="4"/>
        <v>0.1527714502657555</v>
      </c>
      <c r="P29" s="532">
        <v>33</v>
      </c>
      <c r="Q29" s="561"/>
      <c r="T29" s="536" t="e">
        <f t="shared" si="5"/>
        <v>#REF!</v>
      </c>
    </row>
    <row r="30" spans="1:20">
      <c r="A30" s="531">
        <f t="shared" si="0"/>
        <v>35000</v>
      </c>
      <c r="B30" s="515"/>
      <c r="C30" s="532">
        <v>1</v>
      </c>
      <c r="D30" s="533"/>
      <c r="E30" s="533">
        <f t="shared" si="6"/>
        <v>60</v>
      </c>
      <c r="F30" s="533"/>
      <c r="G30" s="533">
        <f t="shared" si="1"/>
        <v>35000</v>
      </c>
      <c r="H30" s="533"/>
      <c r="I30" s="533">
        <f t="shared" si="7"/>
        <v>1041000</v>
      </c>
      <c r="J30" s="533"/>
      <c r="K30" s="533">
        <f t="shared" si="2"/>
        <v>39</v>
      </c>
      <c r="L30" s="533"/>
      <c r="M30" s="533">
        <f t="shared" si="3"/>
        <v>2406000</v>
      </c>
      <c r="N30" s="515"/>
      <c r="O30" s="534">
        <f t="shared" si="4"/>
        <v>0.1580865603644647</v>
      </c>
      <c r="P30" s="532">
        <v>35</v>
      </c>
      <c r="Q30" s="561"/>
      <c r="T30" s="536" t="e">
        <f t="shared" si="5"/>
        <v>#REF!</v>
      </c>
    </row>
    <row r="31" spans="1:20">
      <c r="A31" s="531">
        <f t="shared" si="0"/>
        <v>36000</v>
      </c>
      <c r="B31" s="515"/>
      <c r="C31" s="532">
        <v>2</v>
      </c>
      <c r="D31" s="533"/>
      <c r="E31" s="533">
        <f t="shared" si="6"/>
        <v>62</v>
      </c>
      <c r="F31" s="533"/>
      <c r="G31" s="533">
        <f t="shared" si="1"/>
        <v>72000</v>
      </c>
      <c r="H31" s="533"/>
      <c r="I31" s="533">
        <f t="shared" si="7"/>
        <v>1113000</v>
      </c>
      <c r="J31" s="533"/>
      <c r="K31" s="533">
        <f t="shared" si="2"/>
        <v>37</v>
      </c>
      <c r="L31" s="533"/>
      <c r="M31" s="533">
        <f t="shared" si="3"/>
        <v>2445000</v>
      </c>
      <c r="N31" s="515"/>
      <c r="O31" s="534">
        <f t="shared" si="4"/>
        <v>0.16902050113895217</v>
      </c>
      <c r="P31" s="532">
        <v>36</v>
      </c>
      <c r="Q31" s="561"/>
      <c r="T31" s="536" t="e">
        <f t="shared" si="5"/>
        <v>#REF!</v>
      </c>
    </row>
    <row r="32" spans="1:20">
      <c r="A32" s="531">
        <f t="shared" si="0"/>
        <v>37000</v>
      </c>
      <c r="B32" s="515"/>
      <c r="C32" s="532">
        <v>1</v>
      </c>
      <c r="D32" s="533"/>
      <c r="E32" s="533">
        <f t="shared" si="6"/>
        <v>63</v>
      </c>
      <c r="F32" s="533"/>
      <c r="G32" s="533">
        <f t="shared" si="1"/>
        <v>37000</v>
      </c>
      <c r="H32" s="533"/>
      <c r="I32" s="533">
        <f t="shared" si="7"/>
        <v>1150000</v>
      </c>
      <c r="J32" s="533"/>
      <c r="K32" s="533">
        <f t="shared" si="2"/>
        <v>36</v>
      </c>
      <c r="L32" s="533"/>
      <c r="M32" s="533">
        <f t="shared" si="3"/>
        <v>2482000</v>
      </c>
      <c r="N32" s="515"/>
      <c r="O32" s="534">
        <f t="shared" si="4"/>
        <v>0.17463933181473046</v>
      </c>
      <c r="P32" s="532">
        <v>37</v>
      </c>
      <c r="Q32" s="561"/>
      <c r="T32" s="536" t="e">
        <f t="shared" si="5"/>
        <v>#REF!</v>
      </c>
    </row>
    <row r="33" spans="1:20">
      <c r="A33" s="531">
        <f t="shared" si="0"/>
        <v>40000</v>
      </c>
      <c r="B33" s="515"/>
      <c r="C33" s="532">
        <v>1</v>
      </c>
      <c r="D33" s="533"/>
      <c r="E33" s="533">
        <f t="shared" si="6"/>
        <v>64</v>
      </c>
      <c r="F33" s="533"/>
      <c r="G33" s="533">
        <f t="shared" si="1"/>
        <v>40000</v>
      </c>
      <c r="H33" s="533"/>
      <c r="I33" s="533">
        <f t="shared" si="7"/>
        <v>1190000</v>
      </c>
      <c r="J33" s="533"/>
      <c r="K33" s="533">
        <f t="shared" si="2"/>
        <v>35</v>
      </c>
      <c r="L33" s="533"/>
      <c r="M33" s="533">
        <f t="shared" si="3"/>
        <v>2590000</v>
      </c>
      <c r="N33" s="515"/>
      <c r="O33" s="534">
        <f t="shared" si="4"/>
        <v>0.18071374335611237</v>
      </c>
      <c r="P33" s="532">
        <v>40</v>
      </c>
      <c r="Q33" s="561"/>
      <c r="T33" s="536" t="e">
        <f t="shared" si="5"/>
        <v>#REF!</v>
      </c>
    </row>
    <row r="34" spans="1:20">
      <c r="A34" s="531">
        <f t="shared" si="0"/>
        <v>43000</v>
      </c>
      <c r="B34" s="515"/>
      <c r="C34" s="532">
        <v>1</v>
      </c>
      <c r="D34" s="533"/>
      <c r="E34" s="533">
        <f t="shared" si="6"/>
        <v>65</v>
      </c>
      <c r="F34" s="533"/>
      <c r="G34" s="533">
        <f t="shared" si="1"/>
        <v>43000</v>
      </c>
      <c r="H34" s="533"/>
      <c r="I34" s="533">
        <f t="shared" si="7"/>
        <v>1233000</v>
      </c>
      <c r="J34" s="533"/>
      <c r="K34" s="533">
        <f t="shared" si="2"/>
        <v>34</v>
      </c>
      <c r="L34" s="533"/>
      <c r="M34" s="533">
        <f t="shared" si="3"/>
        <v>2695000</v>
      </c>
      <c r="N34" s="515"/>
      <c r="O34" s="534">
        <f t="shared" si="4"/>
        <v>0.18724373576309794</v>
      </c>
      <c r="P34" s="532">
        <v>43</v>
      </c>
      <c r="Q34" s="561"/>
      <c r="T34" s="536" t="e">
        <f t="shared" si="5"/>
        <v>#REF!</v>
      </c>
    </row>
    <row r="35" spans="1:20">
      <c r="A35" s="531">
        <f t="shared" si="0"/>
        <v>51000</v>
      </c>
      <c r="B35" s="515"/>
      <c r="C35" s="532">
        <v>1</v>
      </c>
      <c r="D35" s="533"/>
      <c r="E35" s="533">
        <f t="shared" si="6"/>
        <v>66</v>
      </c>
      <c r="F35" s="533"/>
      <c r="G35" s="533">
        <f t="shared" si="1"/>
        <v>51000</v>
      </c>
      <c r="H35" s="533"/>
      <c r="I35" s="533">
        <f t="shared" si="7"/>
        <v>1284000</v>
      </c>
      <c r="J35" s="533"/>
      <c r="K35" s="533">
        <f t="shared" si="2"/>
        <v>33</v>
      </c>
      <c r="L35" s="533"/>
      <c r="M35" s="533">
        <f t="shared" si="3"/>
        <v>2967000</v>
      </c>
      <c r="N35" s="515"/>
      <c r="O35" s="534">
        <f t="shared" si="4"/>
        <v>0.19498861047835991</v>
      </c>
      <c r="P35" s="532">
        <v>51</v>
      </c>
      <c r="Q35" s="561"/>
      <c r="T35" s="536" t="e">
        <f t="shared" si="5"/>
        <v>#REF!</v>
      </c>
    </row>
    <row r="36" spans="1:20">
      <c r="A36" s="531">
        <f t="shared" si="0"/>
        <v>56000</v>
      </c>
      <c r="B36" s="538"/>
      <c r="C36" s="532">
        <v>1</v>
      </c>
      <c r="D36" s="533"/>
      <c r="E36" s="533">
        <f t="shared" si="6"/>
        <v>67</v>
      </c>
      <c r="F36" s="533"/>
      <c r="G36" s="533">
        <f t="shared" si="1"/>
        <v>56000</v>
      </c>
      <c r="H36" s="533"/>
      <c r="I36" s="533">
        <f t="shared" si="7"/>
        <v>1340000</v>
      </c>
      <c r="J36" s="533"/>
      <c r="K36" s="533">
        <f t="shared" si="2"/>
        <v>32</v>
      </c>
      <c r="L36" s="533"/>
      <c r="M36" s="533">
        <f t="shared" si="3"/>
        <v>3132000</v>
      </c>
      <c r="N36" s="515"/>
      <c r="O36" s="534">
        <f t="shared" si="4"/>
        <v>0.20349278663629461</v>
      </c>
      <c r="P36" s="532">
        <v>56</v>
      </c>
      <c r="Q36" s="561"/>
      <c r="T36" s="536" t="e">
        <f t="shared" si="5"/>
        <v>#REF!</v>
      </c>
    </row>
    <row r="37" spans="1:20">
      <c r="A37" s="531">
        <f t="shared" si="0"/>
        <v>63000</v>
      </c>
      <c r="B37" s="515"/>
      <c r="C37" s="532">
        <v>1</v>
      </c>
      <c r="D37" s="515"/>
      <c r="E37" s="533">
        <f t="shared" si="6"/>
        <v>68</v>
      </c>
      <c r="F37" s="533"/>
      <c r="G37" s="533">
        <f t="shared" si="1"/>
        <v>63000</v>
      </c>
      <c r="H37" s="533"/>
      <c r="I37" s="533">
        <f t="shared" si="7"/>
        <v>1403000</v>
      </c>
      <c r="J37" s="515"/>
      <c r="K37" s="533">
        <f t="shared" si="2"/>
        <v>31</v>
      </c>
      <c r="L37" s="533"/>
      <c r="M37" s="533">
        <f t="shared" si="3"/>
        <v>3356000</v>
      </c>
      <c r="N37" s="515"/>
      <c r="O37" s="534">
        <f t="shared" si="4"/>
        <v>0.21305998481397115</v>
      </c>
      <c r="P37" s="532">
        <v>63</v>
      </c>
      <c r="Q37" s="561"/>
      <c r="T37" s="536" t="e">
        <f t="shared" si="5"/>
        <v>#REF!</v>
      </c>
    </row>
    <row r="38" spans="1:20">
      <c r="A38" s="531">
        <f t="shared" si="0"/>
        <v>69000</v>
      </c>
      <c r="B38" s="515"/>
      <c r="C38" s="532">
        <v>1</v>
      </c>
      <c r="D38" s="515"/>
      <c r="E38" s="533">
        <f t="shared" si="6"/>
        <v>69</v>
      </c>
      <c r="F38" s="533"/>
      <c r="G38" s="533">
        <f t="shared" si="1"/>
        <v>69000</v>
      </c>
      <c r="H38" s="533"/>
      <c r="I38" s="533">
        <f t="shared" si="7"/>
        <v>1472000</v>
      </c>
      <c r="J38" s="515"/>
      <c r="K38" s="533">
        <f t="shared" si="2"/>
        <v>30</v>
      </c>
      <c r="L38" s="533"/>
      <c r="M38" s="533">
        <f t="shared" si="3"/>
        <v>3542000</v>
      </c>
      <c r="N38" s="515"/>
      <c r="O38" s="534">
        <f t="shared" si="4"/>
        <v>0.22353834472285497</v>
      </c>
      <c r="P38" s="532">
        <v>69</v>
      </c>
      <c r="Q38" s="561"/>
      <c r="T38" s="536" t="e">
        <f t="shared" si="5"/>
        <v>#REF!</v>
      </c>
    </row>
    <row r="39" spans="1:20">
      <c r="A39" s="531">
        <f t="shared" si="0"/>
        <v>73000</v>
      </c>
      <c r="B39" s="529"/>
      <c r="C39" s="532">
        <v>1</v>
      </c>
      <c r="D39" s="529"/>
      <c r="E39" s="533">
        <f t="shared" si="6"/>
        <v>70</v>
      </c>
      <c r="F39" s="533"/>
      <c r="G39" s="533">
        <f t="shared" si="1"/>
        <v>73000</v>
      </c>
      <c r="H39" s="533"/>
      <c r="I39" s="533">
        <f t="shared" si="7"/>
        <v>1545000</v>
      </c>
      <c r="J39" s="529"/>
      <c r="K39" s="533">
        <f t="shared" si="2"/>
        <v>29</v>
      </c>
      <c r="L39" s="533"/>
      <c r="M39" s="533">
        <f t="shared" si="3"/>
        <v>3662000</v>
      </c>
      <c r="N39" s="515"/>
      <c r="O39" s="534">
        <f t="shared" si="4"/>
        <v>0.23462414578587698</v>
      </c>
      <c r="P39" s="532">
        <v>73</v>
      </c>
      <c r="Q39" s="561"/>
      <c r="T39" s="536" t="e">
        <f t="shared" si="5"/>
        <v>#REF!</v>
      </c>
    </row>
    <row r="40" spans="1:20">
      <c r="A40" s="531">
        <f t="shared" si="0"/>
        <v>75000</v>
      </c>
      <c r="B40" s="523"/>
      <c r="C40" s="532">
        <v>1</v>
      </c>
      <c r="D40" s="523"/>
      <c r="E40" s="533">
        <f t="shared" si="6"/>
        <v>71</v>
      </c>
      <c r="F40" s="533"/>
      <c r="G40" s="533">
        <f t="shared" si="1"/>
        <v>75000</v>
      </c>
      <c r="H40" s="533"/>
      <c r="I40" s="533">
        <f t="shared" si="7"/>
        <v>1620000</v>
      </c>
      <c r="J40" s="523"/>
      <c r="K40" s="533">
        <f t="shared" si="2"/>
        <v>28</v>
      </c>
      <c r="L40" s="533"/>
      <c r="M40" s="533">
        <f t="shared" si="3"/>
        <v>3720000</v>
      </c>
      <c r="N40" s="515"/>
      <c r="O40" s="534">
        <f t="shared" si="4"/>
        <v>0.24601366742596811</v>
      </c>
      <c r="P40" s="532">
        <v>75</v>
      </c>
      <c r="Q40" s="561"/>
      <c r="T40" s="536" t="e">
        <f t="shared" si="5"/>
        <v>#REF!</v>
      </c>
    </row>
    <row r="41" spans="1:20">
      <c r="A41" s="531">
        <f t="shared" si="0"/>
        <v>76000</v>
      </c>
      <c r="B41" s="525"/>
      <c r="C41" s="532">
        <v>1</v>
      </c>
      <c r="D41" s="525"/>
      <c r="E41" s="533">
        <f t="shared" si="6"/>
        <v>72</v>
      </c>
      <c r="F41" s="533"/>
      <c r="G41" s="533">
        <f t="shared" si="1"/>
        <v>76000</v>
      </c>
      <c r="H41" s="533"/>
      <c r="I41" s="533">
        <f t="shared" si="7"/>
        <v>1696000</v>
      </c>
      <c r="J41" s="525"/>
      <c r="K41" s="533">
        <f t="shared" si="2"/>
        <v>27</v>
      </c>
      <c r="L41" s="533"/>
      <c r="M41" s="533">
        <f t="shared" si="3"/>
        <v>3748000</v>
      </c>
      <c r="N41" s="515"/>
      <c r="O41" s="534">
        <f t="shared" si="4"/>
        <v>0.25755504935459378</v>
      </c>
      <c r="P41" s="532">
        <v>76</v>
      </c>
      <c r="Q41" s="561"/>
      <c r="T41" s="536" t="e">
        <f t="shared" si="5"/>
        <v>#REF!</v>
      </c>
    </row>
    <row r="42" spans="1:20">
      <c r="A42" s="531">
        <f t="shared" ref="A42:A65" si="8">P42*1000</f>
        <v>84000</v>
      </c>
      <c r="B42" s="525"/>
      <c r="C42" s="532">
        <v>1</v>
      </c>
      <c r="D42" s="525"/>
      <c r="E42" s="533">
        <f t="shared" si="6"/>
        <v>73</v>
      </c>
      <c r="F42" s="533"/>
      <c r="G42" s="533">
        <f t="shared" ref="G42:G65" si="9">A42*C42</f>
        <v>84000</v>
      </c>
      <c r="H42" s="533"/>
      <c r="I42" s="533">
        <f t="shared" si="7"/>
        <v>1780000</v>
      </c>
      <c r="J42" s="525"/>
      <c r="K42" s="533">
        <f t="shared" ref="K42:K65" si="10">$E$65-E42</f>
        <v>26</v>
      </c>
      <c r="L42" s="533"/>
      <c r="M42" s="533">
        <f t="shared" ref="M42:M65" si="11">(A42*K42)+I42</f>
        <v>3964000</v>
      </c>
      <c r="N42" s="515"/>
      <c r="O42" s="534">
        <f t="shared" ref="O42:O65" si="12">I42/$I$65</f>
        <v>0.27031131359149585</v>
      </c>
      <c r="P42" s="532">
        <v>84</v>
      </c>
      <c r="Q42" s="561"/>
      <c r="T42" s="536" t="e">
        <f t="shared" ref="T42:T65" si="13">IF(A42&lt;21400,C42*$T$2,IF(A42=21400,C42*$T$2,IF(AND(A42&lt;26000,A42&gt;21400),(C42*$T$2)+((A42-21400)*C42/1000*$T$3),IF(AND(A42&gt;25000,A42&lt;51000),(C42*$T$2)+(3.6*$T$3*C42)+((A42-25000)/1000*$T$4*C42),IF(AND(A42&lt;101000,A42&gt;50000),(C42*$T$2)+(3.6*$T$3*C42)+(25*$T$4*C42)+((A42-50000)/1000*$T$5*C42),IF(A42&gt;100000,(C42*$T$2)+(3.6*$T$3*C42)+(25*$T$4*C42)+(50*$T$5*C42)+((A42-100000)/1000*$T$6*C42)))))))</f>
        <v>#REF!</v>
      </c>
    </row>
    <row r="43" spans="1:20">
      <c r="A43" s="531">
        <f t="shared" si="8"/>
        <v>85000</v>
      </c>
      <c r="B43" s="525"/>
      <c r="C43" s="532">
        <v>1</v>
      </c>
      <c r="D43" s="525"/>
      <c r="E43" s="533">
        <f t="shared" ref="E43:E65" si="14">E42+C43</f>
        <v>74</v>
      </c>
      <c r="F43" s="533"/>
      <c r="G43" s="533">
        <f t="shared" si="9"/>
        <v>85000</v>
      </c>
      <c r="H43" s="533"/>
      <c r="I43" s="533">
        <f t="shared" ref="I43:I65" si="15">G43+I42</f>
        <v>1865000</v>
      </c>
      <c r="J43" s="525"/>
      <c r="K43" s="533">
        <f t="shared" si="10"/>
        <v>25</v>
      </c>
      <c r="L43" s="533"/>
      <c r="M43" s="533">
        <f t="shared" si="11"/>
        <v>3990000</v>
      </c>
      <c r="N43" s="515"/>
      <c r="O43" s="534">
        <f t="shared" si="12"/>
        <v>0.2832194381169324</v>
      </c>
      <c r="P43" s="532">
        <v>85</v>
      </c>
      <c r="Q43" s="561"/>
      <c r="T43" s="536" t="e">
        <f t="shared" si="13"/>
        <v>#REF!</v>
      </c>
    </row>
    <row r="44" spans="1:20">
      <c r="A44" s="531">
        <f t="shared" si="8"/>
        <v>89000</v>
      </c>
      <c r="B44" s="515"/>
      <c r="C44" s="532">
        <v>1</v>
      </c>
      <c r="D44" s="529"/>
      <c r="E44" s="533">
        <f t="shared" si="14"/>
        <v>75</v>
      </c>
      <c r="F44" s="533"/>
      <c r="G44" s="533">
        <f t="shared" si="9"/>
        <v>89000</v>
      </c>
      <c r="H44" s="533"/>
      <c r="I44" s="533">
        <f t="shared" si="15"/>
        <v>1954000</v>
      </c>
      <c r="J44" s="529"/>
      <c r="K44" s="533">
        <f t="shared" si="10"/>
        <v>24</v>
      </c>
      <c r="L44" s="533"/>
      <c r="M44" s="533">
        <f t="shared" si="11"/>
        <v>4090000</v>
      </c>
      <c r="N44" s="515"/>
      <c r="O44" s="534">
        <f t="shared" si="12"/>
        <v>0.29673500379650719</v>
      </c>
      <c r="P44" s="532">
        <v>89</v>
      </c>
      <c r="Q44" s="561"/>
      <c r="T44" s="536" t="e">
        <f t="shared" si="13"/>
        <v>#REF!</v>
      </c>
    </row>
    <row r="45" spans="1:20">
      <c r="A45" s="531">
        <f t="shared" si="8"/>
        <v>101000</v>
      </c>
      <c r="B45" s="515"/>
      <c r="C45" s="532">
        <v>1</v>
      </c>
      <c r="D45" s="533"/>
      <c r="E45" s="533">
        <f t="shared" si="14"/>
        <v>76</v>
      </c>
      <c r="F45" s="533"/>
      <c r="G45" s="533">
        <f t="shared" si="9"/>
        <v>101000</v>
      </c>
      <c r="H45" s="533"/>
      <c r="I45" s="533">
        <f t="shared" si="15"/>
        <v>2055000</v>
      </c>
      <c r="J45" s="533"/>
      <c r="K45" s="533">
        <f t="shared" si="10"/>
        <v>23</v>
      </c>
      <c r="L45" s="533"/>
      <c r="M45" s="533">
        <f t="shared" si="11"/>
        <v>4378000</v>
      </c>
      <c r="N45" s="515"/>
      <c r="O45" s="534">
        <f t="shared" si="12"/>
        <v>0.3120728929384966</v>
      </c>
      <c r="P45" s="532">
        <v>101</v>
      </c>
      <c r="Q45" s="561"/>
      <c r="T45" s="536" t="e">
        <f t="shared" si="13"/>
        <v>#REF!</v>
      </c>
    </row>
    <row r="46" spans="1:20" s="515" customFormat="1">
      <c r="A46" s="531">
        <f t="shared" si="8"/>
        <v>104000</v>
      </c>
      <c r="C46" s="532">
        <v>1</v>
      </c>
      <c r="D46" s="533"/>
      <c r="E46" s="533">
        <f t="shared" si="14"/>
        <v>77</v>
      </c>
      <c r="F46" s="533"/>
      <c r="G46" s="533">
        <f t="shared" si="9"/>
        <v>104000</v>
      </c>
      <c r="H46" s="533"/>
      <c r="I46" s="533">
        <f t="shared" si="15"/>
        <v>2159000</v>
      </c>
      <c r="J46" s="533"/>
      <c r="K46" s="533">
        <f t="shared" si="10"/>
        <v>22</v>
      </c>
      <c r="L46" s="533"/>
      <c r="M46" s="533">
        <f t="shared" si="11"/>
        <v>4447000</v>
      </c>
      <c r="O46" s="534">
        <f t="shared" si="12"/>
        <v>0.32786636294608962</v>
      </c>
      <c r="P46" s="532">
        <v>104</v>
      </c>
      <c r="T46" s="536" t="e">
        <f t="shared" si="13"/>
        <v>#REF!</v>
      </c>
    </row>
    <row r="47" spans="1:20" s="515" customFormat="1">
      <c r="A47" s="531">
        <f t="shared" si="8"/>
        <v>148000</v>
      </c>
      <c r="B47" s="542"/>
      <c r="C47" s="532">
        <v>1</v>
      </c>
      <c r="D47" s="533"/>
      <c r="E47" s="533">
        <f t="shared" si="14"/>
        <v>78</v>
      </c>
      <c r="F47" s="533"/>
      <c r="G47" s="533">
        <f t="shared" si="9"/>
        <v>148000</v>
      </c>
      <c r="H47" s="533"/>
      <c r="I47" s="533">
        <f t="shared" si="15"/>
        <v>2307000</v>
      </c>
      <c r="J47" s="533"/>
      <c r="K47" s="533">
        <f t="shared" si="10"/>
        <v>21</v>
      </c>
      <c r="L47" s="533"/>
      <c r="M47" s="533">
        <f t="shared" si="11"/>
        <v>5415000</v>
      </c>
      <c r="O47" s="534">
        <f t="shared" si="12"/>
        <v>0.35034168564920276</v>
      </c>
      <c r="P47" s="532">
        <v>148</v>
      </c>
      <c r="T47" s="536" t="e">
        <f t="shared" si="13"/>
        <v>#REF!</v>
      </c>
    </row>
    <row r="48" spans="1:20" s="515" customFormat="1">
      <c r="A48" s="531">
        <f t="shared" si="8"/>
        <v>149000</v>
      </c>
      <c r="B48" s="542"/>
      <c r="C48" s="532">
        <v>1</v>
      </c>
      <c r="D48" s="533"/>
      <c r="E48" s="533">
        <f t="shared" si="14"/>
        <v>79</v>
      </c>
      <c r="F48" s="533"/>
      <c r="G48" s="533">
        <f t="shared" si="9"/>
        <v>149000</v>
      </c>
      <c r="H48" s="533"/>
      <c r="I48" s="533">
        <f t="shared" si="15"/>
        <v>2456000</v>
      </c>
      <c r="J48" s="533"/>
      <c r="K48" s="533">
        <f t="shared" si="10"/>
        <v>20</v>
      </c>
      <c r="L48" s="533"/>
      <c r="M48" s="533">
        <f t="shared" si="11"/>
        <v>5436000</v>
      </c>
      <c r="O48" s="534">
        <f t="shared" si="12"/>
        <v>0.37296886864085044</v>
      </c>
      <c r="P48" s="532">
        <v>149</v>
      </c>
      <c r="T48" s="536" t="e">
        <f t="shared" si="13"/>
        <v>#REF!</v>
      </c>
    </row>
    <row r="49" spans="1:20" s="515" customFormat="1">
      <c r="A49" s="531">
        <f t="shared" si="8"/>
        <v>155000</v>
      </c>
      <c r="C49" s="532">
        <v>1</v>
      </c>
      <c r="D49" s="533"/>
      <c r="E49" s="533">
        <f t="shared" si="14"/>
        <v>80</v>
      </c>
      <c r="F49" s="533"/>
      <c r="G49" s="533">
        <f t="shared" si="9"/>
        <v>155000</v>
      </c>
      <c r="H49" s="533"/>
      <c r="I49" s="533">
        <f t="shared" si="15"/>
        <v>2611000</v>
      </c>
      <c r="J49" s="533"/>
      <c r="K49" s="533">
        <f t="shared" si="10"/>
        <v>19</v>
      </c>
      <c r="L49" s="533"/>
      <c r="M49" s="533">
        <f t="shared" si="11"/>
        <v>5556000</v>
      </c>
      <c r="O49" s="534">
        <f t="shared" si="12"/>
        <v>0.39650721336370537</v>
      </c>
      <c r="P49" s="532">
        <v>155</v>
      </c>
      <c r="T49" s="536" t="e">
        <f t="shared" si="13"/>
        <v>#REF!</v>
      </c>
    </row>
    <row r="50" spans="1:20">
      <c r="A50" s="531">
        <f t="shared" si="8"/>
        <v>156000</v>
      </c>
      <c r="B50" s="515"/>
      <c r="C50" s="532">
        <v>1</v>
      </c>
      <c r="D50" s="533"/>
      <c r="E50" s="533">
        <f t="shared" si="14"/>
        <v>81</v>
      </c>
      <c r="F50" s="533"/>
      <c r="G50" s="533">
        <f t="shared" si="9"/>
        <v>156000</v>
      </c>
      <c r="H50" s="533"/>
      <c r="I50" s="533">
        <f t="shared" si="15"/>
        <v>2767000</v>
      </c>
      <c r="J50" s="533"/>
      <c r="K50" s="533">
        <f t="shared" si="10"/>
        <v>18</v>
      </c>
      <c r="L50" s="533"/>
      <c r="M50" s="533">
        <f t="shared" si="11"/>
        <v>5575000</v>
      </c>
      <c r="N50" s="515"/>
      <c r="O50" s="534">
        <f t="shared" si="12"/>
        <v>0.42019741837509489</v>
      </c>
      <c r="P50" s="532">
        <v>156</v>
      </c>
      <c r="T50" s="536" t="e">
        <f t="shared" si="13"/>
        <v>#REF!</v>
      </c>
    </row>
    <row r="51" spans="1:20">
      <c r="A51" s="531">
        <f t="shared" si="8"/>
        <v>167000</v>
      </c>
      <c r="B51" s="544"/>
      <c r="C51" s="532">
        <v>2</v>
      </c>
      <c r="D51" s="545"/>
      <c r="E51" s="533">
        <f t="shared" si="14"/>
        <v>83</v>
      </c>
      <c r="F51" s="533"/>
      <c r="G51" s="533">
        <f t="shared" si="9"/>
        <v>334000</v>
      </c>
      <c r="H51" s="533"/>
      <c r="I51" s="533">
        <f t="shared" si="15"/>
        <v>3101000</v>
      </c>
      <c r="J51" s="533"/>
      <c r="K51" s="533">
        <f t="shared" si="10"/>
        <v>16</v>
      </c>
      <c r="L51" s="533"/>
      <c r="M51" s="533">
        <f t="shared" si="11"/>
        <v>5773000</v>
      </c>
      <c r="N51" s="515"/>
      <c r="O51" s="534">
        <f t="shared" si="12"/>
        <v>0.47091875474563399</v>
      </c>
      <c r="P51" s="532">
        <v>167</v>
      </c>
      <c r="T51" s="536" t="e">
        <f t="shared" si="13"/>
        <v>#REF!</v>
      </c>
    </row>
    <row r="52" spans="1:20">
      <c r="A52" s="531">
        <f t="shared" si="8"/>
        <v>169000</v>
      </c>
      <c r="B52" s="515"/>
      <c r="C52" s="532">
        <v>1</v>
      </c>
      <c r="D52" s="515"/>
      <c r="E52" s="533">
        <f t="shared" si="14"/>
        <v>84</v>
      </c>
      <c r="F52" s="533"/>
      <c r="G52" s="533">
        <f t="shared" si="9"/>
        <v>169000</v>
      </c>
      <c r="H52" s="533"/>
      <c r="I52" s="533">
        <f t="shared" si="15"/>
        <v>3270000</v>
      </c>
      <c r="J52" s="533"/>
      <c r="K52" s="533">
        <f t="shared" si="10"/>
        <v>15</v>
      </c>
      <c r="L52" s="533"/>
      <c r="M52" s="533">
        <f t="shared" si="11"/>
        <v>5805000</v>
      </c>
      <c r="N52" s="515"/>
      <c r="O52" s="534">
        <f t="shared" si="12"/>
        <v>0.49658314350797267</v>
      </c>
      <c r="P52" s="532">
        <v>169</v>
      </c>
      <c r="T52" s="536" t="e">
        <f t="shared" si="13"/>
        <v>#REF!</v>
      </c>
    </row>
    <row r="53" spans="1:20">
      <c r="A53" s="531">
        <f t="shared" si="8"/>
        <v>176000</v>
      </c>
      <c r="B53" s="515"/>
      <c r="C53" s="532">
        <v>1</v>
      </c>
      <c r="D53" s="515"/>
      <c r="E53" s="533">
        <f t="shared" si="14"/>
        <v>85</v>
      </c>
      <c r="F53" s="533"/>
      <c r="G53" s="533">
        <f t="shared" si="9"/>
        <v>176000</v>
      </c>
      <c r="H53" s="533"/>
      <c r="I53" s="533">
        <f t="shared" si="15"/>
        <v>3446000</v>
      </c>
      <c r="J53" s="533"/>
      <c r="K53" s="533">
        <f t="shared" si="10"/>
        <v>14</v>
      </c>
      <c r="L53" s="533"/>
      <c r="M53" s="533">
        <f t="shared" si="11"/>
        <v>5910000</v>
      </c>
      <c r="N53" s="515"/>
      <c r="O53" s="534">
        <f t="shared" si="12"/>
        <v>0.52331055429005313</v>
      </c>
      <c r="P53" s="532">
        <v>176</v>
      </c>
      <c r="T53" s="536" t="e">
        <f t="shared" si="13"/>
        <v>#REF!</v>
      </c>
    </row>
    <row r="54" spans="1:20">
      <c r="A54" s="531">
        <f t="shared" si="8"/>
        <v>178000</v>
      </c>
      <c r="B54" s="529"/>
      <c r="C54" s="532">
        <v>1</v>
      </c>
      <c r="D54" s="529"/>
      <c r="E54" s="533">
        <f t="shared" si="14"/>
        <v>86</v>
      </c>
      <c r="F54" s="533"/>
      <c r="G54" s="533">
        <f t="shared" si="9"/>
        <v>178000</v>
      </c>
      <c r="H54" s="533"/>
      <c r="I54" s="533">
        <f t="shared" si="15"/>
        <v>3624000</v>
      </c>
      <c r="J54" s="533"/>
      <c r="K54" s="533">
        <f t="shared" si="10"/>
        <v>13</v>
      </c>
      <c r="L54" s="533"/>
      <c r="M54" s="533">
        <f t="shared" si="11"/>
        <v>5938000</v>
      </c>
      <c r="N54" s="515"/>
      <c r="O54" s="534">
        <f t="shared" si="12"/>
        <v>0.55034168564920272</v>
      </c>
      <c r="P54" s="532">
        <v>178</v>
      </c>
      <c r="T54" s="536" t="e">
        <f t="shared" si="13"/>
        <v>#REF!</v>
      </c>
    </row>
    <row r="55" spans="1:20">
      <c r="A55" s="531">
        <f t="shared" si="8"/>
        <v>183000</v>
      </c>
      <c r="B55" s="523"/>
      <c r="C55" s="532">
        <v>1</v>
      </c>
      <c r="D55" s="523"/>
      <c r="E55" s="533">
        <f t="shared" si="14"/>
        <v>87</v>
      </c>
      <c r="F55" s="533"/>
      <c r="G55" s="533">
        <f t="shared" si="9"/>
        <v>183000</v>
      </c>
      <c r="H55" s="533"/>
      <c r="I55" s="533">
        <f t="shared" si="15"/>
        <v>3807000</v>
      </c>
      <c r="J55" s="533"/>
      <c r="K55" s="533">
        <f t="shared" si="10"/>
        <v>12</v>
      </c>
      <c r="L55" s="533"/>
      <c r="M55" s="533">
        <f t="shared" si="11"/>
        <v>6003000</v>
      </c>
      <c r="N55" s="515"/>
      <c r="O55" s="534">
        <f t="shared" si="12"/>
        <v>0.57813211845102508</v>
      </c>
      <c r="P55" s="532">
        <v>183</v>
      </c>
      <c r="T55" s="536" t="e">
        <f t="shared" si="13"/>
        <v>#REF!</v>
      </c>
    </row>
    <row r="56" spans="1:20">
      <c r="A56" s="531">
        <f t="shared" si="8"/>
        <v>191000</v>
      </c>
      <c r="C56" s="532">
        <v>1</v>
      </c>
      <c r="E56" s="533">
        <f t="shared" si="14"/>
        <v>88</v>
      </c>
      <c r="G56" s="533">
        <f t="shared" si="9"/>
        <v>191000</v>
      </c>
      <c r="I56" s="533">
        <f t="shared" si="15"/>
        <v>3998000</v>
      </c>
      <c r="J56" s="545"/>
      <c r="K56" s="533">
        <f t="shared" si="10"/>
        <v>11</v>
      </c>
      <c r="L56" s="533"/>
      <c r="M56" s="533">
        <f t="shared" si="11"/>
        <v>6099000</v>
      </c>
      <c r="N56" s="515"/>
      <c r="O56" s="534">
        <f t="shared" si="12"/>
        <v>0.60713743356112382</v>
      </c>
      <c r="P56" s="532">
        <v>191</v>
      </c>
      <c r="T56" s="536" t="e">
        <f t="shared" si="13"/>
        <v>#REF!</v>
      </c>
    </row>
    <row r="57" spans="1:20">
      <c r="A57" s="531">
        <f t="shared" si="8"/>
        <v>205000</v>
      </c>
      <c r="C57" s="532">
        <v>1</v>
      </c>
      <c r="D57" s="545"/>
      <c r="E57" s="533">
        <f t="shared" si="14"/>
        <v>89</v>
      </c>
      <c r="F57" s="545"/>
      <c r="G57" s="533">
        <f t="shared" si="9"/>
        <v>205000</v>
      </c>
      <c r="H57" s="545"/>
      <c r="I57" s="533">
        <f t="shared" si="15"/>
        <v>4203000</v>
      </c>
      <c r="J57" s="545"/>
      <c r="K57" s="533">
        <f t="shared" si="10"/>
        <v>10</v>
      </c>
      <c r="L57" s="533"/>
      <c r="M57" s="533">
        <f t="shared" si="11"/>
        <v>6253000</v>
      </c>
      <c r="N57" s="515"/>
      <c r="O57" s="534">
        <f t="shared" si="12"/>
        <v>0.63826879271070613</v>
      </c>
      <c r="P57" s="532">
        <v>205</v>
      </c>
      <c r="T57" s="536" t="e">
        <f t="shared" si="13"/>
        <v>#REF!</v>
      </c>
    </row>
    <row r="58" spans="1:20">
      <c r="A58" s="531">
        <f t="shared" si="8"/>
        <v>211000</v>
      </c>
      <c r="C58" s="532">
        <v>1</v>
      </c>
      <c r="D58" s="545"/>
      <c r="E58" s="533">
        <f t="shared" si="14"/>
        <v>90</v>
      </c>
      <c r="F58" s="545"/>
      <c r="G58" s="533">
        <f t="shared" si="9"/>
        <v>211000</v>
      </c>
      <c r="H58" s="545"/>
      <c r="I58" s="533">
        <f t="shared" si="15"/>
        <v>4414000</v>
      </c>
      <c r="J58" s="545"/>
      <c r="K58" s="533">
        <f t="shared" si="10"/>
        <v>9</v>
      </c>
      <c r="L58" s="533"/>
      <c r="M58" s="533">
        <f t="shared" si="11"/>
        <v>6313000</v>
      </c>
      <c r="N58" s="515"/>
      <c r="O58" s="534">
        <f t="shared" si="12"/>
        <v>0.67031131359149587</v>
      </c>
      <c r="P58" s="532">
        <v>211</v>
      </c>
      <c r="T58" s="536" t="e">
        <f t="shared" si="13"/>
        <v>#REF!</v>
      </c>
    </row>
    <row r="59" spans="1:20">
      <c r="A59" s="531">
        <f t="shared" si="8"/>
        <v>216000</v>
      </c>
      <c r="C59" s="532">
        <v>1</v>
      </c>
      <c r="D59" s="545"/>
      <c r="E59" s="533">
        <f t="shared" si="14"/>
        <v>91</v>
      </c>
      <c r="F59" s="545"/>
      <c r="G59" s="533">
        <f t="shared" si="9"/>
        <v>216000</v>
      </c>
      <c r="H59" s="545"/>
      <c r="I59" s="533">
        <f t="shared" si="15"/>
        <v>4630000</v>
      </c>
      <c r="J59" s="545"/>
      <c r="K59" s="533">
        <f t="shared" si="10"/>
        <v>8</v>
      </c>
      <c r="L59" s="533"/>
      <c r="M59" s="533">
        <f t="shared" si="11"/>
        <v>6358000</v>
      </c>
      <c r="N59" s="515"/>
      <c r="O59" s="534">
        <f t="shared" si="12"/>
        <v>0.70311313591495828</v>
      </c>
      <c r="P59" s="532">
        <v>216</v>
      </c>
      <c r="T59" s="536" t="e">
        <f t="shared" si="13"/>
        <v>#REF!</v>
      </c>
    </row>
    <row r="60" spans="1:20">
      <c r="A60" s="531">
        <f t="shared" si="8"/>
        <v>218000</v>
      </c>
      <c r="C60" s="532">
        <v>1</v>
      </c>
      <c r="D60" s="545"/>
      <c r="E60" s="533">
        <f t="shared" si="14"/>
        <v>92</v>
      </c>
      <c r="F60" s="545"/>
      <c r="G60" s="533">
        <f t="shared" si="9"/>
        <v>218000</v>
      </c>
      <c r="H60" s="545"/>
      <c r="I60" s="533">
        <f t="shared" si="15"/>
        <v>4848000</v>
      </c>
      <c r="J60" s="545"/>
      <c r="K60" s="533">
        <f t="shared" si="10"/>
        <v>7</v>
      </c>
      <c r="L60" s="533"/>
      <c r="M60" s="533">
        <f t="shared" si="11"/>
        <v>6374000</v>
      </c>
      <c r="N60" s="515"/>
      <c r="O60" s="534">
        <f t="shared" si="12"/>
        <v>0.73621867881548975</v>
      </c>
      <c r="P60" s="532">
        <v>218</v>
      </c>
      <c r="T60" s="536" t="e">
        <f t="shared" si="13"/>
        <v>#REF!</v>
      </c>
    </row>
    <row r="61" spans="1:20">
      <c r="A61" s="531">
        <f t="shared" si="8"/>
        <v>233000</v>
      </c>
      <c r="C61" s="532">
        <v>1</v>
      </c>
      <c r="D61" s="545"/>
      <c r="E61" s="533">
        <f t="shared" si="14"/>
        <v>93</v>
      </c>
      <c r="F61" s="545"/>
      <c r="G61" s="533">
        <f t="shared" si="9"/>
        <v>233000</v>
      </c>
      <c r="H61" s="545"/>
      <c r="I61" s="533">
        <f t="shared" si="15"/>
        <v>5081000</v>
      </c>
      <c r="J61" s="545"/>
      <c r="K61" s="533">
        <f t="shared" si="10"/>
        <v>6</v>
      </c>
      <c r="L61" s="533"/>
      <c r="M61" s="533">
        <f t="shared" si="11"/>
        <v>6479000</v>
      </c>
      <c r="N61" s="515"/>
      <c r="O61" s="534">
        <f t="shared" si="12"/>
        <v>0.77160212604403944</v>
      </c>
      <c r="P61" s="532">
        <v>233</v>
      </c>
      <c r="T61" s="536" t="e">
        <f t="shared" si="13"/>
        <v>#REF!</v>
      </c>
    </row>
    <row r="62" spans="1:20">
      <c r="A62" s="531">
        <f t="shared" si="8"/>
        <v>241000</v>
      </c>
      <c r="C62" s="532">
        <v>1</v>
      </c>
      <c r="D62" s="545"/>
      <c r="E62" s="533">
        <f t="shared" si="14"/>
        <v>94</v>
      </c>
      <c r="F62" s="545"/>
      <c r="G62" s="533">
        <f t="shared" si="9"/>
        <v>241000</v>
      </c>
      <c r="H62" s="545"/>
      <c r="I62" s="533">
        <f t="shared" si="15"/>
        <v>5322000</v>
      </c>
      <c r="J62" s="545"/>
      <c r="K62" s="533">
        <f t="shared" si="10"/>
        <v>5</v>
      </c>
      <c r="L62" s="533"/>
      <c r="M62" s="533">
        <f t="shared" si="11"/>
        <v>6527000</v>
      </c>
      <c r="N62" s="515"/>
      <c r="O62" s="534">
        <f t="shared" si="12"/>
        <v>0.80820045558086562</v>
      </c>
      <c r="P62" s="532">
        <v>241</v>
      </c>
      <c r="T62" s="536" t="e">
        <f t="shared" si="13"/>
        <v>#REF!</v>
      </c>
    </row>
    <row r="63" spans="1:20">
      <c r="A63" s="531">
        <f t="shared" si="8"/>
        <v>249000</v>
      </c>
      <c r="C63" s="532">
        <v>1</v>
      </c>
      <c r="D63" s="545"/>
      <c r="E63" s="533">
        <f t="shared" si="14"/>
        <v>95</v>
      </c>
      <c r="F63" s="545"/>
      <c r="G63" s="533">
        <f t="shared" si="9"/>
        <v>249000</v>
      </c>
      <c r="H63" s="545"/>
      <c r="I63" s="533">
        <f t="shared" si="15"/>
        <v>5571000</v>
      </c>
      <c r="J63" s="545"/>
      <c r="K63" s="533">
        <f t="shared" si="10"/>
        <v>4</v>
      </c>
      <c r="L63" s="533"/>
      <c r="M63" s="533">
        <f t="shared" si="11"/>
        <v>6567000</v>
      </c>
      <c r="N63" s="515"/>
      <c r="O63" s="534">
        <f t="shared" si="12"/>
        <v>0.84601366742596806</v>
      </c>
      <c r="P63" s="532">
        <v>249</v>
      </c>
      <c r="T63" s="536" t="e">
        <f t="shared" si="13"/>
        <v>#REF!</v>
      </c>
    </row>
    <row r="64" spans="1:20">
      <c r="A64" s="531">
        <f t="shared" si="8"/>
        <v>253000</v>
      </c>
      <c r="C64" s="532">
        <v>2</v>
      </c>
      <c r="D64" s="545"/>
      <c r="E64" s="533">
        <f t="shared" si="14"/>
        <v>97</v>
      </c>
      <c r="F64" s="545"/>
      <c r="G64" s="533">
        <f t="shared" si="9"/>
        <v>506000</v>
      </c>
      <c r="H64" s="545"/>
      <c r="I64" s="533">
        <f t="shared" si="15"/>
        <v>6077000</v>
      </c>
      <c r="J64" s="545"/>
      <c r="K64" s="533">
        <f t="shared" si="10"/>
        <v>2</v>
      </c>
      <c r="L64" s="533"/>
      <c r="M64" s="533">
        <f t="shared" si="11"/>
        <v>6583000</v>
      </c>
      <c r="N64" s="515"/>
      <c r="O64" s="534">
        <f t="shared" si="12"/>
        <v>0.92285497342444955</v>
      </c>
      <c r="P64" s="532">
        <v>253</v>
      </c>
      <c r="T64" s="536" t="e">
        <f t="shared" si="13"/>
        <v>#REF!</v>
      </c>
    </row>
    <row r="65" spans="1:20">
      <c r="A65" s="531">
        <f t="shared" si="8"/>
        <v>254000</v>
      </c>
      <c r="C65" s="532">
        <v>2</v>
      </c>
      <c r="D65" s="545"/>
      <c r="E65" s="533">
        <f t="shared" si="14"/>
        <v>99</v>
      </c>
      <c r="F65" s="545"/>
      <c r="G65" s="533">
        <f t="shared" si="9"/>
        <v>508000</v>
      </c>
      <c r="H65" s="545"/>
      <c r="I65" s="533">
        <f t="shared" si="15"/>
        <v>6585000</v>
      </c>
      <c r="J65" s="545"/>
      <c r="K65" s="533">
        <f t="shared" si="10"/>
        <v>0</v>
      </c>
      <c r="L65" s="533"/>
      <c r="M65" s="533">
        <f t="shared" si="11"/>
        <v>6585000</v>
      </c>
      <c r="N65" s="515"/>
      <c r="O65" s="534">
        <f t="shared" si="12"/>
        <v>1</v>
      </c>
      <c r="P65" s="532">
        <v>254</v>
      </c>
      <c r="T65" s="536" t="e">
        <f t="shared" si="13"/>
        <v>#REF!</v>
      </c>
    </row>
    <row r="66" spans="1:20">
      <c r="A66" s="580"/>
      <c r="C66" s="530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  <c r="T66" s="539" t="e">
        <f>SUM(T10:T65)</f>
        <v>#REF!</v>
      </c>
    </row>
    <row r="67" spans="1:20" hidden="1">
      <c r="A67" s="580"/>
      <c r="C67" s="530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  <c r="T67" s="513">
        <v>16094</v>
      </c>
    </row>
    <row r="68" spans="1:20" hidden="1">
      <c r="A68" s="580"/>
      <c r="C68" s="530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  <c r="T68" s="540" t="e">
        <f>T66-T67</f>
        <v>#REF!</v>
      </c>
    </row>
    <row r="69" spans="1:20" hidden="1">
      <c r="A69" s="580"/>
      <c r="C69" s="530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  <c r="T69" s="555" t="e">
        <f>T68/T66</f>
        <v>#REF!</v>
      </c>
    </row>
    <row r="70" spans="1:20">
      <c r="A70" s="580"/>
      <c r="C70" s="530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20">
      <c r="A71" s="580"/>
      <c r="C71" s="530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20">
      <c r="A72" s="580"/>
      <c r="C72" s="530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20">
      <c r="A73" s="580"/>
      <c r="C73" s="530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20">
      <c r="A74" s="580"/>
      <c r="C74" s="530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20">
      <c r="A75" s="580"/>
      <c r="C75" s="530"/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O75" s="541"/>
    </row>
    <row r="76" spans="1:20">
      <c r="A76" s="580"/>
      <c r="C76" s="530"/>
      <c r="D76" s="545"/>
      <c r="E76" s="545"/>
      <c r="F76" s="545"/>
      <c r="G76" s="545"/>
      <c r="H76" s="545"/>
      <c r="I76" s="545"/>
      <c r="J76" s="545"/>
      <c r="K76" s="545"/>
      <c r="L76" s="545"/>
      <c r="M76" s="545"/>
      <c r="O76" s="541"/>
    </row>
    <row r="77" spans="1:20">
      <c r="A77" s="580"/>
      <c r="C77" s="530"/>
      <c r="D77" s="545"/>
      <c r="E77" s="545"/>
      <c r="F77" s="545"/>
      <c r="G77" s="545"/>
      <c r="H77" s="545"/>
      <c r="I77" s="545"/>
      <c r="J77" s="545"/>
      <c r="K77" s="545"/>
      <c r="L77" s="545"/>
      <c r="M77" s="545"/>
    </row>
    <row r="78" spans="1:20">
      <c r="C78" s="530"/>
    </row>
    <row r="79" spans="1:20">
      <c r="C79" s="530"/>
    </row>
    <row r="80" spans="1:20">
      <c r="C80" s="530"/>
    </row>
    <row r="81" spans="3:3">
      <c r="C81" s="530"/>
    </row>
    <row r="82" spans="3:3">
      <c r="C82" s="530"/>
    </row>
    <row r="83" spans="3:3">
      <c r="C83" s="530"/>
    </row>
    <row r="84" spans="3:3">
      <c r="C84" s="530"/>
    </row>
    <row r="85" spans="3:3">
      <c r="C85" s="530"/>
    </row>
    <row r="86" spans="3:3">
      <c r="C86" s="530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5"/>
  <sheetViews>
    <sheetView showGridLines="0" topLeftCell="N1" workbookViewId="0">
      <selection activeCell="J58" sqref="A58:IV6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585</v>
      </c>
      <c r="S2" s="518"/>
      <c r="T2" s="594" t="e">
        <f>'Sch.D&amp;E-REV'!K663</f>
        <v>#REF!</v>
      </c>
    </row>
    <row r="3" spans="1:20">
      <c r="A3" s="513" t="s">
        <v>298</v>
      </c>
      <c r="M3" s="520" t="s">
        <v>304</v>
      </c>
      <c r="R3" s="518" t="s">
        <v>586</v>
      </c>
      <c r="S3" s="518"/>
      <c r="T3" s="595" t="e">
        <f>'Sch.D&amp;E-REV'!D660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876</v>
      </c>
      <c r="S4" s="518"/>
      <c r="T4" s="595" t="e">
        <f>'Sch.D&amp;E-REV'!D661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 t="shared" ref="A10:A17" si="0">P10*1000</f>
        <v>0</v>
      </c>
      <c r="B10" s="515"/>
      <c r="C10" s="532">
        <v>0</v>
      </c>
      <c r="D10" s="533"/>
      <c r="E10" s="533">
        <f>C10</f>
        <v>0</v>
      </c>
      <c r="F10" s="533"/>
      <c r="G10" s="533">
        <f t="shared" ref="G10:G17" si="1">A10*C10</f>
        <v>0</v>
      </c>
      <c r="H10" s="533"/>
      <c r="I10" s="533">
        <f>G10</f>
        <v>0</v>
      </c>
      <c r="J10" s="533"/>
      <c r="K10" s="533">
        <f t="shared" ref="K10:K17" si="2">$E$17-E10</f>
        <v>11</v>
      </c>
      <c r="L10" s="533"/>
      <c r="M10" s="533">
        <f t="shared" ref="M10:M17" si="3">(A10*K10)+I10</f>
        <v>0</v>
      </c>
      <c r="N10" s="515"/>
      <c r="O10" s="534">
        <f t="shared" ref="O10:O17" si="4">I10/$I$17</f>
        <v>0</v>
      </c>
      <c r="P10" s="532">
        <v>0</v>
      </c>
      <c r="Q10" s="561"/>
      <c r="R10" s="535"/>
      <c r="T10" s="584" t="e">
        <f t="shared" ref="T10:T17" si="5">($T$2*$C10)</f>
        <v>#REF!</v>
      </c>
    </row>
    <row r="11" spans="1:20">
      <c r="A11" s="531">
        <f t="shared" si="0"/>
        <v>14000</v>
      </c>
      <c r="B11" s="515"/>
      <c r="C11" s="532">
        <v>1</v>
      </c>
      <c r="D11" s="533"/>
      <c r="E11" s="533">
        <f t="shared" ref="E11:E17" si="6">E10+C11</f>
        <v>1</v>
      </c>
      <c r="F11" s="533"/>
      <c r="G11" s="533">
        <f t="shared" si="1"/>
        <v>14000</v>
      </c>
      <c r="H11" s="533"/>
      <c r="I11" s="533">
        <f t="shared" ref="I11:I17" si="7">G11+I10</f>
        <v>14000</v>
      </c>
      <c r="J11" s="533"/>
      <c r="K11" s="533">
        <f t="shared" si="2"/>
        <v>10</v>
      </c>
      <c r="L11" s="533"/>
      <c r="M11" s="533">
        <f t="shared" si="3"/>
        <v>154000</v>
      </c>
      <c r="N11" s="515"/>
      <c r="O11" s="534">
        <f t="shared" si="4"/>
        <v>6.7632850241545889E-2</v>
      </c>
      <c r="P11" s="532">
        <v>14</v>
      </c>
      <c r="Q11" s="561"/>
      <c r="R11" s="535"/>
      <c r="T11" s="584" t="e">
        <f t="shared" si="5"/>
        <v>#REF!</v>
      </c>
    </row>
    <row r="12" spans="1:20">
      <c r="A12" s="531">
        <f t="shared" si="0"/>
        <v>15000</v>
      </c>
      <c r="B12" s="515"/>
      <c r="C12" s="532">
        <v>1</v>
      </c>
      <c r="D12" s="533"/>
      <c r="E12" s="533">
        <f t="shared" si="6"/>
        <v>2</v>
      </c>
      <c r="F12" s="533"/>
      <c r="G12" s="533">
        <f t="shared" si="1"/>
        <v>15000</v>
      </c>
      <c r="H12" s="533"/>
      <c r="I12" s="533">
        <f t="shared" si="7"/>
        <v>29000</v>
      </c>
      <c r="J12" s="533"/>
      <c r="K12" s="533">
        <f t="shared" si="2"/>
        <v>9</v>
      </c>
      <c r="L12" s="533"/>
      <c r="M12" s="533">
        <f t="shared" si="3"/>
        <v>164000</v>
      </c>
      <c r="N12" s="515"/>
      <c r="O12" s="534">
        <f t="shared" si="4"/>
        <v>0.14009661835748793</v>
      </c>
      <c r="P12" s="532">
        <v>15</v>
      </c>
      <c r="Q12" s="561"/>
      <c r="T12" s="584" t="e">
        <f t="shared" si="5"/>
        <v>#REF!</v>
      </c>
    </row>
    <row r="13" spans="1:20">
      <c r="A13" s="531">
        <f t="shared" si="0"/>
        <v>16000</v>
      </c>
      <c r="B13" s="515"/>
      <c r="C13" s="532">
        <v>2</v>
      </c>
      <c r="D13" s="533"/>
      <c r="E13" s="533">
        <f t="shared" si="6"/>
        <v>4</v>
      </c>
      <c r="F13" s="533"/>
      <c r="G13" s="533">
        <f t="shared" si="1"/>
        <v>32000</v>
      </c>
      <c r="H13" s="533"/>
      <c r="I13" s="533">
        <f t="shared" si="7"/>
        <v>61000</v>
      </c>
      <c r="J13" s="533"/>
      <c r="K13" s="533">
        <f t="shared" si="2"/>
        <v>7</v>
      </c>
      <c r="L13" s="533"/>
      <c r="M13" s="533">
        <f t="shared" si="3"/>
        <v>173000</v>
      </c>
      <c r="N13" s="515"/>
      <c r="O13" s="534">
        <f t="shared" si="4"/>
        <v>0.29468599033816423</v>
      </c>
      <c r="P13" s="532">
        <v>16</v>
      </c>
      <c r="Q13" s="561"/>
      <c r="T13" s="584" t="e">
        <f t="shared" si="5"/>
        <v>#REF!</v>
      </c>
    </row>
    <row r="14" spans="1:20">
      <c r="A14" s="531">
        <f t="shared" si="0"/>
        <v>18000</v>
      </c>
      <c r="B14" s="515"/>
      <c r="C14" s="532">
        <v>1</v>
      </c>
      <c r="D14" s="533"/>
      <c r="E14" s="533">
        <f t="shared" si="6"/>
        <v>5</v>
      </c>
      <c r="F14" s="533"/>
      <c r="G14" s="533">
        <f t="shared" si="1"/>
        <v>18000</v>
      </c>
      <c r="H14" s="533"/>
      <c r="I14" s="533">
        <f t="shared" si="7"/>
        <v>79000</v>
      </c>
      <c r="J14" s="533"/>
      <c r="K14" s="533">
        <f t="shared" si="2"/>
        <v>6</v>
      </c>
      <c r="L14" s="533"/>
      <c r="M14" s="533">
        <f t="shared" si="3"/>
        <v>187000</v>
      </c>
      <c r="N14" s="515"/>
      <c r="O14" s="534">
        <f t="shared" si="4"/>
        <v>0.38164251207729466</v>
      </c>
      <c r="P14" s="532">
        <v>18</v>
      </c>
      <c r="Q14" s="561"/>
      <c r="T14" s="584" t="e">
        <f t="shared" si="5"/>
        <v>#REF!</v>
      </c>
    </row>
    <row r="15" spans="1:20">
      <c r="A15" s="531">
        <f t="shared" si="0"/>
        <v>19000</v>
      </c>
      <c r="B15" s="515"/>
      <c r="C15" s="532">
        <v>3</v>
      </c>
      <c r="D15" s="533"/>
      <c r="E15" s="533">
        <f t="shared" si="6"/>
        <v>8</v>
      </c>
      <c r="F15" s="533"/>
      <c r="G15" s="533">
        <f t="shared" si="1"/>
        <v>57000</v>
      </c>
      <c r="H15" s="533"/>
      <c r="I15" s="533">
        <f t="shared" si="7"/>
        <v>136000</v>
      </c>
      <c r="J15" s="533"/>
      <c r="K15" s="533">
        <f t="shared" si="2"/>
        <v>3</v>
      </c>
      <c r="L15" s="533"/>
      <c r="M15" s="533">
        <f t="shared" si="3"/>
        <v>193000</v>
      </c>
      <c r="N15" s="515"/>
      <c r="O15" s="534">
        <f t="shared" si="4"/>
        <v>0.65700483091787443</v>
      </c>
      <c r="P15" s="532">
        <v>19</v>
      </c>
      <c r="Q15" s="561"/>
      <c r="T15" s="584" t="e">
        <f t="shared" si="5"/>
        <v>#REF!</v>
      </c>
    </row>
    <row r="16" spans="1:20">
      <c r="A16" s="531">
        <f t="shared" si="0"/>
        <v>20000</v>
      </c>
      <c r="B16" s="515"/>
      <c r="C16" s="532">
        <v>2</v>
      </c>
      <c r="D16" s="533"/>
      <c r="E16" s="533">
        <f t="shared" si="6"/>
        <v>10</v>
      </c>
      <c r="F16" s="533"/>
      <c r="G16" s="533">
        <f t="shared" si="1"/>
        <v>40000</v>
      </c>
      <c r="H16" s="533"/>
      <c r="I16" s="533">
        <f t="shared" si="7"/>
        <v>176000</v>
      </c>
      <c r="J16" s="533"/>
      <c r="K16" s="533">
        <f t="shared" si="2"/>
        <v>1</v>
      </c>
      <c r="L16" s="533"/>
      <c r="M16" s="533">
        <f t="shared" si="3"/>
        <v>196000</v>
      </c>
      <c r="N16" s="515"/>
      <c r="O16" s="534">
        <f t="shared" si="4"/>
        <v>0.85024154589371981</v>
      </c>
      <c r="P16" s="532">
        <v>20</v>
      </c>
      <c r="Q16" s="561"/>
      <c r="T16" s="584" t="e">
        <f t="shared" si="5"/>
        <v>#REF!</v>
      </c>
    </row>
    <row r="17" spans="1:20">
      <c r="A17" s="531">
        <f t="shared" si="0"/>
        <v>31000</v>
      </c>
      <c r="B17" s="515"/>
      <c r="C17" s="532">
        <v>1</v>
      </c>
      <c r="D17" s="533"/>
      <c r="E17" s="533">
        <f t="shared" si="6"/>
        <v>11</v>
      </c>
      <c r="F17" s="533"/>
      <c r="G17" s="533">
        <f t="shared" si="1"/>
        <v>31000</v>
      </c>
      <c r="H17" s="533"/>
      <c r="I17" s="533">
        <f t="shared" si="7"/>
        <v>207000</v>
      </c>
      <c r="J17" s="533"/>
      <c r="K17" s="533">
        <f t="shared" si="2"/>
        <v>0</v>
      </c>
      <c r="L17" s="533"/>
      <c r="M17" s="533">
        <f t="shared" si="3"/>
        <v>207000</v>
      </c>
      <c r="N17" s="515"/>
      <c r="O17" s="534">
        <f t="shared" si="4"/>
        <v>1</v>
      </c>
      <c r="P17" s="532">
        <v>31</v>
      </c>
      <c r="Q17" s="561"/>
      <c r="T17" s="584" t="e">
        <f t="shared" si="5"/>
        <v>#REF!</v>
      </c>
    </row>
    <row r="18" spans="1:20">
      <c r="T18" s="536"/>
    </row>
    <row r="19" spans="1:20">
      <c r="T19" s="554" t="e">
        <f>SUM(T10:T17)</f>
        <v>#REF!</v>
      </c>
    </row>
    <row r="20" spans="1:20" hidden="1">
      <c r="T20" s="536">
        <v>1826</v>
      </c>
    </row>
    <row r="21" spans="1:20" hidden="1">
      <c r="T21" s="585" t="e">
        <f>T19-T20</f>
        <v>#REF!</v>
      </c>
    </row>
    <row r="22" spans="1:20" hidden="1">
      <c r="T22" s="569" t="e">
        <f>T21/T19</f>
        <v>#REF!</v>
      </c>
    </row>
    <row r="23" spans="1:20">
      <c r="T23" s="536"/>
    </row>
    <row r="24" spans="1:20">
      <c r="T24" s="536"/>
    </row>
    <row r="25" spans="1:20">
      <c r="T25" s="536"/>
    </row>
    <row r="26" spans="1:20">
      <c r="T26" s="536"/>
    </row>
    <row r="27" spans="1:20">
      <c r="T27" s="536"/>
    </row>
    <row r="28" spans="1:20">
      <c r="T28" s="536"/>
    </row>
    <row r="29" spans="1:20">
      <c r="T29" s="536"/>
    </row>
    <row r="30" spans="1:20">
      <c r="T30" s="536"/>
    </row>
    <row r="31" spans="1:20">
      <c r="T31" s="536"/>
    </row>
    <row r="32" spans="1:20">
      <c r="T32" s="536"/>
    </row>
    <row r="33" spans="18:20">
      <c r="T33" s="536"/>
    </row>
    <row r="34" spans="18:20">
      <c r="T34" s="536"/>
    </row>
    <row r="35" spans="18:20">
      <c r="T35" s="536"/>
    </row>
    <row r="36" spans="18:20">
      <c r="T36" s="536"/>
    </row>
    <row r="37" spans="18:20">
      <c r="T37" s="536"/>
    </row>
    <row r="38" spans="18:20">
      <c r="T38" s="536"/>
    </row>
    <row r="39" spans="18:20">
      <c r="T39" s="536"/>
    </row>
    <row r="40" spans="18:20">
      <c r="T40" s="536"/>
    </row>
    <row r="41" spans="18:20">
      <c r="T41" s="536"/>
    </row>
    <row r="42" spans="18:20">
      <c r="T42" s="536"/>
    </row>
    <row r="43" spans="18:20">
      <c r="T43" s="536"/>
    </row>
    <row r="44" spans="18:20">
      <c r="T44" s="536"/>
    </row>
    <row r="45" spans="18:20">
      <c r="R45" s="515"/>
      <c r="S45" s="515"/>
      <c r="T45" s="536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6"/>
  <sheetViews>
    <sheetView showGridLines="0" topLeftCell="L19" workbookViewId="0">
      <selection activeCell="J58" sqref="A58:IV6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7" style="513" customWidth="1"/>
    <col min="20" max="20" width="14.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tr">
        <f>'16017-170'!R2</f>
        <v>First 68,400</v>
      </c>
      <c r="S2" s="518"/>
      <c r="T2" s="519" t="e">
        <f>'16017-170'!T2</f>
        <v>#REF!</v>
      </c>
    </row>
    <row r="3" spans="1:20">
      <c r="A3" s="513" t="s">
        <v>298</v>
      </c>
      <c r="M3" s="520" t="s">
        <v>304</v>
      </c>
      <c r="R3" s="518" t="str">
        <f>'16017-170'!R3</f>
        <v>Next 31,600</v>
      </c>
      <c r="S3" s="518"/>
      <c r="T3" s="519" t="e">
        <f>'16017-170'!T3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tr">
        <f>'16017-170'!R4</f>
        <v>Over 100,000</v>
      </c>
      <c r="S4" s="518"/>
      <c r="T4" s="519" t="e">
        <f>'16017-170'!T4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 t="shared" ref="A10:A31" si="0">P10*1000</f>
        <v>0</v>
      </c>
      <c r="B10" s="515"/>
      <c r="C10" s="532">
        <v>0</v>
      </c>
      <c r="D10" s="533"/>
      <c r="E10" s="533">
        <f>C10</f>
        <v>0</v>
      </c>
      <c r="F10" s="533"/>
      <c r="G10" s="533">
        <f t="shared" ref="G10:G31" si="1">A10*C10</f>
        <v>0</v>
      </c>
      <c r="H10" s="533"/>
      <c r="I10" s="533">
        <f>G10</f>
        <v>0</v>
      </c>
      <c r="J10" s="533"/>
      <c r="K10" s="533">
        <f t="shared" ref="K10:K31" si="2">$E$31-E10</f>
        <v>22</v>
      </c>
      <c r="L10" s="533"/>
      <c r="M10" s="533">
        <f t="shared" ref="M10:M31" si="3">(A10*K10)+I10</f>
        <v>0</v>
      </c>
      <c r="N10" s="515"/>
      <c r="O10" s="534">
        <f t="shared" ref="O10:O31" si="4">I10/$I$31</f>
        <v>0</v>
      </c>
      <c r="P10" s="532">
        <v>0</v>
      </c>
      <c r="Q10" s="561"/>
      <c r="R10" s="535"/>
      <c r="T10" s="584" t="e">
        <f>($T$2*$C10)</f>
        <v>#REF!</v>
      </c>
    </row>
    <row r="11" spans="1:20">
      <c r="A11" s="531">
        <f t="shared" si="0"/>
        <v>77000</v>
      </c>
      <c r="B11" s="515"/>
      <c r="C11" s="532">
        <v>1</v>
      </c>
      <c r="D11" s="533"/>
      <c r="E11" s="533">
        <f t="shared" ref="E11:E31" si="5">E10+C11</f>
        <v>1</v>
      </c>
      <c r="F11" s="533"/>
      <c r="G11" s="533">
        <f t="shared" si="1"/>
        <v>77000</v>
      </c>
      <c r="H11" s="533"/>
      <c r="I11" s="533">
        <f t="shared" ref="I11:I31" si="6">G11+I10</f>
        <v>77000</v>
      </c>
      <c r="J11" s="533"/>
      <c r="K11" s="533">
        <f t="shared" si="2"/>
        <v>21</v>
      </c>
      <c r="L11" s="533"/>
      <c r="M11" s="533">
        <f t="shared" si="3"/>
        <v>1694000</v>
      </c>
      <c r="N11" s="515"/>
      <c r="O11" s="534">
        <f t="shared" si="4"/>
        <v>2.5270758122743681E-2</v>
      </c>
      <c r="P11" s="532">
        <v>77</v>
      </c>
      <c r="Q11" s="561"/>
      <c r="R11" s="535"/>
      <c r="T11" s="584" t="e">
        <f t="shared" ref="T11:T31" si="7">(($T$2)+((A11-68400)/1000*$T$3))*$C11</f>
        <v>#REF!</v>
      </c>
    </row>
    <row r="12" spans="1:20">
      <c r="A12" s="531">
        <f t="shared" si="0"/>
        <v>78000</v>
      </c>
      <c r="B12" s="515"/>
      <c r="C12" s="532">
        <v>1</v>
      </c>
      <c r="D12" s="533"/>
      <c r="E12" s="533">
        <f t="shared" si="5"/>
        <v>2</v>
      </c>
      <c r="F12" s="533"/>
      <c r="G12" s="533">
        <f t="shared" si="1"/>
        <v>78000</v>
      </c>
      <c r="H12" s="533"/>
      <c r="I12" s="533">
        <f t="shared" si="6"/>
        <v>155000</v>
      </c>
      <c r="J12" s="533"/>
      <c r="K12" s="533">
        <f t="shared" si="2"/>
        <v>20</v>
      </c>
      <c r="L12" s="533"/>
      <c r="M12" s="533">
        <f t="shared" si="3"/>
        <v>1715000</v>
      </c>
      <c r="N12" s="515"/>
      <c r="O12" s="534">
        <f t="shared" si="4"/>
        <v>5.0869707909419103E-2</v>
      </c>
      <c r="P12" s="532">
        <v>78</v>
      </c>
      <c r="Q12" s="561"/>
      <c r="T12" s="584" t="e">
        <f t="shared" si="7"/>
        <v>#REF!</v>
      </c>
    </row>
    <row r="13" spans="1:20">
      <c r="A13" s="531">
        <f t="shared" si="0"/>
        <v>82000</v>
      </c>
      <c r="B13" s="515"/>
      <c r="C13" s="532">
        <v>1</v>
      </c>
      <c r="D13" s="533"/>
      <c r="E13" s="533">
        <f t="shared" si="5"/>
        <v>3</v>
      </c>
      <c r="F13" s="533"/>
      <c r="G13" s="533">
        <f t="shared" si="1"/>
        <v>82000</v>
      </c>
      <c r="H13" s="533"/>
      <c r="I13" s="533">
        <f t="shared" si="6"/>
        <v>237000</v>
      </c>
      <c r="J13" s="533"/>
      <c r="K13" s="533">
        <f t="shared" si="2"/>
        <v>19</v>
      </c>
      <c r="L13" s="533"/>
      <c r="M13" s="533">
        <f t="shared" si="3"/>
        <v>1795000</v>
      </c>
      <c r="N13" s="515"/>
      <c r="O13" s="534">
        <f t="shared" si="4"/>
        <v>7.7781424351821463E-2</v>
      </c>
      <c r="P13" s="532">
        <v>82</v>
      </c>
      <c r="Q13" s="561"/>
      <c r="T13" s="584" t="e">
        <f t="shared" si="7"/>
        <v>#REF!</v>
      </c>
    </row>
    <row r="14" spans="1:20">
      <c r="A14" s="531">
        <f t="shared" si="0"/>
        <v>83000</v>
      </c>
      <c r="B14" s="515"/>
      <c r="C14" s="532">
        <v>1</v>
      </c>
      <c r="D14" s="533"/>
      <c r="E14" s="533">
        <f t="shared" si="5"/>
        <v>4</v>
      </c>
      <c r="F14" s="533"/>
      <c r="G14" s="533">
        <f t="shared" si="1"/>
        <v>83000</v>
      </c>
      <c r="H14" s="533"/>
      <c r="I14" s="533">
        <f t="shared" si="6"/>
        <v>320000</v>
      </c>
      <c r="J14" s="533"/>
      <c r="K14" s="533">
        <f t="shared" si="2"/>
        <v>18</v>
      </c>
      <c r="L14" s="533"/>
      <c r="M14" s="533">
        <f t="shared" si="3"/>
        <v>1814000</v>
      </c>
      <c r="N14" s="515"/>
      <c r="O14" s="534">
        <f t="shared" si="4"/>
        <v>0.10502133245815556</v>
      </c>
      <c r="P14" s="532">
        <v>83</v>
      </c>
      <c r="Q14" s="561"/>
      <c r="T14" s="584" t="e">
        <f t="shared" si="7"/>
        <v>#REF!</v>
      </c>
    </row>
    <row r="15" spans="1:20">
      <c r="A15" s="531">
        <f t="shared" si="0"/>
        <v>84000</v>
      </c>
      <c r="B15" s="515"/>
      <c r="C15" s="532">
        <v>1</v>
      </c>
      <c r="D15" s="533"/>
      <c r="E15" s="533">
        <f t="shared" si="5"/>
        <v>5</v>
      </c>
      <c r="F15" s="533"/>
      <c r="G15" s="533">
        <f t="shared" si="1"/>
        <v>84000</v>
      </c>
      <c r="H15" s="533"/>
      <c r="I15" s="533">
        <f t="shared" si="6"/>
        <v>404000</v>
      </c>
      <c r="J15" s="533"/>
      <c r="K15" s="533">
        <f t="shared" si="2"/>
        <v>17</v>
      </c>
      <c r="L15" s="533"/>
      <c r="M15" s="533">
        <f t="shared" si="3"/>
        <v>1832000</v>
      </c>
      <c r="N15" s="515"/>
      <c r="O15" s="534">
        <f t="shared" si="4"/>
        <v>0.1325894322284214</v>
      </c>
      <c r="P15" s="532">
        <v>84</v>
      </c>
      <c r="Q15" s="561"/>
      <c r="T15" s="584" t="e">
        <f t="shared" si="7"/>
        <v>#REF!</v>
      </c>
    </row>
    <row r="16" spans="1:20">
      <c r="A16" s="531">
        <f t="shared" si="0"/>
        <v>85000</v>
      </c>
      <c r="B16" s="515"/>
      <c r="C16" s="532">
        <v>1</v>
      </c>
      <c r="D16" s="533"/>
      <c r="E16" s="533">
        <f t="shared" si="5"/>
        <v>6</v>
      </c>
      <c r="F16" s="533"/>
      <c r="G16" s="533">
        <f t="shared" si="1"/>
        <v>85000</v>
      </c>
      <c r="H16" s="533"/>
      <c r="I16" s="533">
        <f t="shared" si="6"/>
        <v>489000</v>
      </c>
      <c r="J16" s="533"/>
      <c r="K16" s="533">
        <f t="shared" si="2"/>
        <v>16</v>
      </c>
      <c r="L16" s="533"/>
      <c r="M16" s="533">
        <f t="shared" si="3"/>
        <v>1849000</v>
      </c>
      <c r="N16" s="515"/>
      <c r="O16" s="534">
        <f t="shared" si="4"/>
        <v>0.16048572366261896</v>
      </c>
      <c r="P16" s="532">
        <v>85</v>
      </c>
      <c r="Q16" s="561"/>
      <c r="T16" s="584" t="e">
        <f t="shared" si="7"/>
        <v>#REF!</v>
      </c>
    </row>
    <row r="17" spans="1:20">
      <c r="A17" s="531">
        <f t="shared" si="0"/>
        <v>88000</v>
      </c>
      <c r="B17" s="515"/>
      <c r="C17" s="532">
        <v>1</v>
      </c>
      <c r="D17" s="533"/>
      <c r="E17" s="533">
        <f t="shared" si="5"/>
        <v>7</v>
      </c>
      <c r="F17" s="533"/>
      <c r="G17" s="533">
        <f t="shared" si="1"/>
        <v>88000</v>
      </c>
      <c r="H17" s="533"/>
      <c r="I17" s="533">
        <f t="shared" si="6"/>
        <v>577000</v>
      </c>
      <c r="J17" s="533"/>
      <c r="K17" s="533">
        <f t="shared" si="2"/>
        <v>15</v>
      </c>
      <c r="L17" s="533"/>
      <c r="M17" s="533">
        <f t="shared" si="3"/>
        <v>1897000</v>
      </c>
      <c r="N17" s="515"/>
      <c r="O17" s="534">
        <f t="shared" si="4"/>
        <v>0.18936659008861176</v>
      </c>
      <c r="P17" s="532">
        <v>88</v>
      </c>
      <c r="Q17" s="561"/>
      <c r="T17" s="584" t="e">
        <f t="shared" si="7"/>
        <v>#REF!</v>
      </c>
    </row>
    <row r="18" spans="1:20">
      <c r="A18" s="531">
        <f t="shared" si="0"/>
        <v>92000</v>
      </c>
      <c r="B18" s="515"/>
      <c r="C18" s="532">
        <v>1</v>
      </c>
      <c r="D18" s="533"/>
      <c r="E18" s="533">
        <f t="shared" si="5"/>
        <v>8</v>
      </c>
      <c r="F18" s="533"/>
      <c r="G18" s="533">
        <f t="shared" si="1"/>
        <v>92000</v>
      </c>
      <c r="H18" s="533"/>
      <c r="I18" s="533">
        <f t="shared" si="6"/>
        <v>669000</v>
      </c>
      <c r="J18" s="533"/>
      <c r="K18" s="533">
        <f t="shared" si="2"/>
        <v>14</v>
      </c>
      <c r="L18" s="533"/>
      <c r="M18" s="533">
        <f t="shared" si="3"/>
        <v>1957000</v>
      </c>
      <c r="N18" s="515"/>
      <c r="O18" s="534">
        <f t="shared" si="4"/>
        <v>0.21956022317033147</v>
      </c>
      <c r="P18" s="532">
        <v>92</v>
      </c>
      <c r="Q18" s="561"/>
      <c r="T18" s="584" t="e">
        <f t="shared" si="7"/>
        <v>#REF!</v>
      </c>
    </row>
    <row r="19" spans="1:20">
      <c r="A19" s="531">
        <f t="shared" si="0"/>
        <v>105000</v>
      </c>
      <c r="B19" s="515"/>
      <c r="C19" s="532">
        <v>1</v>
      </c>
      <c r="D19" s="533"/>
      <c r="E19" s="533">
        <f t="shared" si="5"/>
        <v>9</v>
      </c>
      <c r="F19" s="533"/>
      <c r="G19" s="533">
        <f t="shared" si="1"/>
        <v>105000</v>
      </c>
      <c r="H19" s="533"/>
      <c r="I19" s="533">
        <f t="shared" si="6"/>
        <v>774000</v>
      </c>
      <c r="J19" s="533"/>
      <c r="K19" s="533">
        <f t="shared" si="2"/>
        <v>13</v>
      </c>
      <c r="L19" s="533"/>
      <c r="M19" s="533">
        <f t="shared" si="3"/>
        <v>2139000</v>
      </c>
      <c r="N19" s="515"/>
      <c r="O19" s="534">
        <f t="shared" si="4"/>
        <v>0.25402034788316374</v>
      </c>
      <c r="P19" s="532">
        <v>105</v>
      </c>
      <c r="Q19" s="561"/>
      <c r="T19" s="584" t="e">
        <f t="shared" si="7"/>
        <v>#REF!</v>
      </c>
    </row>
    <row r="20" spans="1:20">
      <c r="A20" s="531">
        <f t="shared" si="0"/>
        <v>116000</v>
      </c>
      <c r="B20" s="515"/>
      <c r="C20" s="532">
        <v>1</v>
      </c>
      <c r="D20" s="533"/>
      <c r="E20" s="533">
        <f t="shared" si="5"/>
        <v>10</v>
      </c>
      <c r="F20" s="533"/>
      <c r="G20" s="533">
        <f t="shared" si="1"/>
        <v>116000</v>
      </c>
      <c r="H20" s="533"/>
      <c r="I20" s="533">
        <f t="shared" si="6"/>
        <v>890000</v>
      </c>
      <c r="J20" s="533"/>
      <c r="K20" s="533">
        <f t="shared" si="2"/>
        <v>12</v>
      </c>
      <c r="L20" s="533"/>
      <c r="M20" s="533">
        <f t="shared" si="3"/>
        <v>2282000</v>
      </c>
      <c r="N20" s="537"/>
      <c r="O20" s="534">
        <f t="shared" si="4"/>
        <v>0.29209058089924517</v>
      </c>
      <c r="P20" s="532">
        <v>116</v>
      </c>
      <c r="Q20" s="561"/>
      <c r="T20" s="584" t="e">
        <f t="shared" si="7"/>
        <v>#REF!</v>
      </c>
    </row>
    <row r="21" spans="1:20">
      <c r="A21" s="531">
        <f t="shared" si="0"/>
        <v>124000</v>
      </c>
      <c r="B21" s="515"/>
      <c r="C21" s="532">
        <v>1</v>
      </c>
      <c r="D21" s="533"/>
      <c r="E21" s="533">
        <f t="shared" si="5"/>
        <v>11</v>
      </c>
      <c r="F21" s="533"/>
      <c r="G21" s="533">
        <f t="shared" si="1"/>
        <v>124000</v>
      </c>
      <c r="H21" s="533"/>
      <c r="I21" s="533">
        <f t="shared" si="6"/>
        <v>1014000</v>
      </c>
      <c r="J21" s="533"/>
      <c r="K21" s="533">
        <f t="shared" si="2"/>
        <v>11</v>
      </c>
      <c r="L21" s="533"/>
      <c r="M21" s="533">
        <f t="shared" si="3"/>
        <v>2378000</v>
      </c>
      <c r="N21" s="515"/>
      <c r="O21" s="534">
        <f t="shared" si="4"/>
        <v>0.33278634722678047</v>
      </c>
      <c r="P21" s="532">
        <v>124</v>
      </c>
      <c r="Q21" s="561"/>
      <c r="T21" s="584" t="e">
        <f t="shared" si="7"/>
        <v>#REF!</v>
      </c>
    </row>
    <row r="22" spans="1:20">
      <c r="A22" s="531">
        <f t="shared" si="0"/>
        <v>142000</v>
      </c>
      <c r="B22" s="515"/>
      <c r="C22" s="532">
        <v>1</v>
      </c>
      <c r="D22" s="533"/>
      <c r="E22" s="533">
        <f t="shared" si="5"/>
        <v>12</v>
      </c>
      <c r="F22" s="533"/>
      <c r="G22" s="533">
        <f t="shared" si="1"/>
        <v>142000</v>
      </c>
      <c r="H22" s="533"/>
      <c r="I22" s="533">
        <f t="shared" si="6"/>
        <v>1156000</v>
      </c>
      <c r="J22" s="533"/>
      <c r="K22" s="533">
        <f t="shared" si="2"/>
        <v>10</v>
      </c>
      <c r="L22" s="533"/>
      <c r="M22" s="533">
        <f t="shared" si="3"/>
        <v>2576000</v>
      </c>
      <c r="N22" s="515"/>
      <c r="O22" s="534">
        <f t="shared" si="4"/>
        <v>0.37938956350508696</v>
      </c>
      <c r="P22" s="532">
        <v>142</v>
      </c>
      <c r="Q22" s="561"/>
      <c r="T22" s="584" t="e">
        <f t="shared" si="7"/>
        <v>#REF!</v>
      </c>
    </row>
    <row r="23" spans="1:20">
      <c r="A23" s="531">
        <f t="shared" si="0"/>
        <v>161000</v>
      </c>
      <c r="B23" s="515"/>
      <c r="C23" s="532">
        <v>1</v>
      </c>
      <c r="D23" s="533"/>
      <c r="E23" s="533">
        <f t="shared" si="5"/>
        <v>13</v>
      </c>
      <c r="F23" s="533"/>
      <c r="G23" s="533">
        <f t="shared" si="1"/>
        <v>161000</v>
      </c>
      <c r="H23" s="533"/>
      <c r="I23" s="533">
        <f t="shared" si="6"/>
        <v>1317000</v>
      </c>
      <c r="J23" s="533"/>
      <c r="K23" s="533">
        <f t="shared" si="2"/>
        <v>9</v>
      </c>
      <c r="L23" s="533"/>
      <c r="M23" s="533">
        <f t="shared" si="3"/>
        <v>2766000</v>
      </c>
      <c r="N23" s="515"/>
      <c r="O23" s="534">
        <f t="shared" si="4"/>
        <v>0.43222842139809647</v>
      </c>
      <c r="P23" s="532">
        <v>161</v>
      </c>
      <c r="Q23" s="561"/>
      <c r="T23" s="584" t="e">
        <f t="shared" si="7"/>
        <v>#REF!</v>
      </c>
    </row>
    <row r="24" spans="1:20">
      <c r="A24" s="531">
        <f t="shared" si="0"/>
        <v>163000</v>
      </c>
      <c r="B24" s="515"/>
      <c r="C24" s="532">
        <v>1</v>
      </c>
      <c r="D24" s="533"/>
      <c r="E24" s="533">
        <f t="shared" si="5"/>
        <v>14</v>
      </c>
      <c r="F24" s="533"/>
      <c r="G24" s="533">
        <f t="shared" si="1"/>
        <v>163000</v>
      </c>
      <c r="H24" s="533"/>
      <c r="I24" s="533">
        <f t="shared" si="6"/>
        <v>1480000</v>
      </c>
      <c r="J24" s="533"/>
      <c r="K24" s="533">
        <f t="shared" si="2"/>
        <v>8</v>
      </c>
      <c r="L24" s="533"/>
      <c r="M24" s="533">
        <f t="shared" si="3"/>
        <v>2784000</v>
      </c>
      <c r="N24" s="515"/>
      <c r="O24" s="534">
        <f t="shared" si="4"/>
        <v>0.48572366261896949</v>
      </c>
      <c r="P24" s="532">
        <v>163</v>
      </c>
      <c r="Q24" s="561"/>
      <c r="T24" s="584" t="e">
        <f t="shared" si="7"/>
        <v>#REF!</v>
      </c>
    </row>
    <row r="25" spans="1:20">
      <c r="A25" s="531">
        <f t="shared" si="0"/>
        <v>171000</v>
      </c>
      <c r="B25" s="515"/>
      <c r="C25" s="532">
        <v>1</v>
      </c>
      <c r="D25" s="533"/>
      <c r="E25" s="533">
        <f t="shared" si="5"/>
        <v>15</v>
      </c>
      <c r="F25" s="533"/>
      <c r="G25" s="533">
        <f t="shared" si="1"/>
        <v>171000</v>
      </c>
      <c r="H25" s="533"/>
      <c r="I25" s="533">
        <f t="shared" si="6"/>
        <v>1651000</v>
      </c>
      <c r="J25" s="533"/>
      <c r="K25" s="533">
        <f t="shared" si="2"/>
        <v>7</v>
      </c>
      <c r="L25" s="533"/>
      <c r="M25" s="533">
        <f t="shared" si="3"/>
        <v>2848000</v>
      </c>
      <c r="N25" s="515"/>
      <c r="O25" s="534">
        <f t="shared" si="4"/>
        <v>0.54184443715129638</v>
      </c>
      <c r="P25" s="532">
        <v>171</v>
      </c>
      <c r="Q25" s="561"/>
      <c r="T25" s="584" t="e">
        <f t="shared" si="7"/>
        <v>#REF!</v>
      </c>
    </row>
    <row r="26" spans="1:20">
      <c r="A26" s="531">
        <f t="shared" si="0"/>
        <v>190000</v>
      </c>
      <c r="B26" s="515"/>
      <c r="C26" s="532">
        <v>1</v>
      </c>
      <c r="D26" s="533"/>
      <c r="E26" s="533">
        <f t="shared" si="5"/>
        <v>16</v>
      </c>
      <c r="F26" s="533"/>
      <c r="G26" s="533">
        <f t="shared" si="1"/>
        <v>190000</v>
      </c>
      <c r="H26" s="533"/>
      <c r="I26" s="533">
        <f t="shared" si="6"/>
        <v>1841000</v>
      </c>
      <c r="J26" s="533"/>
      <c r="K26" s="533">
        <f t="shared" si="2"/>
        <v>6</v>
      </c>
      <c r="L26" s="533"/>
      <c r="M26" s="533">
        <f t="shared" si="3"/>
        <v>2981000</v>
      </c>
      <c r="N26" s="515"/>
      <c r="O26" s="534">
        <f t="shared" si="4"/>
        <v>0.60420085329832618</v>
      </c>
      <c r="P26" s="532">
        <v>190</v>
      </c>
      <c r="Q26" s="561"/>
      <c r="T26" s="584" t="e">
        <f t="shared" si="7"/>
        <v>#REF!</v>
      </c>
    </row>
    <row r="27" spans="1:20">
      <c r="A27" s="531">
        <f t="shared" si="0"/>
        <v>192000</v>
      </c>
      <c r="B27" s="515"/>
      <c r="C27" s="532">
        <v>1</v>
      </c>
      <c r="D27" s="533"/>
      <c r="E27" s="533">
        <f t="shared" si="5"/>
        <v>17</v>
      </c>
      <c r="F27" s="533"/>
      <c r="G27" s="533">
        <f t="shared" si="1"/>
        <v>192000</v>
      </c>
      <c r="H27" s="533"/>
      <c r="I27" s="533">
        <f t="shared" si="6"/>
        <v>2033000</v>
      </c>
      <c r="J27" s="533"/>
      <c r="K27" s="533">
        <f t="shared" si="2"/>
        <v>5</v>
      </c>
      <c r="L27" s="533"/>
      <c r="M27" s="533">
        <f t="shared" si="3"/>
        <v>2993000</v>
      </c>
      <c r="N27" s="515"/>
      <c r="O27" s="534">
        <f t="shared" si="4"/>
        <v>0.66721365277321953</v>
      </c>
      <c r="P27" s="532">
        <v>192</v>
      </c>
      <c r="Q27" s="561"/>
      <c r="T27" s="584" t="e">
        <f t="shared" si="7"/>
        <v>#REF!</v>
      </c>
    </row>
    <row r="28" spans="1:20">
      <c r="A28" s="531">
        <f t="shared" si="0"/>
        <v>195000</v>
      </c>
      <c r="B28" s="515"/>
      <c r="C28" s="532">
        <v>1</v>
      </c>
      <c r="D28" s="533"/>
      <c r="E28" s="533">
        <f t="shared" si="5"/>
        <v>18</v>
      </c>
      <c r="F28" s="533"/>
      <c r="G28" s="533">
        <f t="shared" si="1"/>
        <v>195000</v>
      </c>
      <c r="H28" s="533"/>
      <c r="I28" s="533">
        <f t="shared" si="6"/>
        <v>2228000</v>
      </c>
      <c r="J28" s="533"/>
      <c r="K28" s="533">
        <f t="shared" si="2"/>
        <v>4</v>
      </c>
      <c r="L28" s="533"/>
      <c r="M28" s="533">
        <f t="shared" si="3"/>
        <v>3008000</v>
      </c>
      <c r="N28" s="515"/>
      <c r="O28" s="534">
        <f t="shared" si="4"/>
        <v>0.73121102723990805</v>
      </c>
      <c r="P28" s="532">
        <v>195</v>
      </c>
      <c r="Q28" s="561"/>
      <c r="T28" s="584" t="e">
        <f t="shared" si="7"/>
        <v>#REF!</v>
      </c>
    </row>
    <row r="29" spans="1:20">
      <c r="A29" s="531">
        <f t="shared" si="0"/>
        <v>196000</v>
      </c>
      <c r="B29" s="515"/>
      <c r="C29" s="532">
        <v>2</v>
      </c>
      <c r="D29" s="533"/>
      <c r="E29" s="533">
        <f t="shared" si="5"/>
        <v>20</v>
      </c>
      <c r="F29" s="533"/>
      <c r="G29" s="533">
        <f t="shared" si="1"/>
        <v>392000</v>
      </c>
      <c r="H29" s="533"/>
      <c r="I29" s="533">
        <f t="shared" si="6"/>
        <v>2620000</v>
      </c>
      <c r="J29" s="533"/>
      <c r="K29" s="533">
        <f t="shared" si="2"/>
        <v>2</v>
      </c>
      <c r="L29" s="533"/>
      <c r="M29" s="533">
        <f t="shared" si="3"/>
        <v>3012000</v>
      </c>
      <c r="N29" s="515"/>
      <c r="O29" s="534">
        <f t="shared" si="4"/>
        <v>0.85986215950114864</v>
      </c>
      <c r="P29" s="532">
        <v>196</v>
      </c>
      <c r="Q29" s="561"/>
      <c r="T29" s="584" t="e">
        <f t="shared" si="7"/>
        <v>#REF!</v>
      </c>
    </row>
    <row r="30" spans="1:20">
      <c r="A30" s="531">
        <f t="shared" si="0"/>
        <v>205000</v>
      </c>
      <c r="B30" s="515"/>
      <c r="C30" s="532">
        <v>1</v>
      </c>
      <c r="D30" s="533"/>
      <c r="E30" s="533">
        <f t="shared" si="5"/>
        <v>21</v>
      </c>
      <c r="F30" s="533"/>
      <c r="G30" s="533">
        <f t="shared" si="1"/>
        <v>205000</v>
      </c>
      <c r="H30" s="533"/>
      <c r="I30" s="533">
        <f t="shared" si="6"/>
        <v>2825000</v>
      </c>
      <c r="J30" s="533"/>
      <c r="K30" s="533">
        <f t="shared" si="2"/>
        <v>1</v>
      </c>
      <c r="L30" s="533"/>
      <c r="M30" s="533">
        <f t="shared" si="3"/>
        <v>3030000</v>
      </c>
      <c r="N30" s="515"/>
      <c r="O30" s="534">
        <f t="shared" si="4"/>
        <v>0.92714145060715458</v>
      </c>
      <c r="P30" s="532">
        <v>205</v>
      </c>
      <c r="Q30" s="561"/>
      <c r="T30" s="584" t="e">
        <f t="shared" si="7"/>
        <v>#REF!</v>
      </c>
    </row>
    <row r="31" spans="1:20">
      <c r="A31" s="531">
        <f t="shared" si="0"/>
        <v>222000</v>
      </c>
      <c r="B31" s="515"/>
      <c r="C31" s="532">
        <v>1</v>
      </c>
      <c r="D31" s="533"/>
      <c r="E31" s="533">
        <f t="shared" si="5"/>
        <v>22</v>
      </c>
      <c r="F31" s="533"/>
      <c r="G31" s="533">
        <f t="shared" si="1"/>
        <v>222000</v>
      </c>
      <c r="H31" s="533"/>
      <c r="I31" s="533">
        <f t="shared" si="6"/>
        <v>3047000</v>
      </c>
      <c r="J31" s="533"/>
      <c r="K31" s="533">
        <f t="shared" si="2"/>
        <v>0</v>
      </c>
      <c r="L31" s="533"/>
      <c r="M31" s="533">
        <f t="shared" si="3"/>
        <v>3047000</v>
      </c>
      <c r="N31" s="515"/>
      <c r="O31" s="534">
        <f t="shared" si="4"/>
        <v>1</v>
      </c>
      <c r="P31" s="532">
        <v>222</v>
      </c>
      <c r="Q31" s="561"/>
      <c r="T31" s="584" t="e">
        <f t="shared" si="7"/>
        <v>#REF!</v>
      </c>
    </row>
    <row r="33" spans="20:20">
      <c r="T33" s="539" t="e">
        <f>SUM(T10:T31)</f>
        <v>#REF!</v>
      </c>
    </row>
    <row r="34" spans="20:20" hidden="1">
      <c r="T34" s="513">
        <v>7063</v>
      </c>
    </row>
    <row r="35" spans="20:20" hidden="1">
      <c r="T35" s="540" t="e">
        <f>T33-T34</f>
        <v>#REF!</v>
      </c>
    </row>
    <row r="36" spans="20:20" hidden="1">
      <c r="T36" s="555" t="e">
        <f>T35/T33</f>
        <v>#REF!</v>
      </c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4"/>
  <sheetViews>
    <sheetView showGridLines="0" topLeftCell="H34" workbookViewId="0">
      <selection activeCell="J58" sqref="A58:IV6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30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6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#REF!</f>
        <v>#REF!</v>
      </c>
    </row>
    <row r="3" spans="1:20">
      <c r="A3" s="513" t="s">
        <v>305</v>
      </c>
      <c r="M3" s="520" t="s">
        <v>299</v>
      </c>
      <c r="R3" s="518" t="s">
        <v>274</v>
      </c>
      <c r="S3" s="518"/>
      <c r="T3" s="519" t="e">
        <f>#REF!</f>
        <v>#REF!</v>
      </c>
    </row>
    <row r="4" spans="1:20" ht="14.25" thickBot="1">
      <c r="A4" s="521"/>
      <c r="B4" s="521"/>
      <c r="C4" s="586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#REF!</f>
        <v>#REF!</v>
      </c>
    </row>
    <row r="5" spans="1:20">
      <c r="A5" s="522" t="s">
        <v>276</v>
      </c>
      <c r="B5" s="523"/>
      <c r="C5" s="587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#REF!</f>
        <v>#REF!</v>
      </c>
    </row>
    <row r="6" spans="1:20">
      <c r="A6" s="524"/>
      <c r="B6" s="525"/>
      <c r="C6" s="587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#REF!</f>
        <v>#REF!</v>
      </c>
    </row>
    <row r="7" spans="1:20">
      <c r="A7" s="524" t="s">
        <v>281</v>
      </c>
      <c r="B7" s="525"/>
      <c r="C7" s="587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#REF!</f>
        <v>#REF!</v>
      </c>
    </row>
    <row r="8" spans="1:20">
      <c r="A8" s="526" t="s">
        <v>288</v>
      </c>
      <c r="B8" s="525"/>
      <c r="C8" s="588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8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 t="shared" ref="A10:A45" si="0">P10*1000</f>
        <v>0</v>
      </c>
      <c r="B10" s="515"/>
      <c r="C10" s="532">
        <v>37</v>
      </c>
      <c r="D10" s="533"/>
      <c r="E10" s="533">
        <f>C10</f>
        <v>37</v>
      </c>
      <c r="F10" s="533"/>
      <c r="G10" s="533">
        <f t="shared" ref="G10:G45" si="1">A10*C10</f>
        <v>0</v>
      </c>
      <c r="H10" s="533"/>
      <c r="I10" s="533">
        <f>G10</f>
        <v>0</v>
      </c>
      <c r="J10" s="533"/>
      <c r="K10" s="533">
        <f t="shared" ref="K10:K45" si="2">$E$45-E10</f>
        <v>786</v>
      </c>
      <c r="L10" s="533"/>
      <c r="M10" s="533">
        <f t="shared" ref="M10:M45" si="3">(A10*K10)+I10</f>
        <v>0</v>
      </c>
      <c r="N10" s="515"/>
      <c r="O10" s="534">
        <f t="shared" ref="O10:O45" si="4">I10/$I$45</f>
        <v>0</v>
      </c>
      <c r="P10" s="532">
        <v>0</v>
      </c>
      <c r="Q10" s="561"/>
      <c r="R10" s="535"/>
      <c r="T10" s="536" t="e">
        <f t="shared" ref="T10:T45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>
      <c r="A11" s="531">
        <f t="shared" si="0"/>
        <v>1000</v>
      </c>
      <c r="B11" s="515"/>
      <c r="C11" s="532">
        <v>116</v>
      </c>
      <c r="D11" s="533"/>
      <c r="E11" s="533">
        <f t="shared" ref="E11:E45" si="6">E10+C11</f>
        <v>153</v>
      </c>
      <c r="F11" s="533"/>
      <c r="G11" s="533">
        <f t="shared" si="1"/>
        <v>116000</v>
      </c>
      <c r="H11" s="533"/>
      <c r="I11" s="533">
        <f t="shared" ref="I11:I45" si="7">G11+I10</f>
        <v>116000</v>
      </c>
      <c r="J11" s="533"/>
      <c r="K11" s="533">
        <f t="shared" si="2"/>
        <v>670</v>
      </c>
      <c r="L11" s="533"/>
      <c r="M11" s="533">
        <f t="shared" si="3"/>
        <v>786000</v>
      </c>
      <c r="N11" s="515"/>
      <c r="O11" s="534">
        <f t="shared" si="4"/>
        <v>2.5277838308999781E-2</v>
      </c>
      <c r="P11" s="532">
        <v>1</v>
      </c>
      <c r="Q11" s="561"/>
      <c r="R11" s="535"/>
      <c r="T11" s="536" t="e">
        <f t="shared" si="5"/>
        <v>#REF!</v>
      </c>
    </row>
    <row r="12" spans="1:20">
      <c r="A12" s="531">
        <f t="shared" si="0"/>
        <v>2000</v>
      </c>
      <c r="B12" s="515"/>
      <c r="C12" s="532">
        <v>141</v>
      </c>
      <c r="D12" s="533"/>
      <c r="E12" s="533">
        <f t="shared" si="6"/>
        <v>294</v>
      </c>
      <c r="F12" s="533"/>
      <c r="G12" s="533">
        <f t="shared" si="1"/>
        <v>282000</v>
      </c>
      <c r="H12" s="533"/>
      <c r="I12" s="533">
        <f t="shared" si="7"/>
        <v>398000</v>
      </c>
      <c r="J12" s="533"/>
      <c r="K12" s="533">
        <f t="shared" si="2"/>
        <v>529</v>
      </c>
      <c r="L12" s="533"/>
      <c r="M12" s="533">
        <f t="shared" si="3"/>
        <v>1456000</v>
      </c>
      <c r="N12" s="515"/>
      <c r="O12" s="534">
        <f t="shared" si="4"/>
        <v>8.6729134887775117E-2</v>
      </c>
      <c r="P12" s="532">
        <v>2</v>
      </c>
      <c r="Q12" s="561"/>
      <c r="T12" s="536" t="e">
        <f t="shared" si="5"/>
        <v>#REF!</v>
      </c>
    </row>
    <row r="13" spans="1:20">
      <c r="A13" s="531">
        <f t="shared" si="0"/>
        <v>3000</v>
      </c>
      <c r="B13" s="515"/>
      <c r="C13" s="532">
        <v>122</v>
      </c>
      <c r="D13" s="533"/>
      <c r="E13" s="533">
        <f t="shared" si="6"/>
        <v>416</v>
      </c>
      <c r="F13" s="533"/>
      <c r="G13" s="533">
        <f t="shared" si="1"/>
        <v>366000</v>
      </c>
      <c r="H13" s="533"/>
      <c r="I13" s="533">
        <f t="shared" si="7"/>
        <v>764000</v>
      </c>
      <c r="J13" s="533"/>
      <c r="K13" s="533">
        <f t="shared" si="2"/>
        <v>407</v>
      </c>
      <c r="L13" s="533"/>
      <c r="M13" s="533">
        <f t="shared" si="3"/>
        <v>1985000</v>
      </c>
      <c r="N13" s="537"/>
      <c r="O13" s="534">
        <f t="shared" si="4"/>
        <v>0.16648507300065374</v>
      </c>
      <c r="P13" s="532">
        <v>3</v>
      </c>
      <c r="Q13" s="561"/>
      <c r="T13" s="536" t="e">
        <f t="shared" si="5"/>
        <v>#REF!</v>
      </c>
    </row>
    <row r="14" spans="1:20">
      <c r="A14" s="531">
        <f t="shared" si="0"/>
        <v>4000</v>
      </c>
      <c r="B14" s="515"/>
      <c r="C14" s="532">
        <v>98</v>
      </c>
      <c r="D14" s="533"/>
      <c r="E14" s="533">
        <f t="shared" si="6"/>
        <v>514</v>
      </c>
      <c r="F14" s="533"/>
      <c r="G14" s="533">
        <f t="shared" si="1"/>
        <v>392000</v>
      </c>
      <c r="H14" s="533"/>
      <c r="I14" s="533">
        <f t="shared" si="7"/>
        <v>1156000</v>
      </c>
      <c r="J14" s="533"/>
      <c r="K14" s="533">
        <f t="shared" si="2"/>
        <v>309</v>
      </c>
      <c r="L14" s="533"/>
      <c r="M14" s="533">
        <f t="shared" si="3"/>
        <v>2392000</v>
      </c>
      <c r="O14" s="534">
        <f t="shared" si="4"/>
        <v>0.25190673349313575</v>
      </c>
      <c r="P14" s="532">
        <v>4</v>
      </c>
      <c r="Q14" s="561"/>
      <c r="T14" s="536" t="e">
        <f t="shared" si="5"/>
        <v>#REF!</v>
      </c>
    </row>
    <row r="15" spans="1:20">
      <c r="A15" s="531">
        <f t="shared" si="0"/>
        <v>5000</v>
      </c>
      <c r="B15" s="515"/>
      <c r="C15" s="532">
        <v>90</v>
      </c>
      <c r="D15" s="533"/>
      <c r="E15" s="533">
        <f t="shared" si="6"/>
        <v>604</v>
      </c>
      <c r="F15" s="533"/>
      <c r="G15" s="533">
        <f t="shared" si="1"/>
        <v>450000</v>
      </c>
      <c r="H15" s="533"/>
      <c r="I15" s="533">
        <f t="shared" si="7"/>
        <v>1606000</v>
      </c>
      <c r="J15" s="533"/>
      <c r="K15" s="533">
        <f t="shared" si="2"/>
        <v>219</v>
      </c>
      <c r="L15" s="533"/>
      <c r="M15" s="533">
        <f t="shared" si="3"/>
        <v>2701000</v>
      </c>
      <c r="N15" s="515"/>
      <c r="O15" s="534">
        <f t="shared" si="4"/>
        <v>0.3499673131401177</v>
      </c>
      <c r="P15" s="532">
        <v>5</v>
      </c>
      <c r="Q15" s="561"/>
      <c r="T15" s="536" t="e">
        <f t="shared" si="5"/>
        <v>#REF!</v>
      </c>
    </row>
    <row r="16" spans="1:20">
      <c r="A16" s="531">
        <f t="shared" si="0"/>
        <v>6000</v>
      </c>
      <c r="B16" s="515"/>
      <c r="C16" s="532">
        <v>55</v>
      </c>
      <c r="D16" s="533"/>
      <c r="E16" s="533">
        <f t="shared" si="6"/>
        <v>659</v>
      </c>
      <c r="F16" s="533"/>
      <c r="G16" s="533">
        <f t="shared" si="1"/>
        <v>330000</v>
      </c>
      <c r="H16" s="533"/>
      <c r="I16" s="533">
        <f t="shared" si="7"/>
        <v>1936000</v>
      </c>
      <c r="J16" s="533"/>
      <c r="K16" s="533">
        <f t="shared" si="2"/>
        <v>164</v>
      </c>
      <c r="L16" s="533"/>
      <c r="M16" s="533">
        <f t="shared" si="3"/>
        <v>2920000</v>
      </c>
      <c r="N16" s="515"/>
      <c r="O16" s="534">
        <f t="shared" si="4"/>
        <v>0.42187840488123773</v>
      </c>
      <c r="P16" s="532">
        <v>6</v>
      </c>
      <c r="Q16" s="561"/>
      <c r="T16" s="536" t="e">
        <f t="shared" si="5"/>
        <v>#REF!</v>
      </c>
    </row>
    <row r="17" spans="1:20">
      <c r="A17" s="531">
        <f t="shared" si="0"/>
        <v>7000</v>
      </c>
      <c r="B17" s="515"/>
      <c r="C17" s="532">
        <v>34</v>
      </c>
      <c r="D17" s="533"/>
      <c r="E17" s="533">
        <f t="shared" si="6"/>
        <v>693</v>
      </c>
      <c r="F17" s="533"/>
      <c r="G17" s="533">
        <f t="shared" si="1"/>
        <v>238000</v>
      </c>
      <c r="H17" s="533"/>
      <c r="I17" s="533">
        <f t="shared" si="7"/>
        <v>2174000</v>
      </c>
      <c r="J17" s="533"/>
      <c r="K17" s="533">
        <f t="shared" si="2"/>
        <v>130</v>
      </c>
      <c r="L17" s="533"/>
      <c r="M17" s="533">
        <f t="shared" si="3"/>
        <v>3084000</v>
      </c>
      <c r="N17" s="515"/>
      <c r="O17" s="534">
        <f t="shared" si="4"/>
        <v>0.47374155589453038</v>
      </c>
      <c r="P17" s="532">
        <v>7</v>
      </c>
      <c r="Q17" s="561"/>
      <c r="T17" s="536" t="e">
        <f t="shared" si="5"/>
        <v>#REF!</v>
      </c>
    </row>
    <row r="18" spans="1:20">
      <c r="A18" s="531">
        <f t="shared" si="0"/>
        <v>8000</v>
      </c>
      <c r="B18" s="515"/>
      <c r="C18" s="532">
        <v>23</v>
      </c>
      <c r="D18" s="533"/>
      <c r="E18" s="533">
        <f t="shared" si="6"/>
        <v>716</v>
      </c>
      <c r="F18" s="533"/>
      <c r="G18" s="533">
        <f t="shared" si="1"/>
        <v>184000</v>
      </c>
      <c r="H18" s="533"/>
      <c r="I18" s="533">
        <f t="shared" si="7"/>
        <v>2358000</v>
      </c>
      <c r="J18" s="533"/>
      <c r="K18" s="533">
        <f t="shared" si="2"/>
        <v>107</v>
      </c>
      <c r="L18" s="533"/>
      <c r="M18" s="533">
        <f t="shared" si="3"/>
        <v>3214000</v>
      </c>
      <c r="N18" s="515"/>
      <c r="O18" s="534">
        <f t="shared" si="4"/>
        <v>0.51383743735018528</v>
      </c>
      <c r="P18" s="532">
        <v>8</v>
      </c>
      <c r="Q18" s="561"/>
      <c r="T18" s="536" t="e">
        <f t="shared" si="5"/>
        <v>#REF!</v>
      </c>
    </row>
    <row r="19" spans="1:20">
      <c r="A19" s="531">
        <f t="shared" si="0"/>
        <v>9000</v>
      </c>
      <c r="B19" s="515"/>
      <c r="C19" s="532">
        <v>22</v>
      </c>
      <c r="D19" s="533"/>
      <c r="E19" s="533">
        <f t="shared" si="6"/>
        <v>738</v>
      </c>
      <c r="F19" s="533"/>
      <c r="G19" s="533">
        <f t="shared" si="1"/>
        <v>198000</v>
      </c>
      <c r="H19" s="533"/>
      <c r="I19" s="533">
        <f t="shared" si="7"/>
        <v>2556000</v>
      </c>
      <c r="J19" s="533"/>
      <c r="K19" s="533">
        <f t="shared" si="2"/>
        <v>85</v>
      </c>
      <c r="L19" s="533"/>
      <c r="M19" s="533">
        <f t="shared" si="3"/>
        <v>3321000</v>
      </c>
      <c r="N19" s="515"/>
      <c r="O19" s="534">
        <f t="shared" si="4"/>
        <v>0.55698409239485724</v>
      </c>
      <c r="P19" s="532">
        <v>9</v>
      </c>
      <c r="Q19" s="561"/>
      <c r="T19" s="536" t="e">
        <f t="shared" si="5"/>
        <v>#REF!</v>
      </c>
    </row>
    <row r="20" spans="1:20">
      <c r="A20" s="531">
        <f t="shared" si="0"/>
        <v>10000</v>
      </c>
      <c r="B20" s="515"/>
      <c r="C20" s="532">
        <v>23</v>
      </c>
      <c r="D20" s="533"/>
      <c r="E20" s="533">
        <f t="shared" si="6"/>
        <v>761</v>
      </c>
      <c r="F20" s="533"/>
      <c r="G20" s="533">
        <f t="shared" si="1"/>
        <v>230000</v>
      </c>
      <c r="H20" s="533"/>
      <c r="I20" s="533">
        <f t="shared" si="7"/>
        <v>2786000</v>
      </c>
      <c r="J20" s="533"/>
      <c r="K20" s="533">
        <f t="shared" si="2"/>
        <v>62</v>
      </c>
      <c r="L20" s="533"/>
      <c r="M20" s="533">
        <f t="shared" si="3"/>
        <v>3406000</v>
      </c>
      <c r="N20" s="515"/>
      <c r="O20" s="534">
        <f t="shared" si="4"/>
        <v>0.60710394421442582</v>
      </c>
      <c r="P20" s="532">
        <v>10</v>
      </c>
      <c r="Q20" s="561"/>
      <c r="T20" s="536" t="e">
        <f t="shared" si="5"/>
        <v>#REF!</v>
      </c>
    </row>
    <row r="21" spans="1:20">
      <c r="A21" s="531">
        <f t="shared" si="0"/>
        <v>11000</v>
      </c>
      <c r="B21" s="515"/>
      <c r="C21" s="532">
        <v>16</v>
      </c>
      <c r="D21" s="533"/>
      <c r="E21" s="533">
        <f t="shared" si="6"/>
        <v>777</v>
      </c>
      <c r="F21" s="533"/>
      <c r="G21" s="533">
        <f t="shared" si="1"/>
        <v>176000</v>
      </c>
      <c r="H21" s="533"/>
      <c r="I21" s="533">
        <f t="shared" si="7"/>
        <v>2962000</v>
      </c>
      <c r="J21" s="533"/>
      <c r="K21" s="533">
        <f t="shared" si="2"/>
        <v>46</v>
      </c>
      <c r="L21" s="533"/>
      <c r="M21" s="533">
        <f t="shared" si="3"/>
        <v>3468000</v>
      </c>
      <c r="N21" s="515"/>
      <c r="O21" s="534">
        <f t="shared" si="4"/>
        <v>0.64545652647635654</v>
      </c>
      <c r="P21" s="532">
        <v>11</v>
      </c>
      <c r="Q21" s="561"/>
      <c r="T21" s="536" t="e">
        <f t="shared" si="5"/>
        <v>#REF!</v>
      </c>
    </row>
    <row r="22" spans="1:20">
      <c r="A22" s="552">
        <f t="shared" si="0"/>
        <v>12000</v>
      </c>
      <c r="B22" s="515"/>
      <c r="C22" s="532">
        <v>9</v>
      </c>
      <c r="D22" s="533"/>
      <c r="E22" s="533">
        <f t="shared" si="6"/>
        <v>786</v>
      </c>
      <c r="F22" s="533"/>
      <c r="G22" s="533">
        <f t="shared" si="1"/>
        <v>108000</v>
      </c>
      <c r="H22" s="533"/>
      <c r="I22" s="533">
        <f t="shared" si="7"/>
        <v>3070000</v>
      </c>
      <c r="J22" s="533"/>
      <c r="K22" s="533">
        <f t="shared" si="2"/>
        <v>37</v>
      </c>
      <c r="L22" s="533"/>
      <c r="M22" s="533">
        <f t="shared" si="3"/>
        <v>3514000</v>
      </c>
      <c r="N22" s="515"/>
      <c r="O22" s="534">
        <f t="shared" si="4"/>
        <v>0.66899106559163213</v>
      </c>
      <c r="P22" s="532">
        <v>12</v>
      </c>
      <c r="Q22" s="547"/>
      <c r="T22" s="536" t="e">
        <f t="shared" si="5"/>
        <v>#REF!</v>
      </c>
    </row>
    <row r="23" spans="1:20">
      <c r="A23" s="552">
        <f t="shared" si="0"/>
        <v>13000</v>
      </c>
      <c r="B23" s="515"/>
      <c r="C23" s="532">
        <v>3</v>
      </c>
      <c r="D23" s="533"/>
      <c r="E23" s="533">
        <f t="shared" si="6"/>
        <v>789</v>
      </c>
      <c r="F23" s="533"/>
      <c r="G23" s="533">
        <f t="shared" si="1"/>
        <v>39000</v>
      </c>
      <c r="H23" s="533"/>
      <c r="I23" s="533">
        <f t="shared" si="7"/>
        <v>3109000</v>
      </c>
      <c r="J23" s="533"/>
      <c r="K23" s="533">
        <f t="shared" si="2"/>
        <v>34</v>
      </c>
      <c r="L23" s="533"/>
      <c r="M23" s="533">
        <f t="shared" si="3"/>
        <v>3551000</v>
      </c>
      <c r="N23" s="515"/>
      <c r="O23" s="534">
        <f t="shared" si="4"/>
        <v>0.67748964916103727</v>
      </c>
      <c r="P23" s="532">
        <v>13</v>
      </c>
      <c r="Q23" s="515"/>
      <c r="T23" s="536" t="e">
        <f t="shared" si="5"/>
        <v>#REF!</v>
      </c>
    </row>
    <row r="24" spans="1:20" s="515" customFormat="1">
      <c r="A24" s="552">
        <f t="shared" si="0"/>
        <v>14000</v>
      </c>
      <c r="C24" s="532">
        <v>4</v>
      </c>
      <c r="D24" s="533"/>
      <c r="E24" s="533">
        <f t="shared" si="6"/>
        <v>793</v>
      </c>
      <c r="F24" s="533"/>
      <c r="G24" s="533">
        <f t="shared" si="1"/>
        <v>56000</v>
      </c>
      <c r="H24" s="533"/>
      <c r="I24" s="533">
        <f t="shared" si="7"/>
        <v>3165000</v>
      </c>
      <c r="J24" s="533"/>
      <c r="K24" s="533">
        <f t="shared" si="2"/>
        <v>30</v>
      </c>
      <c r="L24" s="533"/>
      <c r="M24" s="533">
        <f t="shared" si="3"/>
        <v>3585000</v>
      </c>
      <c r="O24" s="534">
        <f t="shared" si="4"/>
        <v>0.68969274351710608</v>
      </c>
      <c r="P24" s="532">
        <v>14</v>
      </c>
      <c r="R24" s="513"/>
      <c r="S24" s="513"/>
      <c r="T24" s="536" t="e">
        <f t="shared" si="5"/>
        <v>#REF!</v>
      </c>
    </row>
    <row r="25" spans="1:20" s="515" customFormat="1">
      <c r="A25" s="552">
        <f t="shared" si="0"/>
        <v>15000</v>
      </c>
      <c r="C25" s="532">
        <v>5</v>
      </c>
      <c r="D25" s="533"/>
      <c r="E25" s="533">
        <f t="shared" si="6"/>
        <v>798</v>
      </c>
      <c r="F25" s="533"/>
      <c r="G25" s="533">
        <f t="shared" si="1"/>
        <v>75000</v>
      </c>
      <c r="H25" s="533"/>
      <c r="I25" s="533">
        <f t="shared" si="7"/>
        <v>3240000</v>
      </c>
      <c r="J25" s="533"/>
      <c r="K25" s="533">
        <f t="shared" si="2"/>
        <v>25</v>
      </c>
      <c r="L25" s="533"/>
      <c r="M25" s="533">
        <f t="shared" si="3"/>
        <v>3615000</v>
      </c>
      <c r="O25" s="534">
        <f t="shared" si="4"/>
        <v>0.70603617345826974</v>
      </c>
      <c r="P25" s="532">
        <v>15</v>
      </c>
      <c r="R25" s="513"/>
      <c r="S25" s="513"/>
      <c r="T25" s="536" t="e">
        <f t="shared" si="5"/>
        <v>#REF!</v>
      </c>
    </row>
    <row r="26" spans="1:20" s="515" customFormat="1">
      <c r="A26" s="552">
        <f t="shared" si="0"/>
        <v>16000</v>
      </c>
      <c r="C26" s="532">
        <v>4</v>
      </c>
      <c r="D26" s="533"/>
      <c r="E26" s="533">
        <f t="shared" si="6"/>
        <v>802</v>
      </c>
      <c r="F26" s="533"/>
      <c r="G26" s="533">
        <f t="shared" si="1"/>
        <v>64000</v>
      </c>
      <c r="H26" s="533"/>
      <c r="I26" s="533">
        <f t="shared" si="7"/>
        <v>3304000</v>
      </c>
      <c r="J26" s="533"/>
      <c r="K26" s="533">
        <f t="shared" si="2"/>
        <v>21</v>
      </c>
      <c r="L26" s="533"/>
      <c r="M26" s="533">
        <f t="shared" si="3"/>
        <v>3640000</v>
      </c>
      <c r="O26" s="534">
        <f t="shared" si="4"/>
        <v>0.71998256700806273</v>
      </c>
      <c r="P26" s="532">
        <v>16</v>
      </c>
      <c r="R26" s="513"/>
      <c r="S26" s="513"/>
      <c r="T26" s="536" t="e">
        <f t="shared" si="5"/>
        <v>#REF!</v>
      </c>
    </row>
    <row r="27" spans="1:20">
      <c r="A27" s="552">
        <f t="shared" si="0"/>
        <v>17000</v>
      </c>
      <c r="B27" s="515"/>
      <c r="C27" s="532">
        <v>3</v>
      </c>
      <c r="D27" s="533"/>
      <c r="E27" s="533">
        <f t="shared" si="6"/>
        <v>805</v>
      </c>
      <c r="F27" s="533"/>
      <c r="G27" s="533">
        <f t="shared" si="1"/>
        <v>51000</v>
      </c>
      <c r="H27" s="533"/>
      <c r="I27" s="533">
        <f t="shared" si="7"/>
        <v>3355000</v>
      </c>
      <c r="J27" s="533"/>
      <c r="K27" s="533">
        <f t="shared" si="2"/>
        <v>18</v>
      </c>
      <c r="L27" s="533"/>
      <c r="M27" s="533">
        <f t="shared" si="3"/>
        <v>3661000</v>
      </c>
      <c r="N27" s="515"/>
      <c r="O27" s="534">
        <f t="shared" si="4"/>
        <v>0.73109609936805409</v>
      </c>
      <c r="P27" s="532">
        <v>17</v>
      </c>
      <c r="Q27" s="515"/>
      <c r="T27" s="536" t="e">
        <f t="shared" si="5"/>
        <v>#REF!</v>
      </c>
    </row>
    <row r="28" spans="1:20">
      <c r="A28" s="552">
        <f t="shared" si="0"/>
        <v>18000</v>
      </c>
      <c r="B28" s="515"/>
      <c r="C28" s="532">
        <v>1</v>
      </c>
      <c r="D28" s="533"/>
      <c r="E28" s="533">
        <f t="shared" si="6"/>
        <v>806</v>
      </c>
      <c r="F28" s="533"/>
      <c r="G28" s="533">
        <f t="shared" si="1"/>
        <v>18000</v>
      </c>
      <c r="H28" s="533"/>
      <c r="I28" s="533">
        <f t="shared" si="7"/>
        <v>3373000</v>
      </c>
      <c r="J28" s="533"/>
      <c r="K28" s="533">
        <f t="shared" si="2"/>
        <v>17</v>
      </c>
      <c r="L28" s="533"/>
      <c r="M28" s="533">
        <f t="shared" si="3"/>
        <v>3679000</v>
      </c>
      <c r="N28" s="515"/>
      <c r="O28" s="534">
        <f t="shared" si="4"/>
        <v>0.7350185225539333</v>
      </c>
      <c r="P28" s="532">
        <v>18</v>
      </c>
      <c r="Q28" s="515"/>
      <c r="T28" s="536" t="e">
        <f t="shared" si="5"/>
        <v>#REF!</v>
      </c>
    </row>
    <row r="29" spans="1:20">
      <c r="A29" s="552">
        <f t="shared" si="0"/>
        <v>26000</v>
      </c>
      <c r="B29" s="515"/>
      <c r="C29" s="532">
        <v>1</v>
      </c>
      <c r="D29" s="533"/>
      <c r="E29" s="533">
        <f t="shared" si="6"/>
        <v>807</v>
      </c>
      <c r="F29" s="533"/>
      <c r="G29" s="533">
        <f t="shared" si="1"/>
        <v>26000</v>
      </c>
      <c r="H29" s="533"/>
      <c r="I29" s="533">
        <f t="shared" si="7"/>
        <v>3399000</v>
      </c>
      <c r="J29" s="533"/>
      <c r="K29" s="533">
        <f t="shared" si="2"/>
        <v>16</v>
      </c>
      <c r="L29" s="533"/>
      <c r="M29" s="533">
        <f t="shared" si="3"/>
        <v>3815000</v>
      </c>
      <c r="N29" s="515"/>
      <c r="O29" s="534">
        <f t="shared" si="4"/>
        <v>0.74068424493353668</v>
      </c>
      <c r="P29" s="532">
        <v>26</v>
      </c>
      <c r="Q29" s="515"/>
      <c r="T29" s="536" t="e">
        <f t="shared" si="5"/>
        <v>#REF!</v>
      </c>
    </row>
    <row r="30" spans="1:20">
      <c r="A30" s="552">
        <f t="shared" si="0"/>
        <v>35000</v>
      </c>
      <c r="B30" s="515"/>
      <c r="C30" s="532">
        <v>1</v>
      </c>
      <c r="D30" s="533"/>
      <c r="E30" s="533">
        <f t="shared" si="6"/>
        <v>808</v>
      </c>
      <c r="F30" s="533"/>
      <c r="G30" s="533">
        <f t="shared" si="1"/>
        <v>35000</v>
      </c>
      <c r="H30" s="533"/>
      <c r="I30" s="533">
        <f t="shared" si="7"/>
        <v>3434000</v>
      </c>
      <c r="J30" s="533"/>
      <c r="K30" s="533">
        <f t="shared" si="2"/>
        <v>15</v>
      </c>
      <c r="L30" s="533"/>
      <c r="M30" s="533">
        <f t="shared" si="3"/>
        <v>3959000</v>
      </c>
      <c r="N30" s="515"/>
      <c r="O30" s="534">
        <f t="shared" si="4"/>
        <v>0.74831117890607979</v>
      </c>
      <c r="P30" s="532">
        <v>35</v>
      </c>
      <c r="Q30" s="515"/>
      <c r="T30" s="536" t="e">
        <f t="shared" si="5"/>
        <v>#REF!</v>
      </c>
    </row>
    <row r="31" spans="1:20">
      <c r="A31" s="552">
        <f t="shared" si="0"/>
        <v>40000</v>
      </c>
      <c r="B31" s="515"/>
      <c r="C31" s="532">
        <v>1</v>
      </c>
      <c r="D31" s="533"/>
      <c r="E31" s="533">
        <f t="shared" si="6"/>
        <v>809</v>
      </c>
      <c r="F31" s="533"/>
      <c r="G31" s="533">
        <f t="shared" si="1"/>
        <v>40000</v>
      </c>
      <c r="H31" s="533"/>
      <c r="I31" s="533">
        <f t="shared" si="7"/>
        <v>3474000</v>
      </c>
      <c r="J31" s="533"/>
      <c r="K31" s="533">
        <f t="shared" si="2"/>
        <v>14</v>
      </c>
      <c r="L31" s="533"/>
      <c r="M31" s="533">
        <f t="shared" si="3"/>
        <v>4034000</v>
      </c>
      <c r="N31" s="515"/>
      <c r="O31" s="534">
        <f t="shared" si="4"/>
        <v>0.75702767487470035</v>
      </c>
      <c r="P31" s="532">
        <v>40</v>
      </c>
      <c r="Q31" s="515"/>
      <c r="T31" s="536" t="e">
        <f t="shared" si="5"/>
        <v>#REF!</v>
      </c>
    </row>
    <row r="32" spans="1:20">
      <c r="A32" s="552">
        <f t="shared" si="0"/>
        <v>41000</v>
      </c>
      <c r="B32" s="515"/>
      <c r="C32" s="532">
        <v>1</v>
      </c>
      <c r="D32" s="533"/>
      <c r="E32" s="533">
        <f t="shared" si="6"/>
        <v>810</v>
      </c>
      <c r="F32" s="533"/>
      <c r="G32" s="533">
        <f t="shared" si="1"/>
        <v>41000</v>
      </c>
      <c r="H32" s="533"/>
      <c r="I32" s="533">
        <f t="shared" si="7"/>
        <v>3515000</v>
      </c>
      <c r="J32" s="533"/>
      <c r="K32" s="533">
        <f t="shared" si="2"/>
        <v>13</v>
      </c>
      <c r="L32" s="533"/>
      <c r="M32" s="533">
        <f t="shared" si="3"/>
        <v>4048000</v>
      </c>
      <c r="N32" s="515"/>
      <c r="O32" s="534">
        <f t="shared" si="4"/>
        <v>0.76596208324253645</v>
      </c>
      <c r="P32" s="532">
        <v>41</v>
      </c>
      <c r="Q32" s="515"/>
      <c r="T32" s="536" t="e">
        <f t="shared" si="5"/>
        <v>#REF!</v>
      </c>
    </row>
    <row r="33" spans="1:20">
      <c r="A33" s="552">
        <f t="shared" si="0"/>
        <v>44000</v>
      </c>
      <c r="B33" s="515"/>
      <c r="C33" s="532">
        <v>1</v>
      </c>
      <c r="D33" s="533"/>
      <c r="E33" s="533">
        <f t="shared" si="6"/>
        <v>811</v>
      </c>
      <c r="F33" s="533"/>
      <c r="G33" s="533">
        <f t="shared" si="1"/>
        <v>44000</v>
      </c>
      <c r="H33" s="533"/>
      <c r="I33" s="533">
        <f t="shared" si="7"/>
        <v>3559000</v>
      </c>
      <c r="J33" s="533"/>
      <c r="K33" s="533">
        <f t="shared" si="2"/>
        <v>12</v>
      </c>
      <c r="L33" s="533"/>
      <c r="M33" s="533">
        <f t="shared" si="3"/>
        <v>4087000</v>
      </c>
      <c r="N33" s="515"/>
      <c r="O33" s="534">
        <f t="shared" si="4"/>
        <v>0.77555022880801916</v>
      </c>
      <c r="P33" s="532">
        <v>44</v>
      </c>
      <c r="Q33" s="515"/>
      <c r="T33" s="536" t="e">
        <f t="shared" si="5"/>
        <v>#REF!</v>
      </c>
    </row>
    <row r="34" spans="1:20">
      <c r="A34" s="552">
        <f t="shared" si="0"/>
        <v>46000</v>
      </c>
      <c r="B34" s="515"/>
      <c r="C34" s="532">
        <v>1</v>
      </c>
      <c r="D34" s="533"/>
      <c r="E34" s="533">
        <f t="shared" si="6"/>
        <v>812</v>
      </c>
      <c r="F34" s="533"/>
      <c r="G34" s="533">
        <f t="shared" si="1"/>
        <v>46000</v>
      </c>
      <c r="H34" s="533"/>
      <c r="I34" s="533">
        <f t="shared" si="7"/>
        <v>3605000</v>
      </c>
      <c r="J34" s="533"/>
      <c r="K34" s="533">
        <f t="shared" si="2"/>
        <v>11</v>
      </c>
      <c r="L34" s="533"/>
      <c r="M34" s="533">
        <f t="shared" si="3"/>
        <v>4111000</v>
      </c>
      <c r="N34" s="515"/>
      <c r="O34" s="534">
        <f t="shared" si="4"/>
        <v>0.78557419917193283</v>
      </c>
      <c r="P34" s="532">
        <v>46</v>
      </c>
      <c r="Q34" s="515"/>
      <c r="T34" s="536" t="e">
        <f t="shared" si="5"/>
        <v>#REF!</v>
      </c>
    </row>
    <row r="35" spans="1:20">
      <c r="A35" s="552">
        <f t="shared" si="0"/>
        <v>63000</v>
      </c>
      <c r="B35" s="515"/>
      <c r="C35" s="532">
        <v>1</v>
      </c>
      <c r="D35" s="533"/>
      <c r="E35" s="533">
        <f t="shared" si="6"/>
        <v>813</v>
      </c>
      <c r="F35" s="533"/>
      <c r="G35" s="533">
        <f t="shared" si="1"/>
        <v>63000</v>
      </c>
      <c r="H35" s="533"/>
      <c r="I35" s="533">
        <f t="shared" si="7"/>
        <v>3668000</v>
      </c>
      <c r="J35" s="533"/>
      <c r="K35" s="533">
        <f t="shared" si="2"/>
        <v>10</v>
      </c>
      <c r="L35" s="533"/>
      <c r="M35" s="533">
        <f t="shared" si="3"/>
        <v>4298000</v>
      </c>
      <c r="N35" s="515"/>
      <c r="O35" s="534">
        <f t="shared" si="4"/>
        <v>0.79930268032251039</v>
      </c>
      <c r="P35" s="532">
        <v>63</v>
      </c>
      <c r="Q35" s="515"/>
      <c r="T35" s="536" t="e">
        <f t="shared" si="5"/>
        <v>#REF!</v>
      </c>
    </row>
    <row r="36" spans="1:20">
      <c r="A36" s="552">
        <f t="shared" si="0"/>
        <v>68000</v>
      </c>
      <c r="B36" s="515"/>
      <c r="C36" s="532">
        <v>1</v>
      </c>
      <c r="D36" s="533"/>
      <c r="E36" s="533">
        <f t="shared" si="6"/>
        <v>814</v>
      </c>
      <c r="F36" s="533"/>
      <c r="G36" s="533">
        <f t="shared" si="1"/>
        <v>68000</v>
      </c>
      <c r="H36" s="533"/>
      <c r="I36" s="533">
        <f t="shared" si="7"/>
        <v>3736000</v>
      </c>
      <c r="J36" s="533"/>
      <c r="K36" s="533">
        <f t="shared" si="2"/>
        <v>9</v>
      </c>
      <c r="L36" s="533"/>
      <c r="M36" s="533">
        <f t="shared" si="3"/>
        <v>4348000</v>
      </c>
      <c r="N36" s="515"/>
      <c r="O36" s="534">
        <f t="shared" si="4"/>
        <v>0.81412072346916542</v>
      </c>
      <c r="P36" s="532">
        <v>68</v>
      </c>
      <c r="Q36" s="515"/>
      <c r="T36" s="536" t="e">
        <f t="shared" si="5"/>
        <v>#REF!</v>
      </c>
    </row>
    <row r="37" spans="1:20">
      <c r="A37" s="552">
        <f t="shared" si="0"/>
        <v>83000</v>
      </c>
      <c r="B37" s="515"/>
      <c r="C37" s="532">
        <v>1</v>
      </c>
      <c r="D37" s="533"/>
      <c r="E37" s="533">
        <f t="shared" si="6"/>
        <v>815</v>
      </c>
      <c r="F37" s="533"/>
      <c r="G37" s="533">
        <f t="shared" si="1"/>
        <v>83000</v>
      </c>
      <c r="H37" s="533"/>
      <c r="I37" s="533">
        <f t="shared" si="7"/>
        <v>3819000</v>
      </c>
      <c r="J37" s="533"/>
      <c r="K37" s="533">
        <f t="shared" si="2"/>
        <v>8</v>
      </c>
      <c r="L37" s="533"/>
      <c r="M37" s="533">
        <f t="shared" si="3"/>
        <v>4483000</v>
      </c>
      <c r="N37" s="515"/>
      <c r="O37" s="534">
        <f t="shared" si="4"/>
        <v>0.83220745260405316</v>
      </c>
      <c r="P37" s="532">
        <v>83</v>
      </c>
      <c r="Q37" s="515"/>
      <c r="T37" s="536" t="e">
        <f t="shared" si="5"/>
        <v>#REF!</v>
      </c>
    </row>
    <row r="38" spans="1:20">
      <c r="A38" s="552">
        <f t="shared" si="0"/>
        <v>85000</v>
      </c>
      <c r="B38" s="515"/>
      <c r="C38" s="532">
        <v>1</v>
      </c>
      <c r="D38" s="533"/>
      <c r="E38" s="533">
        <f t="shared" si="6"/>
        <v>816</v>
      </c>
      <c r="F38" s="533"/>
      <c r="G38" s="533">
        <f t="shared" si="1"/>
        <v>85000</v>
      </c>
      <c r="H38" s="533"/>
      <c r="I38" s="533">
        <f t="shared" si="7"/>
        <v>3904000</v>
      </c>
      <c r="J38" s="533"/>
      <c r="K38" s="533">
        <f t="shared" si="2"/>
        <v>7</v>
      </c>
      <c r="L38" s="533"/>
      <c r="M38" s="533">
        <f t="shared" si="3"/>
        <v>4499000</v>
      </c>
      <c r="N38" s="515"/>
      <c r="O38" s="534">
        <f t="shared" si="4"/>
        <v>0.85073000653737196</v>
      </c>
      <c r="P38" s="532">
        <v>85</v>
      </c>
      <c r="Q38" s="515"/>
      <c r="T38" s="536" t="e">
        <f t="shared" si="5"/>
        <v>#REF!</v>
      </c>
    </row>
    <row r="39" spans="1:20">
      <c r="A39" s="552">
        <f t="shared" si="0"/>
        <v>89000</v>
      </c>
      <c r="B39" s="515"/>
      <c r="C39" s="532">
        <v>1</v>
      </c>
      <c r="D39" s="533"/>
      <c r="E39" s="533">
        <f t="shared" si="6"/>
        <v>817</v>
      </c>
      <c r="F39" s="533"/>
      <c r="G39" s="533">
        <f t="shared" si="1"/>
        <v>89000</v>
      </c>
      <c r="H39" s="533"/>
      <c r="I39" s="533">
        <f t="shared" si="7"/>
        <v>3993000</v>
      </c>
      <c r="J39" s="533"/>
      <c r="K39" s="533">
        <f t="shared" si="2"/>
        <v>6</v>
      </c>
      <c r="L39" s="533"/>
      <c r="M39" s="533">
        <f t="shared" si="3"/>
        <v>4527000</v>
      </c>
      <c r="N39" s="515"/>
      <c r="O39" s="534">
        <f t="shared" si="4"/>
        <v>0.87012421006755281</v>
      </c>
      <c r="P39" s="532">
        <v>89</v>
      </c>
      <c r="Q39" s="515"/>
      <c r="T39" s="536" t="e">
        <f t="shared" si="5"/>
        <v>#REF!</v>
      </c>
    </row>
    <row r="40" spans="1:20">
      <c r="A40" s="552">
        <f t="shared" si="0"/>
        <v>91000</v>
      </c>
      <c r="B40" s="515"/>
      <c r="C40" s="532">
        <v>1</v>
      </c>
      <c r="D40" s="533"/>
      <c r="E40" s="533">
        <f t="shared" si="6"/>
        <v>818</v>
      </c>
      <c r="F40" s="533"/>
      <c r="G40" s="533">
        <f t="shared" si="1"/>
        <v>91000</v>
      </c>
      <c r="H40" s="533"/>
      <c r="I40" s="533">
        <f t="shared" si="7"/>
        <v>4084000</v>
      </c>
      <c r="J40" s="533"/>
      <c r="K40" s="533">
        <f t="shared" si="2"/>
        <v>5</v>
      </c>
      <c r="L40" s="533"/>
      <c r="M40" s="533">
        <f t="shared" si="3"/>
        <v>4539000</v>
      </c>
      <c r="N40" s="515"/>
      <c r="O40" s="534">
        <f t="shared" si="4"/>
        <v>0.88995423839616472</v>
      </c>
      <c r="P40" s="532">
        <v>91</v>
      </c>
      <c r="Q40" s="515"/>
      <c r="T40" s="536" t="e">
        <f t="shared" si="5"/>
        <v>#REF!</v>
      </c>
    </row>
    <row r="41" spans="1:20">
      <c r="A41" s="552">
        <f t="shared" si="0"/>
        <v>92000</v>
      </c>
      <c r="B41" s="515"/>
      <c r="C41" s="532">
        <v>1</v>
      </c>
      <c r="D41" s="533"/>
      <c r="E41" s="533">
        <f t="shared" si="6"/>
        <v>819</v>
      </c>
      <c r="F41" s="533"/>
      <c r="G41" s="533">
        <f t="shared" si="1"/>
        <v>92000</v>
      </c>
      <c r="H41" s="533"/>
      <c r="I41" s="533">
        <f t="shared" si="7"/>
        <v>4176000</v>
      </c>
      <c r="J41" s="533"/>
      <c r="K41" s="533">
        <f t="shared" si="2"/>
        <v>4</v>
      </c>
      <c r="L41" s="533"/>
      <c r="M41" s="533">
        <f t="shared" si="3"/>
        <v>4544000</v>
      </c>
      <c r="N41" s="515"/>
      <c r="O41" s="534">
        <f t="shared" si="4"/>
        <v>0.91000217912399217</v>
      </c>
      <c r="P41" s="532">
        <v>92</v>
      </c>
      <c r="Q41" s="515"/>
      <c r="T41" s="536" t="e">
        <f t="shared" si="5"/>
        <v>#REF!</v>
      </c>
    </row>
    <row r="42" spans="1:20">
      <c r="A42" s="552">
        <f t="shared" si="0"/>
        <v>98000</v>
      </c>
      <c r="B42" s="515"/>
      <c r="C42" s="532">
        <v>1</v>
      </c>
      <c r="D42" s="533"/>
      <c r="E42" s="533">
        <f t="shared" si="6"/>
        <v>820</v>
      </c>
      <c r="F42" s="533"/>
      <c r="G42" s="533">
        <f t="shared" si="1"/>
        <v>98000</v>
      </c>
      <c r="H42" s="533"/>
      <c r="I42" s="533">
        <f t="shared" si="7"/>
        <v>4274000</v>
      </c>
      <c r="J42" s="533"/>
      <c r="K42" s="533">
        <f t="shared" si="2"/>
        <v>3</v>
      </c>
      <c r="L42" s="533"/>
      <c r="M42" s="533">
        <f t="shared" si="3"/>
        <v>4568000</v>
      </c>
      <c r="N42" s="529"/>
      <c r="O42" s="534">
        <f t="shared" si="4"/>
        <v>0.93135759424711262</v>
      </c>
      <c r="P42" s="532">
        <v>98</v>
      </c>
      <c r="Q42" s="515"/>
      <c r="T42" s="536" t="e">
        <f t="shared" si="5"/>
        <v>#REF!</v>
      </c>
    </row>
    <row r="43" spans="1:20">
      <c r="A43" s="552">
        <f t="shared" si="0"/>
        <v>101000</v>
      </c>
      <c r="B43" s="515"/>
      <c r="C43" s="532">
        <v>1</v>
      </c>
      <c r="D43" s="533"/>
      <c r="E43" s="533">
        <f t="shared" si="6"/>
        <v>821</v>
      </c>
      <c r="F43" s="533"/>
      <c r="G43" s="533">
        <f t="shared" si="1"/>
        <v>101000</v>
      </c>
      <c r="H43" s="533"/>
      <c r="I43" s="533">
        <f t="shared" si="7"/>
        <v>4375000</v>
      </c>
      <c r="J43" s="533"/>
      <c r="K43" s="533">
        <f t="shared" si="2"/>
        <v>2</v>
      </c>
      <c r="L43" s="533"/>
      <c r="M43" s="533">
        <f t="shared" si="3"/>
        <v>4577000</v>
      </c>
      <c r="N43" s="523"/>
      <c r="O43" s="534">
        <f t="shared" si="4"/>
        <v>0.95336674656787967</v>
      </c>
      <c r="P43" s="532">
        <v>101</v>
      </c>
      <c r="Q43" s="515"/>
      <c r="T43" s="536" t="e">
        <f t="shared" si="5"/>
        <v>#REF!</v>
      </c>
    </row>
    <row r="44" spans="1:20">
      <c r="A44" s="552">
        <f t="shared" si="0"/>
        <v>106000</v>
      </c>
      <c r="B44" s="515"/>
      <c r="C44" s="532">
        <v>1</v>
      </c>
      <c r="D44" s="533"/>
      <c r="E44" s="533">
        <f t="shared" si="6"/>
        <v>822</v>
      </c>
      <c r="F44" s="533"/>
      <c r="G44" s="533">
        <f t="shared" si="1"/>
        <v>106000</v>
      </c>
      <c r="H44" s="533"/>
      <c r="I44" s="533">
        <f t="shared" si="7"/>
        <v>4481000</v>
      </c>
      <c r="J44" s="533"/>
      <c r="K44" s="533">
        <f t="shared" si="2"/>
        <v>1</v>
      </c>
      <c r="L44" s="533"/>
      <c r="M44" s="533">
        <f t="shared" si="3"/>
        <v>4587000</v>
      </c>
      <c r="N44" s="525"/>
      <c r="O44" s="534">
        <f t="shared" si="4"/>
        <v>0.9764654608847243</v>
      </c>
      <c r="P44" s="532">
        <v>106</v>
      </c>
      <c r="Q44" s="515"/>
      <c r="T44" s="536" t="e">
        <f t="shared" si="5"/>
        <v>#REF!</v>
      </c>
    </row>
    <row r="45" spans="1:20">
      <c r="A45" s="552">
        <f t="shared" si="0"/>
        <v>108000</v>
      </c>
      <c r="B45" s="525"/>
      <c r="C45" s="532">
        <v>1</v>
      </c>
      <c r="D45" s="525"/>
      <c r="E45" s="533">
        <f t="shared" si="6"/>
        <v>823</v>
      </c>
      <c r="F45" s="533"/>
      <c r="G45" s="533">
        <f t="shared" si="1"/>
        <v>108000</v>
      </c>
      <c r="H45" s="533"/>
      <c r="I45" s="533">
        <f t="shared" si="7"/>
        <v>4589000</v>
      </c>
      <c r="J45" s="525"/>
      <c r="K45" s="533">
        <f t="shared" si="2"/>
        <v>0</v>
      </c>
      <c r="L45" s="525"/>
      <c r="M45" s="533">
        <f t="shared" si="3"/>
        <v>4589000</v>
      </c>
      <c r="N45" s="525"/>
      <c r="O45" s="534">
        <f t="shared" si="4"/>
        <v>1</v>
      </c>
      <c r="P45" s="532">
        <v>108</v>
      </c>
      <c r="Q45" s="515"/>
      <c r="T45" s="536" t="e">
        <f t="shared" si="5"/>
        <v>#REF!</v>
      </c>
    </row>
    <row r="46" spans="1:20">
      <c r="A46" s="552"/>
      <c r="B46" s="525"/>
      <c r="C46" s="566"/>
      <c r="D46" s="525"/>
      <c r="E46" s="533"/>
      <c r="F46" s="533"/>
      <c r="G46" s="533"/>
      <c r="H46" s="533"/>
      <c r="I46" s="533"/>
      <c r="J46" s="525"/>
      <c r="K46" s="533"/>
      <c r="L46" s="525"/>
      <c r="M46" s="533"/>
      <c r="N46" s="525"/>
      <c r="O46" s="534"/>
      <c r="P46" s="547"/>
      <c r="Q46" s="515"/>
      <c r="T46" s="536"/>
    </row>
    <row r="47" spans="1:20">
      <c r="A47" s="552"/>
      <c r="B47" s="515"/>
      <c r="C47" s="566"/>
      <c r="D47" s="529"/>
      <c r="E47" s="533"/>
      <c r="F47" s="533"/>
      <c r="G47" s="533"/>
      <c r="H47" s="533"/>
      <c r="I47" s="533"/>
      <c r="J47" s="529"/>
      <c r="K47" s="533"/>
      <c r="L47" s="529"/>
      <c r="M47" s="533"/>
      <c r="N47" s="529"/>
      <c r="O47" s="534"/>
      <c r="P47" s="547"/>
      <c r="Q47" s="515"/>
      <c r="T47" s="554" t="e">
        <f>SUM(T10:T45)</f>
        <v>#REF!</v>
      </c>
    </row>
    <row r="48" spans="1:20" hidden="1">
      <c r="A48" s="552"/>
      <c r="B48" s="515"/>
      <c r="C48" s="566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15"/>
      <c r="T48" s="536">
        <v>15413</v>
      </c>
    </row>
    <row r="49" spans="1:20" hidden="1">
      <c r="A49" s="552"/>
      <c r="B49" s="515"/>
      <c r="C49" s="566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15"/>
      <c r="T49" s="536" t="e">
        <f>T47-T48</f>
        <v>#REF!</v>
      </c>
    </row>
    <row r="50" spans="1:20" hidden="1">
      <c r="A50" s="552"/>
      <c r="B50" s="515"/>
      <c r="C50" s="566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15"/>
      <c r="T50" s="569" t="e">
        <f>T49/T47</f>
        <v>#REF!</v>
      </c>
    </row>
    <row r="51" spans="1:20">
      <c r="A51" s="552"/>
      <c r="B51" s="515"/>
      <c r="C51" s="566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15"/>
      <c r="T51" s="536"/>
    </row>
    <row r="52" spans="1:20">
      <c r="A52" s="552"/>
      <c r="B52" s="515"/>
      <c r="C52" s="566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15"/>
      <c r="T52" s="536"/>
    </row>
    <row r="53" spans="1:20">
      <c r="A53" s="552"/>
      <c r="B53" s="515"/>
      <c r="C53" s="566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15"/>
      <c r="T53" s="536"/>
    </row>
    <row r="54" spans="1:20">
      <c r="A54" s="552"/>
      <c r="B54" s="515"/>
      <c r="C54" s="566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15"/>
      <c r="T54" s="536"/>
    </row>
    <row r="55" spans="1:20">
      <c r="A55" s="552"/>
      <c r="B55" s="515"/>
      <c r="C55" s="566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15"/>
      <c r="T55" s="536"/>
    </row>
    <row r="56" spans="1:20">
      <c r="A56" s="552"/>
      <c r="B56" s="515"/>
      <c r="C56" s="566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15"/>
      <c r="T56" s="536"/>
    </row>
    <row r="57" spans="1:20">
      <c r="A57" s="552"/>
      <c r="B57" s="515"/>
      <c r="C57" s="56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Q57" s="515"/>
      <c r="R57" s="515"/>
      <c r="S57" s="515"/>
    </row>
    <row r="58" spans="1:20">
      <c r="A58" s="552"/>
      <c r="B58" s="515"/>
      <c r="C58" s="56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Q58" s="515"/>
      <c r="R58" s="515"/>
      <c r="S58" s="515"/>
    </row>
    <row r="59" spans="1:20">
      <c r="A59" s="552"/>
      <c r="B59" s="515"/>
      <c r="C59" s="56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Q59" s="515"/>
      <c r="R59" s="515"/>
      <c r="S59" s="515"/>
    </row>
    <row r="60" spans="1:20">
      <c r="A60" s="552"/>
      <c r="B60" s="515"/>
      <c r="C60" s="56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Q60" s="515"/>
      <c r="R60" s="515"/>
      <c r="S60" s="515"/>
    </row>
    <row r="61" spans="1:20">
      <c r="A61" s="552"/>
      <c r="B61" s="515"/>
      <c r="C61" s="56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Q61" s="515"/>
      <c r="R61" s="515"/>
      <c r="S61" s="515"/>
    </row>
    <row r="62" spans="1:20">
      <c r="A62" s="552"/>
      <c r="B62" s="515"/>
      <c r="C62" s="56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Q62" s="515"/>
      <c r="R62" s="515"/>
      <c r="S62" s="515"/>
    </row>
    <row r="63" spans="1:20">
      <c r="A63" s="552"/>
      <c r="B63" s="515"/>
      <c r="C63" s="56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Q63" s="515"/>
      <c r="R63" s="515"/>
      <c r="S63" s="515"/>
    </row>
    <row r="64" spans="1:20">
      <c r="A64" s="552"/>
      <c r="B64" s="515"/>
      <c r="C64" s="56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Q64" s="515"/>
      <c r="R64" s="515"/>
      <c r="S64" s="515"/>
    </row>
    <row r="65" spans="1:19">
      <c r="A65" s="552"/>
      <c r="B65" s="515"/>
      <c r="C65" s="56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Q65" s="515"/>
      <c r="R65" s="515"/>
      <c r="S65" s="515"/>
    </row>
    <row r="66" spans="1:19">
      <c r="A66" s="552"/>
      <c r="B66" s="515"/>
      <c r="C66" s="56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Q66" s="515"/>
      <c r="R66" s="515"/>
      <c r="S66" s="515"/>
    </row>
    <row r="67" spans="1:19">
      <c r="A67" s="552"/>
      <c r="B67" s="515"/>
      <c r="C67" s="567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N67" s="515"/>
      <c r="O67" s="534"/>
      <c r="Q67" s="515"/>
      <c r="R67" s="515"/>
      <c r="S67" s="515"/>
    </row>
    <row r="68" spans="1:19">
      <c r="A68" s="552"/>
      <c r="B68" s="515"/>
      <c r="C68" s="56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N68" s="515"/>
      <c r="O68" s="534"/>
      <c r="Q68" s="515"/>
      <c r="R68" s="515"/>
      <c r="S68" s="515"/>
    </row>
    <row r="69" spans="1:19">
      <c r="A69" s="552"/>
      <c r="B69" s="515"/>
      <c r="C69" s="56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N69" s="515"/>
      <c r="O69" s="534"/>
      <c r="Q69" s="515"/>
      <c r="R69" s="515"/>
      <c r="S69" s="515"/>
    </row>
    <row r="70" spans="1:19">
      <c r="A70" s="552"/>
      <c r="B70" s="515"/>
      <c r="C70" s="56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N70" s="515"/>
      <c r="O70" s="534"/>
      <c r="Q70" s="515"/>
      <c r="R70" s="515"/>
      <c r="S70" s="515"/>
    </row>
    <row r="71" spans="1:19">
      <c r="A71" s="552"/>
      <c r="B71" s="515"/>
      <c r="C71" s="567"/>
      <c r="D71" s="533"/>
      <c r="E71" s="533"/>
      <c r="F71" s="533"/>
      <c r="G71" s="533"/>
      <c r="H71" s="533"/>
      <c r="I71" s="533"/>
      <c r="J71" s="533"/>
      <c r="K71" s="533"/>
      <c r="L71" s="533"/>
      <c r="M71" s="533"/>
      <c r="N71" s="515"/>
      <c r="O71" s="534"/>
      <c r="Q71" s="515"/>
      <c r="R71" s="515"/>
      <c r="S71" s="515"/>
    </row>
    <row r="72" spans="1:19">
      <c r="A72" s="552"/>
      <c r="B72" s="515"/>
      <c r="C72" s="567"/>
      <c r="D72" s="533"/>
      <c r="E72" s="533"/>
      <c r="F72" s="533"/>
      <c r="G72" s="533"/>
      <c r="H72" s="533"/>
      <c r="I72" s="533"/>
      <c r="J72" s="533"/>
      <c r="K72" s="533"/>
      <c r="L72" s="533"/>
      <c r="M72" s="533"/>
      <c r="N72" s="515"/>
      <c r="O72" s="534"/>
      <c r="Q72" s="515"/>
      <c r="R72" s="515"/>
      <c r="S72" s="515"/>
    </row>
    <row r="73" spans="1:19">
      <c r="A73" s="552"/>
      <c r="B73" s="515"/>
      <c r="C73" s="567"/>
      <c r="D73" s="533"/>
      <c r="E73" s="533"/>
      <c r="F73" s="533"/>
      <c r="G73" s="533"/>
      <c r="H73" s="533"/>
      <c r="I73" s="533"/>
      <c r="J73" s="533"/>
      <c r="K73" s="533"/>
      <c r="L73" s="533"/>
      <c r="M73" s="533"/>
      <c r="N73" s="515"/>
      <c r="O73" s="534"/>
      <c r="Q73" s="515"/>
      <c r="R73" s="515"/>
      <c r="S73" s="515"/>
    </row>
    <row r="74" spans="1:19">
      <c r="A74" s="552"/>
      <c r="B74" s="515"/>
      <c r="C74" s="567"/>
      <c r="D74" s="533"/>
      <c r="E74" s="533"/>
      <c r="F74" s="533"/>
      <c r="G74" s="533"/>
      <c r="H74" s="533"/>
      <c r="I74" s="533"/>
      <c r="J74" s="533"/>
      <c r="K74" s="533"/>
      <c r="L74" s="533"/>
      <c r="M74" s="533"/>
      <c r="N74" s="515"/>
      <c r="O74" s="534"/>
      <c r="Q74" s="515"/>
      <c r="R74" s="515"/>
      <c r="S74" s="515"/>
    </row>
    <row r="75" spans="1:19">
      <c r="A75" s="552"/>
      <c r="B75" s="515"/>
      <c r="C75" s="567"/>
      <c r="D75" s="533"/>
      <c r="E75" s="533"/>
      <c r="F75" s="533"/>
      <c r="G75" s="533"/>
      <c r="H75" s="533"/>
      <c r="I75" s="533"/>
      <c r="J75" s="533"/>
      <c r="K75" s="533"/>
      <c r="L75" s="533"/>
      <c r="M75" s="533"/>
      <c r="N75" s="515"/>
      <c r="O75" s="534"/>
      <c r="Q75" s="515"/>
      <c r="R75" s="515"/>
      <c r="S75" s="515"/>
    </row>
    <row r="76" spans="1:19">
      <c r="A76" s="552"/>
      <c r="B76" s="515"/>
      <c r="C76" s="567"/>
      <c r="D76" s="533"/>
      <c r="E76" s="533"/>
      <c r="F76" s="533"/>
      <c r="G76" s="533"/>
      <c r="H76" s="533"/>
      <c r="I76" s="533"/>
      <c r="J76" s="533"/>
      <c r="K76" s="533"/>
      <c r="L76" s="533"/>
      <c r="M76" s="533"/>
      <c r="N76" s="515"/>
      <c r="O76" s="534"/>
      <c r="Q76" s="515"/>
      <c r="R76" s="515"/>
      <c r="S76" s="515"/>
    </row>
    <row r="77" spans="1:19">
      <c r="A77" s="552"/>
      <c r="B77" s="515"/>
      <c r="C77" s="567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15"/>
      <c r="O77" s="534"/>
      <c r="Q77" s="515"/>
      <c r="R77" s="515"/>
      <c r="S77" s="515"/>
    </row>
    <row r="78" spans="1:19">
      <c r="A78" s="552"/>
      <c r="B78" s="515"/>
      <c r="C78" s="567"/>
      <c r="D78" s="533"/>
      <c r="E78" s="533"/>
      <c r="F78" s="533"/>
      <c r="G78" s="533"/>
      <c r="H78" s="533"/>
      <c r="I78" s="533"/>
      <c r="J78" s="533"/>
      <c r="K78" s="533"/>
      <c r="L78" s="533"/>
      <c r="M78" s="533"/>
      <c r="N78" s="515"/>
      <c r="O78" s="515"/>
      <c r="Q78" s="515"/>
      <c r="R78" s="515"/>
      <c r="S78" s="515"/>
    </row>
    <row r="79" spans="1:19">
      <c r="A79" s="515"/>
      <c r="B79" s="515"/>
      <c r="C79" s="567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Q79" s="515"/>
      <c r="R79" s="515"/>
      <c r="S79" s="515"/>
    </row>
    <row r="80" spans="1:19">
      <c r="A80" s="515"/>
      <c r="B80" s="515"/>
      <c r="C80" s="567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Q80" s="515"/>
      <c r="R80" s="515"/>
      <c r="S80" s="515"/>
    </row>
    <row r="81" spans="1:19">
      <c r="A81" s="515"/>
      <c r="B81" s="515"/>
      <c r="C81" s="567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Q81" s="515"/>
      <c r="R81" s="515"/>
      <c r="S81" s="515"/>
    </row>
    <row r="82" spans="1:19">
      <c r="A82" s="515"/>
      <c r="B82" s="515"/>
      <c r="C82" s="567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Q82" s="515"/>
      <c r="R82" s="515"/>
      <c r="S82" s="515"/>
    </row>
    <row r="83" spans="1:19">
      <c r="A83" s="515"/>
      <c r="B83" s="515"/>
      <c r="C83" s="567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Q83" s="515"/>
      <c r="R83" s="515"/>
      <c r="S83" s="515"/>
    </row>
    <row r="84" spans="1:19">
      <c r="A84" s="515"/>
      <c r="B84" s="515"/>
      <c r="C84" s="567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Q84" s="515"/>
      <c r="R84" s="515"/>
      <c r="S84" s="51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3"/>
  <sheetViews>
    <sheetView showGridLines="0" topLeftCell="H34" workbookViewId="0">
      <selection activeCell="J58" sqref="A58:IV60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30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6.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#REF!</f>
        <v>#REF!</v>
      </c>
    </row>
    <row r="3" spans="1:20">
      <c r="A3" s="513" t="s">
        <v>305</v>
      </c>
      <c r="M3" s="520" t="s">
        <v>299</v>
      </c>
      <c r="R3" s="518" t="s">
        <v>274</v>
      </c>
      <c r="S3" s="518"/>
      <c r="T3" s="519" t="e">
        <f>#REF!</f>
        <v>#REF!</v>
      </c>
    </row>
    <row r="4" spans="1:20" ht="14.25" thickBot="1">
      <c r="A4" s="521"/>
      <c r="B4" s="521"/>
      <c r="C4" s="586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#REF!</f>
        <v>#REF!</v>
      </c>
    </row>
    <row r="5" spans="1:20">
      <c r="A5" s="522" t="s">
        <v>276</v>
      </c>
      <c r="B5" s="523"/>
      <c r="C5" s="587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#REF!</f>
        <v>#REF!</v>
      </c>
    </row>
    <row r="6" spans="1:20">
      <c r="A6" s="524"/>
      <c r="B6" s="525"/>
      <c r="C6" s="587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#REF!</f>
        <v>#REF!</v>
      </c>
    </row>
    <row r="7" spans="1:20">
      <c r="A7" s="524" t="s">
        <v>281</v>
      </c>
      <c r="B7" s="525"/>
      <c r="C7" s="587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#REF!</f>
        <v>#REF!</v>
      </c>
    </row>
    <row r="8" spans="1:20">
      <c r="A8" s="526" t="s">
        <v>288</v>
      </c>
      <c r="B8" s="525"/>
      <c r="C8" s="588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8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 t="shared" ref="A10:A53" si="0">P10*1000</f>
        <v>0</v>
      </c>
      <c r="B10" s="515"/>
      <c r="C10" s="566">
        <v>173</v>
      </c>
      <c r="D10" s="533"/>
      <c r="E10" s="533">
        <f>C10</f>
        <v>173</v>
      </c>
      <c r="F10" s="533"/>
      <c r="G10" s="533">
        <f t="shared" ref="G10:G53" si="1">A10*C10</f>
        <v>0</v>
      </c>
      <c r="H10" s="533"/>
      <c r="I10" s="533">
        <f>G10</f>
        <v>0</v>
      </c>
      <c r="J10" s="533"/>
      <c r="K10" s="533">
        <f t="shared" ref="K10:K53" si="2">$E$53-E10</f>
        <v>2248</v>
      </c>
      <c r="L10" s="533"/>
      <c r="M10" s="533">
        <f t="shared" ref="M10:M53" si="3">(A10*K10)+I10</f>
        <v>0</v>
      </c>
      <c r="N10" s="515"/>
      <c r="O10" s="534">
        <f t="shared" ref="O10:O53" si="4">I10/$I$53</f>
        <v>0</v>
      </c>
      <c r="P10" s="532">
        <v>0</v>
      </c>
      <c r="Q10" s="561"/>
      <c r="R10" s="535"/>
      <c r="T10" s="536" t="e">
        <f t="shared" ref="T10:T53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>
      <c r="A11" s="531">
        <f t="shared" si="0"/>
        <v>1000</v>
      </c>
      <c r="B11" s="515"/>
      <c r="C11" s="566">
        <v>193</v>
      </c>
      <c r="D11" s="533"/>
      <c r="E11" s="533">
        <f t="shared" ref="E11:E53" si="6">E10+C11</f>
        <v>366</v>
      </c>
      <c r="F11" s="533"/>
      <c r="G11" s="533">
        <f t="shared" si="1"/>
        <v>193000</v>
      </c>
      <c r="H11" s="533"/>
      <c r="I11" s="533">
        <f t="shared" ref="I11:I53" si="7">G11+I10</f>
        <v>193000</v>
      </c>
      <c r="J11" s="533"/>
      <c r="K11" s="533">
        <f t="shared" si="2"/>
        <v>2055</v>
      </c>
      <c r="L11" s="533"/>
      <c r="M11" s="533">
        <f t="shared" si="3"/>
        <v>2248000</v>
      </c>
      <c r="N11" s="515"/>
      <c r="O11" s="534">
        <f t="shared" si="4"/>
        <v>1.5909652955238645E-2</v>
      </c>
      <c r="P11" s="532">
        <v>1</v>
      </c>
      <c r="Q11" s="561"/>
      <c r="R11" s="535"/>
      <c r="T11" s="536" t="e">
        <f t="shared" si="5"/>
        <v>#REF!</v>
      </c>
    </row>
    <row r="12" spans="1:20">
      <c r="A12" s="531">
        <f t="shared" si="0"/>
        <v>2000</v>
      </c>
      <c r="B12" s="515"/>
      <c r="C12" s="566">
        <v>344</v>
      </c>
      <c r="D12" s="533"/>
      <c r="E12" s="533">
        <f t="shared" si="6"/>
        <v>710</v>
      </c>
      <c r="F12" s="533"/>
      <c r="G12" s="533">
        <f t="shared" si="1"/>
        <v>688000</v>
      </c>
      <c r="H12" s="533"/>
      <c r="I12" s="533">
        <f t="shared" si="7"/>
        <v>881000</v>
      </c>
      <c r="J12" s="533"/>
      <c r="K12" s="533">
        <f t="shared" si="2"/>
        <v>1711</v>
      </c>
      <c r="L12" s="533"/>
      <c r="M12" s="533">
        <f t="shared" si="3"/>
        <v>4303000</v>
      </c>
      <c r="N12" s="515"/>
      <c r="O12" s="534">
        <f t="shared" si="4"/>
        <v>7.2623856236089357E-2</v>
      </c>
      <c r="P12" s="532">
        <v>2</v>
      </c>
      <c r="Q12" s="561"/>
      <c r="T12" s="536" t="e">
        <f t="shared" si="5"/>
        <v>#REF!</v>
      </c>
    </row>
    <row r="13" spans="1:20">
      <c r="A13" s="531">
        <f t="shared" si="0"/>
        <v>3000</v>
      </c>
      <c r="B13" s="515"/>
      <c r="C13" s="567">
        <v>389</v>
      </c>
      <c r="D13" s="533"/>
      <c r="E13" s="533">
        <f t="shared" si="6"/>
        <v>1099</v>
      </c>
      <c r="F13" s="533"/>
      <c r="G13" s="533">
        <f t="shared" si="1"/>
        <v>1167000</v>
      </c>
      <c r="H13" s="533"/>
      <c r="I13" s="533">
        <f t="shared" si="7"/>
        <v>2048000</v>
      </c>
      <c r="J13" s="533"/>
      <c r="K13" s="533">
        <f t="shared" si="2"/>
        <v>1322</v>
      </c>
      <c r="L13" s="533"/>
      <c r="M13" s="533">
        <f t="shared" si="3"/>
        <v>6014000</v>
      </c>
      <c r="N13" s="537"/>
      <c r="O13" s="534">
        <f t="shared" si="4"/>
        <v>0.16882367488253236</v>
      </c>
      <c r="P13" s="532">
        <v>3</v>
      </c>
      <c r="Q13" s="561"/>
      <c r="T13" s="536" t="e">
        <f t="shared" si="5"/>
        <v>#REF!</v>
      </c>
    </row>
    <row r="14" spans="1:20">
      <c r="A14" s="531">
        <f t="shared" si="0"/>
        <v>4000</v>
      </c>
      <c r="B14" s="515"/>
      <c r="C14" s="566">
        <v>355</v>
      </c>
      <c r="D14" s="533"/>
      <c r="E14" s="533">
        <f t="shared" si="6"/>
        <v>1454</v>
      </c>
      <c r="F14" s="533"/>
      <c r="G14" s="533">
        <f t="shared" si="1"/>
        <v>1420000</v>
      </c>
      <c r="H14" s="533"/>
      <c r="I14" s="533">
        <f t="shared" si="7"/>
        <v>3468000</v>
      </c>
      <c r="J14" s="533"/>
      <c r="K14" s="533">
        <f t="shared" si="2"/>
        <v>967</v>
      </c>
      <c r="L14" s="533"/>
      <c r="M14" s="533">
        <f t="shared" si="3"/>
        <v>7336000</v>
      </c>
      <c r="O14" s="534">
        <f t="shared" si="4"/>
        <v>0.2858791525842882</v>
      </c>
      <c r="P14" s="532">
        <v>4</v>
      </c>
      <c r="Q14" s="561"/>
      <c r="T14" s="536" t="e">
        <f t="shared" si="5"/>
        <v>#REF!</v>
      </c>
    </row>
    <row r="15" spans="1:20">
      <c r="A15" s="531">
        <f t="shared" si="0"/>
        <v>5000</v>
      </c>
      <c r="B15" s="515"/>
      <c r="C15" s="566">
        <v>262</v>
      </c>
      <c r="D15" s="533"/>
      <c r="E15" s="533">
        <f t="shared" si="6"/>
        <v>1716</v>
      </c>
      <c r="F15" s="533"/>
      <c r="G15" s="533">
        <f t="shared" si="1"/>
        <v>1310000</v>
      </c>
      <c r="H15" s="533"/>
      <c r="I15" s="533">
        <f t="shared" si="7"/>
        <v>4778000</v>
      </c>
      <c r="J15" s="533"/>
      <c r="K15" s="533">
        <f t="shared" si="2"/>
        <v>705</v>
      </c>
      <c r="L15" s="533"/>
      <c r="M15" s="533">
        <f t="shared" si="3"/>
        <v>8303000</v>
      </c>
      <c r="N15" s="515"/>
      <c r="O15" s="534">
        <f t="shared" si="4"/>
        <v>0.39386695243590802</v>
      </c>
      <c r="P15" s="532">
        <v>5</v>
      </c>
      <c r="Q15" s="561"/>
      <c r="T15" s="536" t="e">
        <f t="shared" si="5"/>
        <v>#REF!</v>
      </c>
    </row>
    <row r="16" spans="1:20">
      <c r="A16" s="531">
        <f t="shared" si="0"/>
        <v>6000</v>
      </c>
      <c r="B16" s="515"/>
      <c r="C16" s="566">
        <v>185</v>
      </c>
      <c r="D16" s="533"/>
      <c r="E16" s="533">
        <f t="shared" si="6"/>
        <v>1901</v>
      </c>
      <c r="F16" s="533"/>
      <c r="G16" s="533">
        <f t="shared" si="1"/>
        <v>1110000</v>
      </c>
      <c r="H16" s="533"/>
      <c r="I16" s="533">
        <f t="shared" si="7"/>
        <v>5888000</v>
      </c>
      <c r="J16" s="533"/>
      <c r="K16" s="533">
        <f t="shared" si="2"/>
        <v>520</v>
      </c>
      <c r="L16" s="533"/>
      <c r="M16" s="533">
        <f t="shared" si="3"/>
        <v>9008000</v>
      </c>
      <c r="N16" s="515"/>
      <c r="O16" s="534">
        <f t="shared" si="4"/>
        <v>0.48536806528728055</v>
      </c>
      <c r="P16" s="532">
        <v>6</v>
      </c>
      <c r="Q16" s="561"/>
      <c r="T16" s="536" t="e">
        <f t="shared" si="5"/>
        <v>#REF!</v>
      </c>
    </row>
    <row r="17" spans="1:20">
      <c r="A17" s="531">
        <f t="shared" si="0"/>
        <v>7000</v>
      </c>
      <c r="B17" s="515"/>
      <c r="C17" s="566">
        <v>138</v>
      </c>
      <c r="D17" s="533"/>
      <c r="E17" s="533">
        <f t="shared" si="6"/>
        <v>2039</v>
      </c>
      <c r="F17" s="533"/>
      <c r="G17" s="533">
        <f t="shared" si="1"/>
        <v>966000</v>
      </c>
      <c r="H17" s="533"/>
      <c r="I17" s="533">
        <f t="shared" si="7"/>
        <v>6854000</v>
      </c>
      <c r="J17" s="533"/>
      <c r="K17" s="533">
        <f t="shared" si="2"/>
        <v>382</v>
      </c>
      <c r="L17" s="533"/>
      <c r="M17" s="533">
        <f t="shared" si="3"/>
        <v>9528000</v>
      </c>
      <c r="N17" s="515"/>
      <c r="O17" s="534">
        <f t="shared" si="4"/>
        <v>0.564998763498475</v>
      </c>
      <c r="P17" s="532">
        <v>7</v>
      </c>
      <c r="Q17" s="561"/>
      <c r="T17" s="536" t="e">
        <f t="shared" si="5"/>
        <v>#REF!</v>
      </c>
    </row>
    <row r="18" spans="1:20">
      <c r="A18" s="531">
        <f t="shared" si="0"/>
        <v>8000</v>
      </c>
      <c r="B18" s="515"/>
      <c r="C18" s="566">
        <v>94</v>
      </c>
      <c r="D18" s="533"/>
      <c r="E18" s="533">
        <f t="shared" si="6"/>
        <v>2133</v>
      </c>
      <c r="F18" s="533"/>
      <c r="G18" s="533">
        <f t="shared" si="1"/>
        <v>752000</v>
      </c>
      <c r="H18" s="533"/>
      <c r="I18" s="533">
        <f t="shared" si="7"/>
        <v>7606000</v>
      </c>
      <c r="J18" s="533"/>
      <c r="K18" s="533">
        <f t="shared" si="2"/>
        <v>288</v>
      </c>
      <c r="L18" s="533"/>
      <c r="M18" s="533">
        <f t="shared" si="3"/>
        <v>9910000</v>
      </c>
      <c r="N18" s="515"/>
      <c r="O18" s="534">
        <f t="shared" si="4"/>
        <v>0.62698870661940487</v>
      </c>
      <c r="P18" s="532">
        <v>8</v>
      </c>
      <c r="Q18" s="561"/>
      <c r="T18" s="536" t="e">
        <f t="shared" si="5"/>
        <v>#REF!</v>
      </c>
    </row>
    <row r="19" spans="1:20">
      <c r="A19" s="531">
        <f t="shared" si="0"/>
        <v>9000</v>
      </c>
      <c r="B19" s="515"/>
      <c r="C19" s="566">
        <v>70</v>
      </c>
      <c r="D19" s="533"/>
      <c r="E19" s="533">
        <f t="shared" si="6"/>
        <v>2203</v>
      </c>
      <c r="F19" s="533"/>
      <c r="G19" s="533">
        <f t="shared" si="1"/>
        <v>630000</v>
      </c>
      <c r="H19" s="533"/>
      <c r="I19" s="533">
        <f t="shared" si="7"/>
        <v>8236000</v>
      </c>
      <c r="J19" s="533"/>
      <c r="K19" s="533">
        <f t="shared" si="2"/>
        <v>218</v>
      </c>
      <c r="L19" s="533"/>
      <c r="M19" s="533">
        <f t="shared" si="3"/>
        <v>10198000</v>
      </c>
      <c r="N19" s="515"/>
      <c r="O19" s="534">
        <f t="shared" si="4"/>
        <v>0.67892177067018378</v>
      </c>
      <c r="P19" s="532">
        <v>9</v>
      </c>
      <c r="Q19" s="561"/>
      <c r="T19" s="536" t="e">
        <f t="shared" si="5"/>
        <v>#REF!</v>
      </c>
    </row>
    <row r="20" spans="1:20">
      <c r="A20" s="531">
        <f t="shared" si="0"/>
        <v>10000</v>
      </c>
      <c r="B20" s="515"/>
      <c r="C20" s="566">
        <v>41</v>
      </c>
      <c r="D20" s="533"/>
      <c r="E20" s="533">
        <f t="shared" si="6"/>
        <v>2244</v>
      </c>
      <c r="F20" s="533"/>
      <c r="G20" s="533">
        <f t="shared" si="1"/>
        <v>410000</v>
      </c>
      <c r="H20" s="533"/>
      <c r="I20" s="533">
        <f t="shared" si="7"/>
        <v>8646000</v>
      </c>
      <c r="J20" s="533"/>
      <c r="K20" s="533">
        <f t="shared" si="2"/>
        <v>177</v>
      </c>
      <c r="L20" s="533"/>
      <c r="M20" s="533">
        <f t="shared" si="3"/>
        <v>10416000</v>
      </c>
      <c r="N20" s="515"/>
      <c r="O20" s="534">
        <f t="shared" si="4"/>
        <v>0.71271947902069077</v>
      </c>
      <c r="P20" s="532">
        <v>10</v>
      </c>
      <c r="Q20" s="561"/>
      <c r="T20" s="536" t="e">
        <f t="shared" si="5"/>
        <v>#REF!</v>
      </c>
    </row>
    <row r="21" spans="1:20">
      <c r="A21" s="531">
        <f t="shared" si="0"/>
        <v>11000</v>
      </c>
      <c r="B21" s="515"/>
      <c r="C21" s="566">
        <v>36</v>
      </c>
      <c r="D21" s="533"/>
      <c r="E21" s="533">
        <f t="shared" si="6"/>
        <v>2280</v>
      </c>
      <c r="F21" s="533"/>
      <c r="G21" s="533">
        <f t="shared" si="1"/>
        <v>396000</v>
      </c>
      <c r="H21" s="533"/>
      <c r="I21" s="533">
        <f t="shared" si="7"/>
        <v>9042000</v>
      </c>
      <c r="J21" s="533"/>
      <c r="K21" s="533">
        <f t="shared" si="2"/>
        <v>141</v>
      </c>
      <c r="L21" s="533"/>
      <c r="M21" s="533">
        <f t="shared" si="3"/>
        <v>10593000</v>
      </c>
      <c r="N21" s="515"/>
      <c r="O21" s="534">
        <f t="shared" si="4"/>
        <v>0.74536311928118049</v>
      </c>
      <c r="P21" s="532">
        <v>11</v>
      </c>
      <c r="Q21" s="561"/>
      <c r="T21" s="536" t="e">
        <f t="shared" si="5"/>
        <v>#REF!</v>
      </c>
    </row>
    <row r="22" spans="1:20">
      <c r="A22" s="552">
        <f t="shared" si="0"/>
        <v>12000</v>
      </c>
      <c r="B22" s="515"/>
      <c r="C22" s="566">
        <v>24</v>
      </c>
      <c r="D22" s="533"/>
      <c r="E22" s="533">
        <f t="shared" si="6"/>
        <v>2304</v>
      </c>
      <c r="F22" s="533"/>
      <c r="G22" s="533">
        <f t="shared" si="1"/>
        <v>288000</v>
      </c>
      <c r="H22" s="533"/>
      <c r="I22" s="533">
        <f t="shared" si="7"/>
        <v>9330000</v>
      </c>
      <c r="J22" s="533"/>
      <c r="K22" s="533">
        <f t="shared" si="2"/>
        <v>117</v>
      </c>
      <c r="L22" s="533"/>
      <c r="M22" s="533">
        <f t="shared" si="3"/>
        <v>10734000</v>
      </c>
      <c r="N22" s="515"/>
      <c r="O22" s="534">
        <f t="shared" si="4"/>
        <v>0.76910394856153652</v>
      </c>
      <c r="P22" s="532">
        <v>12</v>
      </c>
      <c r="Q22" s="547"/>
      <c r="T22" s="536" t="e">
        <f t="shared" si="5"/>
        <v>#REF!</v>
      </c>
    </row>
    <row r="23" spans="1:20">
      <c r="A23" s="552">
        <f t="shared" si="0"/>
        <v>13000</v>
      </c>
      <c r="B23" s="515"/>
      <c r="C23" s="566">
        <v>22</v>
      </c>
      <c r="D23" s="533"/>
      <c r="E23" s="533">
        <f t="shared" si="6"/>
        <v>2326</v>
      </c>
      <c r="F23" s="533"/>
      <c r="G23" s="533">
        <f t="shared" si="1"/>
        <v>286000</v>
      </c>
      <c r="H23" s="533"/>
      <c r="I23" s="533">
        <f t="shared" si="7"/>
        <v>9616000</v>
      </c>
      <c r="J23" s="533"/>
      <c r="K23" s="533">
        <f t="shared" si="2"/>
        <v>95</v>
      </c>
      <c r="L23" s="533"/>
      <c r="M23" s="533">
        <f t="shared" si="3"/>
        <v>10851000</v>
      </c>
      <c r="N23" s="515"/>
      <c r="O23" s="534">
        <f t="shared" si="4"/>
        <v>0.79267991097189017</v>
      </c>
      <c r="P23" s="532">
        <v>13</v>
      </c>
      <c r="Q23" s="515"/>
      <c r="T23" s="536" t="e">
        <f t="shared" si="5"/>
        <v>#REF!</v>
      </c>
    </row>
    <row r="24" spans="1:20" s="515" customFormat="1">
      <c r="A24" s="552">
        <f t="shared" si="0"/>
        <v>14000</v>
      </c>
      <c r="C24" s="566">
        <v>6</v>
      </c>
      <c r="D24" s="533"/>
      <c r="E24" s="533">
        <f t="shared" si="6"/>
        <v>2332</v>
      </c>
      <c r="F24" s="533"/>
      <c r="G24" s="533">
        <f t="shared" si="1"/>
        <v>84000</v>
      </c>
      <c r="H24" s="533"/>
      <c r="I24" s="533">
        <f t="shared" si="7"/>
        <v>9700000</v>
      </c>
      <c r="J24" s="533"/>
      <c r="K24" s="533">
        <f t="shared" si="2"/>
        <v>89</v>
      </c>
      <c r="L24" s="533"/>
      <c r="M24" s="533">
        <f t="shared" si="3"/>
        <v>10946000</v>
      </c>
      <c r="O24" s="534">
        <f t="shared" si="4"/>
        <v>0.79960431951199407</v>
      </c>
      <c r="P24" s="532">
        <v>14</v>
      </c>
      <c r="R24" s="513"/>
      <c r="S24" s="513"/>
      <c r="T24" s="536" t="e">
        <f t="shared" si="5"/>
        <v>#REF!</v>
      </c>
    </row>
    <row r="25" spans="1:20" s="515" customFormat="1">
      <c r="A25" s="552">
        <f t="shared" si="0"/>
        <v>15000</v>
      </c>
      <c r="C25" s="566">
        <v>8</v>
      </c>
      <c r="D25" s="533"/>
      <c r="E25" s="533">
        <f t="shared" si="6"/>
        <v>2340</v>
      </c>
      <c r="F25" s="533"/>
      <c r="G25" s="533">
        <f t="shared" si="1"/>
        <v>120000</v>
      </c>
      <c r="H25" s="533"/>
      <c r="I25" s="533">
        <f t="shared" si="7"/>
        <v>9820000</v>
      </c>
      <c r="J25" s="533"/>
      <c r="K25" s="533">
        <f t="shared" si="2"/>
        <v>81</v>
      </c>
      <c r="L25" s="533"/>
      <c r="M25" s="533">
        <f t="shared" si="3"/>
        <v>11035000</v>
      </c>
      <c r="O25" s="534">
        <f t="shared" si="4"/>
        <v>0.80949633171214241</v>
      </c>
      <c r="P25" s="532">
        <v>15</v>
      </c>
      <c r="R25" s="513"/>
      <c r="S25" s="513"/>
      <c r="T25" s="536" t="e">
        <f t="shared" si="5"/>
        <v>#REF!</v>
      </c>
    </row>
    <row r="26" spans="1:20" s="515" customFormat="1">
      <c r="A26" s="552">
        <f t="shared" si="0"/>
        <v>16000</v>
      </c>
      <c r="C26" s="566">
        <v>6</v>
      </c>
      <c r="D26" s="533"/>
      <c r="E26" s="533">
        <f t="shared" si="6"/>
        <v>2346</v>
      </c>
      <c r="F26" s="533"/>
      <c r="G26" s="533">
        <f t="shared" si="1"/>
        <v>96000</v>
      </c>
      <c r="H26" s="533"/>
      <c r="I26" s="533">
        <f t="shared" si="7"/>
        <v>9916000</v>
      </c>
      <c r="J26" s="533"/>
      <c r="K26" s="533">
        <f t="shared" si="2"/>
        <v>75</v>
      </c>
      <c r="L26" s="533"/>
      <c r="M26" s="533">
        <f t="shared" si="3"/>
        <v>11116000</v>
      </c>
      <c r="O26" s="534">
        <f t="shared" si="4"/>
        <v>0.8174099414722612</v>
      </c>
      <c r="P26" s="532">
        <v>16</v>
      </c>
      <c r="R26" s="513"/>
      <c r="S26" s="513"/>
      <c r="T26" s="536" t="e">
        <f t="shared" si="5"/>
        <v>#REF!</v>
      </c>
    </row>
    <row r="27" spans="1:20">
      <c r="A27" s="552">
        <f t="shared" si="0"/>
        <v>17000</v>
      </c>
      <c r="B27" s="515"/>
      <c r="C27" s="566">
        <v>11</v>
      </c>
      <c r="D27" s="533"/>
      <c r="E27" s="533">
        <f t="shared" si="6"/>
        <v>2357</v>
      </c>
      <c r="F27" s="533"/>
      <c r="G27" s="533">
        <f t="shared" si="1"/>
        <v>187000</v>
      </c>
      <c r="H27" s="533"/>
      <c r="I27" s="533">
        <f t="shared" si="7"/>
        <v>10103000</v>
      </c>
      <c r="J27" s="533"/>
      <c r="K27" s="533">
        <f t="shared" si="2"/>
        <v>64</v>
      </c>
      <c r="L27" s="533"/>
      <c r="M27" s="533">
        <f t="shared" si="3"/>
        <v>11191000</v>
      </c>
      <c r="N27" s="515"/>
      <c r="O27" s="534">
        <f t="shared" si="4"/>
        <v>0.83282499381749242</v>
      </c>
      <c r="P27" s="532">
        <v>17</v>
      </c>
      <c r="Q27" s="515"/>
      <c r="T27" s="536" t="e">
        <f t="shared" si="5"/>
        <v>#REF!</v>
      </c>
    </row>
    <row r="28" spans="1:20">
      <c r="A28" s="552">
        <f t="shared" si="0"/>
        <v>18000</v>
      </c>
      <c r="B28" s="515"/>
      <c r="C28" s="566">
        <v>6</v>
      </c>
      <c r="D28" s="533"/>
      <c r="E28" s="533">
        <f t="shared" si="6"/>
        <v>2363</v>
      </c>
      <c r="F28" s="533"/>
      <c r="G28" s="533">
        <f t="shared" si="1"/>
        <v>108000</v>
      </c>
      <c r="H28" s="533"/>
      <c r="I28" s="533">
        <f t="shared" si="7"/>
        <v>10211000</v>
      </c>
      <c r="J28" s="533"/>
      <c r="K28" s="533">
        <f t="shared" si="2"/>
        <v>58</v>
      </c>
      <c r="L28" s="533"/>
      <c r="M28" s="533">
        <f t="shared" si="3"/>
        <v>11255000</v>
      </c>
      <c r="N28" s="515"/>
      <c r="O28" s="534">
        <f t="shared" si="4"/>
        <v>0.84172780479762588</v>
      </c>
      <c r="P28" s="532">
        <v>18</v>
      </c>
      <c r="Q28" s="515"/>
      <c r="T28" s="536" t="e">
        <f t="shared" si="5"/>
        <v>#REF!</v>
      </c>
    </row>
    <row r="29" spans="1:20">
      <c r="A29" s="552">
        <f t="shared" si="0"/>
        <v>19000</v>
      </c>
      <c r="B29" s="515"/>
      <c r="C29" s="566">
        <v>4</v>
      </c>
      <c r="D29" s="533"/>
      <c r="E29" s="533">
        <f t="shared" si="6"/>
        <v>2367</v>
      </c>
      <c r="F29" s="533"/>
      <c r="G29" s="533">
        <f t="shared" si="1"/>
        <v>76000</v>
      </c>
      <c r="H29" s="533"/>
      <c r="I29" s="533">
        <f t="shared" si="7"/>
        <v>10287000</v>
      </c>
      <c r="J29" s="533"/>
      <c r="K29" s="533">
        <f t="shared" si="2"/>
        <v>54</v>
      </c>
      <c r="L29" s="533"/>
      <c r="M29" s="533">
        <f t="shared" si="3"/>
        <v>11313000</v>
      </c>
      <c r="N29" s="515"/>
      <c r="O29" s="534">
        <f t="shared" si="4"/>
        <v>0.84799274585771989</v>
      </c>
      <c r="P29" s="532">
        <v>19</v>
      </c>
      <c r="Q29" s="515"/>
      <c r="T29" s="536" t="e">
        <f t="shared" si="5"/>
        <v>#REF!</v>
      </c>
    </row>
    <row r="30" spans="1:20">
      <c r="A30" s="552">
        <f t="shared" si="0"/>
        <v>20000</v>
      </c>
      <c r="B30" s="515"/>
      <c r="C30" s="566">
        <v>5</v>
      </c>
      <c r="D30" s="533"/>
      <c r="E30" s="533">
        <f t="shared" si="6"/>
        <v>2372</v>
      </c>
      <c r="F30" s="533"/>
      <c r="G30" s="533">
        <f t="shared" si="1"/>
        <v>100000</v>
      </c>
      <c r="H30" s="533"/>
      <c r="I30" s="533">
        <f t="shared" si="7"/>
        <v>10387000</v>
      </c>
      <c r="J30" s="533"/>
      <c r="K30" s="533">
        <f t="shared" si="2"/>
        <v>49</v>
      </c>
      <c r="L30" s="533"/>
      <c r="M30" s="533">
        <f t="shared" si="3"/>
        <v>11367000</v>
      </c>
      <c r="N30" s="515"/>
      <c r="O30" s="534">
        <f t="shared" si="4"/>
        <v>0.85623608935784357</v>
      </c>
      <c r="P30" s="532">
        <v>20</v>
      </c>
      <c r="Q30" s="515"/>
      <c r="T30" s="536" t="e">
        <f t="shared" si="5"/>
        <v>#REF!</v>
      </c>
    </row>
    <row r="31" spans="1:20">
      <c r="A31" s="552">
        <f t="shared" si="0"/>
        <v>21000</v>
      </c>
      <c r="B31" s="515"/>
      <c r="C31" s="566">
        <v>3</v>
      </c>
      <c r="D31" s="533"/>
      <c r="E31" s="533">
        <f t="shared" si="6"/>
        <v>2375</v>
      </c>
      <c r="F31" s="533"/>
      <c r="G31" s="533">
        <f t="shared" si="1"/>
        <v>63000</v>
      </c>
      <c r="H31" s="533"/>
      <c r="I31" s="533">
        <f t="shared" si="7"/>
        <v>10450000</v>
      </c>
      <c r="J31" s="533"/>
      <c r="K31" s="533">
        <f t="shared" si="2"/>
        <v>46</v>
      </c>
      <c r="L31" s="533"/>
      <c r="M31" s="533">
        <f t="shared" si="3"/>
        <v>11416000</v>
      </c>
      <c r="N31" s="515"/>
      <c r="O31" s="534">
        <f t="shared" si="4"/>
        <v>0.86142939576292143</v>
      </c>
      <c r="P31" s="532">
        <v>21</v>
      </c>
      <c r="Q31" s="515"/>
      <c r="T31" s="536" t="e">
        <f t="shared" si="5"/>
        <v>#REF!</v>
      </c>
    </row>
    <row r="32" spans="1:20">
      <c r="A32" s="552">
        <f t="shared" si="0"/>
        <v>22000</v>
      </c>
      <c r="B32" s="515"/>
      <c r="C32" s="566">
        <v>2</v>
      </c>
      <c r="D32" s="533"/>
      <c r="E32" s="533">
        <f t="shared" si="6"/>
        <v>2377</v>
      </c>
      <c r="F32" s="533"/>
      <c r="G32" s="533">
        <f t="shared" si="1"/>
        <v>44000</v>
      </c>
      <c r="H32" s="533"/>
      <c r="I32" s="533">
        <f t="shared" si="7"/>
        <v>10494000</v>
      </c>
      <c r="J32" s="533"/>
      <c r="K32" s="533">
        <f t="shared" si="2"/>
        <v>44</v>
      </c>
      <c r="L32" s="533"/>
      <c r="M32" s="533">
        <f t="shared" si="3"/>
        <v>11462000</v>
      </c>
      <c r="N32" s="515"/>
      <c r="O32" s="534">
        <f t="shared" si="4"/>
        <v>0.86505646690297588</v>
      </c>
      <c r="P32" s="532">
        <v>22</v>
      </c>
      <c r="Q32" s="515"/>
      <c r="T32" s="536" t="e">
        <f t="shared" si="5"/>
        <v>#REF!</v>
      </c>
    </row>
    <row r="33" spans="1:20">
      <c r="A33" s="552">
        <f t="shared" si="0"/>
        <v>23000</v>
      </c>
      <c r="B33" s="515"/>
      <c r="C33" s="566">
        <v>7</v>
      </c>
      <c r="D33" s="533"/>
      <c r="E33" s="533">
        <f t="shared" si="6"/>
        <v>2384</v>
      </c>
      <c r="F33" s="533"/>
      <c r="G33" s="533">
        <f t="shared" si="1"/>
        <v>161000</v>
      </c>
      <c r="H33" s="533"/>
      <c r="I33" s="533">
        <f t="shared" si="7"/>
        <v>10655000</v>
      </c>
      <c r="J33" s="533"/>
      <c r="K33" s="533">
        <f t="shared" si="2"/>
        <v>37</v>
      </c>
      <c r="L33" s="533"/>
      <c r="M33" s="533">
        <f t="shared" si="3"/>
        <v>11506000</v>
      </c>
      <c r="N33" s="515"/>
      <c r="O33" s="534">
        <f t="shared" si="4"/>
        <v>0.87832824993817493</v>
      </c>
      <c r="P33" s="532">
        <v>23</v>
      </c>
      <c r="Q33" s="515"/>
      <c r="T33" s="536" t="e">
        <f t="shared" si="5"/>
        <v>#REF!</v>
      </c>
    </row>
    <row r="34" spans="1:20">
      <c r="A34" s="552">
        <f t="shared" si="0"/>
        <v>24000</v>
      </c>
      <c r="B34" s="515"/>
      <c r="C34" s="566">
        <v>2</v>
      </c>
      <c r="D34" s="533"/>
      <c r="E34" s="533">
        <f t="shared" si="6"/>
        <v>2386</v>
      </c>
      <c r="F34" s="533"/>
      <c r="G34" s="533">
        <f t="shared" si="1"/>
        <v>48000</v>
      </c>
      <c r="H34" s="533"/>
      <c r="I34" s="533">
        <f t="shared" si="7"/>
        <v>10703000</v>
      </c>
      <c r="J34" s="533"/>
      <c r="K34" s="533">
        <f t="shared" si="2"/>
        <v>35</v>
      </c>
      <c r="L34" s="533"/>
      <c r="M34" s="533">
        <f t="shared" si="3"/>
        <v>11543000</v>
      </c>
      <c r="N34" s="515"/>
      <c r="O34" s="534">
        <f t="shared" si="4"/>
        <v>0.88228505481823427</v>
      </c>
      <c r="P34" s="532">
        <v>24</v>
      </c>
      <c r="Q34" s="515"/>
      <c r="T34" s="536" t="e">
        <f t="shared" si="5"/>
        <v>#REF!</v>
      </c>
    </row>
    <row r="35" spans="1:20">
      <c r="A35" s="552">
        <f t="shared" si="0"/>
        <v>25000</v>
      </c>
      <c r="B35" s="515"/>
      <c r="C35" s="566">
        <v>3</v>
      </c>
      <c r="D35" s="533"/>
      <c r="E35" s="533">
        <f t="shared" si="6"/>
        <v>2389</v>
      </c>
      <c r="F35" s="533"/>
      <c r="G35" s="533">
        <f t="shared" si="1"/>
        <v>75000</v>
      </c>
      <c r="H35" s="533"/>
      <c r="I35" s="533">
        <f t="shared" si="7"/>
        <v>10778000</v>
      </c>
      <c r="J35" s="533"/>
      <c r="K35" s="533">
        <f t="shared" si="2"/>
        <v>32</v>
      </c>
      <c r="L35" s="533"/>
      <c r="M35" s="533">
        <f t="shared" si="3"/>
        <v>11578000</v>
      </c>
      <c r="N35" s="515"/>
      <c r="O35" s="534">
        <f t="shared" si="4"/>
        <v>0.88846756244332703</v>
      </c>
      <c r="P35" s="532">
        <v>25</v>
      </c>
      <c r="Q35" s="515"/>
      <c r="T35" s="536" t="e">
        <f t="shared" si="5"/>
        <v>#REF!</v>
      </c>
    </row>
    <row r="36" spans="1:20">
      <c r="A36" s="552">
        <f t="shared" si="0"/>
        <v>26000</v>
      </c>
      <c r="B36" s="515"/>
      <c r="C36" s="566">
        <v>2</v>
      </c>
      <c r="D36" s="533"/>
      <c r="E36" s="533">
        <f t="shared" si="6"/>
        <v>2391</v>
      </c>
      <c r="F36" s="533"/>
      <c r="G36" s="533">
        <f t="shared" si="1"/>
        <v>52000</v>
      </c>
      <c r="H36" s="533"/>
      <c r="I36" s="533">
        <f t="shared" si="7"/>
        <v>10830000</v>
      </c>
      <c r="J36" s="533"/>
      <c r="K36" s="533">
        <f t="shared" si="2"/>
        <v>30</v>
      </c>
      <c r="L36" s="533"/>
      <c r="M36" s="533">
        <f t="shared" si="3"/>
        <v>11610000</v>
      </c>
      <c r="N36" s="515"/>
      <c r="O36" s="534">
        <f t="shared" si="4"/>
        <v>0.89275410106339126</v>
      </c>
      <c r="P36" s="532">
        <v>26</v>
      </c>
      <c r="Q36" s="515"/>
      <c r="R36" s="515"/>
      <c r="S36" s="515"/>
      <c r="T36" s="536" t="e">
        <f t="shared" si="5"/>
        <v>#REF!</v>
      </c>
    </row>
    <row r="37" spans="1:20">
      <c r="A37" s="552">
        <f t="shared" si="0"/>
        <v>28000</v>
      </c>
      <c r="B37" s="515"/>
      <c r="C37" s="566">
        <v>5</v>
      </c>
      <c r="D37" s="533"/>
      <c r="E37" s="533">
        <f t="shared" si="6"/>
        <v>2396</v>
      </c>
      <c r="F37" s="533"/>
      <c r="G37" s="533">
        <f t="shared" si="1"/>
        <v>140000</v>
      </c>
      <c r="H37" s="533"/>
      <c r="I37" s="533">
        <f t="shared" si="7"/>
        <v>10970000</v>
      </c>
      <c r="J37" s="533"/>
      <c r="K37" s="533">
        <f t="shared" si="2"/>
        <v>25</v>
      </c>
      <c r="L37" s="533"/>
      <c r="M37" s="533">
        <f t="shared" si="3"/>
        <v>11670000</v>
      </c>
      <c r="N37" s="515"/>
      <c r="O37" s="534">
        <f t="shared" si="4"/>
        <v>0.90429478196356439</v>
      </c>
      <c r="P37" s="532">
        <v>28</v>
      </c>
      <c r="Q37" s="515"/>
      <c r="R37" s="515"/>
      <c r="S37" s="515"/>
      <c r="T37" s="536" t="e">
        <f t="shared" si="5"/>
        <v>#REF!</v>
      </c>
    </row>
    <row r="38" spans="1:20">
      <c r="A38" s="552">
        <f t="shared" si="0"/>
        <v>30000</v>
      </c>
      <c r="B38" s="515"/>
      <c r="C38" s="566">
        <v>1</v>
      </c>
      <c r="D38" s="533"/>
      <c r="E38" s="533">
        <f t="shared" si="6"/>
        <v>2397</v>
      </c>
      <c r="F38" s="533"/>
      <c r="G38" s="533">
        <f t="shared" si="1"/>
        <v>30000</v>
      </c>
      <c r="H38" s="533"/>
      <c r="I38" s="533">
        <f t="shared" si="7"/>
        <v>11000000</v>
      </c>
      <c r="J38" s="533"/>
      <c r="K38" s="533">
        <f t="shared" si="2"/>
        <v>24</v>
      </c>
      <c r="L38" s="533"/>
      <c r="M38" s="533">
        <f t="shared" si="3"/>
        <v>11720000</v>
      </c>
      <c r="N38" s="515"/>
      <c r="O38" s="534">
        <f t="shared" si="4"/>
        <v>0.90676778501360156</v>
      </c>
      <c r="P38" s="532">
        <v>30</v>
      </c>
      <c r="Q38" s="515"/>
      <c r="R38" s="515"/>
      <c r="S38" s="515"/>
      <c r="T38" s="536" t="e">
        <f t="shared" si="5"/>
        <v>#REF!</v>
      </c>
    </row>
    <row r="39" spans="1:20">
      <c r="A39" s="552">
        <f t="shared" si="0"/>
        <v>32000</v>
      </c>
      <c r="B39" s="515"/>
      <c r="C39" s="566">
        <v>2</v>
      </c>
      <c r="D39" s="533"/>
      <c r="E39" s="533">
        <f t="shared" si="6"/>
        <v>2399</v>
      </c>
      <c r="F39" s="533"/>
      <c r="G39" s="533">
        <f t="shared" si="1"/>
        <v>64000</v>
      </c>
      <c r="H39" s="533"/>
      <c r="I39" s="533">
        <f t="shared" si="7"/>
        <v>11064000</v>
      </c>
      <c r="J39" s="533"/>
      <c r="K39" s="533">
        <f t="shared" si="2"/>
        <v>22</v>
      </c>
      <c r="L39" s="533"/>
      <c r="M39" s="533">
        <f t="shared" si="3"/>
        <v>11768000</v>
      </c>
      <c r="N39" s="515"/>
      <c r="O39" s="534">
        <f t="shared" si="4"/>
        <v>0.91204352485368068</v>
      </c>
      <c r="P39" s="532">
        <v>32</v>
      </c>
      <c r="Q39" s="515"/>
      <c r="R39" s="515"/>
      <c r="S39" s="515"/>
      <c r="T39" s="536" t="e">
        <f t="shared" si="5"/>
        <v>#REF!</v>
      </c>
    </row>
    <row r="40" spans="1:20">
      <c r="A40" s="552">
        <f t="shared" si="0"/>
        <v>33000</v>
      </c>
      <c r="B40" s="515"/>
      <c r="C40" s="566">
        <v>2</v>
      </c>
      <c r="D40" s="533"/>
      <c r="E40" s="533">
        <f t="shared" si="6"/>
        <v>2401</v>
      </c>
      <c r="F40" s="533"/>
      <c r="G40" s="533">
        <f t="shared" si="1"/>
        <v>66000</v>
      </c>
      <c r="H40" s="533"/>
      <c r="I40" s="533">
        <f t="shared" si="7"/>
        <v>11130000</v>
      </c>
      <c r="J40" s="533"/>
      <c r="K40" s="533">
        <f t="shared" si="2"/>
        <v>20</v>
      </c>
      <c r="L40" s="533"/>
      <c r="M40" s="533">
        <f t="shared" si="3"/>
        <v>11790000</v>
      </c>
      <c r="N40" s="515"/>
      <c r="O40" s="534">
        <f t="shared" si="4"/>
        <v>0.9174841315637623</v>
      </c>
      <c r="P40" s="532">
        <v>33</v>
      </c>
      <c r="Q40" s="515"/>
      <c r="R40" s="515"/>
      <c r="S40" s="515"/>
      <c r="T40" s="536" t="e">
        <f t="shared" si="5"/>
        <v>#REF!</v>
      </c>
    </row>
    <row r="41" spans="1:20">
      <c r="A41" s="552">
        <f t="shared" si="0"/>
        <v>34000</v>
      </c>
      <c r="B41" s="515"/>
      <c r="C41" s="566">
        <v>2</v>
      </c>
      <c r="D41" s="533"/>
      <c r="E41" s="533">
        <f t="shared" si="6"/>
        <v>2403</v>
      </c>
      <c r="F41" s="533"/>
      <c r="G41" s="533">
        <f t="shared" si="1"/>
        <v>68000</v>
      </c>
      <c r="H41" s="533"/>
      <c r="I41" s="533">
        <f t="shared" si="7"/>
        <v>11198000</v>
      </c>
      <c r="J41" s="533"/>
      <c r="K41" s="533">
        <f t="shared" si="2"/>
        <v>18</v>
      </c>
      <c r="L41" s="533"/>
      <c r="M41" s="533">
        <f t="shared" si="3"/>
        <v>11810000</v>
      </c>
      <c r="N41" s="515"/>
      <c r="O41" s="534">
        <f t="shared" si="4"/>
        <v>0.9230896051438463</v>
      </c>
      <c r="P41" s="532">
        <v>34</v>
      </c>
      <c r="Q41" s="515"/>
      <c r="R41" s="515"/>
      <c r="S41" s="515"/>
      <c r="T41" s="536" t="e">
        <f t="shared" si="5"/>
        <v>#REF!</v>
      </c>
    </row>
    <row r="42" spans="1:20">
      <c r="A42" s="552">
        <f t="shared" si="0"/>
        <v>35000</v>
      </c>
      <c r="B42" s="515"/>
      <c r="C42" s="566">
        <v>2</v>
      </c>
      <c r="D42" s="533"/>
      <c r="E42" s="533">
        <f t="shared" si="6"/>
        <v>2405</v>
      </c>
      <c r="F42" s="533"/>
      <c r="G42" s="533">
        <f t="shared" si="1"/>
        <v>70000</v>
      </c>
      <c r="H42" s="533"/>
      <c r="I42" s="533">
        <f t="shared" si="7"/>
        <v>11268000</v>
      </c>
      <c r="J42" s="533"/>
      <c r="K42" s="533">
        <f t="shared" si="2"/>
        <v>16</v>
      </c>
      <c r="L42" s="533"/>
      <c r="M42" s="533">
        <f t="shared" si="3"/>
        <v>11828000</v>
      </c>
      <c r="N42" s="529"/>
      <c r="O42" s="534">
        <f t="shared" si="4"/>
        <v>0.92885994559393292</v>
      </c>
      <c r="P42" s="532">
        <v>35</v>
      </c>
      <c r="Q42" s="515"/>
      <c r="R42" s="515"/>
      <c r="S42" s="515"/>
      <c r="T42" s="536" t="e">
        <f t="shared" si="5"/>
        <v>#REF!</v>
      </c>
    </row>
    <row r="43" spans="1:20">
      <c r="A43" s="552">
        <f t="shared" si="0"/>
        <v>36000</v>
      </c>
      <c r="B43" s="515"/>
      <c r="C43" s="566">
        <v>1</v>
      </c>
      <c r="D43" s="533"/>
      <c r="E43" s="533">
        <f t="shared" si="6"/>
        <v>2406</v>
      </c>
      <c r="F43" s="533"/>
      <c r="G43" s="533">
        <f t="shared" si="1"/>
        <v>36000</v>
      </c>
      <c r="H43" s="533"/>
      <c r="I43" s="533">
        <f t="shared" si="7"/>
        <v>11304000</v>
      </c>
      <c r="J43" s="533"/>
      <c r="K43" s="533">
        <f t="shared" si="2"/>
        <v>15</v>
      </c>
      <c r="L43" s="533"/>
      <c r="M43" s="533">
        <f t="shared" si="3"/>
        <v>11844000</v>
      </c>
      <c r="N43" s="523"/>
      <c r="O43" s="534">
        <f t="shared" si="4"/>
        <v>0.93182754925397737</v>
      </c>
      <c r="P43" s="532">
        <v>36</v>
      </c>
      <c r="Q43" s="515"/>
      <c r="R43" s="515"/>
      <c r="S43" s="515"/>
      <c r="T43" s="536" t="e">
        <f t="shared" si="5"/>
        <v>#REF!</v>
      </c>
    </row>
    <row r="44" spans="1:20">
      <c r="A44" s="552">
        <f t="shared" si="0"/>
        <v>37000</v>
      </c>
      <c r="B44" s="515"/>
      <c r="C44" s="566">
        <v>2</v>
      </c>
      <c r="D44" s="533"/>
      <c r="E44" s="533">
        <f t="shared" si="6"/>
        <v>2408</v>
      </c>
      <c r="F44" s="533"/>
      <c r="G44" s="533">
        <f t="shared" si="1"/>
        <v>74000</v>
      </c>
      <c r="H44" s="533"/>
      <c r="I44" s="533">
        <f t="shared" si="7"/>
        <v>11378000</v>
      </c>
      <c r="J44" s="533"/>
      <c r="K44" s="533">
        <f t="shared" si="2"/>
        <v>13</v>
      </c>
      <c r="L44" s="533"/>
      <c r="M44" s="533">
        <f t="shared" si="3"/>
        <v>11859000</v>
      </c>
      <c r="N44" s="525"/>
      <c r="O44" s="534">
        <f t="shared" si="4"/>
        <v>0.93792762344406888</v>
      </c>
      <c r="P44" s="532">
        <v>37</v>
      </c>
      <c r="Q44" s="515"/>
      <c r="R44" s="515"/>
      <c r="S44" s="515"/>
      <c r="T44" s="536" t="e">
        <f t="shared" si="5"/>
        <v>#REF!</v>
      </c>
    </row>
    <row r="45" spans="1:20">
      <c r="A45" s="552">
        <f t="shared" si="0"/>
        <v>40000</v>
      </c>
      <c r="B45" s="525"/>
      <c r="C45" s="566">
        <v>2</v>
      </c>
      <c r="D45" s="525"/>
      <c r="E45" s="533">
        <f t="shared" si="6"/>
        <v>2410</v>
      </c>
      <c r="F45" s="533"/>
      <c r="G45" s="533">
        <f t="shared" si="1"/>
        <v>80000</v>
      </c>
      <c r="H45" s="533"/>
      <c r="I45" s="533">
        <f t="shared" si="7"/>
        <v>11458000</v>
      </c>
      <c r="J45" s="525"/>
      <c r="K45" s="533">
        <f t="shared" si="2"/>
        <v>11</v>
      </c>
      <c r="L45" s="525"/>
      <c r="M45" s="533">
        <f t="shared" si="3"/>
        <v>11898000</v>
      </c>
      <c r="N45" s="525"/>
      <c r="O45" s="534">
        <f t="shared" si="4"/>
        <v>0.94452229824416778</v>
      </c>
      <c r="P45" s="532">
        <v>40</v>
      </c>
      <c r="Q45" s="515"/>
      <c r="R45" s="515"/>
      <c r="S45" s="515"/>
      <c r="T45" s="536" t="e">
        <f t="shared" si="5"/>
        <v>#REF!</v>
      </c>
    </row>
    <row r="46" spans="1:20">
      <c r="A46" s="552">
        <f t="shared" si="0"/>
        <v>41000</v>
      </c>
      <c r="B46" s="525"/>
      <c r="C46" s="566">
        <v>1</v>
      </c>
      <c r="D46" s="525"/>
      <c r="E46" s="533">
        <f t="shared" si="6"/>
        <v>2411</v>
      </c>
      <c r="F46" s="533"/>
      <c r="G46" s="533">
        <f t="shared" si="1"/>
        <v>41000</v>
      </c>
      <c r="H46" s="533"/>
      <c r="I46" s="533">
        <f t="shared" si="7"/>
        <v>11499000</v>
      </c>
      <c r="J46" s="525"/>
      <c r="K46" s="533">
        <f t="shared" si="2"/>
        <v>10</v>
      </c>
      <c r="L46" s="525"/>
      <c r="M46" s="533">
        <f t="shared" si="3"/>
        <v>11909000</v>
      </c>
      <c r="N46" s="525"/>
      <c r="O46" s="534">
        <f t="shared" si="4"/>
        <v>0.94790206907921848</v>
      </c>
      <c r="P46" s="532">
        <v>41</v>
      </c>
      <c r="Q46" s="515"/>
      <c r="R46" s="515"/>
      <c r="S46" s="515"/>
      <c r="T46" s="536" t="e">
        <f t="shared" si="5"/>
        <v>#REF!</v>
      </c>
    </row>
    <row r="47" spans="1:20">
      <c r="A47" s="552">
        <f t="shared" si="0"/>
        <v>43000</v>
      </c>
      <c r="B47" s="515"/>
      <c r="C47" s="566">
        <v>1</v>
      </c>
      <c r="D47" s="529"/>
      <c r="E47" s="533">
        <f t="shared" si="6"/>
        <v>2412</v>
      </c>
      <c r="F47" s="533"/>
      <c r="G47" s="533">
        <f t="shared" si="1"/>
        <v>43000</v>
      </c>
      <c r="H47" s="533"/>
      <c r="I47" s="533">
        <f t="shared" si="7"/>
        <v>11542000</v>
      </c>
      <c r="J47" s="529"/>
      <c r="K47" s="533">
        <f t="shared" si="2"/>
        <v>9</v>
      </c>
      <c r="L47" s="529"/>
      <c r="M47" s="533">
        <f t="shared" si="3"/>
        <v>11929000</v>
      </c>
      <c r="N47" s="529"/>
      <c r="O47" s="534">
        <f t="shared" si="4"/>
        <v>0.95144670678427168</v>
      </c>
      <c r="P47" s="532">
        <v>43</v>
      </c>
      <c r="Q47" s="515"/>
      <c r="R47" s="515"/>
      <c r="S47" s="515"/>
      <c r="T47" s="536" t="e">
        <f t="shared" si="5"/>
        <v>#REF!</v>
      </c>
    </row>
    <row r="48" spans="1:20">
      <c r="A48" s="552">
        <f t="shared" si="0"/>
        <v>45000</v>
      </c>
      <c r="B48" s="515"/>
      <c r="C48" s="566">
        <v>2</v>
      </c>
      <c r="D48" s="533"/>
      <c r="E48" s="533">
        <f t="shared" si="6"/>
        <v>2414</v>
      </c>
      <c r="F48" s="533"/>
      <c r="G48" s="533">
        <f t="shared" si="1"/>
        <v>90000</v>
      </c>
      <c r="H48" s="533"/>
      <c r="I48" s="533">
        <f t="shared" si="7"/>
        <v>11632000</v>
      </c>
      <c r="J48" s="533"/>
      <c r="K48" s="533">
        <f t="shared" si="2"/>
        <v>7</v>
      </c>
      <c r="L48" s="533"/>
      <c r="M48" s="533">
        <f t="shared" si="3"/>
        <v>11947000</v>
      </c>
      <c r="N48" s="515"/>
      <c r="O48" s="534">
        <f t="shared" si="4"/>
        <v>0.95886571593438297</v>
      </c>
      <c r="P48" s="532">
        <v>45</v>
      </c>
      <c r="Q48" s="515"/>
      <c r="R48" s="515"/>
      <c r="S48" s="515"/>
      <c r="T48" s="536" t="e">
        <f t="shared" si="5"/>
        <v>#REF!</v>
      </c>
    </row>
    <row r="49" spans="1:20">
      <c r="A49" s="552">
        <f t="shared" si="0"/>
        <v>49000</v>
      </c>
      <c r="B49" s="515"/>
      <c r="C49" s="566">
        <v>2</v>
      </c>
      <c r="D49" s="533"/>
      <c r="E49" s="533">
        <f t="shared" si="6"/>
        <v>2416</v>
      </c>
      <c r="F49" s="533"/>
      <c r="G49" s="533">
        <f t="shared" si="1"/>
        <v>98000</v>
      </c>
      <c r="H49" s="533"/>
      <c r="I49" s="533">
        <f t="shared" si="7"/>
        <v>11730000</v>
      </c>
      <c r="J49" s="533"/>
      <c r="K49" s="533">
        <f t="shared" si="2"/>
        <v>5</v>
      </c>
      <c r="L49" s="533"/>
      <c r="M49" s="533">
        <f t="shared" si="3"/>
        <v>11975000</v>
      </c>
      <c r="N49" s="515"/>
      <c r="O49" s="534">
        <f t="shared" si="4"/>
        <v>0.96694419256450415</v>
      </c>
      <c r="P49" s="532">
        <v>49</v>
      </c>
      <c r="Q49" s="515"/>
      <c r="R49" s="515"/>
      <c r="S49" s="515"/>
      <c r="T49" s="536" t="e">
        <f t="shared" si="5"/>
        <v>#REF!</v>
      </c>
    </row>
    <row r="50" spans="1:20">
      <c r="A50" s="552">
        <f t="shared" si="0"/>
        <v>52000</v>
      </c>
      <c r="B50" s="515"/>
      <c r="C50" s="566">
        <v>2</v>
      </c>
      <c r="D50" s="533"/>
      <c r="E50" s="533">
        <f t="shared" si="6"/>
        <v>2418</v>
      </c>
      <c r="F50" s="533"/>
      <c r="G50" s="533">
        <f t="shared" si="1"/>
        <v>104000</v>
      </c>
      <c r="H50" s="533"/>
      <c r="I50" s="533">
        <f t="shared" si="7"/>
        <v>11834000</v>
      </c>
      <c r="J50" s="533"/>
      <c r="K50" s="533">
        <f t="shared" si="2"/>
        <v>3</v>
      </c>
      <c r="L50" s="533"/>
      <c r="M50" s="533">
        <f t="shared" si="3"/>
        <v>11990000</v>
      </c>
      <c r="N50" s="515"/>
      <c r="O50" s="534">
        <f t="shared" si="4"/>
        <v>0.97551726980463271</v>
      </c>
      <c r="P50" s="532">
        <v>52</v>
      </c>
      <c r="Q50" s="515"/>
      <c r="R50" s="515"/>
      <c r="S50" s="515"/>
      <c r="T50" s="536" t="e">
        <f t="shared" si="5"/>
        <v>#REF!</v>
      </c>
    </row>
    <row r="51" spans="1:20">
      <c r="A51" s="552">
        <f t="shared" si="0"/>
        <v>54000</v>
      </c>
      <c r="B51" s="515"/>
      <c r="C51" s="566">
        <v>1</v>
      </c>
      <c r="D51" s="533"/>
      <c r="E51" s="533">
        <f t="shared" si="6"/>
        <v>2419</v>
      </c>
      <c r="F51" s="533"/>
      <c r="G51" s="533">
        <f t="shared" si="1"/>
        <v>54000</v>
      </c>
      <c r="H51" s="533"/>
      <c r="I51" s="533">
        <f t="shared" si="7"/>
        <v>11888000</v>
      </c>
      <c r="J51" s="533"/>
      <c r="K51" s="533">
        <f t="shared" si="2"/>
        <v>2</v>
      </c>
      <c r="L51" s="533"/>
      <c r="M51" s="533">
        <f t="shared" si="3"/>
        <v>11996000</v>
      </c>
      <c r="N51" s="515"/>
      <c r="O51" s="534">
        <f t="shared" si="4"/>
        <v>0.97996867529469955</v>
      </c>
      <c r="P51" s="532">
        <v>54</v>
      </c>
      <c r="Q51" s="515"/>
      <c r="R51" s="515"/>
      <c r="S51" s="515"/>
      <c r="T51" s="536" t="e">
        <f t="shared" si="5"/>
        <v>#REF!</v>
      </c>
    </row>
    <row r="52" spans="1:20">
      <c r="A52" s="552">
        <f t="shared" si="0"/>
        <v>60000</v>
      </c>
      <c r="B52" s="515"/>
      <c r="C52" s="566">
        <v>1</v>
      </c>
      <c r="D52" s="533"/>
      <c r="E52" s="533">
        <f t="shared" si="6"/>
        <v>2420</v>
      </c>
      <c r="F52" s="533"/>
      <c r="G52" s="533">
        <f t="shared" si="1"/>
        <v>60000</v>
      </c>
      <c r="H52" s="533"/>
      <c r="I52" s="533">
        <f t="shared" si="7"/>
        <v>11948000</v>
      </c>
      <c r="J52" s="533"/>
      <c r="K52" s="533">
        <f t="shared" si="2"/>
        <v>1</v>
      </c>
      <c r="L52" s="533"/>
      <c r="M52" s="533">
        <f t="shared" si="3"/>
        <v>12008000</v>
      </c>
      <c r="N52" s="515"/>
      <c r="O52" s="534">
        <f t="shared" si="4"/>
        <v>0.98491468139477367</v>
      </c>
      <c r="P52" s="532">
        <v>60</v>
      </c>
      <c r="Q52" s="515"/>
      <c r="R52" s="515"/>
      <c r="S52" s="515"/>
      <c r="T52" s="536" t="e">
        <f t="shared" si="5"/>
        <v>#REF!</v>
      </c>
    </row>
    <row r="53" spans="1:20">
      <c r="A53" s="552">
        <f t="shared" si="0"/>
        <v>183000</v>
      </c>
      <c r="B53" s="515"/>
      <c r="C53" s="566">
        <v>1</v>
      </c>
      <c r="D53" s="533"/>
      <c r="E53" s="533">
        <f t="shared" si="6"/>
        <v>2421</v>
      </c>
      <c r="F53" s="533"/>
      <c r="G53" s="533">
        <f t="shared" si="1"/>
        <v>183000</v>
      </c>
      <c r="H53" s="533"/>
      <c r="I53" s="533">
        <f t="shared" si="7"/>
        <v>12131000</v>
      </c>
      <c r="J53" s="533"/>
      <c r="K53" s="533">
        <f t="shared" si="2"/>
        <v>0</v>
      </c>
      <c r="L53" s="533"/>
      <c r="M53" s="533">
        <f t="shared" si="3"/>
        <v>12131000</v>
      </c>
      <c r="N53" s="515"/>
      <c r="O53" s="534">
        <f t="shared" si="4"/>
        <v>1</v>
      </c>
      <c r="P53" s="532">
        <v>183</v>
      </c>
      <c r="Q53" s="515"/>
      <c r="R53" s="515"/>
      <c r="S53" s="515"/>
      <c r="T53" s="536" t="e">
        <f t="shared" si="5"/>
        <v>#REF!</v>
      </c>
    </row>
    <row r="54" spans="1:20">
      <c r="A54" s="552"/>
      <c r="B54" s="515"/>
      <c r="C54" s="56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Q54" s="515"/>
      <c r="R54" s="515"/>
      <c r="S54" s="515"/>
    </row>
    <row r="55" spans="1:20">
      <c r="A55" s="552"/>
      <c r="B55" s="515"/>
      <c r="C55" s="56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Q55" s="515"/>
      <c r="R55" s="515"/>
      <c r="S55" s="515"/>
      <c r="T55" s="539" t="e">
        <f>SUM(T10:T53)</f>
        <v>#REF!</v>
      </c>
    </row>
    <row r="56" spans="1:20" hidden="1">
      <c r="A56" s="552"/>
      <c r="B56" s="515"/>
      <c r="C56" s="56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Q56" s="515"/>
      <c r="R56" s="515"/>
      <c r="S56" s="515"/>
      <c r="T56" s="513">
        <v>42992</v>
      </c>
    </row>
    <row r="57" spans="1:20" hidden="1">
      <c r="A57" s="552"/>
      <c r="B57" s="515"/>
      <c r="C57" s="56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Q57" s="515"/>
      <c r="R57" s="515"/>
      <c r="S57" s="515"/>
      <c r="T57" s="540" t="e">
        <f>T55-T56</f>
        <v>#REF!</v>
      </c>
    </row>
    <row r="58" spans="1:20" hidden="1">
      <c r="A58" s="552"/>
      <c r="B58" s="515"/>
      <c r="C58" s="56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Q58" s="515"/>
      <c r="R58" s="515"/>
      <c r="S58" s="515"/>
      <c r="T58" s="555" t="e">
        <f>T57/T55</f>
        <v>#REF!</v>
      </c>
    </row>
    <row r="59" spans="1:20">
      <c r="A59" s="552"/>
      <c r="B59" s="515"/>
      <c r="C59" s="56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Q59" s="515"/>
      <c r="R59" s="515"/>
      <c r="S59" s="515"/>
    </row>
    <row r="60" spans="1:20">
      <c r="A60" s="552"/>
      <c r="B60" s="515"/>
      <c r="C60" s="56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Q60" s="515"/>
      <c r="R60" s="515"/>
      <c r="S60" s="515"/>
    </row>
    <row r="61" spans="1:20">
      <c r="A61" s="552"/>
      <c r="B61" s="515"/>
      <c r="C61" s="56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Q61" s="515"/>
      <c r="R61" s="515"/>
      <c r="S61" s="515"/>
    </row>
    <row r="62" spans="1:20">
      <c r="A62" s="552"/>
      <c r="B62" s="515"/>
      <c r="C62" s="56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Q62" s="515"/>
      <c r="R62" s="515"/>
      <c r="S62" s="515"/>
    </row>
    <row r="63" spans="1:20">
      <c r="A63" s="552"/>
      <c r="B63" s="515"/>
      <c r="C63" s="56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Q63" s="515"/>
      <c r="R63" s="515"/>
      <c r="S63" s="515"/>
    </row>
    <row r="64" spans="1:20">
      <c r="A64" s="552"/>
      <c r="B64" s="515"/>
      <c r="C64" s="56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Q64" s="515"/>
      <c r="R64" s="515"/>
      <c r="S64" s="515"/>
    </row>
    <row r="65" spans="1:19">
      <c r="A65" s="552"/>
      <c r="B65" s="515"/>
      <c r="C65" s="56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Q65" s="515"/>
      <c r="R65" s="515"/>
      <c r="S65" s="515"/>
    </row>
    <row r="66" spans="1:19">
      <c r="A66" s="552"/>
      <c r="B66" s="515"/>
      <c r="C66" s="56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Q66" s="515"/>
      <c r="R66" s="515"/>
      <c r="S66" s="515"/>
    </row>
    <row r="67" spans="1:19">
      <c r="A67" s="552"/>
      <c r="B67" s="515"/>
      <c r="C67" s="567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N67" s="515"/>
      <c r="O67" s="515"/>
      <c r="Q67" s="515"/>
      <c r="R67" s="515"/>
      <c r="S67" s="515"/>
    </row>
    <row r="68" spans="1:19">
      <c r="A68" s="515"/>
      <c r="B68" s="515"/>
      <c r="C68" s="567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Q68" s="515"/>
      <c r="R68" s="515"/>
      <c r="S68" s="515"/>
    </row>
    <row r="69" spans="1:19">
      <c r="A69" s="515"/>
      <c r="B69" s="515"/>
      <c r="C69" s="567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Q69" s="515"/>
      <c r="R69" s="515"/>
      <c r="S69" s="515"/>
    </row>
    <row r="70" spans="1:19">
      <c r="A70" s="515"/>
      <c r="B70" s="515"/>
      <c r="C70" s="567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Q70" s="515"/>
      <c r="R70" s="515"/>
      <c r="S70" s="515"/>
    </row>
    <row r="71" spans="1:19">
      <c r="A71" s="515"/>
      <c r="B71" s="515"/>
      <c r="C71" s="567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Q71" s="515"/>
      <c r="R71" s="515"/>
      <c r="S71" s="515"/>
    </row>
    <row r="72" spans="1:19">
      <c r="A72" s="515"/>
      <c r="B72" s="515"/>
      <c r="C72" s="567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Q72" s="515"/>
      <c r="R72" s="515"/>
      <c r="S72" s="515"/>
    </row>
    <row r="73" spans="1:19">
      <c r="A73" s="515"/>
      <c r="B73" s="515"/>
      <c r="C73" s="567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Q73" s="515"/>
      <c r="R73" s="515"/>
      <c r="S73" s="51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2"/>
  <sheetViews>
    <sheetView showGridLines="0" topLeftCell="H3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30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1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'16031-172'!T2</f>
        <v>#REF!</v>
      </c>
    </row>
    <row r="3" spans="1:20">
      <c r="A3" s="513" t="s">
        <v>305</v>
      </c>
      <c r="M3" s="520" t="s">
        <v>299</v>
      </c>
      <c r="R3" s="518" t="s">
        <v>274</v>
      </c>
      <c r="S3" s="518"/>
      <c r="T3" s="519" t="e">
        <f>'16031-172'!T3</f>
        <v>#REF!</v>
      </c>
    </row>
    <row r="4" spans="1:20" ht="14.25" thickBot="1">
      <c r="A4" s="521"/>
      <c r="B4" s="521"/>
      <c r="C4" s="586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'16031-172'!T4</f>
        <v>#REF!</v>
      </c>
    </row>
    <row r="5" spans="1:20">
      <c r="A5" s="522" t="s">
        <v>276</v>
      </c>
      <c r="B5" s="523"/>
      <c r="C5" s="587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'16031-172'!T5</f>
        <v>#REF!</v>
      </c>
    </row>
    <row r="6" spans="1:20">
      <c r="A6" s="524"/>
      <c r="B6" s="525"/>
      <c r="C6" s="587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'16031-172'!T6</f>
        <v>#REF!</v>
      </c>
    </row>
    <row r="7" spans="1:20">
      <c r="A7" s="524" t="s">
        <v>281</v>
      </c>
      <c r="B7" s="525"/>
      <c r="C7" s="587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'16031-172'!T7</f>
        <v>#REF!</v>
      </c>
    </row>
    <row r="8" spans="1:20">
      <c r="A8" s="526" t="s">
        <v>288</v>
      </c>
      <c r="B8" s="525"/>
      <c r="C8" s="588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8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 t="shared" ref="A10:A42" si="0">P10*1000</f>
        <v>0</v>
      </c>
      <c r="B10" s="515"/>
      <c r="C10" s="532">
        <v>218</v>
      </c>
      <c r="D10" s="533"/>
      <c r="E10" s="533">
        <f>C10</f>
        <v>218</v>
      </c>
      <c r="F10" s="533"/>
      <c r="G10" s="533">
        <f t="shared" ref="G10:G42" si="1">A10*C10</f>
        <v>0</v>
      </c>
      <c r="H10" s="533"/>
      <c r="I10" s="533">
        <f>G10</f>
        <v>0</v>
      </c>
      <c r="J10" s="533"/>
      <c r="K10" s="533">
        <f t="shared" ref="K10:K42" si="2">$E$42-E10</f>
        <v>3833</v>
      </c>
      <c r="L10" s="533"/>
      <c r="M10" s="533">
        <f t="shared" ref="M10:M42" si="3">(A10*K10)+I10</f>
        <v>0</v>
      </c>
      <c r="N10" s="515"/>
      <c r="O10" s="534">
        <f t="shared" ref="O10:O42" si="4">I10/$I$42</f>
        <v>0</v>
      </c>
      <c r="P10" s="532">
        <v>0</v>
      </c>
      <c r="Q10" s="561"/>
      <c r="R10" s="535"/>
      <c r="T10" s="536" t="e">
        <f t="shared" ref="T10:T42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>
      <c r="A11" s="531">
        <f t="shared" si="0"/>
        <v>1000</v>
      </c>
      <c r="B11" s="515"/>
      <c r="C11" s="532">
        <v>531</v>
      </c>
      <c r="D11" s="533"/>
      <c r="E11" s="533">
        <f t="shared" ref="E11:E42" si="6">E10+C11</f>
        <v>749</v>
      </c>
      <c r="F11" s="533"/>
      <c r="G11" s="533">
        <f t="shared" si="1"/>
        <v>531000</v>
      </c>
      <c r="H11" s="533"/>
      <c r="I11" s="533">
        <f t="shared" ref="I11:I42" si="7">G11+I10</f>
        <v>531000</v>
      </c>
      <c r="J11" s="533"/>
      <c r="K11" s="533">
        <f t="shared" si="2"/>
        <v>3302</v>
      </c>
      <c r="L11" s="533"/>
      <c r="M11" s="533">
        <f t="shared" si="3"/>
        <v>3833000</v>
      </c>
      <c r="N11" s="515"/>
      <c r="O11" s="534">
        <f t="shared" si="4"/>
        <v>3.2486999082288165E-2</v>
      </c>
      <c r="P11" s="532">
        <v>1</v>
      </c>
      <c r="Q11" s="561"/>
      <c r="R11" s="535"/>
      <c r="T11" s="536" t="e">
        <f t="shared" si="5"/>
        <v>#REF!</v>
      </c>
    </row>
    <row r="12" spans="1:20">
      <c r="A12" s="531">
        <f t="shared" si="0"/>
        <v>2000</v>
      </c>
      <c r="B12" s="515"/>
      <c r="C12" s="532">
        <v>678</v>
      </c>
      <c r="D12" s="533"/>
      <c r="E12" s="533">
        <f t="shared" si="6"/>
        <v>1427</v>
      </c>
      <c r="F12" s="533"/>
      <c r="G12" s="533">
        <f t="shared" si="1"/>
        <v>1356000</v>
      </c>
      <c r="H12" s="533"/>
      <c r="I12" s="533">
        <f t="shared" si="7"/>
        <v>1887000</v>
      </c>
      <c r="J12" s="533"/>
      <c r="K12" s="533">
        <f t="shared" si="2"/>
        <v>2624</v>
      </c>
      <c r="L12" s="533"/>
      <c r="M12" s="533">
        <f t="shared" si="3"/>
        <v>7135000</v>
      </c>
      <c r="N12" s="515"/>
      <c r="O12" s="534">
        <f t="shared" si="4"/>
        <v>0.11544814928112572</v>
      </c>
      <c r="P12" s="532">
        <v>2</v>
      </c>
      <c r="Q12" s="561"/>
      <c r="T12" s="536" t="e">
        <f t="shared" si="5"/>
        <v>#REF!</v>
      </c>
    </row>
    <row r="13" spans="1:20">
      <c r="A13" s="531">
        <f t="shared" si="0"/>
        <v>3000</v>
      </c>
      <c r="B13" s="515"/>
      <c r="C13" s="532">
        <v>604</v>
      </c>
      <c r="D13" s="533"/>
      <c r="E13" s="533">
        <f t="shared" si="6"/>
        <v>2031</v>
      </c>
      <c r="F13" s="533"/>
      <c r="G13" s="533">
        <f t="shared" si="1"/>
        <v>1812000</v>
      </c>
      <c r="H13" s="533"/>
      <c r="I13" s="533">
        <f t="shared" si="7"/>
        <v>3699000</v>
      </c>
      <c r="J13" s="533"/>
      <c r="K13" s="533">
        <f t="shared" si="2"/>
        <v>2020</v>
      </c>
      <c r="L13" s="533"/>
      <c r="M13" s="533">
        <f t="shared" si="3"/>
        <v>9759000</v>
      </c>
      <c r="N13" s="537"/>
      <c r="O13" s="534">
        <f t="shared" si="4"/>
        <v>0.22630773936983786</v>
      </c>
      <c r="P13" s="532">
        <v>3</v>
      </c>
      <c r="Q13" s="561"/>
      <c r="T13" s="536" t="e">
        <f t="shared" si="5"/>
        <v>#REF!</v>
      </c>
    </row>
    <row r="14" spans="1:20">
      <c r="A14" s="531">
        <f t="shared" si="0"/>
        <v>4000</v>
      </c>
      <c r="B14" s="515"/>
      <c r="C14" s="532">
        <v>585</v>
      </c>
      <c r="D14" s="533"/>
      <c r="E14" s="533">
        <f t="shared" si="6"/>
        <v>2616</v>
      </c>
      <c r="F14" s="533"/>
      <c r="G14" s="533">
        <f t="shared" si="1"/>
        <v>2340000</v>
      </c>
      <c r="H14" s="533"/>
      <c r="I14" s="533">
        <f t="shared" si="7"/>
        <v>6039000</v>
      </c>
      <c r="J14" s="533"/>
      <c r="K14" s="533">
        <f t="shared" si="2"/>
        <v>1435</v>
      </c>
      <c r="L14" s="533"/>
      <c r="M14" s="533">
        <f t="shared" si="3"/>
        <v>11779000</v>
      </c>
      <c r="O14" s="534">
        <f t="shared" si="4"/>
        <v>0.36947078617314161</v>
      </c>
      <c r="P14" s="532">
        <v>4</v>
      </c>
      <c r="Q14" s="561"/>
      <c r="T14" s="536" t="e">
        <f t="shared" si="5"/>
        <v>#REF!</v>
      </c>
    </row>
    <row r="15" spans="1:20">
      <c r="A15" s="531">
        <f t="shared" si="0"/>
        <v>5000</v>
      </c>
      <c r="B15" s="515"/>
      <c r="C15" s="532">
        <v>452</v>
      </c>
      <c r="D15" s="533"/>
      <c r="E15" s="533">
        <f t="shared" si="6"/>
        <v>3068</v>
      </c>
      <c r="F15" s="533"/>
      <c r="G15" s="533">
        <f t="shared" si="1"/>
        <v>2260000</v>
      </c>
      <c r="H15" s="533"/>
      <c r="I15" s="533">
        <f t="shared" si="7"/>
        <v>8299000</v>
      </c>
      <c r="J15" s="533"/>
      <c r="K15" s="533">
        <f t="shared" si="2"/>
        <v>983</v>
      </c>
      <c r="L15" s="533"/>
      <c r="M15" s="533">
        <f t="shared" si="3"/>
        <v>13214000</v>
      </c>
      <c r="N15" s="515"/>
      <c r="O15" s="534">
        <f t="shared" si="4"/>
        <v>0.50773936983787094</v>
      </c>
      <c r="P15" s="532">
        <v>5</v>
      </c>
      <c r="Q15" s="561"/>
      <c r="T15" s="536" t="e">
        <f t="shared" si="5"/>
        <v>#REF!</v>
      </c>
    </row>
    <row r="16" spans="1:20">
      <c r="A16" s="531">
        <f t="shared" si="0"/>
        <v>6000</v>
      </c>
      <c r="B16" s="515"/>
      <c r="C16" s="532">
        <v>362</v>
      </c>
      <c r="D16" s="533"/>
      <c r="E16" s="533">
        <f t="shared" si="6"/>
        <v>3430</v>
      </c>
      <c r="F16" s="533"/>
      <c r="G16" s="533">
        <f t="shared" si="1"/>
        <v>2172000</v>
      </c>
      <c r="H16" s="533"/>
      <c r="I16" s="533">
        <f t="shared" si="7"/>
        <v>10471000</v>
      </c>
      <c r="J16" s="533"/>
      <c r="K16" s="533">
        <f t="shared" si="2"/>
        <v>621</v>
      </c>
      <c r="L16" s="533"/>
      <c r="M16" s="533">
        <f t="shared" si="3"/>
        <v>14197000</v>
      </c>
      <c r="N16" s="515"/>
      <c r="O16" s="534">
        <f t="shared" si="4"/>
        <v>0.64062404405016826</v>
      </c>
      <c r="P16" s="532">
        <v>6</v>
      </c>
      <c r="Q16" s="561"/>
      <c r="T16" s="536" t="e">
        <f t="shared" si="5"/>
        <v>#REF!</v>
      </c>
    </row>
    <row r="17" spans="1:20">
      <c r="A17" s="531">
        <f t="shared" si="0"/>
        <v>7000</v>
      </c>
      <c r="B17" s="515"/>
      <c r="C17" s="532">
        <v>211</v>
      </c>
      <c r="D17" s="533"/>
      <c r="E17" s="533">
        <f t="shared" si="6"/>
        <v>3641</v>
      </c>
      <c r="F17" s="533"/>
      <c r="G17" s="533">
        <f t="shared" si="1"/>
        <v>1477000</v>
      </c>
      <c r="H17" s="533"/>
      <c r="I17" s="533">
        <f t="shared" si="7"/>
        <v>11948000</v>
      </c>
      <c r="J17" s="533"/>
      <c r="K17" s="533">
        <f t="shared" si="2"/>
        <v>410</v>
      </c>
      <c r="L17" s="533"/>
      <c r="M17" s="533">
        <f t="shared" si="3"/>
        <v>14818000</v>
      </c>
      <c r="N17" s="515"/>
      <c r="O17" s="534">
        <f t="shared" si="4"/>
        <v>0.73098806974609976</v>
      </c>
      <c r="P17" s="532">
        <v>7</v>
      </c>
      <c r="Q17" s="561"/>
      <c r="T17" s="536" t="e">
        <f t="shared" si="5"/>
        <v>#REF!</v>
      </c>
    </row>
    <row r="18" spans="1:20">
      <c r="A18" s="531">
        <f t="shared" si="0"/>
        <v>8000</v>
      </c>
      <c r="B18" s="515"/>
      <c r="C18" s="532">
        <v>147</v>
      </c>
      <c r="D18" s="533"/>
      <c r="E18" s="533">
        <f t="shared" si="6"/>
        <v>3788</v>
      </c>
      <c r="F18" s="533"/>
      <c r="G18" s="533">
        <f t="shared" si="1"/>
        <v>1176000</v>
      </c>
      <c r="H18" s="533"/>
      <c r="I18" s="533">
        <f t="shared" si="7"/>
        <v>13124000</v>
      </c>
      <c r="J18" s="533"/>
      <c r="K18" s="533">
        <f t="shared" si="2"/>
        <v>263</v>
      </c>
      <c r="L18" s="533"/>
      <c r="M18" s="533">
        <f t="shared" si="3"/>
        <v>15228000</v>
      </c>
      <c r="N18" s="515"/>
      <c r="O18" s="534">
        <f t="shared" si="4"/>
        <v>0.80293667788314471</v>
      </c>
      <c r="P18" s="532">
        <v>8</v>
      </c>
      <c r="Q18" s="561"/>
      <c r="T18" s="536" t="e">
        <f t="shared" si="5"/>
        <v>#REF!</v>
      </c>
    </row>
    <row r="19" spans="1:20">
      <c r="A19" s="531">
        <f t="shared" si="0"/>
        <v>9000</v>
      </c>
      <c r="B19" s="515"/>
      <c r="C19" s="532">
        <v>70</v>
      </c>
      <c r="D19" s="533"/>
      <c r="E19" s="533">
        <f t="shared" si="6"/>
        <v>3858</v>
      </c>
      <c r="F19" s="533"/>
      <c r="G19" s="533">
        <f t="shared" si="1"/>
        <v>630000</v>
      </c>
      <c r="H19" s="533"/>
      <c r="I19" s="533">
        <f t="shared" si="7"/>
        <v>13754000</v>
      </c>
      <c r="J19" s="533"/>
      <c r="K19" s="533">
        <f t="shared" si="2"/>
        <v>193</v>
      </c>
      <c r="L19" s="533"/>
      <c r="M19" s="533">
        <f t="shared" si="3"/>
        <v>15491000</v>
      </c>
      <c r="N19" s="515"/>
      <c r="O19" s="534">
        <f t="shared" si="4"/>
        <v>0.84148057509941876</v>
      </c>
      <c r="P19" s="532">
        <v>9</v>
      </c>
      <c r="Q19" s="561"/>
      <c r="T19" s="536" t="e">
        <f t="shared" si="5"/>
        <v>#REF!</v>
      </c>
    </row>
    <row r="20" spans="1:20">
      <c r="A20" s="531">
        <f t="shared" si="0"/>
        <v>10000</v>
      </c>
      <c r="B20" s="515"/>
      <c r="C20" s="532">
        <v>56</v>
      </c>
      <c r="D20" s="533"/>
      <c r="E20" s="533">
        <f t="shared" si="6"/>
        <v>3914</v>
      </c>
      <c r="F20" s="533"/>
      <c r="G20" s="533">
        <f t="shared" si="1"/>
        <v>560000</v>
      </c>
      <c r="H20" s="533"/>
      <c r="I20" s="533">
        <f t="shared" si="7"/>
        <v>14314000</v>
      </c>
      <c r="J20" s="533"/>
      <c r="K20" s="533">
        <f t="shared" si="2"/>
        <v>137</v>
      </c>
      <c r="L20" s="533"/>
      <c r="M20" s="533">
        <f t="shared" si="3"/>
        <v>15684000</v>
      </c>
      <c r="N20" s="515"/>
      <c r="O20" s="534">
        <f t="shared" si="4"/>
        <v>0.87574181706944021</v>
      </c>
      <c r="P20" s="532">
        <v>10</v>
      </c>
      <c r="Q20" s="561"/>
      <c r="T20" s="536" t="e">
        <f t="shared" si="5"/>
        <v>#REF!</v>
      </c>
    </row>
    <row r="21" spans="1:20">
      <c r="A21" s="531">
        <f t="shared" si="0"/>
        <v>11000</v>
      </c>
      <c r="B21" s="515"/>
      <c r="C21" s="532">
        <v>44</v>
      </c>
      <c r="D21" s="533"/>
      <c r="E21" s="533">
        <f t="shared" si="6"/>
        <v>3958</v>
      </c>
      <c r="F21" s="533"/>
      <c r="G21" s="533">
        <f t="shared" si="1"/>
        <v>484000</v>
      </c>
      <c r="H21" s="533"/>
      <c r="I21" s="533">
        <f t="shared" si="7"/>
        <v>14798000</v>
      </c>
      <c r="J21" s="533"/>
      <c r="K21" s="533">
        <f t="shared" si="2"/>
        <v>93</v>
      </c>
      <c r="L21" s="533"/>
      <c r="M21" s="533">
        <f t="shared" si="3"/>
        <v>15821000</v>
      </c>
      <c r="N21" s="515"/>
      <c r="O21" s="534">
        <f t="shared" si="4"/>
        <v>0.9053533190578158</v>
      </c>
      <c r="P21" s="532">
        <v>11</v>
      </c>
      <c r="Q21" s="561"/>
      <c r="T21" s="536" t="e">
        <f t="shared" si="5"/>
        <v>#REF!</v>
      </c>
    </row>
    <row r="22" spans="1:20">
      <c r="A22" s="552">
        <f t="shared" si="0"/>
        <v>12000</v>
      </c>
      <c r="B22" s="515"/>
      <c r="C22" s="532">
        <v>23</v>
      </c>
      <c r="D22" s="533"/>
      <c r="E22" s="533">
        <f t="shared" si="6"/>
        <v>3981</v>
      </c>
      <c r="F22" s="533"/>
      <c r="G22" s="533">
        <f t="shared" si="1"/>
        <v>276000</v>
      </c>
      <c r="H22" s="533"/>
      <c r="I22" s="533">
        <f t="shared" si="7"/>
        <v>15074000</v>
      </c>
      <c r="J22" s="533"/>
      <c r="K22" s="533">
        <f t="shared" si="2"/>
        <v>70</v>
      </c>
      <c r="L22" s="533"/>
      <c r="M22" s="533">
        <f t="shared" si="3"/>
        <v>15914000</v>
      </c>
      <c r="N22" s="515"/>
      <c r="O22" s="534">
        <f t="shared" si="4"/>
        <v>0.92223921688589783</v>
      </c>
      <c r="P22" s="532">
        <v>12</v>
      </c>
      <c r="Q22" s="547"/>
      <c r="T22" s="536" t="e">
        <f t="shared" si="5"/>
        <v>#REF!</v>
      </c>
    </row>
    <row r="23" spans="1:20">
      <c r="A23" s="552">
        <f t="shared" si="0"/>
        <v>13000</v>
      </c>
      <c r="B23" s="515"/>
      <c r="C23" s="532">
        <v>14</v>
      </c>
      <c r="D23" s="533"/>
      <c r="E23" s="533">
        <f t="shared" si="6"/>
        <v>3995</v>
      </c>
      <c r="F23" s="533"/>
      <c r="G23" s="533">
        <f t="shared" si="1"/>
        <v>182000</v>
      </c>
      <c r="H23" s="533"/>
      <c r="I23" s="533">
        <f t="shared" si="7"/>
        <v>15256000</v>
      </c>
      <c r="J23" s="533"/>
      <c r="K23" s="533">
        <f t="shared" si="2"/>
        <v>56</v>
      </c>
      <c r="L23" s="533"/>
      <c r="M23" s="533">
        <f t="shared" si="3"/>
        <v>15984000</v>
      </c>
      <c r="N23" s="515"/>
      <c r="O23" s="534">
        <f t="shared" si="4"/>
        <v>0.93337412052615476</v>
      </c>
      <c r="P23" s="532">
        <v>13</v>
      </c>
      <c r="Q23" s="515"/>
      <c r="T23" s="536" t="e">
        <f t="shared" si="5"/>
        <v>#REF!</v>
      </c>
    </row>
    <row r="24" spans="1:20" s="515" customFormat="1">
      <c r="A24" s="552">
        <f t="shared" si="0"/>
        <v>14000</v>
      </c>
      <c r="C24" s="532">
        <v>16</v>
      </c>
      <c r="D24" s="533"/>
      <c r="E24" s="533">
        <f t="shared" si="6"/>
        <v>4011</v>
      </c>
      <c r="F24" s="533"/>
      <c r="G24" s="533">
        <f t="shared" si="1"/>
        <v>224000</v>
      </c>
      <c r="H24" s="533"/>
      <c r="I24" s="533">
        <f t="shared" si="7"/>
        <v>15480000</v>
      </c>
      <c r="J24" s="533"/>
      <c r="K24" s="533">
        <f t="shared" si="2"/>
        <v>40</v>
      </c>
      <c r="L24" s="533"/>
      <c r="M24" s="533">
        <f t="shared" si="3"/>
        <v>16040000</v>
      </c>
      <c r="O24" s="534">
        <f t="shared" si="4"/>
        <v>0.94707861731416332</v>
      </c>
      <c r="P24" s="532">
        <v>14</v>
      </c>
      <c r="R24" s="513"/>
      <c r="S24" s="513"/>
      <c r="T24" s="536" t="e">
        <f t="shared" si="5"/>
        <v>#REF!</v>
      </c>
    </row>
    <row r="25" spans="1:20" s="515" customFormat="1">
      <c r="A25" s="552">
        <f t="shared" si="0"/>
        <v>15000</v>
      </c>
      <c r="C25" s="532">
        <v>9</v>
      </c>
      <c r="D25" s="533"/>
      <c r="E25" s="533">
        <f t="shared" si="6"/>
        <v>4020</v>
      </c>
      <c r="F25" s="533"/>
      <c r="G25" s="533">
        <f t="shared" si="1"/>
        <v>135000</v>
      </c>
      <c r="H25" s="533"/>
      <c r="I25" s="533">
        <f t="shared" si="7"/>
        <v>15615000</v>
      </c>
      <c r="J25" s="533"/>
      <c r="K25" s="533">
        <f t="shared" si="2"/>
        <v>31</v>
      </c>
      <c r="L25" s="533"/>
      <c r="M25" s="533">
        <f t="shared" si="3"/>
        <v>16080000</v>
      </c>
      <c r="O25" s="534">
        <f t="shared" si="4"/>
        <v>0.95533802386050781</v>
      </c>
      <c r="P25" s="532">
        <v>15</v>
      </c>
      <c r="R25" s="513"/>
      <c r="S25" s="513"/>
      <c r="T25" s="536" t="e">
        <f t="shared" si="5"/>
        <v>#REF!</v>
      </c>
    </row>
    <row r="26" spans="1:20" s="515" customFormat="1">
      <c r="A26" s="552">
        <f t="shared" si="0"/>
        <v>16000</v>
      </c>
      <c r="C26" s="532">
        <v>9</v>
      </c>
      <c r="D26" s="533"/>
      <c r="E26" s="533">
        <f t="shared" si="6"/>
        <v>4029</v>
      </c>
      <c r="F26" s="533"/>
      <c r="G26" s="533">
        <f t="shared" si="1"/>
        <v>144000</v>
      </c>
      <c r="H26" s="533"/>
      <c r="I26" s="533">
        <f t="shared" si="7"/>
        <v>15759000</v>
      </c>
      <c r="J26" s="533"/>
      <c r="K26" s="533">
        <f t="shared" si="2"/>
        <v>22</v>
      </c>
      <c r="L26" s="533"/>
      <c r="M26" s="533">
        <f t="shared" si="3"/>
        <v>16111000</v>
      </c>
      <c r="O26" s="534">
        <f t="shared" si="4"/>
        <v>0.96414805750994192</v>
      </c>
      <c r="P26" s="532">
        <v>16</v>
      </c>
      <c r="R26" s="513"/>
      <c r="S26" s="513"/>
      <c r="T26" s="536" t="e">
        <f t="shared" si="5"/>
        <v>#REF!</v>
      </c>
    </row>
    <row r="27" spans="1:20">
      <c r="A27" s="552">
        <f t="shared" si="0"/>
        <v>17000</v>
      </c>
      <c r="B27" s="515"/>
      <c r="C27" s="532">
        <v>3</v>
      </c>
      <c r="D27" s="533"/>
      <c r="E27" s="533">
        <f t="shared" si="6"/>
        <v>4032</v>
      </c>
      <c r="F27" s="533"/>
      <c r="G27" s="533">
        <f t="shared" si="1"/>
        <v>51000</v>
      </c>
      <c r="H27" s="533"/>
      <c r="I27" s="533">
        <f t="shared" si="7"/>
        <v>15810000</v>
      </c>
      <c r="J27" s="533"/>
      <c r="K27" s="533">
        <f t="shared" si="2"/>
        <v>19</v>
      </c>
      <c r="L27" s="533"/>
      <c r="M27" s="533">
        <f t="shared" si="3"/>
        <v>16133000</v>
      </c>
      <c r="N27" s="515"/>
      <c r="O27" s="534">
        <f t="shared" si="4"/>
        <v>0.96726827776078317</v>
      </c>
      <c r="P27" s="532">
        <v>17</v>
      </c>
      <c r="Q27" s="515"/>
      <c r="T27" s="536" t="e">
        <f t="shared" si="5"/>
        <v>#REF!</v>
      </c>
    </row>
    <row r="28" spans="1:20">
      <c r="A28" s="552">
        <f t="shared" si="0"/>
        <v>18000</v>
      </c>
      <c r="B28" s="515"/>
      <c r="C28" s="532">
        <v>2</v>
      </c>
      <c r="D28" s="533"/>
      <c r="E28" s="533">
        <f t="shared" si="6"/>
        <v>4034</v>
      </c>
      <c r="F28" s="533"/>
      <c r="G28" s="533">
        <f t="shared" si="1"/>
        <v>36000</v>
      </c>
      <c r="H28" s="533"/>
      <c r="I28" s="533">
        <f t="shared" si="7"/>
        <v>15846000</v>
      </c>
      <c r="J28" s="533"/>
      <c r="K28" s="533">
        <f t="shared" si="2"/>
        <v>17</v>
      </c>
      <c r="L28" s="533"/>
      <c r="M28" s="533">
        <f t="shared" si="3"/>
        <v>16152000</v>
      </c>
      <c r="N28" s="515"/>
      <c r="O28" s="534">
        <f t="shared" si="4"/>
        <v>0.96947078617314164</v>
      </c>
      <c r="P28" s="532">
        <v>18</v>
      </c>
      <c r="Q28" s="515"/>
      <c r="T28" s="536" t="e">
        <f t="shared" si="5"/>
        <v>#REF!</v>
      </c>
    </row>
    <row r="29" spans="1:20">
      <c r="A29" s="552">
        <f t="shared" si="0"/>
        <v>19000</v>
      </c>
      <c r="B29" s="515"/>
      <c r="C29" s="532">
        <v>1</v>
      </c>
      <c r="D29" s="533"/>
      <c r="E29" s="533">
        <f t="shared" si="6"/>
        <v>4035</v>
      </c>
      <c r="F29" s="533"/>
      <c r="G29" s="533">
        <f t="shared" si="1"/>
        <v>19000</v>
      </c>
      <c r="H29" s="533"/>
      <c r="I29" s="533">
        <f t="shared" si="7"/>
        <v>15865000</v>
      </c>
      <c r="J29" s="533"/>
      <c r="K29" s="533">
        <f t="shared" si="2"/>
        <v>16</v>
      </c>
      <c r="L29" s="533"/>
      <c r="M29" s="533">
        <f t="shared" si="3"/>
        <v>16169000</v>
      </c>
      <c r="N29" s="515"/>
      <c r="O29" s="534">
        <f t="shared" si="4"/>
        <v>0.97063322116855311</v>
      </c>
      <c r="P29" s="532">
        <v>19</v>
      </c>
      <c r="Q29" s="515"/>
      <c r="T29" s="536" t="e">
        <f t="shared" si="5"/>
        <v>#REF!</v>
      </c>
    </row>
    <row r="30" spans="1:20">
      <c r="A30" s="552">
        <f t="shared" si="0"/>
        <v>20000</v>
      </c>
      <c r="B30" s="515"/>
      <c r="C30" s="532">
        <v>2</v>
      </c>
      <c r="D30" s="533"/>
      <c r="E30" s="533">
        <f t="shared" si="6"/>
        <v>4037</v>
      </c>
      <c r="F30" s="533"/>
      <c r="G30" s="533">
        <f t="shared" si="1"/>
        <v>40000</v>
      </c>
      <c r="H30" s="533"/>
      <c r="I30" s="533">
        <f t="shared" si="7"/>
        <v>15905000</v>
      </c>
      <c r="J30" s="533"/>
      <c r="K30" s="533">
        <f t="shared" si="2"/>
        <v>14</v>
      </c>
      <c r="L30" s="533"/>
      <c r="M30" s="533">
        <f t="shared" si="3"/>
        <v>16185000</v>
      </c>
      <c r="N30" s="515"/>
      <c r="O30" s="534">
        <f t="shared" si="4"/>
        <v>0.97308045273784027</v>
      </c>
      <c r="P30" s="532">
        <v>20</v>
      </c>
      <c r="Q30" s="515"/>
      <c r="T30" s="536" t="e">
        <f t="shared" si="5"/>
        <v>#REF!</v>
      </c>
    </row>
    <row r="31" spans="1:20">
      <c r="A31" s="552">
        <f t="shared" si="0"/>
        <v>22000</v>
      </c>
      <c r="B31" s="515"/>
      <c r="C31" s="532">
        <v>1</v>
      </c>
      <c r="D31" s="533"/>
      <c r="E31" s="533">
        <f t="shared" si="6"/>
        <v>4038</v>
      </c>
      <c r="F31" s="533"/>
      <c r="G31" s="533">
        <f t="shared" si="1"/>
        <v>22000</v>
      </c>
      <c r="H31" s="533"/>
      <c r="I31" s="533">
        <f t="shared" si="7"/>
        <v>15927000</v>
      </c>
      <c r="J31" s="533"/>
      <c r="K31" s="533">
        <f t="shared" si="2"/>
        <v>13</v>
      </c>
      <c r="L31" s="533"/>
      <c r="M31" s="533">
        <f t="shared" si="3"/>
        <v>16213000</v>
      </c>
      <c r="N31" s="515"/>
      <c r="O31" s="534">
        <f t="shared" si="4"/>
        <v>0.97442643010094832</v>
      </c>
      <c r="P31" s="532">
        <v>22</v>
      </c>
      <c r="Q31" s="515"/>
      <c r="T31" s="536" t="e">
        <f t="shared" si="5"/>
        <v>#REF!</v>
      </c>
    </row>
    <row r="32" spans="1:20">
      <c r="A32" s="552">
        <f t="shared" si="0"/>
        <v>23000</v>
      </c>
      <c r="B32" s="515"/>
      <c r="C32" s="532">
        <v>1</v>
      </c>
      <c r="D32" s="533"/>
      <c r="E32" s="533">
        <f t="shared" si="6"/>
        <v>4039</v>
      </c>
      <c r="F32" s="533"/>
      <c r="G32" s="533">
        <f t="shared" si="1"/>
        <v>23000</v>
      </c>
      <c r="H32" s="533"/>
      <c r="I32" s="533">
        <f t="shared" si="7"/>
        <v>15950000</v>
      </c>
      <c r="J32" s="533"/>
      <c r="K32" s="533">
        <f t="shared" si="2"/>
        <v>12</v>
      </c>
      <c r="L32" s="533"/>
      <c r="M32" s="533">
        <f t="shared" si="3"/>
        <v>16226000</v>
      </c>
      <c r="N32" s="515"/>
      <c r="O32" s="534">
        <f t="shared" si="4"/>
        <v>0.97583358825328848</v>
      </c>
      <c r="P32" s="532">
        <v>23</v>
      </c>
      <c r="Q32" s="515"/>
      <c r="T32" s="536" t="e">
        <f t="shared" si="5"/>
        <v>#REF!</v>
      </c>
    </row>
    <row r="33" spans="1:20">
      <c r="A33" s="552">
        <f t="shared" si="0"/>
        <v>24000</v>
      </c>
      <c r="B33" s="515"/>
      <c r="C33" s="532">
        <v>1</v>
      </c>
      <c r="D33" s="533"/>
      <c r="E33" s="533">
        <f t="shared" si="6"/>
        <v>4040</v>
      </c>
      <c r="F33" s="533"/>
      <c r="G33" s="533">
        <f t="shared" si="1"/>
        <v>24000</v>
      </c>
      <c r="H33" s="533"/>
      <c r="I33" s="533">
        <f t="shared" si="7"/>
        <v>15974000</v>
      </c>
      <c r="J33" s="533"/>
      <c r="K33" s="533">
        <f t="shared" si="2"/>
        <v>11</v>
      </c>
      <c r="L33" s="533"/>
      <c r="M33" s="533">
        <f t="shared" si="3"/>
        <v>16238000</v>
      </c>
      <c r="N33" s="515"/>
      <c r="O33" s="534">
        <f t="shared" si="4"/>
        <v>0.97730192719486086</v>
      </c>
      <c r="P33" s="532">
        <v>24</v>
      </c>
      <c r="Q33" s="515"/>
      <c r="T33" s="536" t="e">
        <f t="shared" si="5"/>
        <v>#REF!</v>
      </c>
    </row>
    <row r="34" spans="1:20">
      <c r="A34" s="552">
        <f t="shared" si="0"/>
        <v>27000</v>
      </c>
      <c r="B34" s="515"/>
      <c r="C34" s="532">
        <v>2</v>
      </c>
      <c r="D34" s="533"/>
      <c r="E34" s="533">
        <f t="shared" si="6"/>
        <v>4042</v>
      </c>
      <c r="F34" s="533"/>
      <c r="G34" s="533">
        <f t="shared" si="1"/>
        <v>54000</v>
      </c>
      <c r="H34" s="533"/>
      <c r="I34" s="533">
        <f t="shared" si="7"/>
        <v>16028000</v>
      </c>
      <c r="J34" s="533"/>
      <c r="K34" s="533">
        <f t="shared" si="2"/>
        <v>9</v>
      </c>
      <c r="L34" s="533"/>
      <c r="M34" s="533">
        <f t="shared" si="3"/>
        <v>16271000</v>
      </c>
      <c r="N34" s="515"/>
      <c r="O34" s="534">
        <f t="shared" si="4"/>
        <v>0.98060568981339857</v>
      </c>
      <c r="P34" s="532">
        <v>27</v>
      </c>
      <c r="Q34" s="515"/>
      <c r="T34" s="536" t="e">
        <f t="shared" si="5"/>
        <v>#REF!</v>
      </c>
    </row>
    <row r="35" spans="1:20">
      <c r="A35" s="552">
        <f t="shared" si="0"/>
        <v>29000</v>
      </c>
      <c r="B35" s="515"/>
      <c r="C35" s="532">
        <v>1</v>
      </c>
      <c r="D35" s="533"/>
      <c r="E35" s="533">
        <f t="shared" si="6"/>
        <v>4043</v>
      </c>
      <c r="F35" s="533"/>
      <c r="G35" s="533">
        <f t="shared" si="1"/>
        <v>29000</v>
      </c>
      <c r="H35" s="533"/>
      <c r="I35" s="533">
        <f t="shared" si="7"/>
        <v>16057000</v>
      </c>
      <c r="J35" s="533"/>
      <c r="K35" s="533">
        <f t="shared" si="2"/>
        <v>8</v>
      </c>
      <c r="L35" s="533"/>
      <c r="M35" s="533">
        <f t="shared" si="3"/>
        <v>16289000</v>
      </c>
      <c r="N35" s="515"/>
      <c r="O35" s="534">
        <f t="shared" si="4"/>
        <v>0.98237993270113189</v>
      </c>
      <c r="P35" s="532">
        <v>29</v>
      </c>
      <c r="Q35" s="515"/>
      <c r="T35" s="536" t="e">
        <f t="shared" si="5"/>
        <v>#REF!</v>
      </c>
    </row>
    <row r="36" spans="1:20">
      <c r="A36" s="552">
        <f t="shared" si="0"/>
        <v>31000</v>
      </c>
      <c r="B36" s="515"/>
      <c r="C36" s="532">
        <v>1</v>
      </c>
      <c r="D36" s="533"/>
      <c r="E36" s="533">
        <f t="shared" si="6"/>
        <v>4044</v>
      </c>
      <c r="F36" s="533"/>
      <c r="G36" s="533">
        <f t="shared" si="1"/>
        <v>31000</v>
      </c>
      <c r="H36" s="533"/>
      <c r="I36" s="533">
        <f t="shared" si="7"/>
        <v>16088000</v>
      </c>
      <c r="J36" s="533"/>
      <c r="K36" s="533">
        <f t="shared" si="2"/>
        <v>7</v>
      </c>
      <c r="L36" s="533"/>
      <c r="M36" s="533">
        <f t="shared" si="3"/>
        <v>16305000</v>
      </c>
      <c r="N36" s="515"/>
      <c r="O36" s="534">
        <f t="shared" si="4"/>
        <v>0.98427653716732944</v>
      </c>
      <c r="P36" s="532">
        <v>31</v>
      </c>
      <c r="Q36" s="515"/>
      <c r="R36" s="515"/>
      <c r="S36" s="515"/>
      <c r="T36" s="536" t="e">
        <f t="shared" si="5"/>
        <v>#REF!</v>
      </c>
    </row>
    <row r="37" spans="1:20">
      <c r="A37" s="552">
        <f t="shared" si="0"/>
        <v>32000</v>
      </c>
      <c r="B37" s="515"/>
      <c r="C37" s="532">
        <v>1</v>
      </c>
      <c r="D37" s="533"/>
      <c r="E37" s="533">
        <f t="shared" si="6"/>
        <v>4045</v>
      </c>
      <c r="F37" s="533"/>
      <c r="G37" s="533">
        <f t="shared" si="1"/>
        <v>32000</v>
      </c>
      <c r="H37" s="533"/>
      <c r="I37" s="533">
        <f t="shared" si="7"/>
        <v>16120000</v>
      </c>
      <c r="J37" s="533"/>
      <c r="K37" s="533">
        <f t="shared" si="2"/>
        <v>6</v>
      </c>
      <c r="L37" s="533"/>
      <c r="M37" s="533">
        <f t="shared" si="3"/>
        <v>16312000</v>
      </c>
      <c r="N37" s="515"/>
      <c r="O37" s="534">
        <f t="shared" si="4"/>
        <v>0.98623432242275921</v>
      </c>
      <c r="P37" s="532">
        <v>32</v>
      </c>
      <c r="Q37" s="515"/>
      <c r="R37" s="515"/>
      <c r="S37" s="515"/>
      <c r="T37" s="536" t="e">
        <f t="shared" si="5"/>
        <v>#REF!</v>
      </c>
    </row>
    <row r="38" spans="1:20">
      <c r="A38" s="552">
        <f t="shared" si="0"/>
        <v>33000</v>
      </c>
      <c r="B38" s="515"/>
      <c r="C38" s="532">
        <v>1</v>
      </c>
      <c r="D38" s="533"/>
      <c r="E38" s="533">
        <f t="shared" si="6"/>
        <v>4046</v>
      </c>
      <c r="F38" s="533"/>
      <c r="G38" s="533">
        <f t="shared" si="1"/>
        <v>33000</v>
      </c>
      <c r="H38" s="533"/>
      <c r="I38" s="533">
        <f t="shared" si="7"/>
        <v>16153000</v>
      </c>
      <c r="J38" s="533"/>
      <c r="K38" s="533">
        <f t="shared" si="2"/>
        <v>5</v>
      </c>
      <c r="L38" s="533"/>
      <c r="M38" s="533">
        <f t="shared" si="3"/>
        <v>16318000</v>
      </c>
      <c r="N38" s="515"/>
      <c r="O38" s="534">
        <f t="shared" si="4"/>
        <v>0.98825328846742122</v>
      </c>
      <c r="P38" s="532">
        <v>33</v>
      </c>
      <c r="Q38" s="515"/>
      <c r="R38" s="515"/>
      <c r="S38" s="515"/>
      <c r="T38" s="536" t="e">
        <f t="shared" si="5"/>
        <v>#REF!</v>
      </c>
    </row>
    <row r="39" spans="1:20">
      <c r="A39" s="552">
        <f t="shared" si="0"/>
        <v>34000</v>
      </c>
      <c r="B39" s="515"/>
      <c r="C39" s="532">
        <v>2</v>
      </c>
      <c r="D39" s="533"/>
      <c r="E39" s="533">
        <f t="shared" si="6"/>
        <v>4048</v>
      </c>
      <c r="F39" s="533"/>
      <c r="G39" s="533">
        <f t="shared" si="1"/>
        <v>68000</v>
      </c>
      <c r="H39" s="533"/>
      <c r="I39" s="533">
        <f t="shared" si="7"/>
        <v>16221000</v>
      </c>
      <c r="J39" s="533"/>
      <c r="K39" s="533">
        <f t="shared" si="2"/>
        <v>3</v>
      </c>
      <c r="L39" s="533"/>
      <c r="M39" s="533">
        <f t="shared" si="3"/>
        <v>16323000</v>
      </c>
      <c r="N39" s="515"/>
      <c r="O39" s="534">
        <f t="shared" si="4"/>
        <v>0.99241358213520958</v>
      </c>
      <c r="P39" s="532">
        <v>34</v>
      </c>
      <c r="Q39" s="515"/>
      <c r="R39" s="515"/>
      <c r="S39" s="515"/>
      <c r="T39" s="536" t="e">
        <f t="shared" si="5"/>
        <v>#REF!</v>
      </c>
    </row>
    <row r="40" spans="1:20">
      <c r="A40" s="552">
        <f t="shared" si="0"/>
        <v>35000</v>
      </c>
      <c r="B40" s="515"/>
      <c r="C40" s="532">
        <v>1</v>
      </c>
      <c r="D40" s="533"/>
      <c r="E40" s="533">
        <f t="shared" si="6"/>
        <v>4049</v>
      </c>
      <c r="F40" s="533"/>
      <c r="G40" s="533">
        <f t="shared" si="1"/>
        <v>35000</v>
      </c>
      <c r="H40" s="533"/>
      <c r="I40" s="533">
        <f t="shared" si="7"/>
        <v>16256000</v>
      </c>
      <c r="J40" s="533"/>
      <c r="K40" s="533">
        <f t="shared" si="2"/>
        <v>2</v>
      </c>
      <c r="L40" s="533"/>
      <c r="M40" s="533">
        <f t="shared" si="3"/>
        <v>16326000</v>
      </c>
      <c r="N40" s="515"/>
      <c r="O40" s="534">
        <f t="shared" si="4"/>
        <v>0.99455490975833594</v>
      </c>
      <c r="P40" s="532">
        <v>35</v>
      </c>
      <c r="Q40" s="515"/>
      <c r="R40" s="515"/>
      <c r="S40" s="515"/>
      <c r="T40" s="536" t="e">
        <f t="shared" si="5"/>
        <v>#REF!</v>
      </c>
    </row>
    <row r="41" spans="1:20">
      <c r="A41" s="552">
        <f t="shared" si="0"/>
        <v>37000</v>
      </c>
      <c r="B41" s="515"/>
      <c r="C41" s="532">
        <v>1</v>
      </c>
      <c r="D41" s="533"/>
      <c r="E41" s="533">
        <f t="shared" si="6"/>
        <v>4050</v>
      </c>
      <c r="F41" s="533"/>
      <c r="G41" s="533">
        <f t="shared" si="1"/>
        <v>37000</v>
      </c>
      <c r="H41" s="533"/>
      <c r="I41" s="533">
        <f t="shared" si="7"/>
        <v>16293000</v>
      </c>
      <c r="J41" s="533"/>
      <c r="K41" s="533">
        <f t="shared" si="2"/>
        <v>1</v>
      </c>
      <c r="L41" s="533"/>
      <c r="M41" s="533">
        <f t="shared" si="3"/>
        <v>16330000</v>
      </c>
      <c r="N41" s="515"/>
      <c r="O41" s="534">
        <f t="shared" si="4"/>
        <v>0.99681859895992664</v>
      </c>
      <c r="P41" s="532">
        <v>37</v>
      </c>
      <c r="Q41" s="515"/>
      <c r="R41" s="515"/>
      <c r="S41" s="515"/>
      <c r="T41" s="536" t="e">
        <f t="shared" si="5"/>
        <v>#REF!</v>
      </c>
    </row>
    <row r="42" spans="1:20">
      <c r="A42" s="552">
        <f t="shared" si="0"/>
        <v>52000</v>
      </c>
      <c r="B42" s="515"/>
      <c r="C42" s="532">
        <v>1</v>
      </c>
      <c r="D42" s="533"/>
      <c r="E42" s="533">
        <f t="shared" si="6"/>
        <v>4051</v>
      </c>
      <c r="F42" s="533"/>
      <c r="G42" s="533">
        <f t="shared" si="1"/>
        <v>52000</v>
      </c>
      <c r="H42" s="533"/>
      <c r="I42" s="533">
        <f t="shared" si="7"/>
        <v>16345000</v>
      </c>
      <c r="J42" s="533"/>
      <c r="K42" s="533">
        <f t="shared" si="2"/>
        <v>0</v>
      </c>
      <c r="L42" s="533"/>
      <c r="M42" s="533">
        <f t="shared" si="3"/>
        <v>16345000</v>
      </c>
      <c r="N42" s="529"/>
      <c r="O42" s="534">
        <f t="shared" si="4"/>
        <v>1</v>
      </c>
      <c r="P42" s="532">
        <v>52</v>
      </c>
      <c r="Q42" s="515"/>
      <c r="R42" s="515"/>
      <c r="S42" s="515"/>
      <c r="T42" s="536" t="e">
        <f t="shared" si="5"/>
        <v>#REF!</v>
      </c>
    </row>
    <row r="43" spans="1:20">
      <c r="A43" s="552"/>
      <c r="B43" s="525"/>
      <c r="C43" s="566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  <c r="Q43" s="515"/>
      <c r="R43" s="515"/>
      <c r="S43" s="515"/>
      <c r="T43" s="536"/>
    </row>
    <row r="44" spans="1:20">
      <c r="A44" s="552"/>
      <c r="B44" s="525"/>
      <c r="C44" s="566"/>
      <c r="D44" s="525"/>
      <c r="E44" s="533"/>
      <c r="F44" s="533"/>
      <c r="G44" s="533"/>
      <c r="H44" s="533"/>
      <c r="I44" s="533"/>
      <c r="J44" s="525"/>
      <c r="K44" s="533"/>
      <c r="L44" s="525"/>
      <c r="M44" s="533"/>
      <c r="N44" s="525"/>
      <c r="O44" s="534"/>
      <c r="P44" s="547"/>
      <c r="Q44" s="515"/>
      <c r="R44" s="515"/>
      <c r="S44" s="515"/>
      <c r="T44" s="554" t="e">
        <f>SUM(T10:T42)</f>
        <v>#REF!</v>
      </c>
    </row>
    <row r="45" spans="1:20" hidden="1">
      <c r="A45" s="552"/>
      <c r="B45" s="515"/>
      <c r="C45" s="566"/>
      <c r="D45" s="529"/>
      <c r="E45" s="533"/>
      <c r="F45" s="533"/>
      <c r="G45" s="533"/>
      <c r="H45" s="533"/>
      <c r="I45" s="533"/>
      <c r="J45" s="529"/>
      <c r="K45" s="533"/>
      <c r="L45" s="529"/>
      <c r="M45" s="533"/>
      <c r="N45" s="529"/>
      <c r="O45" s="534"/>
      <c r="P45" s="547"/>
      <c r="Q45" s="515"/>
      <c r="R45" s="515"/>
      <c r="S45" s="515"/>
      <c r="T45" s="536">
        <v>61151</v>
      </c>
    </row>
    <row r="46" spans="1:20" hidden="1">
      <c r="A46" s="552"/>
      <c r="B46" s="515"/>
      <c r="C46" s="566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15"/>
      <c r="R46" s="515"/>
      <c r="S46" s="515"/>
      <c r="T46" s="536" t="e">
        <f>T44-T45</f>
        <v>#REF!</v>
      </c>
    </row>
    <row r="47" spans="1:20" hidden="1">
      <c r="A47" s="552"/>
      <c r="B47" s="515"/>
      <c r="C47" s="566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15"/>
      <c r="R47" s="515"/>
      <c r="S47" s="515"/>
      <c r="T47" s="550" t="e">
        <f>T46/T44</f>
        <v>#REF!</v>
      </c>
    </row>
    <row r="48" spans="1:20">
      <c r="A48" s="552"/>
      <c r="B48" s="515"/>
      <c r="C48" s="566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15"/>
      <c r="R48" s="515"/>
      <c r="S48" s="515"/>
      <c r="T48" s="536"/>
    </row>
    <row r="49" spans="1:20">
      <c r="A49" s="552"/>
      <c r="B49" s="515"/>
      <c r="C49" s="566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15"/>
      <c r="R49" s="515"/>
      <c r="S49" s="515"/>
      <c r="T49" s="536"/>
    </row>
    <row r="50" spans="1:20">
      <c r="A50" s="552"/>
      <c r="B50" s="515"/>
      <c r="C50" s="566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15"/>
      <c r="R50" s="515"/>
      <c r="S50" s="515"/>
      <c r="T50" s="536"/>
    </row>
    <row r="51" spans="1:20">
      <c r="A51" s="552"/>
      <c r="B51" s="515"/>
      <c r="C51" s="566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15"/>
      <c r="R51" s="515"/>
      <c r="S51" s="515"/>
      <c r="T51" s="536"/>
    </row>
    <row r="52" spans="1:20">
      <c r="A52" s="552"/>
      <c r="B52" s="515"/>
      <c r="C52" s="566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15"/>
      <c r="R52" s="515"/>
      <c r="S52" s="515"/>
      <c r="T52" s="536"/>
    </row>
    <row r="53" spans="1:20">
      <c r="A53" s="552"/>
      <c r="B53" s="515"/>
      <c r="C53" s="566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15"/>
      <c r="R53" s="515"/>
      <c r="S53" s="515"/>
      <c r="T53" s="536"/>
    </row>
    <row r="54" spans="1:20">
      <c r="A54" s="552"/>
      <c r="B54" s="515"/>
      <c r="C54" s="566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15"/>
      <c r="R54" s="515"/>
      <c r="S54" s="515"/>
      <c r="T54" s="536"/>
    </row>
    <row r="55" spans="1:20">
      <c r="A55" s="552"/>
      <c r="B55" s="515"/>
      <c r="C55" s="56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Q55" s="515"/>
      <c r="R55" s="515"/>
      <c r="S55" s="515"/>
      <c r="T55" s="536"/>
    </row>
    <row r="56" spans="1:20">
      <c r="A56" s="552"/>
      <c r="B56" s="515"/>
      <c r="C56" s="56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Q56" s="515"/>
      <c r="R56" s="515"/>
      <c r="S56" s="515"/>
      <c r="T56" s="536"/>
    </row>
    <row r="57" spans="1:20">
      <c r="A57" s="552"/>
      <c r="B57" s="515"/>
      <c r="C57" s="56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Q57" s="515"/>
      <c r="R57" s="515"/>
      <c r="S57" s="515"/>
      <c r="T57" s="536"/>
    </row>
    <row r="58" spans="1:20">
      <c r="A58" s="552"/>
      <c r="B58" s="515"/>
      <c r="C58" s="56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Q58" s="515"/>
      <c r="R58" s="515"/>
      <c r="S58" s="515"/>
      <c r="T58" s="536"/>
    </row>
    <row r="59" spans="1:20">
      <c r="A59" s="552"/>
      <c r="B59" s="515"/>
      <c r="C59" s="56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Q59" s="515"/>
      <c r="R59" s="515"/>
      <c r="S59" s="515"/>
      <c r="T59" s="536"/>
    </row>
    <row r="60" spans="1:20">
      <c r="A60" s="552"/>
      <c r="B60" s="515"/>
      <c r="C60" s="56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Q60" s="515"/>
      <c r="R60" s="515"/>
      <c r="S60" s="515"/>
      <c r="T60" s="536"/>
    </row>
    <row r="61" spans="1:20">
      <c r="A61" s="552"/>
      <c r="B61" s="515"/>
      <c r="C61" s="56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Q61" s="515"/>
      <c r="R61" s="515"/>
      <c r="S61" s="515"/>
      <c r="T61" s="536"/>
    </row>
    <row r="62" spans="1:20">
      <c r="A62" s="552"/>
      <c r="B62" s="515"/>
      <c r="C62" s="56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Q62" s="515"/>
      <c r="R62" s="515"/>
      <c r="S62" s="515"/>
      <c r="T62" s="536"/>
    </row>
    <row r="63" spans="1:20">
      <c r="A63" s="552"/>
      <c r="B63" s="515"/>
      <c r="C63" s="56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Q63" s="515"/>
      <c r="R63" s="515"/>
      <c r="S63" s="515"/>
    </row>
    <row r="64" spans="1:20">
      <c r="A64" s="552"/>
      <c r="B64" s="515"/>
      <c r="C64" s="56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Q64" s="515"/>
      <c r="R64" s="515"/>
      <c r="S64" s="515"/>
    </row>
    <row r="65" spans="1:19">
      <c r="A65" s="552"/>
      <c r="B65" s="515"/>
      <c r="C65" s="56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Q65" s="515"/>
      <c r="R65" s="515"/>
      <c r="S65" s="515"/>
    </row>
    <row r="66" spans="1:19">
      <c r="A66" s="552"/>
      <c r="B66" s="515"/>
      <c r="C66" s="56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Q66" s="515"/>
      <c r="R66" s="515"/>
      <c r="S66" s="515"/>
    </row>
    <row r="67" spans="1:19">
      <c r="A67" s="552"/>
      <c r="B67" s="515"/>
      <c r="C67" s="567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N67" s="515"/>
      <c r="O67" s="534"/>
      <c r="Q67" s="515"/>
      <c r="R67" s="515"/>
      <c r="S67" s="515"/>
    </row>
    <row r="68" spans="1:19">
      <c r="A68" s="552"/>
      <c r="B68" s="515"/>
      <c r="C68" s="56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N68" s="515"/>
      <c r="O68" s="534"/>
      <c r="Q68" s="515"/>
      <c r="R68" s="515"/>
      <c r="S68" s="515"/>
    </row>
    <row r="69" spans="1:19">
      <c r="A69" s="552"/>
      <c r="B69" s="515"/>
      <c r="C69" s="56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N69" s="515"/>
      <c r="O69" s="534"/>
      <c r="Q69" s="515"/>
      <c r="R69" s="515"/>
      <c r="S69" s="515"/>
    </row>
    <row r="70" spans="1:19">
      <c r="A70" s="552"/>
      <c r="B70" s="515"/>
      <c r="C70" s="56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N70" s="515"/>
      <c r="O70" s="534"/>
      <c r="Q70" s="515"/>
      <c r="R70" s="515"/>
      <c r="S70" s="515"/>
    </row>
    <row r="71" spans="1:19">
      <c r="A71" s="552"/>
      <c r="B71" s="515"/>
      <c r="C71" s="567"/>
      <c r="D71" s="533"/>
      <c r="E71" s="533"/>
      <c r="F71" s="533"/>
      <c r="G71" s="533"/>
      <c r="H71" s="533"/>
      <c r="I71" s="533"/>
      <c r="J71" s="533"/>
      <c r="K71" s="533"/>
      <c r="L71" s="533"/>
      <c r="M71" s="533"/>
      <c r="N71" s="515"/>
      <c r="O71" s="534"/>
      <c r="Q71" s="515"/>
      <c r="R71" s="515"/>
      <c r="S71" s="515"/>
    </row>
    <row r="72" spans="1:19">
      <c r="A72" s="552"/>
      <c r="B72" s="515"/>
      <c r="C72" s="567"/>
      <c r="D72" s="533"/>
      <c r="E72" s="533"/>
      <c r="F72" s="533"/>
      <c r="G72" s="533"/>
      <c r="H72" s="533"/>
      <c r="I72" s="533"/>
      <c r="J72" s="533"/>
      <c r="K72" s="533"/>
      <c r="L72" s="533"/>
      <c r="M72" s="533"/>
      <c r="N72" s="515"/>
      <c r="O72" s="534"/>
      <c r="Q72" s="515"/>
      <c r="R72" s="515"/>
      <c r="S72" s="515"/>
    </row>
    <row r="73" spans="1:19">
      <c r="A73" s="552"/>
      <c r="B73" s="515"/>
      <c r="C73" s="567"/>
      <c r="D73" s="533"/>
      <c r="E73" s="533"/>
      <c r="F73" s="533"/>
      <c r="G73" s="533"/>
      <c r="H73" s="533"/>
      <c r="I73" s="533"/>
      <c r="J73" s="533"/>
      <c r="K73" s="533"/>
      <c r="L73" s="533"/>
      <c r="M73" s="533"/>
      <c r="N73" s="515"/>
      <c r="O73" s="534"/>
      <c r="Q73" s="515"/>
      <c r="R73" s="515"/>
      <c r="S73" s="515"/>
    </row>
    <row r="74" spans="1:19">
      <c r="A74" s="552"/>
      <c r="B74" s="515"/>
      <c r="C74" s="567"/>
      <c r="D74" s="533"/>
      <c r="E74" s="533"/>
      <c r="F74" s="533"/>
      <c r="G74" s="533"/>
      <c r="H74" s="533"/>
      <c r="I74" s="533"/>
      <c r="J74" s="533"/>
      <c r="K74" s="533"/>
      <c r="L74" s="533"/>
      <c r="M74" s="533"/>
      <c r="N74" s="515"/>
      <c r="O74" s="534"/>
      <c r="Q74" s="515"/>
      <c r="R74" s="515"/>
      <c r="S74" s="515"/>
    </row>
    <row r="75" spans="1:19">
      <c r="A75" s="552"/>
      <c r="B75" s="515"/>
      <c r="C75" s="567"/>
      <c r="D75" s="533"/>
      <c r="E75" s="533"/>
      <c r="F75" s="533"/>
      <c r="G75" s="533"/>
      <c r="H75" s="533"/>
      <c r="I75" s="533"/>
      <c r="J75" s="533"/>
      <c r="K75" s="533"/>
      <c r="L75" s="533"/>
      <c r="M75" s="533"/>
      <c r="N75" s="515"/>
      <c r="O75" s="534"/>
      <c r="Q75" s="515"/>
      <c r="R75" s="515"/>
      <c r="S75" s="515"/>
    </row>
    <row r="76" spans="1:19">
      <c r="A76" s="552"/>
      <c r="B76" s="515"/>
      <c r="C76" s="567"/>
      <c r="D76" s="533"/>
      <c r="E76" s="533"/>
      <c r="F76" s="533"/>
      <c r="G76" s="533"/>
      <c r="H76" s="533"/>
      <c r="I76" s="533"/>
      <c r="J76" s="533"/>
      <c r="K76" s="533"/>
      <c r="L76" s="533"/>
      <c r="M76" s="533"/>
      <c r="N76" s="515"/>
      <c r="O76" s="515"/>
      <c r="Q76" s="515"/>
      <c r="R76" s="515"/>
      <c r="S76" s="515"/>
    </row>
    <row r="77" spans="1:19">
      <c r="A77" s="515"/>
      <c r="B77" s="515"/>
      <c r="C77" s="567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Q77" s="515"/>
      <c r="R77" s="515"/>
      <c r="S77" s="515"/>
    </row>
    <row r="78" spans="1:19">
      <c r="A78" s="515"/>
      <c r="B78" s="515"/>
      <c r="C78" s="567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Q78" s="515"/>
      <c r="R78" s="515"/>
      <c r="S78" s="515"/>
    </row>
    <row r="79" spans="1:19">
      <c r="A79" s="515"/>
      <c r="B79" s="515"/>
      <c r="C79" s="567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Q79" s="515"/>
      <c r="R79" s="515"/>
      <c r="S79" s="515"/>
    </row>
    <row r="80" spans="1:19">
      <c r="A80" s="515"/>
      <c r="B80" s="515"/>
      <c r="C80" s="567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Q80" s="515"/>
      <c r="R80" s="515"/>
      <c r="S80" s="515"/>
    </row>
    <row r="81" spans="1:19">
      <c r="A81" s="515"/>
      <c r="B81" s="515"/>
      <c r="C81" s="567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Q81" s="515"/>
      <c r="R81" s="515"/>
      <c r="S81" s="515"/>
    </row>
    <row r="82" spans="1:19">
      <c r="A82" s="515"/>
      <c r="B82" s="515"/>
      <c r="C82" s="567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Q82" s="515"/>
      <c r="R82" s="515"/>
      <c r="S82" s="51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C000"/>
    <pageSetUpPr fitToPage="1"/>
  </sheetPr>
  <dimension ref="A1:N68"/>
  <sheetViews>
    <sheetView view="pageBreakPreview" zoomScale="75" zoomScaleNormal="100" zoomScaleSheetLayoutView="75" workbookViewId="0">
      <pane xSplit="4" ySplit="1" topLeftCell="E2" activePane="bottomRight" state="frozen"/>
      <selection activeCell="C22" sqref="C22"/>
      <selection pane="topRight" activeCell="C22" sqref="C22"/>
      <selection pane="bottomLeft" activeCell="C22" sqref="C22"/>
      <selection pane="bottomRight" activeCell="F17" sqref="F17"/>
    </sheetView>
  </sheetViews>
  <sheetFormatPr defaultColWidth="10.875" defaultRowHeight="15"/>
  <cols>
    <col min="1" max="1" width="3.375" style="12" customWidth="1"/>
    <col min="2" max="2" width="13" style="12" bestFit="1" customWidth="1"/>
    <col min="3" max="3" width="14.875" style="12" customWidth="1"/>
    <col min="4" max="4" width="17.875" style="12" customWidth="1"/>
    <col min="5" max="5" width="3" style="12" customWidth="1"/>
    <col min="6" max="6" width="11.625" style="12" bestFit="1" customWidth="1"/>
    <col min="7" max="7" width="3" style="12" customWidth="1"/>
    <col min="8" max="8" width="18.5" style="12" bestFit="1" customWidth="1"/>
    <col min="9" max="9" width="6.75" style="12" bestFit="1" customWidth="1"/>
    <col min="10" max="10" width="12.875" style="12" customWidth="1"/>
    <col min="11" max="11" width="2.375" style="12" customWidth="1"/>
    <col min="12" max="12" width="9" style="12" bestFit="1" customWidth="1"/>
    <col min="13" max="13" width="3" style="12" bestFit="1" customWidth="1"/>
    <col min="14" max="14" width="26.625" style="12" customWidth="1"/>
    <col min="15" max="15" width="10.875" style="15" customWidth="1"/>
    <col min="16" max="16" width="29.5" style="15" customWidth="1"/>
    <col min="17" max="21" width="0" style="15" hidden="1" customWidth="1"/>
    <col min="22" max="16384" width="10.875" style="15"/>
  </cols>
  <sheetData>
    <row r="1" spans="1:14" ht="20.25" customHeight="1">
      <c r="A1" s="40" t="str">
        <f>'Sch.B-I.S'!A1</f>
        <v>WATER SERVICE CORPORATION OF KENTUCKY</v>
      </c>
      <c r="B1" s="712"/>
      <c r="L1" s="713"/>
      <c r="N1" s="714" t="s">
        <v>916</v>
      </c>
    </row>
    <row r="2" spans="1:14">
      <c r="A2" s="40" t="str">
        <f>'Sch.A-B.S'!F2</f>
        <v>Case No. 2013 - 00237</v>
      </c>
      <c r="B2" s="712"/>
      <c r="L2" s="713"/>
      <c r="N2" s="714"/>
    </row>
    <row r="3" spans="1:14">
      <c r="A3" s="712" t="s">
        <v>636</v>
      </c>
      <c r="L3" s="715"/>
      <c r="N3" s="716" t="s">
        <v>555</v>
      </c>
    </row>
    <row r="4" spans="1:14">
      <c r="A4" s="1781" t="str">
        <f>'Input Schedule'!G9</f>
        <v>Test Year 12/31/2012</v>
      </c>
      <c r="B4" s="1782"/>
      <c r="C4" s="1782"/>
      <c r="N4" s="15"/>
    </row>
    <row r="5" spans="1:14">
      <c r="A5" s="338"/>
      <c r="B5" s="717"/>
      <c r="C5" s="717"/>
      <c r="N5" s="15"/>
    </row>
    <row r="6" spans="1:14">
      <c r="A6" s="338"/>
      <c r="B6" s="717"/>
      <c r="C6" s="717"/>
      <c r="N6" s="15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 t="s">
        <v>485</v>
      </c>
    </row>
    <row r="9" spans="1:14">
      <c r="A9" s="3"/>
      <c r="B9" s="3"/>
      <c r="C9" s="3"/>
      <c r="D9" s="3"/>
      <c r="E9" s="3"/>
      <c r="F9" s="3" t="s">
        <v>486</v>
      </c>
      <c r="G9" s="3"/>
      <c r="H9" s="3" t="s">
        <v>576</v>
      </c>
      <c r="I9" s="3"/>
      <c r="J9" s="3" t="s">
        <v>117</v>
      </c>
      <c r="K9" s="3"/>
      <c r="L9" s="3" t="s">
        <v>153</v>
      </c>
      <c r="M9" s="3"/>
      <c r="N9" s="3" t="s">
        <v>153</v>
      </c>
    </row>
    <row r="10" spans="1:14">
      <c r="A10" s="3"/>
      <c r="B10" s="3"/>
      <c r="C10" s="3"/>
      <c r="D10" s="3"/>
      <c r="E10" s="3"/>
      <c r="F10" s="7" t="s">
        <v>622</v>
      </c>
      <c r="G10" s="3"/>
      <c r="H10" s="7" t="s">
        <v>79</v>
      </c>
      <c r="I10" s="3"/>
      <c r="J10" s="7" t="s">
        <v>1143</v>
      </c>
      <c r="K10" s="3"/>
      <c r="L10" s="7" t="s">
        <v>575</v>
      </c>
      <c r="M10" s="3"/>
      <c r="N10" s="7" t="s">
        <v>575</v>
      </c>
    </row>
    <row r="12" spans="1:14" ht="15.75" thickBot="1">
      <c r="A12" s="12" t="s">
        <v>591</v>
      </c>
      <c r="E12" s="718" t="s">
        <v>784</v>
      </c>
      <c r="F12" s="509">
        <f>+'Sch.B-I.S'!F53</f>
        <v>228384.01000000024</v>
      </c>
      <c r="G12" s="53"/>
      <c r="H12" s="509">
        <f>+'Sch.B-I.S'!H53</f>
        <v>49202.134029329238</v>
      </c>
      <c r="I12" s="718" t="s">
        <v>784</v>
      </c>
      <c r="J12" s="509">
        <f>+'Sch.B-I.S'!J53</f>
        <v>277586.14402932953</v>
      </c>
      <c r="K12" s="53"/>
      <c r="L12" s="509">
        <f>+'Sch.B-I.S'!L53</f>
        <v>139479.86212739308</v>
      </c>
      <c r="M12" s="718" t="s">
        <v>784</v>
      </c>
      <c r="N12" s="509">
        <f>+'Sch.B-I.S'!N53</f>
        <v>417066.00615672255</v>
      </c>
    </row>
    <row r="13" spans="1:14" ht="15.75" thickTop="1">
      <c r="F13" s="53"/>
      <c r="G13" s="53"/>
      <c r="H13" s="53"/>
      <c r="I13" s="719"/>
      <c r="J13" s="53"/>
      <c r="K13" s="53"/>
      <c r="L13" s="53"/>
      <c r="M13" s="53"/>
      <c r="N13" s="53"/>
    </row>
    <row r="14" spans="1:14">
      <c r="A14" s="12" t="s">
        <v>775</v>
      </c>
      <c r="E14" s="718" t="s">
        <v>784</v>
      </c>
      <c r="F14" s="213">
        <f>+'Linked TB'!E80+'Linked TB'!E73+'Linked TB'!E69</f>
        <v>10657790.149999999</v>
      </c>
      <c r="G14" s="294"/>
      <c r="H14" s="213">
        <f>'wp-l-gl plant additions'!I28+'wp-j-pf.plant'!G10+'wp-appendix'!M16</f>
        <v>-275137.41983956832</v>
      </c>
      <c r="I14" s="3" t="s">
        <v>909</v>
      </c>
      <c r="J14" s="213">
        <f>F14+H14</f>
        <v>10382652.73016043</v>
      </c>
      <c r="K14" s="466"/>
      <c r="L14" s="213">
        <v>0</v>
      </c>
      <c r="M14" s="718" t="s">
        <v>784</v>
      </c>
      <c r="N14" s="213">
        <f>J14+L14</f>
        <v>10382652.73016043</v>
      </c>
    </row>
    <row r="15" spans="1:14">
      <c r="A15" s="12" t="s">
        <v>785</v>
      </c>
      <c r="E15" s="718"/>
      <c r="F15" s="213">
        <f>+'Linked TB'!E161</f>
        <v>-5010382.18</v>
      </c>
      <c r="G15" s="294"/>
      <c r="H15" s="213">
        <f>+'wp-appendix'!M26</f>
        <v>362489.03308441234</v>
      </c>
      <c r="I15" s="3" t="s">
        <v>909</v>
      </c>
      <c r="J15" s="213">
        <f>F15+H15</f>
        <v>-4647893.1469155876</v>
      </c>
      <c r="K15" s="466"/>
      <c r="L15" s="213">
        <v>0</v>
      </c>
      <c r="M15" s="466"/>
      <c r="N15" s="213">
        <f>J15+L15</f>
        <v>-4647893.1469155876</v>
      </c>
    </row>
    <row r="16" spans="1:14">
      <c r="A16" s="12" t="s">
        <v>396</v>
      </c>
      <c r="F16" s="284">
        <f>SUM(F14:F15)</f>
        <v>5647407.9699999988</v>
      </c>
      <c r="G16" s="213"/>
      <c r="H16" s="284">
        <f>SUM(H14:H15)</f>
        <v>87351.613244844018</v>
      </c>
      <c r="I16" s="294"/>
      <c r="J16" s="284">
        <f>SUM(J14:J15)</f>
        <v>5734759.5832448425</v>
      </c>
      <c r="K16" s="213"/>
      <c r="L16" s="284">
        <f>SUM(L14:L15)</f>
        <v>0</v>
      </c>
      <c r="M16" s="213"/>
      <c r="N16" s="284">
        <f>SUM(N14:N15)</f>
        <v>5734759.5832448425</v>
      </c>
    </row>
    <row r="17" spans="1:14">
      <c r="A17" s="12" t="s">
        <v>397</v>
      </c>
      <c r="F17" s="213">
        <f>'wp-i-wc'!$G$16</f>
        <v>209767</v>
      </c>
      <c r="G17" s="213"/>
      <c r="H17" s="213">
        <f>J17-F17</f>
        <v>-4069</v>
      </c>
      <c r="I17" s="294" t="s">
        <v>853</v>
      </c>
      <c r="J17" s="213">
        <f>'wp-i-wc'!G26</f>
        <v>205698</v>
      </c>
      <c r="K17" s="213"/>
      <c r="L17" s="213">
        <v>0</v>
      </c>
      <c r="M17" s="213"/>
      <c r="N17" s="213">
        <f t="shared" ref="N17:N22" si="0">J17+L17</f>
        <v>205698</v>
      </c>
    </row>
    <row r="18" spans="1:14">
      <c r="A18" s="12" t="s">
        <v>835</v>
      </c>
      <c r="F18" s="213">
        <f>'Linked TB'!F250</f>
        <v>-165215.81</v>
      </c>
      <c r="G18" s="294"/>
      <c r="H18" s="213">
        <f>-'Sch.B-I.S'!H105+'wp-appendix'!M30</f>
        <v>-4793.1124999999884</v>
      </c>
      <c r="I18" s="294" t="s">
        <v>2147</v>
      </c>
      <c r="J18" s="213">
        <f t="shared" ref="J18:J22" si="1">F18+H18</f>
        <v>-170008.92249999999</v>
      </c>
      <c r="K18" s="213"/>
      <c r="L18" s="213">
        <v>0</v>
      </c>
      <c r="M18" s="213"/>
      <c r="N18" s="213">
        <f t="shared" si="0"/>
        <v>-170008.92249999999</v>
      </c>
    </row>
    <row r="19" spans="1:14">
      <c r="A19" s="12" t="s">
        <v>787</v>
      </c>
      <c r="F19" s="213">
        <f>'Linked TB'!F229</f>
        <v>-113080.53</v>
      </c>
      <c r="G19" s="294"/>
      <c r="H19" s="213">
        <f>+'wp-appendix'!M34</f>
        <v>32354.543550000002</v>
      </c>
      <c r="I19" s="294" t="s">
        <v>2147</v>
      </c>
      <c r="J19" s="213">
        <f t="shared" si="1"/>
        <v>-80725.986449999997</v>
      </c>
      <c r="K19" s="213"/>
      <c r="L19" s="213">
        <v>0</v>
      </c>
      <c r="M19" s="213"/>
      <c r="N19" s="213">
        <f t="shared" si="0"/>
        <v>-80725.986449999997</v>
      </c>
    </row>
    <row r="20" spans="1:14">
      <c r="A20" s="12" t="s">
        <v>667</v>
      </c>
      <c r="F20" s="213">
        <f>+'Linked TB'!E259+'Linked TB'!E268</f>
        <v>-665581.92000000004</v>
      </c>
      <c r="G20" s="213"/>
      <c r="H20" s="213">
        <v>0</v>
      </c>
      <c r="I20" s="294"/>
      <c r="J20" s="213">
        <f t="shared" si="1"/>
        <v>-665581.92000000004</v>
      </c>
      <c r="K20" s="213"/>
      <c r="L20" s="213">
        <v>0</v>
      </c>
      <c r="M20" s="213"/>
      <c r="N20" s="213">
        <f t="shared" si="0"/>
        <v>-665581.92000000004</v>
      </c>
    </row>
    <row r="21" spans="1:14">
      <c r="A21" s="12" t="s">
        <v>913</v>
      </c>
      <c r="F21" s="213">
        <f>+'Linked TB'!E286</f>
        <v>-56298.68</v>
      </c>
      <c r="G21" s="213"/>
      <c r="H21" s="213">
        <v>0</v>
      </c>
      <c r="I21" s="294"/>
      <c r="J21" s="213">
        <f t="shared" si="1"/>
        <v>-56298.68</v>
      </c>
      <c r="K21" s="213"/>
      <c r="L21" s="213">
        <v>0</v>
      </c>
      <c r="M21" s="213"/>
      <c r="N21" s="213">
        <f t="shared" si="0"/>
        <v>-56298.68</v>
      </c>
    </row>
    <row r="22" spans="1:14">
      <c r="A22" s="12" t="s">
        <v>847</v>
      </c>
      <c r="F22" s="213">
        <v>0</v>
      </c>
      <c r="G22" s="213"/>
      <c r="H22" s="213">
        <f>-'wp-q City of Clinton'!C28</f>
        <v>-6355.2102118855328</v>
      </c>
      <c r="I22" s="294" t="s">
        <v>854</v>
      </c>
      <c r="J22" s="213">
        <f t="shared" si="1"/>
        <v>-6355.2102118855328</v>
      </c>
      <c r="K22" s="213"/>
      <c r="L22" s="213">
        <v>0</v>
      </c>
      <c r="M22" s="213"/>
      <c r="N22" s="213">
        <f t="shared" si="0"/>
        <v>-6355.2102118855328</v>
      </c>
    </row>
    <row r="23" spans="1:14">
      <c r="F23" s="284"/>
      <c r="G23" s="213"/>
      <c r="H23" s="284"/>
      <c r="I23" s="294"/>
      <c r="J23" s="284"/>
      <c r="K23" s="213"/>
      <c r="L23" s="284"/>
      <c r="M23" s="213"/>
      <c r="N23" s="284"/>
    </row>
    <row r="24" spans="1:14" ht="15.75" thickBot="1">
      <c r="A24" s="12" t="s">
        <v>827</v>
      </c>
      <c r="E24" s="718" t="s">
        <v>784</v>
      </c>
      <c r="F24" s="285">
        <f>SUM(F16:F22)</f>
        <v>4856998.0299999993</v>
      </c>
      <c r="G24" s="466" t="s">
        <v>784</v>
      </c>
      <c r="H24" s="285">
        <f>SUM(H16:H22)</f>
        <v>104488.83408295849</v>
      </c>
      <c r="I24" s="466" t="s">
        <v>784</v>
      </c>
      <c r="J24" s="285">
        <f>SUM(J16:J22)</f>
        <v>4961486.8640829576</v>
      </c>
      <c r="K24" s="466" t="s">
        <v>784</v>
      </c>
      <c r="L24" s="285">
        <f>SUM(L16:L22)</f>
        <v>0</v>
      </c>
      <c r="M24" s="466" t="s">
        <v>784</v>
      </c>
      <c r="N24" s="285">
        <f>SUM(N16:N22)</f>
        <v>4961486.8640829576</v>
      </c>
    </row>
    <row r="25" spans="1:14" ht="15.75" thickTop="1">
      <c r="E25" s="718"/>
      <c r="F25" s="18"/>
      <c r="G25" s="718"/>
      <c r="H25" s="18"/>
      <c r="I25" s="718"/>
      <c r="J25" s="18"/>
      <c r="K25" s="718"/>
      <c r="L25" s="18"/>
      <c r="M25" s="718"/>
      <c r="N25" s="18"/>
    </row>
    <row r="26" spans="1:14">
      <c r="H26" s="18"/>
      <c r="L26" s="18"/>
    </row>
    <row r="27" spans="1:14" ht="15.75" thickBot="1">
      <c r="A27" s="721" t="s">
        <v>1142</v>
      </c>
      <c r="B27" s="721"/>
      <c r="C27" s="721"/>
      <c r="D27" s="59"/>
      <c r="E27" s="59"/>
      <c r="F27" s="58">
        <f>F12/F24</f>
        <v>4.7021639413759503E-2</v>
      </c>
      <c r="G27" s="59"/>
      <c r="H27" s="57"/>
      <c r="I27" s="59"/>
      <c r="J27" s="58">
        <f>J12/J24</f>
        <v>5.5948176752985593E-2</v>
      </c>
      <c r="K27" s="59"/>
      <c r="L27" s="57"/>
      <c r="M27" s="59"/>
      <c r="N27" s="58">
        <f>N12/N24</f>
        <v>8.4060689382437728E-2</v>
      </c>
    </row>
    <row r="28" spans="1:14" ht="15.75" thickTop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</row>
    <row r="29" spans="1:14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</row>
    <row r="30" spans="1:14">
      <c r="A30" s="1726" t="s">
        <v>2151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</row>
    <row r="31" spans="1:14">
      <c r="A31" s="123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</row>
    <row r="32" spans="1:14">
      <c r="A32" s="12" t="s">
        <v>1980</v>
      </c>
      <c r="B32" s="1783" t="s">
        <v>2149</v>
      </c>
      <c r="C32" s="1783"/>
      <c r="D32" s="1783"/>
      <c r="E32" s="1783"/>
      <c r="F32" s="1783"/>
      <c r="G32" s="1783"/>
      <c r="H32" s="1783"/>
      <c r="I32" s="1783"/>
      <c r="J32" s="1783"/>
      <c r="K32" s="1783"/>
      <c r="L32" s="1783"/>
      <c r="M32" s="1783"/>
      <c r="N32" s="1783"/>
    </row>
    <row r="33" spans="1:14"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</row>
    <row r="34" spans="1:14">
      <c r="A34" s="12" t="s">
        <v>1981</v>
      </c>
      <c r="B34" s="1783" t="s">
        <v>2150</v>
      </c>
      <c r="C34" s="1783"/>
      <c r="D34" s="1783"/>
      <c r="E34" s="1783"/>
      <c r="F34" s="1783"/>
      <c r="G34" s="1783"/>
      <c r="H34" s="1783"/>
      <c r="I34" s="1783"/>
      <c r="J34" s="1783"/>
      <c r="K34" s="1783"/>
      <c r="L34" s="1783"/>
      <c r="M34" s="1783"/>
      <c r="N34" s="1783"/>
    </row>
    <row r="35" spans="1:14"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</row>
    <row r="36" spans="1:14" s="12" customFormat="1">
      <c r="A36" s="12" t="s">
        <v>853</v>
      </c>
      <c r="B36" s="1783" t="s">
        <v>1137</v>
      </c>
      <c r="C36" s="1783"/>
      <c r="D36" s="1783"/>
      <c r="E36" s="1783"/>
      <c r="F36" s="1783"/>
      <c r="G36" s="1783"/>
      <c r="H36" s="1783"/>
      <c r="I36" s="1783"/>
      <c r="J36" s="1783"/>
      <c r="K36" s="1783"/>
      <c r="L36" s="1783"/>
      <c r="M36" s="1783"/>
      <c r="N36" s="1783"/>
    </row>
    <row r="37" spans="1:14" s="12" customFormat="1"/>
    <row r="38" spans="1:14">
      <c r="A38" s="18" t="s">
        <v>854</v>
      </c>
      <c r="B38" s="1783" t="s">
        <v>848</v>
      </c>
      <c r="C38" s="1783"/>
      <c r="D38" s="1783"/>
      <c r="E38" s="1783"/>
      <c r="F38" s="1783"/>
      <c r="G38" s="1783"/>
      <c r="H38" s="1783"/>
      <c r="I38" s="1783"/>
      <c r="J38" s="1783"/>
      <c r="K38" s="1783"/>
      <c r="L38" s="1783"/>
      <c r="M38" s="1783"/>
      <c r="N38" s="1783"/>
    </row>
    <row r="39" spans="1:14" ht="21" customHeight="1"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</row>
    <row r="40" spans="1:14" ht="21" customHeight="1"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</row>
    <row r="41" spans="1:14" ht="21" customHeight="1">
      <c r="A41" s="15"/>
      <c r="B41" s="15"/>
      <c r="C41" s="15"/>
      <c r="D41" s="15"/>
      <c r="E41" s="15"/>
      <c r="F41" s="15"/>
      <c r="G41" s="18"/>
      <c r="H41" s="18"/>
      <c r="I41" s="18"/>
      <c r="J41" s="18"/>
      <c r="K41" s="18"/>
      <c r="L41" s="18"/>
      <c r="M41" s="18"/>
      <c r="N41" s="18"/>
    </row>
    <row r="42" spans="1:14" ht="21" customHeight="1">
      <c r="A42" s="18"/>
      <c r="C42" s="18"/>
      <c r="D42" s="18"/>
      <c r="E42" s="18"/>
      <c r="F42" s="25"/>
      <c r="G42" s="18"/>
      <c r="H42" s="18"/>
      <c r="I42" s="18"/>
      <c r="J42" s="25"/>
      <c r="K42" s="18"/>
      <c r="L42" s="18"/>
      <c r="M42" s="18"/>
      <c r="N42" s="25"/>
    </row>
    <row r="43" spans="1:14" ht="21" customHeight="1">
      <c r="A43" s="18"/>
      <c r="B43" s="18"/>
      <c r="C43" s="18"/>
      <c r="D43" s="18"/>
      <c r="E43" s="18"/>
      <c r="F43" s="25"/>
      <c r="G43" s="18"/>
      <c r="H43" s="18"/>
      <c r="I43" s="18"/>
      <c r="J43" s="25"/>
      <c r="K43" s="18"/>
      <c r="L43" s="18"/>
      <c r="M43" s="18"/>
      <c r="N43" s="25"/>
    </row>
    <row r="44" spans="1:14" ht="21" customHeight="1">
      <c r="A44" s="15"/>
      <c r="B44" s="15"/>
      <c r="C44" s="15"/>
      <c r="D44" s="15"/>
      <c r="E44" s="15"/>
      <c r="F44" s="15"/>
      <c r="G44" s="15"/>
      <c r="H44" s="15"/>
      <c r="I44" s="18"/>
      <c r="J44" s="25"/>
      <c r="K44" s="18"/>
      <c r="L44" s="18"/>
      <c r="M44" s="18"/>
      <c r="N44" s="25"/>
    </row>
    <row r="45" spans="1:14" ht="12.75" customHeight="1">
      <c r="A45" s="18"/>
      <c r="B45" s="18"/>
      <c r="C45" s="18"/>
      <c r="D45" s="18"/>
      <c r="E45" s="18"/>
      <c r="F45" s="25"/>
      <c r="G45" s="18"/>
      <c r="H45" s="18"/>
      <c r="I45" s="18"/>
      <c r="J45" s="25"/>
      <c r="K45" s="18"/>
      <c r="L45" s="18"/>
      <c r="M45" s="18"/>
      <c r="N45" s="25"/>
    </row>
    <row r="46" spans="1:14"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</row>
    <row r="47" spans="1:14"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1:14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</row>
    <row r="50" spans="1:14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</row>
    <row r="51" spans="1:14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</row>
    <row r="52" spans="1:14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</row>
    <row r="53" spans="1:14" ht="15" customHeight="1">
      <c r="A53" s="12" t="s">
        <v>927</v>
      </c>
    </row>
    <row r="54" spans="1:14" ht="15" customHeight="1">
      <c r="A54" s="59"/>
      <c r="B54" s="59"/>
      <c r="C54" s="59" t="s">
        <v>928</v>
      </c>
      <c r="D54" s="59">
        <f>'wp.h-cap.struc'!I22</f>
        <v>0.52439000549577075</v>
      </c>
      <c r="E54" s="59"/>
      <c r="F54" s="59">
        <f>'Sch.B-I.S'!$F$57/(F24*$D54)</f>
        <v>7.0719839912698437E-2</v>
      </c>
      <c r="G54" s="59"/>
      <c r="H54" s="59"/>
      <c r="I54" s="59"/>
      <c r="J54" s="59">
        <f>'Sch.B-I.S'!$J$57/(J24*$D54)</f>
        <v>6.6035744444444447E-2</v>
      </c>
      <c r="K54" s="59"/>
      <c r="L54" s="722"/>
      <c r="M54" s="59"/>
      <c r="N54" s="59">
        <f>'Sch.B-I.S'!$N$57/(N24*$D54)</f>
        <v>6.6035744444444447E-2</v>
      </c>
    </row>
    <row r="55" spans="1:14" ht="15" customHeight="1">
      <c r="A55" s="59"/>
      <c r="B55" s="59"/>
      <c r="C55" s="59" t="s">
        <v>789</v>
      </c>
      <c r="D55" s="59">
        <f>1-D54</f>
        <v>0.47560999450422925</v>
      </c>
      <c r="E55" s="59"/>
      <c r="F55" s="59">
        <f>'Sch.B-I.S'!$F$59/(F24*$D55)</f>
        <v>2.1641893264409649E-2</v>
      </c>
      <c r="G55" s="59"/>
      <c r="H55" s="59"/>
      <c r="I55" s="59"/>
      <c r="J55" s="59">
        <f>'Sch.B-I.S'!$J$59/(J24*$D55)</f>
        <v>4.5559237181821637E-2</v>
      </c>
      <c r="K55" s="59"/>
      <c r="L55" s="59"/>
      <c r="M55" s="59"/>
      <c r="N55" s="59">
        <f>'Sch.B-I.S'!$N$59/(N24*$D55)</f>
        <v>0.10466756744043261</v>
      </c>
    </row>
    <row r="56" spans="1:14" ht="1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</row>
    <row r="57" spans="1:14" ht="14.1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76"/>
    </row>
    <row r="58" spans="1:14" ht="15" customHeight="1"/>
    <row r="59" spans="1:14" ht="12" customHeight="1">
      <c r="A59" s="712"/>
      <c r="N59" s="61"/>
    </row>
    <row r="60" spans="1:14">
      <c r="A60" s="17"/>
      <c r="N60" s="716"/>
    </row>
    <row r="64" spans="1:14">
      <c r="B64" s="12" t="s">
        <v>895</v>
      </c>
      <c r="F64" s="43" t="e">
        <f>'Input Schedule'!#REF!</f>
        <v>#REF!</v>
      </c>
      <c r="H64" s="12" t="s">
        <v>92</v>
      </c>
    </row>
    <row r="65" spans="2:6">
      <c r="B65" s="12" t="s">
        <v>893</v>
      </c>
      <c r="F65" s="43"/>
    </row>
    <row r="66" spans="2:6">
      <c r="B66" s="3" t="s">
        <v>896</v>
      </c>
      <c r="C66" s="12">
        <f>+'Input Schedule'!C7</f>
        <v>7362.4</v>
      </c>
      <c r="D66" s="59">
        <f>C66/C68</f>
        <v>1</v>
      </c>
      <c r="F66" s="43" t="e">
        <f>D66*F64</f>
        <v>#REF!</v>
      </c>
    </row>
    <row r="67" spans="2:6">
      <c r="B67" s="3" t="s">
        <v>78</v>
      </c>
      <c r="C67" s="12">
        <f>+'Input Schedule'!C10</f>
        <v>0</v>
      </c>
      <c r="D67" s="59">
        <f>1-D66</f>
        <v>0</v>
      </c>
      <c r="F67" s="43" t="e">
        <f>F64-F66</f>
        <v>#REF!</v>
      </c>
    </row>
    <row r="68" spans="2:6">
      <c r="C68" s="12">
        <f>C67+C66</f>
        <v>7362.4</v>
      </c>
    </row>
  </sheetData>
  <mergeCells count="5">
    <mergeCell ref="A4:C4"/>
    <mergeCell ref="B32:N32"/>
    <mergeCell ref="B34:N34"/>
    <mergeCell ref="B36:N36"/>
    <mergeCell ref="B38:N38"/>
  </mergeCells>
  <phoneticPr fontId="26" type="noConversion"/>
  <pageMargins left="0.25" right="0" top="0.37" bottom="0" header="0.5" footer="0.5"/>
  <pageSetup scale="94" fitToHeight="0" orientation="landscape" horizontalDpi="4294967292" verticalDpi="4294967292" r:id="rId1"/>
  <headerFooter alignWithMargins="0"/>
  <rowBreaks count="1" manualBreakCount="1">
    <brk id="57" max="16383" man="1"/>
  </rowBreak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6"/>
  <sheetViews>
    <sheetView showGridLines="0" topLeftCell="J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30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tr">
        <f>'16003-170'!R2</f>
        <v>First 6,000 gallons</v>
      </c>
      <c r="S2" s="518"/>
      <c r="T2" s="546" t="e">
        <f>'16003-170'!T2</f>
        <v>#REF!</v>
      </c>
    </row>
    <row r="3" spans="1:20">
      <c r="A3" s="513" t="s">
        <v>305</v>
      </c>
      <c r="M3" s="520" t="s">
        <v>306</v>
      </c>
      <c r="R3" s="518" t="str">
        <f>'16003-170'!R3</f>
        <v>Next 4,000 gallons</v>
      </c>
      <c r="S3" s="518"/>
      <c r="T3" s="546" t="e">
        <f>'16003-170'!T3</f>
        <v>#REF!</v>
      </c>
    </row>
    <row r="4" spans="1:20" ht="14.25" thickBot="1">
      <c r="A4" s="521"/>
      <c r="B4" s="521"/>
      <c r="C4" s="586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tr">
        <f>'16003-170'!R4</f>
        <v>Next 15,000 gallons</v>
      </c>
      <c r="S4" s="518"/>
      <c r="T4" s="546" t="e">
        <f>'16003-170'!T4</f>
        <v>#REF!</v>
      </c>
    </row>
    <row r="5" spans="1:20">
      <c r="A5" s="522" t="s">
        <v>276</v>
      </c>
      <c r="B5" s="523"/>
      <c r="C5" s="587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tr">
        <f>'16003-170'!R5</f>
        <v>Next 25,000 gallons</v>
      </c>
      <c r="S5" s="518"/>
      <c r="T5" s="546" t="e">
        <f>'16003-170'!T5</f>
        <v>#REF!</v>
      </c>
    </row>
    <row r="6" spans="1:20">
      <c r="A6" s="524"/>
      <c r="B6" s="525"/>
      <c r="C6" s="587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tr">
        <f>'16003-170'!R6</f>
        <v>Next 50,000 gallons</v>
      </c>
      <c r="S6" s="518"/>
      <c r="T6" s="546" t="e">
        <f>'16003-170'!T6</f>
        <v>#REF!</v>
      </c>
    </row>
    <row r="7" spans="1:20">
      <c r="A7" s="524" t="s">
        <v>281</v>
      </c>
      <c r="B7" s="525"/>
      <c r="C7" s="587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tr">
        <f>'16003-170'!R7</f>
        <v>Next 100,000 gallons</v>
      </c>
      <c r="S7" s="518"/>
      <c r="T7" s="546" t="e">
        <f>'16003-170'!T7</f>
        <v>#REF!</v>
      </c>
    </row>
    <row r="8" spans="1:20">
      <c r="A8" s="526" t="s">
        <v>288</v>
      </c>
      <c r="B8" s="525"/>
      <c r="C8" s="588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8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>P10*1000</f>
        <v>0</v>
      </c>
      <c r="B10" s="515"/>
      <c r="C10" s="532">
        <v>0</v>
      </c>
      <c r="D10" s="533"/>
      <c r="E10" s="533">
        <f>C10</f>
        <v>0</v>
      </c>
      <c r="F10" s="533"/>
      <c r="G10" s="533">
        <f t="shared" ref="G10:G17" si="0">A10*C10</f>
        <v>0</v>
      </c>
      <c r="H10" s="533"/>
      <c r="I10" s="533">
        <f>G10</f>
        <v>0</v>
      </c>
      <c r="J10" s="533"/>
      <c r="K10" s="533">
        <f t="shared" ref="K10:K17" si="1">$E$17-E10</f>
        <v>22</v>
      </c>
      <c r="L10" s="533"/>
      <c r="M10" s="533">
        <f t="shared" ref="M10:M17" si="2">(A10*K10)+I10</f>
        <v>0</v>
      </c>
      <c r="N10" s="515"/>
      <c r="O10" s="534">
        <f t="shared" ref="O10:O17" si="3">I10/$I$17</f>
        <v>0</v>
      </c>
      <c r="P10" s="532">
        <v>0</v>
      </c>
      <c r="Q10" s="561"/>
      <c r="R10" s="535"/>
      <c r="T10" s="536" t="e">
        <f t="shared" ref="T10:T17" si="4"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>
      <c r="A11" s="531">
        <f>P11*1000</f>
        <v>4000</v>
      </c>
      <c r="B11" s="515"/>
      <c r="C11" s="532">
        <v>1</v>
      </c>
      <c r="D11" s="533"/>
      <c r="E11" s="533">
        <f t="shared" ref="E11:E17" si="5">E10+C11</f>
        <v>1</v>
      </c>
      <c r="F11" s="533"/>
      <c r="G11" s="533">
        <f t="shared" si="0"/>
        <v>4000</v>
      </c>
      <c r="H11" s="533"/>
      <c r="I11" s="533">
        <f t="shared" ref="I11:I17" si="6">G11+I10</f>
        <v>4000</v>
      </c>
      <c r="J11" s="533"/>
      <c r="K11" s="533">
        <f t="shared" si="1"/>
        <v>21</v>
      </c>
      <c r="L11" s="533"/>
      <c r="M11" s="533">
        <f t="shared" si="2"/>
        <v>88000</v>
      </c>
      <c r="N11" s="515"/>
      <c r="O11" s="534">
        <f t="shared" si="3"/>
        <v>2.3121387283236993E-2</v>
      </c>
      <c r="P11" s="532">
        <v>4</v>
      </c>
      <c r="Q11" s="561"/>
      <c r="R11" s="535"/>
      <c r="T11" s="536" t="e">
        <f t="shared" si="4"/>
        <v>#REF!</v>
      </c>
    </row>
    <row r="12" spans="1:20">
      <c r="A12" s="531">
        <f>P12*1000</f>
        <v>5000</v>
      </c>
      <c r="B12" s="515"/>
      <c r="C12" s="532">
        <v>2</v>
      </c>
      <c r="D12" s="533"/>
      <c r="E12" s="533">
        <f t="shared" si="5"/>
        <v>3</v>
      </c>
      <c r="F12" s="533"/>
      <c r="G12" s="533">
        <f t="shared" si="0"/>
        <v>10000</v>
      </c>
      <c r="H12" s="533"/>
      <c r="I12" s="533">
        <f t="shared" si="6"/>
        <v>14000</v>
      </c>
      <c r="J12" s="533"/>
      <c r="K12" s="533">
        <f t="shared" si="1"/>
        <v>19</v>
      </c>
      <c r="L12" s="533"/>
      <c r="M12" s="533">
        <f t="shared" si="2"/>
        <v>109000</v>
      </c>
      <c r="N12" s="515"/>
      <c r="O12" s="534">
        <f t="shared" si="3"/>
        <v>8.0924855491329481E-2</v>
      </c>
      <c r="P12" s="532">
        <v>5</v>
      </c>
      <c r="Q12" s="561"/>
      <c r="R12" s="535"/>
      <c r="T12" s="536" t="e">
        <f t="shared" si="4"/>
        <v>#REF!</v>
      </c>
    </row>
    <row r="13" spans="1:20">
      <c r="A13" s="531">
        <v>10000</v>
      </c>
      <c r="B13" s="515"/>
      <c r="C13" s="532">
        <v>5</v>
      </c>
      <c r="D13" s="533"/>
      <c r="E13" s="533">
        <f t="shared" si="5"/>
        <v>8</v>
      </c>
      <c r="F13" s="533"/>
      <c r="G13" s="533">
        <f t="shared" si="0"/>
        <v>50000</v>
      </c>
      <c r="H13" s="533"/>
      <c r="I13" s="533">
        <f t="shared" si="6"/>
        <v>64000</v>
      </c>
      <c r="J13" s="533"/>
      <c r="K13" s="533">
        <f t="shared" si="1"/>
        <v>14</v>
      </c>
      <c r="L13" s="533"/>
      <c r="M13" s="533">
        <f t="shared" si="2"/>
        <v>204000</v>
      </c>
      <c r="N13" s="537"/>
      <c r="O13" s="534">
        <f t="shared" si="3"/>
        <v>0.36994219653179189</v>
      </c>
      <c r="P13" s="532">
        <v>6</v>
      </c>
      <c r="Q13" s="561"/>
      <c r="R13" s="535"/>
      <c r="T13" s="536" t="e">
        <f t="shared" si="4"/>
        <v>#REF!</v>
      </c>
    </row>
    <row r="14" spans="1:20">
      <c r="A14" s="531">
        <f>P14*1000</f>
        <v>7000</v>
      </c>
      <c r="B14" s="515"/>
      <c r="C14" s="532">
        <v>7</v>
      </c>
      <c r="D14" s="533"/>
      <c r="E14" s="533">
        <f t="shared" si="5"/>
        <v>15</v>
      </c>
      <c r="F14" s="533"/>
      <c r="G14" s="533">
        <f t="shared" si="0"/>
        <v>49000</v>
      </c>
      <c r="H14" s="533"/>
      <c r="I14" s="533">
        <f t="shared" si="6"/>
        <v>113000</v>
      </c>
      <c r="J14" s="533"/>
      <c r="K14" s="533">
        <f t="shared" si="1"/>
        <v>7</v>
      </c>
      <c r="L14" s="533"/>
      <c r="M14" s="533">
        <f t="shared" si="2"/>
        <v>162000</v>
      </c>
      <c r="O14" s="534">
        <f t="shared" si="3"/>
        <v>0.65317919075144504</v>
      </c>
      <c r="P14" s="532">
        <v>7</v>
      </c>
      <c r="Q14" s="561"/>
      <c r="R14" s="535"/>
      <c r="T14" s="536" t="e">
        <f t="shared" si="4"/>
        <v>#REF!</v>
      </c>
    </row>
    <row r="15" spans="1:20">
      <c r="A15" s="531">
        <f>P15*1000</f>
        <v>8000</v>
      </c>
      <c r="B15" s="515"/>
      <c r="C15" s="532">
        <v>4</v>
      </c>
      <c r="D15" s="533"/>
      <c r="E15" s="533">
        <f t="shared" si="5"/>
        <v>19</v>
      </c>
      <c r="F15" s="533"/>
      <c r="G15" s="533">
        <f t="shared" si="0"/>
        <v>32000</v>
      </c>
      <c r="H15" s="533"/>
      <c r="I15" s="533">
        <f t="shared" si="6"/>
        <v>145000</v>
      </c>
      <c r="J15" s="533"/>
      <c r="K15" s="533">
        <f t="shared" si="1"/>
        <v>3</v>
      </c>
      <c r="L15" s="533"/>
      <c r="M15" s="533">
        <f t="shared" si="2"/>
        <v>169000</v>
      </c>
      <c r="N15" s="515"/>
      <c r="O15" s="534">
        <f t="shared" si="3"/>
        <v>0.83815028901734101</v>
      </c>
      <c r="P15" s="532">
        <v>8</v>
      </c>
      <c r="Q15" s="561"/>
      <c r="R15" s="535"/>
      <c r="T15" s="536" t="e">
        <f t="shared" si="4"/>
        <v>#REF!</v>
      </c>
    </row>
    <row r="16" spans="1:20">
      <c r="A16" s="531">
        <f>P16*1000</f>
        <v>9000</v>
      </c>
      <c r="B16" s="515"/>
      <c r="C16" s="532">
        <v>2</v>
      </c>
      <c r="D16" s="533"/>
      <c r="E16" s="533">
        <f t="shared" si="5"/>
        <v>21</v>
      </c>
      <c r="F16" s="533"/>
      <c r="G16" s="533">
        <f t="shared" si="0"/>
        <v>18000</v>
      </c>
      <c r="H16" s="533"/>
      <c r="I16" s="533">
        <f t="shared" si="6"/>
        <v>163000</v>
      </c>
      <c r="J16" s="533"/>
      <c r="K16" s="533">
        <f t="shared" si="1"/>
        <v>1</v>
      </c>
      <c r="L16" s="533"/>
      <c r="M16" s="533">
        <f t="shared" si="2"/>
        <v>172000</v>
      </c>
      <c r="N16" s="515"/>
      <c r="O16" s="534">
        <f t="shared" si="3"/>
        <v>0.94219653179190754</v>
      </c>
      <c r="P16" s="532">
        <v>9</v>
      </c>
      <c r="Q16" s="561"/>
      <c r="R16" s="535"/>
      <c r="T16" s="536" t="e">
        <f t="shared" si="4"/>
        <v>#REF!</v>
      </c>
    </row>
    <row r="17" spans="1:20">
      <c r="A17" s="531">
        <f>P17*1000</f>
        <v>10000</v>
      </c>
      <c r="B17" s="515"/>
      <c r="C17" s="532">
        <v>1</v>
      </c>
      <c r="D17" s="533"/>
      <c r="E17" s="533">
        <f t="shared" si="5"/>
        <v>22</v>
      </c>
      <c r="F17" s="533"/>
      <c r="G17" s="533">
        <f t="shared" si="0"/>
        <v>10000</v>
      </c>
      <c r="H17" s="533"/>
      <c r="I17" s="533">
        <f t="shared" si="6"/>
        <v>173000</v>
      </c>
      <c r="J17" s="533"/>
      <c r="K17" s="533">
        <f t="shared" si="1"/>
        <v>0</v>
      </c>
      <c r="L17" s="533"/>
      <c r="M17" s="533">
        <f t="shared" si="2"/>
        <v>173000</v>
      </c>
      <c r="N17" s="515"/>
      <c r="O17" s="534">
        <f t="shared" si="3"/>
        <v>1</v>
      </c>
      <c r="P17" s="532">
        <v>10</v>
      </c>
      <c r="Q17" s="561"/>
      <c r="R17" s="535"/>
      <c r="T17" s="536" t="e">
        <f t="shared" si="4"/>
        <v>#REF!</v>
      </c>
    </row>
    <row r="18" spans="1:20">
      <c r="A18" s="552"/>
      <c r="B18" s="515"/>
      <c r="C18" s="590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  <c r="R18" s="535"/>
      <c r="T18" s="536"/>
    </row>
    <row r="19" spans="1:20">
      <c r="C19" s="582"/>
      <c r="R19" s="535"/>
      <c r="T19" s="536"/>
    </row>
    <row r="20" spans="1:20">
      <c r="R20" s="535"/>
      <c r="T20" s="554" t="e">
        <f>SUM(T10:T17)</f>
        <v>#REF!</v>
      </c>
    </row>
    <row r="21" spans="1:20" hidden="1">
      <c r="R21" s="535"/>
      <c r="T21" s="536">
        <v>517</v>
      </c>
    </row>
    <row r="22" spans="1:20" hidden="1">
      <c r="R22" s="535"/>
      <c r="T22" s="536" t="e">
        <f>T20-T21</f>
        <v>#REF!</v>
      </c>
    </row>
    <row r="23" spans="1:20" hidden="1">
      <c r="R23" s="535"/>
      <c r="T23" s="550" t="e">
        <f>T22/T20</f>
        <v>#REF!</v>
      </c>
    </row>
    <row r="24" spans="1:20">
      <c r="R24" s="535"/>
      <c r="T24" s="536"/>
    </row>
    <row r="25" spans="1:20">
      <c r="R25" s="535"/>
      <c r="T25" s="536"/>
    </row>
    <row r="26" spans="1:20">
      <c r="R26" s="535"/>
      <c r="T26" s="536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82"/>
  <sheetViews>
    <sheetView showGridLines="0" topLeftCell="D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9">
      <c r="O1" s="514"/>
    </row>
    <row r="2" spans="1:19">
      <c r="O2" s="514"/>
    </row>
    <row r="3" spans="1:19">
      <c r="A3" s="513" t="s">
        <v>307</v>
      </c>
      <c r="M3" s="520" t="s">
        <v>297</v>
      </c>
    </row>
    <row r="4" spans="1:19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9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9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9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9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9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9">
      <c r="A10" s="560">
        <f>P10*1000</f>
        <v>0</v>
      </c>
      <c r="B10" s="515"/>
      <c r="C10" s="547">
        <v>99</v>
      </c>
      <c r="D10" s="533"/>
      <c r="E10" s="533">
        <f>C10</f>
        <v>99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E$10-E10</f>
        <v>0</v>
      </c>
      <c r="L10" s="533"/>
      <c r="M10" s="533">
        <f>(A10*K10)+I10</f>
        <v>0</v>
      </c>
      <c r="N10" s="515"/>
      <c r="O10" s="534">
        <v>1</v>
      </c>
      <c r="P10" s="547">
        <v>0</v>
      </c>
      <c r="Q10" s="596" t="e">
        <f>S10*C10</f>
        <v>#REF!</v>
      </c>
      <c r="S10" s="598" t="e">
        <f>'Sch.D&amp;E-REV'!D688</f>
        <v>#REF!</v>
      </c>
    </row>
    <row r="11" spans="1:19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/>
      <c r="Q11" s="561">
        <v>1320</v>
      </c>
    </row>
    <row r="12" spans="1:19" hidden="1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/>
      <c r="Q12" s="561" t="e">
        <f>Q10-Q11</f>
        <v>#REF!</v>
      </c>
    </row>
    <row r="13" spans="1:19" hidden="1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Q13" s="591" t="e">
        <f>Q12/Q10</f>
        <v>#REF!</v>
      </c>
    </row>
    <row r="14" spans="1:19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9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9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2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2"/>
  <sheetViews>
    <sheetView showGridLines="0" topLeftCell="C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307</v>
      </c>
      <c r="M3" s="520" t="s">
        <v>297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7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7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7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7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7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7">
      <c r="A10" s="560" t="e">
        <f>P10*1000</f>
        <v>#REF!</v>
      </c>
      <c r="B10" s="515"/>
      <c r="C10" s="547">
        <v>22</v>
      </c>
      <c r="D10" s="533"/>
      <c r="E10" s="533">
        <f>C10</f>
        <v>22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6" t="e">
        <f>'Sch.D&amp;E-REV'!D690</f>
        <v>#REF!</v>
      </c>
    </row>
    <row r="11" spans="1:17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330</v>
      </c>
      <c r="Q11" s="561"/>
    </row>
    <row r="12" spans="1:17" hidden="1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  <c r="Q12" s="561"/>
    </row>
    <row r="13" spans="1:17" hidden="1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69" t="e">
        <f>P12/P10</f>
        <v>#REF!</v>
      </c>
      <c r="Q13" s="561"/>
    </row>
    <row r="14" spans="1:17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2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82"/>
  <sheetViews>
    <sheetView showGridLines="0" topLeftCell="F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9">
      <c r="O1" s="514"/>
    </row>
    <row r="2" spans="1:19">
      <c r="O2" s="514"/>
    </row>
    <row r="3" spans="1:19">
      <c r="A3" s="513" t="s">
        <v>307</v>
      </c>
      <c r="M3" s="520" t="s">
        <v>297</v>
      </c>
    </row>
    <row r="4" spans="1:19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9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9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9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9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9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9">
      <c r="A10" s="560">
        <f>P10*1000</f>
        <v>0</v>
      </c>
      <c r="B10" s="515"/>
      <c r="C10" s="547">
        <v>88</v>
      </c>
      <c r="D10" s="533"/>
      <c r="E10" s="533">
        <f>C10</f>
        <v>88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E$10-E10</f>
        <v>0</v>
      </c>
      <c r="L10" s="533"/>
      <c r="M10" s="533">
        <f>(A10*K10)+I10</f>
        <v>0</v>
      </c>
      <c r="N10" s="515"/>
      <c r="O10" s="534">
        <v>1</v>
      </c>
      <c r="P10" s="547">
        <v>0</v>
      </c>
      <c r="Q10" s="561" t="e">
        <f>S10*C10</f>
        <v>#REF!</v>
      </c>
      <c r="S10" s="598" t="e">
        <f>'Sch.D&amp;E-REV'!D692</f>
        <v>#REF!</v>
      </c>
    </row>
    <row r="11" spans="1:19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/>
      <c r="Q11" s="561">
        <v>1440</v>
      </c>
    </row>
    <row r="12" spans="1:19" hidden="1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/>
      <c r="Q12" s="561" t="e">
        <f>Q10-Q11</f>
        <v>#REF!</v>
      </c>
    </row>
    <row r="13" spans="1:19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Q13" s="561"/>
    </row>
    <row r="14" spans="1:19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9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9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1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2"/>
  <sheetViews>
    <sheetView showGridLines="0" topLeftCell="D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307</v>
      </c>
      <c r="M3" s="520" t="s">
        <v>297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7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7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7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7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7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7">
      <c r="A10" s="560" t="e">
        <f>P10*1000</f>
        <v>#REF!</v>
      </c>
      <c r="B10" s="515"/>
      <c r="C10" s="547">
        <v>33</v>
      </c>
      <c r="D10" s="533"/>
      <c r="E10" s="533">
        <f>C10</f>
        <v>33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6" t="e">
        <f>'Sch.D&amp;E-REV'!D694</f>
        <v>#REF!</v>
      </c>
    </row>
    <row r="11" spans="1:17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495</v>
      </c>
      <c r="Q11" s="561"/>
    </row>
    <row r="12" spans="1:17" hidden="1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  <c r="Q12" s="561"/>
    </row>
    <row r="13" spans="1:17" hidden="1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69" t="e">
        <f>P12/P10</f>
        <v>#REF!</v>
      </c>
      <c r="Q13" s="561"/>
    </row>
    <row r="14" spans="1:17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2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2"/>
  <sheetViews>
    <sheetView showGridLines="0" topLeftCell="D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3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308</v>
      </c>
      <c r="M3" s="520" t="s">
        <v>297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15"/>
    </row>
    <row r="5" spans="1:17">
      <c r="A5" s="556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P5" s="515"/>
    </row>
    <row r="6" spans="1:17">
      <c r="A6" s="557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P6" s="515"/>
    </row>
    <row r="7" spans="1:17">
      <c r="A7" s="557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P7" s="515"/>
    </row>
    <row r="8" spans="1:17">
      <c r="A8" s="558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  <c r="P8" s="515"/>
    </row>
    <row r="9" spans="1:17">
      <c r="A9" s="559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P9" s="515"/>
    </row>
    <row r="10" spans="1:17">
      <c r="A10" s="560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6" t="e">
        <f>'Sch.D&amp;E-REV'!D698</f>
        <v>#REF!</v>
      </c>
    </row>
    <row r="11" spans="1:17" hidden="1">
      <c r="A11" s="560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165</v>
      </c>
      <c r="Q11" s="561"/>
    </row>
    <row r="12" spans="1:17" hidden="1">
      <c r="A12" s="560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  <c r="Q12" s="561"/>
    </row>
    <row r="13" spans="1:17" hidden="1">
      <c r="A13" s="560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 t="e">
        <f>P12/P10</f>
        <v>#REF!</v>
      </c>
      <c r="Q13" s="561"/>
    </row>
    <row r="14" spans="1:17">
      <c r="A14" s="560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60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60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60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60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60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60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</row>
    <row r="21" spans="1:17">
      <c r="A21" s="560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60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60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60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60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60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60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60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60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60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60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60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60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60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60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60"/>
      <c r="B36" s="538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60"/>
      <c r="B37" s="515"/>
      <c r="C37" s="547"/>
      <c r="D37" s="515"/>
      <c r="E37" s="533"/>
      <c r="F37" s="533"/>
      <c r="G37" s="533"/>
      <c r="H37" s="533"/>
      <c r="I37" s="533"/>
      <c r="J37" s="515"/>
      <c r="K37" s="533"/>
      <c r="L37" s="533"/>
      <c r="M37" s="533"/>
      <c r="N37" s="515"/>
      <c r="O37" s="534"/>
      <c r="P37" s="547"/>
      <c r="Q37" s="561"/>
    </row>
    <row r="38" spans="1:17">
      <c r="A38" s="560"/>
      <c r="B38" s="515"/>
      <c r="C38" s="547"/>
      <c r="D38" s="515"/>
      <c r="E38" s="533"/>
      <c r="F38" s="533"/>
      <c r="G38" s="533"/>
      <c r="H38" s="533"/>
      <c r="I38" s="533"/>
      <c r="J38" s="515"/>
      <c r="K38" s="533"/>
      <c r="L38" s="533"/>
      <c r="M38" s="533"/>
      <c r="N38" s="515"/>
      <c r="O38" s="534"/>
      <c r="P38" s="547"/>
      <c r="Q38" s="561"/>
    </row>
    <row r="39" spans="1:17">
      <c r="A39" s="560"/>
      <c r="B39" s="529"/>
      <c r="C39" s="547"/>
      <c r="D39" s="529"/>
      <c r="E39" s="533"/>
      <c r="F39" s="533"/>
      <c r="G39" s="533"/>
      <c r="H39" s="533"/>
      <c r="I39" s="533"/>
      <c r="J39" s="529"/>
      <c r="K39" s="533"/>
      <c r="L39" s="533"/>
      <c r="M39" s="533"/>
      <c r="N39" s="515"/>
      <c r="O39" s="534"/>
      <c r="P39" s="547"/>
      <c r="Q39" s="561"/>
    </row>
    <row r="40" spans="1:17">
      <c r="A40" s="560"/>
      <c r="B40" s="523"/>
      <c r="C40" s="547"/>
      <c r="D40" s="523"/>
      <c r="E40" s="533"/>
      <c r="F40" s="533"/>
      <c r="G40" s="533"/>
      <c r="H40" s="533"/>
      <c r="I40" s="533"/>
      <c r="J40" s="523"/>
      <c r="K40" s="533"/>
      <c r="L40" s="533"/>
      <c r="M40" s="533"/>
      <c r="N40" s="515"/>
      <c r="O40" s="534"/>
      <c r="P40" s="547"/>
      <c r="Q40" s="561"/>
    </row>
    <row r="41" spans="1:17">
      <c r="A41" s="560"/>
      <c r="B41" s="525"/>
      <c r="C41" s="547"/>
      <c r="D41" s="525"/>
      <c r="E41" s="533"/>
      <c r="F41" s="533"/>
      <c r="G41" s="533"/>
      <c r="H41" s="533"/>
      <c r="I41" s="533"/>
      <c r="J41" s="525"/>
      <c r="K41" s="533"/>
      <c r="L41" s="533"/>
      <c r="M41" s="533"/>
      <c r="N41" s="515"/>
      <c r="O41" s="534"/>
      <c r="P41" s="547"/>
      <c r="Q41" s="561"/>
    </row>
    <row r="42" spans="1:17">
      <c r="A42" s="560"/>
      <c r="B42" s="525"/>
      <c r="C42" s="547"/>
      <c r="D42" s="525"/>
      <c r="E42" s="533"/>
      <c r="F42" s="533"/>
      <c r="G42" s="533"/>
      <c r="H42" s="533"/>
      <c r="I42" s="533"/>
      <c r="J42" s="525"/>
      <c r="K42" s="533"/>
      <c r="L42" s="533"/>
      <c r="M42" s="533"/>
      <c r="N42" s="515"/>
      <c r="O42" s="534"/>
      <c r="P42" s="547"/>
      <c r="Q42" s="561"/>
    </row>
    <row r="43" spans="1:17">
      <c r="A43" s="560"/>
      <c r="B43" s="525"/>
      <c r="C43" s="547"/>
      <c r="D43" s="525"/>
      <c r="E43" s="533"/>
      <c r="F43" s="533"/>
      <c r="G43" s="533"/>
      <c r="H43" s="533"/>
      <c r="I43" s="533"/>
      <c r="J43" s="525"/>
      <c r="K43" s="533"/>
      <c r="L43" s="533"/>
      <c r="M43" s="533"/>
      <c r="N43" s="515"/>
      <c r="O43" s="534"/>
      <c r="P43" s="547"/>
      <c r="Q43" s="561"/>
    </row>
    <row r="44" spans="1:17">
      <c r="A44" s="560"/>
      <c r="B44" s="515"/>
      <c r="C44" s="547"/>
      <c r="D44" s="529"/>
      <c r="E44" s="533"/>
      <c r="F44" s="533"/>
      <c r="G44" s="533"/>
      <c r="H44" s="533"/>
      <c r="I44" s="533"/>
      <c r="J44" s="529"/>
      <c r="K44" s="533"/>
      <c r="L44" s="533"/>
      <c r="M44" s="533"/>
      <c r="N44" s="515"/>
      <c r="O44" s="534"/>
      <c r="P44" s="547"/>
      <c r="Q44" s="561"/>
    </row>
    <row r="45" spans="1:17">
      <c r="A45" s="560"/>
      <c r="B45" s="515"/>
      <c r="C45" s="547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Q45" s="561"/>
    </row>
    <row r="46" spans="1:17">
      <c r="A46" s="560"/>
      <c r="B46" s="515"/>
      <c r="C46" s="547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Q46" s="561"/>
    </row>
    <row r="47" spans="1:17">
      <c r="A47" s="560"/>
      <c r="B47" s="515"/>
      <c r="C47" s="547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Q47" s="561"/>
    </row>
    <row r="48" spans="1:17">
      <c r="A48" s="560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Q48" s="561"/>
    </row>
    <row r="49" spans="1:17">
      <c r="A49" s="560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Q49" s="561"/>
    </row>
    <row r="50" spans="1:17">
      <c r="A50" s="560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Q50" s="561"/>
    </row>
    <row r="51" spans="1:17">
      <c r="A51" s="560"/>
      <c r="B51" s="515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Q51" s="561"/>
    </row>
    <row r="52" spans="1:17">
      <c r="A52" s="560"/>
      <c r="B52" s="515"/>
      <c r="C52" s="547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Q52" s="561"/>
    </row>
    <row r="53" spans="1:17">
      <c r="A53" s="560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Q53" s="561"/>
    </row>
    <row r="54" spans="1:17">
      <c r="A54" s="560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Q54" s="561"/>
    </row>
    <row r="55" spans="1:17">
      <c r="A55" s="560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Q55" s="561"/>
    </row>
    <row r="56" spans="1:17">
      <c r="A56" s="560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  <c r="Q56" s="561"/>
    </row>
    <row r="57" spans="1:17">
      <c r="A57" s="560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Q57" s="561"/>
    </row>
    <row r="58" spans="1:17">
      <c r="A58" s="560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Q58" s="561"/>
    </row>
    <row r="59" spans="1:17">
      <c r="A59" s="560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Q59" s="561"/>
    </row>
    <row r="60" spans="1:17">
      <c r="A60" s="560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  <c r="Q60" s="561"/>
    </row>
    <row r="61" spans="1:17">
      <c r="A61" s="560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  <c r="Q61" s="561"/>
    </row>
    <row r="62" spans="1:17">
      <c r="A62" s="560"/>
      <c r="B62" s="515"/>
      <c r="C62" s="547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P62" s="547"/>
      <c r="Q62" s="561"/>
    </row>
    <row r="63" spans="1:17">
      <c r="A63" s="560"/>
      <c r="B63" s="515"/>
      <c r="C63" s="547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P63" s="547"/>
      <c r="Q63" s="561"/>
    </row>
    <row r="64" spans="1:17">
      <c r="A64" s="552"/>
      <c r="B64" s="515"/>
      <c r="C64" s="547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P64" s="547"/>
      <c r="Q64" s="561"/>
    </row>
    <row r="65" spans="1:17">
      <c r="A65" s="552"/>
      <c r="B65" s="515"/>
      <c r="C65" s="547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P65" s="547"/>
      <c r="Q65" s="561"/>
    </row>
    <row r="66" spans="1:17">
      <c r="A66" s="552"/>
      <c r="B66" s="515"/>
      <c r="C66" s="547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P66" s="547"/>
      <c r="Q66" s="561"/>
    </row>
    <row r="67" spans="1:17" s="515" customFormat="1">
      <c r="A67" s="552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O67" s="534"/>
    </row>
    <row r="68" spans="1:17" s="515" customFormat="1">
      <c r="A68" s="562"/>
      <c r="B68" s="542"/>
      <c r="C68" s="547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O68" s="534"/>
      <c r="P68" s="547"/>
    </row>
    <row r="69" spans="1:17" s="515" customFormat="1">
      <c r="A69" s="537"/>
      <c r="B69" s="542"/>
      <c r="C69" s="547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O69" s="534"/>
      <c r="P69" s="547"/>
    </row>
    <row r="70" spans="1:17" s="515" customFormat="1">
      <c r="A70" s="552"/>
      <c r="C70" s="547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O70" s="534"/>
      <c r="P70" s="547"/>
    </row>
    <row r="71" spans="1:17">
      <c r="A71" s="531"/>
      <c r="B71" s="515"/>
      <c r="C71" s="563"/>
      <c r="D71" s="533"/>
      <c r="E71" s="533"/>
      <c r="F71" s="533"/>
      <c r="G71" s="533"/>
      <c r="H71" s="533"/>
      <c r="I71" s="533"/>
      <c r="J71" s="545"/>
      <c r="K71" s="545"/>
      <c r="L71" s="545"/>
      <c r="M71" s="545"/>
      <c r="O71" s="541"/>
      <c r="P71" s="515"/>
    </row>
    <row r="72" spans="1:17">
      <c r="A72" s="543"/>
      <c r="B72" s="544"/>
      <c r="C72" s="561"/>
      <c r="D72" s="545"/>
      <c r="E72" s="533"/>
      <c r="F72" s="533"/>
      <c r="G72" s="533"/>
      <c r="H72" s="533"/>
      <c r="I72" s="533"/>
      <c r="J72" s="545"/>
      <c r="K72" s="545"/>
      <c r="L72" s="545"/>
      <c r="M72" s="545"/>
      <c r="O72" s="541"/>
      <c r="P72" s="515"/>
    </row>
    <row r="73" spans="1:17">
      <c r="A73" s="531"/>
      <c r="B73" s="515"/>
      <c r="C73" s="563"/>
      <c r="D73" s="515"/>
      <c r="E73" s="533"/>
      <c r="F73" s="533"/>
      <c r="G73" s="533"/>
      <c r="H73" s="533"/>
      <c r="I73" s="533"/>
      <c r="J73" s="545"/>
      <c r="K73" s="545"/>
      <c r="L73" s="545"/>
      <c r="M73" s="545"/>
      <c r="O73" s="541"/>
      <c r="P73" s="515"/>
    </row>
    <row r="74" spans="1:17">
      <c r="A74" s="531"/>
      <c r="B74" s="515"/>
      <c r="C74" s="561"/>
      <c r="D74" s="515"/>
      <c r="E74" s="533"/>
      <c r="F74" s="533"/>
      <c r="G74" s="533"/>
      <c r="H74" s="533"/>
      <c r="I74" s="533"/>
      <c r="J74" s="545"/>
      <c r="K74" s="545"/>
      <c r="L74" s="545"/>
      <c r="M74" s="545"/>
      <c r="O74" s="541"/>
      <c r="P74" s="515"/>
    </row>
    <row r="75" spans="1:17">
      <c r="A75" s="531"/>
      <c r="B75" s="529"/>
      <c r="C75" s="561"/>
      <c r="D75" s="529"/>
      <c r="E75" s="533"/>
      <c r="F75" s="533"/>
      <c r="G75" s="533"/>
      <c r="H75" s="533"/>
      <c r="I75" s="533"/>
      <c r="J75" s="545"/>
      <c r="K75" s="545"/>
      <c r="L75" s="545"/>
      <c r="M75" s="545"/>
      <c r="O75" s="541"/>
      <c r="P75" s="515"/>
    </row>
    <row r="76" spans="1:17">
      <c r="A76" s="531"/>
      <c r="B76" s="523"/>
      <c r="C76" s="561"/>
      <c r="D76" s="523"/>
      <c r="E76" s="533"/>
      <c r="F76" s="533"/>
      <c r="G76" s="533"/>
      <c r="H76" s="533"/>
      <c r="I76" s="533"/>
      <c r="J76" s="545"/>
      <c r="K76" s="545"/>
      <c r="L76" s="545"/>
      <c r="M76" s="545"/>
      <c r="O76" s="541"/>
      <c r="P76" s="515"/>
    </row>
    <row r="77" spans="1:17">
      <c r="J77" s="545"/>
      <c r="K77" s="545"/>
      <c r="L77" s="545"/>
      <c r="M77" s="545"/>
      <c r="P77" s="515"/>
    </row>
    <row r="78" spans="1:17">
      <c r="P78" s="515"/>
    </row>
    <row r="79" spans="1:17">
      <c r="P79" s="515"/>
    </row>
    <row r="80" spans="1:17">
      <c r="P80" s="515"/>
    </row>
    <row r="81" spans="16:16">
      <c r="P81" s="515"/>
    </row>
    <row r="82" spans="16:16">
      <c r="P82" s="515"/>
    </row>
    <row r="83" spans="16:16">
      <c r="P83" s="515"/>
    </row>
    <row r="84" spans="16:16">
      <c r="P84" s="515"/>
    </row>
    <row r="85" spans="16:16">
      <c r="P85" s="515"/>
    </row>
    <row r="86" spans="16:16">
      <c r="P86" s="515"/>
    </row>
    <row r="87" spans="16:16">
      <c r="P87" s="515"/>
    </row>
    <row r="88" spans="16:16">
      <c r="P88" s="515"/>
    </row>
    <row r="89" spans="16:16">
      <c r="P89" s="515"/>
    </row>
    <row r="90" spans="16:16">
      <c r="P90" s="515"/>
    </row>
    <row r="91" spans="16:16">
      <c r="P91" s="515"/>
    </row>
    <row r="92" spans="16:16">
      <c r="P92" s="515"/>
    </row>
    <row r="93" spans="16:16">
      <c r="P93" s="515"/>
    </row>
    <row r="94" spans="16:16">
      <c r="P94" s="515"/>
    </row>
    <row r="95" spans="16:16">
      <c r="P95" s="515"/>
    </row>
    <row r="96" spans="16:16">
      <c r="P96" s="515"/>
    </row>
    <row r="97" spans="16:16">
      <c r="P97" s="515"/>
    </row>
    <row r="98" spans="16:16">
      <c r="P98" s="515"/>
    </row>
    <row r="99" spans="16:16">
      <c r="P99" s="515"/>
    </row>
    <row r="100" spans="16:16">
      <c r="P100" s="515"/>
    </row>
    <row r="101" spans="16:16">
      <c r="P101" s="515"/>
    </row>
    <row r="102" spans="16:16">
      <c r="P102" s="515"/>
    </row>
    <row r="103" spans="16:16">
      <c r="P103" s="515"/>
    </row>
    <row r="104" spans="16:16">
      <c r="P104" s="515"/>
    </row>
    <row r="105" spans="16:16">
      <c r="P105" s="515"/>
    </row>
    <row r="106" spans="16:16">
      <c r="P106" s="515"/>
    </row>
    <row r="107" spans="16:16">
      <c r="P107" s="515"/>
    </row>
    <row r="108" spans="16:16">
      <c r="P108" s="515"/>
    </row>
    <row r="109" spans="16:16">
      <c r="P109" s="515"/>
    </row>
    <row r="110" spans="16:16">
      <c r="P110" s="515"/>
    </row>
    <row r="111" spans="16:16">
      <c r="P111" s="515"/>
    </row>
    <row r="112" spans="16:16">
      <c r="P112" s="515"/>
    </row>
    <row r="113" spans="16:16">
      <c r="P113" s="515"/>
    </row>
    <row r="114" spans="16:16">
      <c r="P114" s="515"/>
    </row>
    <row r="115" spans="16:16">
      <c r="P115" s="515"/>
    </row>
    <row r="116" spans="16:16">
      <c r="P116" s="515"/>
    </row>
    <row r="117" spans="16:16">
      <c r="P117" s="515"/>
    </row>
    <row r="118" spans="16:16">
      <c r="P118" s="515"/>
    </row>
    <row r="119" spans="16:16">
      <c r="P119" s="515"/>
    </row>
    <row r="120" spans="16:16">
      <c r="P120" s="515"/>
    </row>
    <row r="121" spans="16:16">
      <c r="P121" s="515"/>
    </row>
    <row r="122" spans="16:16">
      <c r="P122" s="515"/>
    </row>
    <row r="123" spans="16:16">
      <c r="P123" s="515"/>
    </row>
    <row r="124" spans="16:16">
      <c r="P124" s="515"/>
    </row>
    <row r="125" spans="16:16">
      <c r="P125" s="515"/>
    </row>
    <row r="126" spans="16:16">
      <c r="P126" s="515"/>
    </row>
    <row r="127" spans="16:16">
      <c r="P127" s="515"/>
    </row>
    <row r="128" spans="16:16">
      <c r="P128" s="515"/>
    </row>
    <row r="129" spans="16:16">
      <c r="P129" s="515"/>
    </row>
    <row r="130" spans="16:16">
      <c r="P130" s="515"/>
    </row>
    <row r="131" spans="16:16">
      <c r="P131" s="515"/>
    </row>
    <row r="132" spans="16:16">
      <c r="P132" s="515"/>
    </row>
    <row r="133" spans="16:16">
      <c r="P133" s="515"/>
    </row>
    <row r="134" spans="16:16">
      <c r="P134" s="515"/>
    </row>
    <row r="135" spans="16:16">
      <c r="P135" s="515"/>
    </row>
    <row r="136" spans="16:16">
      <c r="P136" s="515"/>
    </row>
    <row r="137" spans="16:16">
      <c r="P137" s="515"/>
    </row>
    <row r="138" spans="16:16">
      <c r="P138" s="515"/>
    </row>
    <row r="139" spans="16:16">
      <c r="P139" s="515"/>
    </row>
    <row r="140" spans="16:16">
      <c r="P140" s="515"/>
    </row>
    <row r="141" spans="16:16">
      <c r="P141" s="515"/>
    </row>
    <row r="142" spans="16:16">
      <c r="P142" s="515"/>
    </row>
    <row r="143" spans="16:16">
      <c r="P143" s="515"/>
    </row>
    <row r="144" spans="16:16">
      <c r="P144" s="515"/>
    </row>
    <row r="145" spans="16:16">
      <c r="P145" s="515"/>
    </row>
    <row r="146" spans="16:16">
      <c r="P146" s="515"/>
    </row>
    <row r="147" spans="16:16">
      <c r="P147" s="515"/>
    </row>
    <row r="148" spans="16:16">
      <c r="P148" s="515"/>
    </row>
    <row r="149" spans="16:16">
      <c r="P149" s="515"/>
    </row>
    <row r="150" spans="16:16">
      <c r="P150" s="515"/>
    </row>
    <row r="151" spans="16:16">
      <c r="P151" s="515"/>
    </row>
    <row r="152" spans="16:16">
      <c r="P152" s="515"/>
    </row>
    <row r="153" spans="16:16">
      <c r="P153" s="515"/>
    </row>
    <row r="154" spans="16:16">
      <c r="P154" s="515"/>
    </row>
    <row r="155" spans="16:16">
      <c r="P155" s="515"/>
    </row>
    <row r="156" spans="16:16">
      <c r="P156" s="515"/>
    </row>
    <row r="157" spans="16:16">
      <c r="P157" s="515"/>
    </row>
    <row r="158" spans="16:16">
      <c r="P158" s="515"/>
    </row>
    <row r="159" spans="16:16">
      <c r="P159" s="515"/>
    </row>
    <row r="160" spans="16:16">
      <c r="P160" s="515"/>
    </row>
    <row r="161" spans="16:16">
      <c r="P161" s="515"/>
    </row>
    <row r="162" spans="16:16">
      <c r="P162" s="515"/>
    </row>
    <row r="163" spans="16:16">
      <c r="P163" s="515"/>
    </row>
    <row r="164" spans="16:16">
      <c r="P164" s="515"/>
    </row>
    <row r="165" spans="16:16">
      <c r="P165" s="515"/>
    </row>
    <row r="166" spans="16:16">
      <c r="P166" s="515"/>
    </row>
    <row r="167" spans="16:16">
      <c r="P167" s="515"/>
    </row>
    <row r="168" spans="16:16">
      <c r="P168" s="515"/>
    </row>
    <row r="169" spans="16:16">
      <c r="P169" s="515"/>
    </row>
    <row r="170" spans="16:16">
      <c r="P170" s="515"/>
    </row>
    <row r="171" spans="16:16">
      <c r="P171" s="515"/>
    </row>
    <row r="172" spans="16:16">
      <c r="P172" s="515"/>
    </row>
    <row r="173" spans="16:16">
      <c r="P173" s="515"/>
    </row>
    <row r="174" spans="16:16">
      <c r="P174" s="515"/>
    </row>
    <row r="175" spans="16:16">
      <c r="P175" s="515"/>
    </row>
    <row r="176" spans="16:16">
      <c r="P176" s="515"/>
    </row>
    <row r="177" spans="16:16">
      <c r="P177" s="515"/>
    </row>
    <row r="178" spans="16:16">
      <c r="P178" s="515"/>
    </row>
    <row r="179" spans="16:16">
      <c r="P179" s="515"/>
    </row>
    <row r="180" spans="16:16">
      <c r="P180" s="515"/>
    </row>
    <row r="181" spans="16:16">
      <c r="P181" s="515"/>
    </row>
    <row r="182" spans="16:16">
      <c r="P182" s="515"/>
    </row>
  </sheetData>
  <phoneticPr fontId="54" type="noConversion"/>
  <printOptions horizontalCentered="1"/>
  <pageMargins left="0" right="0" top="0.89999999999999991" bottom="0.5" header="0.25" footer="0.25"/>
  <pageSetup scale="72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3"/>
  <sheetViews>
    <sheetView showGridLines="0" topLeftCell="D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309</v>
      </c>
      <c r="M3" s="520" t="s">
        <v>310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7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7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7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7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7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7">
      <c r="A10" s="531" t="e">
        <f>P10*1000</f>
        <v>#REF!</v>
      </c>
      <c r="B10" s="515"/>
      <c r="C10" s="547">
        <v>22</v>
      </c>
      <c r="D10" s="533"/>
      <c r="E10" s="533">
        <f>C10</f>
        <v>22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6" t="e">
        <f>'Sch.D&amp;E-REV'!D700</f>
        <v>#REF!</v>
      </c>
    </row>
    <row r="11" spans="1:17" hidden="1">
      <c r="A11" s="531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f>660</f>
        <v>660</v>
      </c>
      <c r="Q11" s="561"/>
    </row>
    <row r="12" spans="1:17" hidden="1">
      <c r="A12" s="531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  <c r="Q12" s="561"/>
    </row>
    <row r="13" spans="1:17" hidden="1">
      <c r="A13" s="531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69" t="e">
        <f>P12/P10</f>
        <v>#REF!</v>
      </c>
      <c r="Q13" s="561"/>
    </row>
    <row r="14" spans="1:17">
      <c r="A14" s="552"/>
      <c r="B14" s="515"/>
      <c r="C14" s="583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52"/>
      <c r="B15" s="515"/>
      <c r="C15" s="583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52"/>
      <c r="B16" s="515"/>
      <c r="C16" s="583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52"/>
      <c r="B17" s="515"/>
      <c r="C17" s="58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52"/>
      <c r="B18" s="515"/>
      <c r="C18" s="583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52"/>
      <c r="B19" s="515"/>
      <c r="C19" s="583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37"/>
      <c r="O19" s="534"/>
      <c r="P19" s="547"/>
      <c r="Q19" s="561"/>
    </row>
    <row r="20" spans="1:17">
      <c r="A20" s="552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Q20" s="561"/>
    </row>
    <row r="21" spans="1:17">
      <c r="A21" s="552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52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52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52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52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52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52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52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52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52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52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52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52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52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52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52"/>
      <c r="B36" s="515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52"/>
      <c r="B37" s="515"/>
      <c r="C37" s="547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  <c r="Q37" s="561"/>
    </row>
    <row r="38" spans="1:17">
      <c r="A38" s="552"/>
      <c r="B38" s="515"/>
      <c r="C38" s="547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7">
      <c r="A39" s="562"/>
      <c r="B39" s="542"/>
      <c r="C39" s="547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7">
      <c r="A40" s="537"/>
      <c r="B40" s="542"/>
      <c r="C40" s="547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7">
      <c r="A41" s="552"/>
      <c r="B41" s="515"/>
      <c r="C41" s="547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7">
      <c r="A42" s="552"/>
      <c r="B42" s="515"/>
      <c r="C42" s="577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7">
      <c r="A43" s="592"/>
      <c r="B43" s="538"/>
      <c r="C43" s="547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7">
      <c r="A44" s="552"/>
      <c r="B44" s="515"/>
      <c r="C44" s="577"/>
      <c r="D44" s="515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7">
      <c r="A45" s="552"/>
      <c r="B45" s="515"/>
      <c r="C45" s="547"/>
      <c r="D45" s="515"/>
      <c r="E45" s="533"/>
      <c r="F45" s="533"/>
      <c r="G45" s="533"/>
      <c r="H45" s="533"/>
      <c r="I45" s="533"/>
      <c r="J45" s="533"/>
      <c r="K45" s="533"/>
      <c r="L45" s="515"/>
      <c r="M45" s="533"/>
      <c r="N45" s="515"/>
      <c r="O45" s="534"/>
      <c r="P45" s="547"/>
    </row>
    <row r="46" spans="1:17">
      <c r="A46" s="552"/>
      <c r="B46" s="529"/>
      <c r="C46" s="547"/>
      <c r="D46" s="529"/>
      <c r="E46" s="533"/>
      <c r="F46" s="533"/>
      <c r="G46" s="533"/>
      <c r="H46" s="533"/>
      <c r="I46" s="533"/>
      <c r="J46" s="533"/>
      <c r="K46" s="533"/>
      <c r="L46" s="515"/>
      <c r="M46" s="533"/>
      <c r="N46" s="515"/>
      <c r="O46" s="534"/>
      <c r="P46" s="547"/>
    </row>
    <row r="47" spans="1:17">
      <c r="A47" s="552"/>
      <c r="B47" s="523"/>
      <c r="C47" s="547"/>
      <c r="D47" s="523"/>
      <c r="E47" s="533"/>
      <c r="F47" s="533"/>
      <c r="G47" s="533"/>
      <c r="H47" s="533"/>
      <c r="I47" s="533"/>
      <c r="J47" s="533"/>
      <c r="K47" s="533"/>
      <c r="L47" s="529"/>
      <c r="M47" s="533"/>
      <c r="N47" s="529"/>
      <c r="O47" s="534"/>
      <c r="P47" s="547"/>
    </row>
    <row r="48" spans="1:17">
      <c r="A48" s="515"/>
      <c r="B48" s="515"/>
      <c r="C48" s="515"/>
      <c r="D48" s="515"/>
      <c r="E48" s="515"/>
      <c r="F48" s="515"/>
      <c r="G48" s="515"/>
      <c r="H48" s="515"/>
      <c r="I48" s="515"/>
      <c r="J48" s="533"/>
      <c r="K48" s="533"/>
      <c r="L48" s="523"/>
      <c r="M48" s="533"/>
      <c r="N48" s="523"/>
      <c r="O48" s="534"/>
      <c r="P48" s="547"/>
    </row>
    <row r="49" spans="1:16">
      <c r="A49" s="552"/>
      <c r="B49" s="525"/>
      <c r="C49" s="547"/>
      <c r="D49" s="525"/>
      <c r="E49" s="533"/>
      <c r="F49" s="533"/>
      <c r="G49" s="533"/>
      <c r="H49" s="533"/>
      <c r="I49" s="533"/>
      <c r="J49" s="525"/>
      <c r="K49" s="533"/>
      <c r="L49" s="525"/>
      <c r="M49" s="533"/>
      <c r="N49" s="525"/>
      <c r="O49" s="534"/>
      <c r="P49" s="547"/>
    </row>
    <row r="50" spans="1:16">
      <c r="A50" s="552"/>
      <c r="B50" s="525"/>
      <c r="C50" s="547"/>
      <c r="D50" s="525"/>
      <c r="E50" s="533"/>
      <c r="F50" s="533"/>
      <c r="G50" s="533"/>
      <c r="H50" s="533"/>
      <c r="I50" s="533"/>
      <c r="J50" s="525"/>
      <c r="K50" s="533"/>
      <c r="L50" s="525"/>
      <c r="M50" s="533"/>
      <c r="N50" s="525"/>
      <c r="O50" s="534"/>
      <c r="P50" s="547"/>
    </row>
    <row r="51" spans="1:16">
      <c r="A51" s="552"/>
      <c r="B51" s="525"/>
      <c r="C51" s="547"/>
      <c r="D51" s="525"/>
      <c r="E51" s="533"/>
      <c r="F51" s="533"/>
      <c r="G51" s="533"/>
      <c r="H51" s="533"/>
      <c r="I51" s="533"/>
      <c r="J51" s="525"/>
      <c r="K51" s="533"/>
      <c r="L51" s="525"/>
      <c r="M51" s="533"/>
      <c r="N51" s="525"/>
      <c r="O51" s="534"/>
      <c r="P51" s="547"/>
    </row>
    <row r="52" spans="1:16">
      <c r="A52" s="552"/>
      <c r="B52" s="515"/>
      <c r="C52" s="547"/>
      <c r="D52" s="529"/>
      <c r="E52" s="533"/>
      <c r="F52" s="533"/>
      <c r="G52" s="533"/>
      <c r="H52" s="533"/>
      <c r="I52" s="533"/>
      <c r="J52" s="529"/>
      <c r="K52" s="533"/>
      <c r="L52" s="529"/>
      <c r="M52" s="533"/>
      <c r="N52" s="529"/>
      <c r="O52" s="534"/>
      <c r="P52" s="547"/>
    </row>
    <row r="53" spans="1:16">
      <c r="A53" s="552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52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</row>
    <row r="55" spans="1:16">
      <c r="A55" s="552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</row>
    <row r="56" spans="1:16">
      <c r="A56" s="552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</row>
    <row r="57" spans="1:16">
      <c r="A57" s="552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</row>
    <row r="58" spans="1:16">
      <c r="A58" s="552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</row>
    <row r="59" spans="1:16">
      <c r="A59" s="552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</row>
    <row r="60" spans="1:16">
      <c r="A60" s="552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</row>
    <row r="61" spans="1:16">
      <c r="A61" s="552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</row>
    <row r="62" spans="1:16">
      <c r="A62" s="552"/>
      <c r="B62" s="515"/>
      <c r="C62" s="533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</row>
    <row r="63" spans="1:16">
      <c r="A63" s="552"/>
      <c r="B63" s="515"/>
      <c r="C63" s="533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</row>
    <row r="64" spans="1:16">
      <c r="A64" s="552"/>
      <c r="B64" s="515"/>
      <c r="C64" s="533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</row>
    <row r="65" spans="1:15">
      <c r="A65" s="552"/>
      <c r="B65" s="515"/>
      <c r="C65" s="533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</row>
    <row r="66" spans="1:15">
      <c r="A66" s="552"/>
      <c r="B66" s="515"/>
      <c r="C66" s="533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</row>
    <row r="67" spans="1:15">
      <c r="A67" s="552"/>
      <c r="B67" s="515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N67" s="515"/>
      <c r="O67" s="534"/>
    </row>
    <row r="68" spans="1:15">
      <c r="A68" s="552"/>
      <c r="B68" s="515"/>
      <c r="C68" s="533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N68" s="515"/>
      <c r="O68" s="534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O75" s="541"/>
    </row>
    <row r="76" spans="1:15">
      <c r="A76" s="580"/>
      <c r="C76" s="545"/>
      <c r="D76" s="545"/>
      <c r="E76" s="545"/>
      <c r="F76" s="545"/>
      <c r="G76" s="545"/>
      <c r="H76" s="545"/>
      <c r="I76" s="545"/>
      <c r="J76" s="545"/>
      <c r="K76" s="545"/>
      <c r="L76" s="545"/>
      <c r="M76" s="545"/>
      <c r="O76" s="541"/>
    </row>
    <row r="77" spans="1:15">
      <c r="A77" s="580"/>
      <c r="C77" s="545"/>
      <c r="D77" s="545"/>
      <c r="E77" s="545"/>
      <c r="F77" s="545"/>
      <c r="G77" s="545"/>
      <c r="H77" s="545"/>
      <c r="I77" s="545"/>
      <c r="J77" s="545"/>
      <c r="K77" s="545"/>
      <c r="L77" s="545"/>
      <c r="M77" s="545"/>
      <c r="O77" s="541"/>
    </row>
    <row r="78" spans="1:15">
      <c r="A78" s="580"/>
      <c r="C78" s="545"/>
      <c r="D78" s="545"/>
      <c r="E78" s="545"/>
      <c r="F78" s="545"/>
      <c r="G78" s="545"/>
      <c r="H78" s="545"/>
      <c r="I78" s="545"/>
      <c r="J78" s="545"/>
      <c r="K78" s="545"/>
      <c r="L78" s="545"/>
      <c r="M78" s="545"/>
      <c r="O78" s="541"/>
    </row>
    <row r="79" spans="1:15">
      <c r="A79" s="580"/>
      <c r="C79" s="545"/>
      <c r="D79" s="545"/>
      <c r="E79" s="545"/>
      <c r="F79" s="545"/>
      <c r="G79" s="545"/>
      <c r="H79" s="545"/>
      <c r="I79" s="545"/>
      <c r="J79" s="545"/>
      <c r="K79" s="545"/>
      <c r="L79" s="545"/>
      <c r="M79" s="545"/>
      <c r="O79" s="541"/>
    </row>
    <row r="80" spans="1:15">
      <c r="A80" s="580"/>
      <c r="C80" s="545"/>
      <c r="D80" s="545"/>
      <c r="E80" s="545"/>
      <c r="F80" s="545"/>
      <c r="G80" s="545"/>
      <c r="H80" s="545"/>
      <c r="I80" s="545"/>
      <c r="J80" s="545"/>
      <c r="K80" s="545"/>
      <c r="L80" s="545"/>
      <c r="M80" s="545"/>
      <c r="O80" s="541"/>
    </row>
    <row r="81" spans="1:15">
      <c r="A81" s="580"/>
      <c r="C81" s="545"/>
      <c r="D81" s="545"/>
      <c r="E81" s="545"/>
      <c r="F81" s="545"/>
      <c r="G81" s="545"/>
      <c r="H81" s="545"/>
      <c r="I81" s="545"/>
      <c r="J81" s="545"/>
      <c r="K81" s="545"/>
      <c r="L81" s="545"/>
      <c r="M81" s="545"/>
      <c r="O81" s="541"/>
    </row>
    <row r="82" spans="1:15">
      <c r="A82" s="580"/>
      <c r="C82" s="545"/>
      <c r="D82" s="545"/>
      <c r="E82" s="545"/>
      <c r="F82" s="545"/>
      <c r="G82" s="545"/>
      <c r="H82" s="545"/>
      <c r="I82" s="545"/>
      <c r="J82" s="545"/>
      <c r="K82" s="545"/>
      <c r="L82" s="545"/>
      <c r="M82" s="545"/>
      <c r="O82" s="541"/>
    </row>
    <row r="83" spans="1:15">
      <c r="A83" s="580"/>
      <c r="C83" s="545"/>
      <c r="D83" s="545"/>
      <c r="E83" s="545"/>
      <c r="F83" s="545"/>
      <c r="G83" s="545"/>
      <c r="H83" s="545"/>
      <c r="I83" s="545"/>
      <c r="J83" s="545"/>
      <c r="K83" s="545"/>
      <c r="L83" s="545"/>
      <c r="M83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3"/>
  <sheetViews>
    <sheetView showGridLines="0" topLeftCell="B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309</v>
      </c>
      <c r="M3" s="520" t="s">
        <v>310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7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7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7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7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7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7">
      <c r="A10" s="531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6" t="e">
        <f>'Sch.D&amp;E-REV'!D702</f>
        <v>#REF!</v>
      </c>
    </row>
    <row r="11" spans="1:17" hidden="1">
      <c r="A11" s="531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330</v>
      </c>
      <c r="Q11" s="561"/>
    </row>
    <row r="12" spans="1:17" hidden="1">
      <c r="A12" s="531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  <c r="Q12" s="561"/>
    </row>
    <row r="13" spans="1:17" hidden="1">
      <c r="A13" s="531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69" t="e">
        <f>P12/P10</f>
        <v>#REF!</v>
      </c>
      <c r="Q13" s="561"/>
    </row>
    <row r="14" spans="1:17">
      <c r="A14" s="552"/>
      <c r="B14" s="515"/>
      <c r="C14" s="583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</row>
    <row r="15" spans="1:17">
      <c r="A15" s="552"/>
      <c r="B15" s="515"/>
      <c r="C15" s="583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</row>
    <row r="16" spans="1:17">
      <c r="A16" s="552"/>
      <c r="B16" s="515"/>
      <c r="C16" s="583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52"/>
      <c r="B17" s="515"/>
      <c r="C17" s="58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52"/>
      <c r="B18" s="515"/>
      <c r="C18" s="583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52"/>
      <c r="B19" s="515"/>
      <c r="C19" s="583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37"/>
      <c r="O19" s="534"/>
      <c r="P19" s="547"/>
      <c r="Q19" s="561"/>
    </row>
    <row r="20" spans="1:17">
      <c r="A20" s="552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Q20" s="561"/>
    </row>
    <row r="21" spans="1:17">
      <c r="A21" s="552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52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52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52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52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52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52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52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52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52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52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52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</row>
    <row r="33" spans="1:17">
      <c r="A33" s="552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</row>
    <row r="34" spans="1:17">
      <c r="A34" s="552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</row>
    <row r="35" spans="1:17">
      <c r="A35" s="552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</row>
    <row r="36" spans="1:17">
      <c r="A36" s="552"/>
      <c r="B36" s="515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</row>
    <row r="37" spans="1:17">
      <c r="A37" s="552"/>
      <c r="B37" s="515"/>
      <c r="C37" s="547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  <c r="Q37" s="561"/>
    </row>
    <row r="38" spans="1:17">
      <c r="A38" s="552"/>
      <c r="B38" s="515"/>
      <c r="C38" s="547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7">
      <c r="A39" s="562"/>
      <c r="B39" s="542"/>
      <c r="C39" s="547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7">
      <c r="A40" s="537"/>
      <c r="B40" s="542"/>
      <c r="C40" s="547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7">
      <c r="A41" s="552"/>
      <c r="B41" s="515"/>
      <c r="C41" s="547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7">
      <c r="A42" s="552"/>
      <c r="B42" s="515"/>
      <c r="C42" s="577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7">
      <c r="A43" s="592"/>
      <c r="B43" s="538"/>
      <c r="C43" s="547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7">
      <c r="A44" s="552"/>
      <c r="B44" s="515"/>
      <c r="C44" s="577"/>
      <c r="D44" s="515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7">
      <c r="A45" s="552"/>
      <c r="B45" s="515"/>
      <c r="C45" s="547"/>
      <c r="D45" s="515"/>
      <c r="E45" s="533"/>
      <c r="F45" s="533"/>
      <c r="G45" s="533"/>
      <c r="H45" s="533"/>
      <c r="I45" s="533"/>
      <c r="J45" s="533"/>
      <c r="K45" s="533"/>
      <c r="L45" s="515"/>
      <c r="M45" s="533"/>
      <c r="N45" s="515"/>
      <c r="O45" s="534"/>
      <c r="P45" s="547"/>
    </row>
    <row r="46" spans="1:17">
      <c r="A46" s="552"/>
      <c r="B46" s="529"/>
      <c r="C46" s="547"/>
      <c r="D46" s="529"/>
      <c r="E46" s="533"/>
      <c r="F46" s="533"/>
      <c r="G46" s="533"/>
      <c r="H46" s="533"/>
      <c r="I46" s="533"/>
      <c r="J46" s="533"/>
      <c r="K46" s="533"/>
      <c r="L46" s="515"/>
      <c r="M46" s="533"/>
      <c r="N46" s="515"/>
      <c r="O46" s="534"/>
      <c r="P46" s="547"/>
    </row>
    <row r="47" spans="1:17">
      <c r="A47" s="552"/>
      <c r="B47" s="523"/>
      <c r="C47" s="547"/>
      <c r="D47" s="523"/>
      <c r="E47" s="533"/>
      <c r="F47" s="533"/>
      <c r="G47" s="533"/>
      <c r="H47" s="533"/>
      <c r="I47" s="533"/>
      <c r="J47" s="533"/>
      <c r="K47" s="533"/>
      <c r="L47" s="529"/>
      <c r="M47" s="533"/>
      <c r="N47" s="529"/>
      <c r="O47" s="534"/>
      <c r="P47" s="547"/>
    </row>
    <row r="48" spans="1:17">
      <c r="A48" s="515"/>
      <c r="B48" s="515"/>
      <c r="C48" s="515"/>
      <c r="D48" s="515"/>
      <c r="E48" s="515"/>
      <c r="F48" s="515"/>
      <c r="G48" s="515"/>
      <c r="H48" s="515"/>
      <c r="I48" s="515"/>
      <c r="J48" s="533"/>
      <c r="K48" s="533"/>
      <c r="L48" s="523"/>
      <c r="M48" s="533"/>
      <c r="N48" s="523"/>
      <c r="O48" s="534"/>
      <c r="P48" s="547"/>
    </row>
    <row r="49" spans="1:16">
      <c r="A49" s="552"/>
      <c r="B49" s="525"/>
      <c r="C49" s="547"/>
      <c r="D49" s="525"/>
      <c r="E49" s="533"/>
      <c r="F49" s="533"/>
      <c r="G49" s="533"/>
      <c r="H49" s="533"/>
      <c r="I49" s="533"/>
      <c r="J49" s="525"/>
      <c r="K49" s="533"/>
      <c r="L49" s="525"/>
      <c r="M49" s="533"/>
      <c r="N49" s="525"/>
      <c r="O49" s="534"/>
      <c r="P49" s="547"/>
    </row>
    <row r="50" spans="1:16">
      <c r="A50" s="552"/>
      <c r="B50" s="525"/>
      <c r="C50" s="547"/>
      <c r="D50" s="525"/>
      <c r="E50" s="533"/>
      <c r="F50" s="533"/>
      <c r="G50" s="533"/>
      <c r="H50" s="533"/>
      <c r="I50" s="533"/>
      <c r="J50" s="525"/>
      <c r="K50" s="533"/>
      <c r="L50" s="525"/>
      <c r="M50" s="533"/>
      <c r="N50" s="525"/>
      <c r="O50" s="534"/>
      <c r="P50" s="547"/>
    </row>
    <row r="51" spans="1:16">
      <c r="A51" s="552"/>
      <c r="B51" s="525"/>
      <c r="C51" s="547"/>
      <c r="D51" s="525"/>
      <c r="E51" s="533"/>
      <c r="F51" s="533"/>
      <c r="G51" s="533"/>
      <c r="H51" s="533"/>
      <c r="I51" s="533"/>
      <c r="J51" s="525"/>
      <c r="K51" s="533"/>
      <c r="L51" s="525"/>
      <c r="M51" s="533"/>
      <c r="N51" s="525"/>
      <c r="O51" s="534"/>
      <c r="P51" s="547"/>
    </row>
    <row r="52" spans="1:16">
      <c r="A52" s="552"/>
      <c r="B52" s="515"/>
      <c r="C52" s="547"/>
      <c r="D52" s="529"/>
      <c r="E52" s="533"/>
      <c r="F52" s="533"/>
      <c r="G52" s="533"/>
      <c r="H52" s="533"/>
      <c r="I52" s="533"/>
      <c r="J52" s="529"/>
      <c r="K52" s="533"/>
      <c r="L52" s="529"/>
      <c r="M52" s="533"/>
      <c r="N52" s="529"/>
      <c r="O52" s="534"/>
      <c r="P52" s="547"/>
    </row>
    <row r="53" spans="1:16">
      <c r="A53" s="552"/>
      <c r="B53" s="515"/>
      <c r="C53" s="547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52"/>
      <c r="B54" s="515"/>
      <c r="C54" s="547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</row>
    <row r="55" spans="1:16">
      <c r="A55" s="552"/>
      <c r="B55" s="515"/>
      <c r="C55" s="547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</row>
    <row r="56" spans="1:16">
      <c r="A56" s="552"/>
      <c r="B56" s="515"/>
      <c r="C56" s="547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  <c r="P56" s="547"/>
    </row>
    <row r="57" spans="1:16">
      <c r="A57" s="552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</row>
    <row r="58" spans="1:16">
      <c r="A58" s="552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</row>
    <row r="59" spans="1:16">
      <c r="A59" s="552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</row>
    <row r="60" spans="1:16">
      <c r="A60" s="552"/>
      <c r="B60" s="515"/>
      <c r="C60" s="547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P60" s="547"/>
    </row>
    <row r="61" spans="1:16">
      <c r="A61" s="552"/>
      <c r="B61" s="515"/>
      <c r="C61" s="547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P61" s="547"/>
    </row>
    <row r="62" spans="1:16">
      <c r="A62" s="552"/>
      <c r="B62" s="515"/>
      <c r="C62" s="533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</row>
    <row r="63" spans="1:16">
      <c r="A63" s="552"/>
      <c r="B63" s="515"/>
      <c r="C63" s="533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</row>
    <row r="64" spans="1:16">
      <c r="A64" s="552"/>
      <c r="B64" s="515"/>
      <c r="C64" s="533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</row>
    <row r="65" spans="1:15">
      <c r="A65" s="552"/>
      <c r="B65" s="515"/>
      <c r="C65" s="533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</row>
    <row r="66" spans="1:15">
      <c r="A66" s="552"/>
      <c r="B66" s="515"/>
      <c r="C66" s="533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</row>
    <row r="67" spans="1:15">
      <c r="A67" s="552"/>
      <c r="B67" s="515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N67" s="515"/>
      <c r="O67" s="534"/>
    </row>
    <row r="68" spans="1:15">
      <c r="A68" s="552"/>
      <c r="B68" s="515"/>
      <c r="C68" s="533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N68" s="515"/>
      <c r="O68" s="534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O75" s="541"/>
    </row>
    <row r="76" spans="1:15">
      <c r="A76" s="580"/>
      <c r="C76" s="545"/>
      <c r="D76" s="545"/>
      <c r="E76" s="545"/>
      <c r="F76" s="545"/>
      <c r="G76" s="545"/>
      <c r="H76" s="545"/>
      <c r="I76" s="545"/>
      <c r="J76" s="545"/>
      <c r="K76" s="545"/>
      <c r="L76" s="545"/>
      <c r="M76" s="545"/>
      <c r="O76" s="541"/>
    </row>
    <row r="77" spans="1:15">
      <c r="A77" s="580"/>
      <c r="C77" s="545"/>
      <c r="D77" s="545"/>
      <c r="E77" s="545"/>
      <c r="F77" s="545"/>
      <c r="G77" s="545"/>
      <c r="H77" s="545"/>
      <c r="I77" s="545"/>
      <c r="J77" s="545"/>
      <c r="K77" s="545"/>
      <c r="L77" s="545"/>
      <c r="M77" s="545"/>
      <c r="O77" s="541"/>
    </row>
    <row r="78" spans="1:15">
      <c r="A78" s="580"/>
      <c r="C78" s="545"/>
      <c r="D78" s="545"/>
      <c r="E78" s="545"/>
      <c r="F78" s="545"/>
      <c r="G78" s="545"/>
      <c r="H78" s="545"/>
      <c r="I78" s="545"/>
      <c r="J78" s="545"/>
      <c r="K78" s="545"/>
      <c r="L78" s="545"/>
      <c r="M78" s="545"/>
      <c r="O78" s="541"/>
    </row>
    <row r="79" spans="1:15">
      <c r="A79" s="580"/>
      <c r="C79" s="545"/>
      <c r="D79" s="545"/>
      <c r="E79" s="545"/>
      <c r="F79" s="545"/>
      <c r="G79" s="545"/>
      <c r="H79" s="545"/>
      <c r="I79" s="545"/>
      <c r="J79" s="545"/>
      <c r="K79" s="545"/>
      <c r="L79" s="545"/>
      <c r="M79" s="545"/>
      <c r="O79" s="541"/>
    </row>
    <row r="80" spans="1:15">
      <c r="A80" s="580"/>
      <c r="C80" s="545"/>
      <c r="D80" s="545"/>
      <c r="E80" s="545"/>
      <c r="F80" s="545"/>
      <c r="G80" s="545"/>
      <c r="H80" s="545"/>
      <c r="I80" s="545"/>
      <c r="J80" s="545"/>
      <c r="K80" s="545"/>
      <c r="L80" s="545"/>
      <c r="M80" s="545"/>
      <c r="O80" s="541"/>
    </row>
    <row r="81" spans="1:15">
      <c r="A81" s="580"/>
      <c r="C81" s="545"/>
      <c r="D81" s="545"/>
      <c r="E81" s="545"/>
      <c r="F81" s="545"/>
      <c r="G81" s="545"/>
      <c r="H81" s="545"/>
      <c r="I81" s="545"/>
      <c r="J81" s="545"/>
      <c r="K81" s="545"/>
      <c r="L81" s="545"/>
      <c r="M81" s="545"/>
      <c r="O81" s="541"/>
    </row>
    <row r="82" spans="1:15">
      <c r="A82" s="580"/>
      <c r="C82" s="545"/>
      <c r="D82" s="545"/>
      <c r="E82" s="545"/>
      <c r="F82" s="545"/>
      <c r="G82" s="545"/>
      <c r="H82" s="545"/>
      <c r="I82" s="545"/>
      <c r="J82" s="545"/>
      <c r="K82" s="545"/>
      <c r="L82" s="545"/>
      <c r="M82" s="545"/>
      <c r="O82" s="541"/>
    </row>
    <row r="83" spans="1:15">
      <c r="A83" s="580"/>
      <c r="C83" s="545"/>
      <c r="D83" s="545"/>
      <c r="E83" s="545"/>
      <c r="F83" s="545"/>
      <c r="G83" s="545"/>
      <c r="H83" s="545"/>
      <c r="I83" s="545"/>
      <c r="J83" s="545"/>
      <c r="K83" s="545"/>
      <c r="L83" s="545"/>
      <c r="M83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1"/>
  <sheetViews>
    <sheetView showGridLines="0" topLeftCell="J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8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#REF!</f>
        <v>#REF!</v>
      </c>
    </row>
    <row r="3" spans="1:20">
      <c r="A3" s="513" t="s">
        <v>311</v>
      </c>
      <c r="M3" s="520" t="s">
        <v>299</v>
      </c>
      <c r="R3" s="518" t="s">
        <v>274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#REF!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#REF!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#REF!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#REF!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 t="shared" ref="A10:A16" si="0">P10*1000</f>
        <v>0</v>
      </c>
      <c r="B10" s="515"/>
      <c r="C10" s="532">
        <v>0</v>
      </c>
      <c r="D10" s="533"/>
      <c r="E10" s="533">
        <f>C10</f>
        <v>0</v>
      </c>
      <c r="F10" s="533"/>
      <c r="G10" s="533">
        <f t="shared" ref="G10:G16" si="1">A10*C10</f>
        <v>0</v>
      </c>
      <c r="H10" s="533"/>
      <c r="I10" s="533">
        <f t="shared" ref="I10:I16" si="2">G10</f>
        <v>0</v>
      </c>
      <c r="J10" s="533"/>
      <c r="K10" s="533">
        <f t="shared" ref="K10:K16" si="3">$E$16-E10</f>
        <v>8</v>
      </c>
      <c r="L10" s="533"/>
      <c r="M10" s="533">
        <f t="shared" ref="M10:M16" si="4">(A10*K10)+I10</f>
        <v>0</v>
      </c>
      <c r="N10" s="515"/>
      <c r="O10" s="534">
        <f t="shared" ref="O10:O16" si="5">I10/$I$16</f>
        <v>0</v>
      </c>
      <c r="P10" s="532">
        <v>0</v>
      </c>
      <c r="Q10" s="561"/>
      <c r="R10" s="535"/>
      <c r="T10" s="536" t="e">
        <f t="shared" ref="T10:T16" si="6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>
      <c r="A11" s="531">
        <f t="shared" si="0"/>
        <v>1000</v>
      </c>
      <c r="B11" s="515"/>
      <c r="C11" s="532">
        <v>2</v>
      </c>
      <c r="D11" s="533"/>
      <c r="E11" s="533">
        <f t="shared" ref="E11:E16" si="7">E10+C11</f>
        <v>2</v>
      </c>
      <c r="F11" s="533"/>
      <c r="G11" s="533">
        <f t="shared" si="1"/>
        <v>2000</v>
      </c>
      <c r="H11" s="533"/>
      <c r="I11" s="533">
        <f t="shared" si="2"/>
        <v>2000</v>
      </c>
      <c r="J11" s="533"/>
      <c r="K11" s="533">
        <f t="shared" si="3"/>
        <v>6</v>
      </c>
      <c r="L11" s="533"/>
      <c r="M11" s="533">
        <f t="shared" si="4"/>
        <v>8000</v>
      </c>
      <c r="N11" s="537"/>
      <c r="O11" s="534">
        <f t="shared" si="5"/>
        <v>9.5238095238095233E-2</v>
      </c>
      <c r="P11" s="532">
        <v>1</v>
      </c>
      <c r="Q11" s="561"/>
      <c r="R11" s="535"/>
      <c r="T11" s="536" t="e">
        <f t="shared" si="6"/>
        <v>#REF!</v>
      </c>
    </row>
    <row r="12" spans="1:20">
      <c r="A12" s="531">
        <f t="shared" si="0"/>
        <v>8000</v>
      </c>
      <c r="B12" s="515"/>
      <c r="C12" s="532">
        <v>2</v>
      </c>
      <c r="D12" s="533"/>
      <c r="E12" s="533">
        <f t="shared" si="7"/>
        <v>4</v>
      </c>
      <c r="F12" s="533"/>
      <c r="G12" s="533">
        <f t="shared" si="1"/>
        <v>16000</v>
      </c>
      <c r="H12" s="533"/>
      <c r="I12" s="533">
        <f t="shared" si="2"/>
        <v>16000</v>
      </c>
      <c r="J12" s="533"/>
      <c r="K12" s="533">
        <f t="shared" si="3"/>
        <v>4</v>
      </c>
      <c r="L12" s="533"/>
      <c r="M12" s="533">
        <f t="shared" si="4"/>
        <v>48000</v>
      </c>
      <c r="N12" s="537"/>
      <c r="O12" s="534">
        <f t="shared" si="5"/>
        <v>0.76190476190476186</v>
      </c>
      <c r="P12" s="532">
        <v>8</v>
      </c>
      <c r="Q12" s="561"/>
      <c r="R12" s="535"/>
      <c r="T12" s="536" t="e">
        <f t="shared" si="6"/>
        <v>#REF!</v>
      </c>
    </row>
    <row r="13" spans="1:20">
      <c r="A13" s="531">
        <f t="shared" si="0"/>
        <v>9000</v>
      </c>
      <c r="B13" s="515"/>
      <c r="C13" s="532">
        <v>1</v>
      </c>
      <c r="D13" s="533"/>
      <c r="E13" s="533">
        <f t="shared" si="7"/>
        <v>5</v>
      </c>
      <c r="F13" s="533"/>
      <c r="G13" s="533">
        <f t="shared" si="1"/>
        <v>9000</v>
      </c>
      <c r="H13" s="533"/>
      <c r="I13" s="533">
        <f t="shared" si="2"/>
        <v>9000</v>
      </c>
      <c r="J13" s="533"/>
      <c r="K13" s="533">
        <f t="shared" si="3"/>
        <v>3</v>
      </c>
      <c r="L13" s="533"/>
      <c r="M13" s="533">
        <f t="shared" si="4"/>
        <v>36000</v>
      </c>
      <c r="N13" s="537"/>
      <c r="O13" s="534">
        <f t="shared" si="5"/>
        <v>0.42857142857142855</v>
      </c>
      <c r="P13" s="532">
        <v>9</v>
      </c>
      <c r="Q13" s="561"/>
      <c r="R13" s="535"/>
      <c r="T13" s="536" t="e">
        <f t="shared" si="6"/>
        <v>#REF!</v>
      </c>
    </row>
    <row r="14" spans="1:20">
      <c r="A14" s="531">
        <f t="shared" si="0"/>
        <v>13000</v>
      </c>
      <c r="B14" s="515"/>
      <c r="C14" s="532">
        <v>1</v>
      </c>
      <c r="D14" s="533"/>
      <c r="E14" s="533">
        <f t="shared" si="7"/>
        <v>6</v>
      </c>
      <c r="F14" s="533"/>
      <c r="G14" s="533">
        <f t="shared" si="1"/>
        <v>13000</v>
      </c>
      <c r="H14" s="533"/>
      <c r="I14" s="533">
        <f t="shared" si="2"/>
        <v>13000</v>
      </c>
      <c r="J14" s="533"/>
      <c r="K14" s="533">
        <f t="shared" si="3"/>
        <v>2</v>
      </c>
      <c r="L14" s="533"/>
      <c r="M14" s="533">
        <f t="shared" si="4"/>
        <v>39000</v>
      </c>
      <c r="N14" s="537"/>
      <c r="O14" s="534">
        <f t="shared" si="5"/>
        <v>0.61904761904761907</v>
      </c>
      <c r="P14" s="532">
        <v>13</v>
      </c>
      <c r="Q14" s="561"/>
      <c r="R14" s="535"/>
      <c r="T14" s="536" t="e">
        <f t="shared" si="6"/>
        <v>#REF!</v>
      </c>
    </row>
    <row r="15" spans="1:20">
      <c r="A15" s="531">
        <f t="shared" si="0"/>
        <v>17000</v>
      </c>
      <c r="B15" s="515"/>
      <c r="C15" s="532">
        <v>1</v>
      </c>
      <c r="D15" s="533"/>
      <c r="E15" s="533">
        <f t="shared" si="7"/>
        <v>7</v>
      </c>
      <c r="F15" s="533"/>
      <c r="G15" s="533">
        <f t="shared" si="1"/>
        <v>17000</v>
      </c>
      <c r="H15" s="533"/>
      <c r="I15" s="533">
        <f t="shared" si="2"/>
        <v>17000</v>
      </c>
      <c r="J15" s="533"/>
      <c r="K15" s="533">
        <f t="shared" si="3"/>
        <v>1</v>
      </c>
      <c r="L15" s="533"/>
      <c r="M15" s="533">
        <f t="shared" si="4"/>
        <v>34000</v>
      </c>
      <c r="N15" s="537"/>
      <c r="O15" s="534">
        <f t="shared" si="5"/>
        <v>0.80952380952380953</v>
      </c>
      <c r="P15" s="532">
        <v>17</v>
      </c>
      <c r="Q15" s="561"/>
      <c r="R15" s="535"/>
      <c r="T15" s="536" t="e">
        <f t="shared" si="6"/>
        <v>#REF!</v>
      </c>
    </row>
    <row r="16" spans="1:20">
      <c r="A16" s="531">
        <f t="shared" si="0"/>
        <v>21000</v>
      </c>
      <c r="B16" s="515"/>
      <c r="C16" s="532">
        <v>1</v>
      </c>
      <c r="D16" s="533"/>
      <c r="E16" s="533">
        <f t="shared" si="7"/>
        <v>8</v>
      </c>
      <c r="F16" s="533"/>
      <c r="G16" s="533">
        <f t="shared" si="1"/>
        <v>21000</v>
      </c>
      <c r="H16" s="533"/>
      <c r="I16" s="533">
        <f t="shared" si="2"/>
        <v>21000</v>
      </c>
      <c r="J16" s="533"/>
      <c r="K16" s="533">
        <f t="shared" si="3"/>
        <v>0</v>
      </c>
      <c r="L16" s="533"/>
      <c r="M16" s="533">
        <f t="shared" si="4"/>
        <v>21000</v>
      </c>
      <c r="N16" s="537"/>
      <c r="O16" s="534">
        <f t="shared" si="5"/>
        <v>1</v>
      </c>
      <c r="P16" s="532">
        <v>21</v>
      </c>
      <c r="Q16" s="561"/>
      <c r="R16" s="535"/>
      <c r="T16" s="536" t="e">
        <f t="shared" si="6"/>
        <v>#REF!</v>
      </c>
    </row>
    <row r="17" spans="1:20">
      <c r="A17" s="531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7"/>
      <c r="O17" s="534"/>
      <c r="P17" s="547"/>
      <c r="Q17" s="561"/>
      <c r="R17" s="535"/>
      <c r="T17" s="536"/>
    </row>
    <row r="18" spans="1:20">
      <c r="A18" s="531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37"/>
      <c r="O18" s="534"/>
      <c r="P18" s="547"/>
      <c r="Q18" s="561"/>
      <c r="R18" s="535"/>
      <c r="T18" s="536"/>
    </row>
    <row r="19" spans="1:20">
      <c r="A19" s="531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37"/>
      <c r="O19" s="534"/>
      <c r="P19" s="547"/>
      <c r="Q19" s="561"/>
      <c r="R19" s="535"/>
      <c r="T19" s="536"/>
    </row>
    <row r="20" spans="1:20">
      <c r="A20" s="531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7"/>
      <c r="O20" s="534"/>
      <c r="P20" s="547"/>
      <c r="Q20" s="561"/>
      <c r="R20" s="535"/>
      <c r="T20" s="536"/>
    </row>
    <row r="21" spans="1:20">
      <c r="A21" s="531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  <c r="T21" s="536"/>
    </row>
    <row r="22" spans="1:20">
      <c r="A22" s="531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  <c r="T22" s="554" t="e">
        <f>SUM(T10:T16)</f>
        <v>#REF!</v>
      </c>
    </row>
    <row r="23" spans="1:20" hidden="1">
      <c r="A23" s="531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  <c r="T23" s="536">
        <v>237</v>
      </c>
    </row>
    <row r="24" spans="1:20" hidden="1">
      <c r="A24" s="531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  <c r="T24" s="536" t="e">
        <f>T22-T23</f>
        <v>#REF!</v>
      </c>
    </row>
    <row r="25" spans="1:20" hidden="1">
      <c r="A25" s="531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  <c r="T25" s="569" t="e">
        <f>T24/T22</f>
        <v>#REF!</v>
      </c>
    </row>
    <row r="26" spans="1:20">
      <c r="A26" s="531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  <c r="T26" s="536"/>
    </row>
    <row r="27" spans="1:20">
      <c r="A27" s="531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  <c r="T27" s="536"/>
    </row>
    <row r="28" spans="1:20">
      <c r="A28" s="531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  <c r="T28" s="536"/>
    </row>
    <row r="29" spans="1:20">
      <c r="A29" s="531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  <c r="T29" s="536"/>
    </row>
    <row r="30" spans="1:20">
      <c r="A30" s="531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  <c r="T30" s="536"/>
    </row>
    <row r="31" spans="1:20">
      <c r="A31" s="531"/>
      <c r="B31" s="515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  <c r="T31" s="536"/>
    </row>
    <row r="32" spans="1:20">
      <c r="A32" s="531"/>
      <c r="B32" s="515"/>
      <c r="C32" s="547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Q32" s="561"/>
      <c r="T32" s="536"/>
    </row>
    <row r="33" spans="1:20">
      <c r="A33" s="531"/>
      <c r="B33" s="515"/>
      <c r="C33" s="547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Q33" s="561"/>
      <c r="T33" s="536"/>
    </row>
    <row r="34" spans="1:20">
      <c r="A34" s="531"/>
      <c r="B34" s="515"/>
      <c r="C34" s="547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  <c r="Q34" s="561"/>
      <c r="T34" s="536"/>
    </row>
    <row r="35" spans="1:20">
      <c r="A35" s="531"/>
      <c r="B35" s="515"/>
      <c r="C35" s="547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  <c r="Q35" s="561"/>
      <c r="T35" s="536"/>
    </row>
    <row r="36" spans="1:20">
      <c r="A36" s="531"/>
      <c r="B36" s="515"/>
      <c r="C36" s="547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  <c r="Q36" s="561"/>
      <c r="T36" s="536"/>
    </row>
    <row r="37" spans="1:20">
      <c r="A37" s="531"/>
      <c r="B37" s="515"/>
      <c r="C37" s="547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  <c r="Q37" s="561"/>
      <c r="T37" s="536"/>
    </row>
    <row r="38" spans="1:20">
      <c r="A38" s="531"/>
      <c r="B38" s="515"/>
      <c r="C38" s="547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  <c r="Q38" s="561"/>
      <c r="T38" s="536"/>
    </row>
    <row r="39" spans="1:20">
      <c r="A39" s="531"/>
      <c r="B39" s="515"/>
      <c r="C39" s="547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  <c r="Q39" s="561"/>
      <c r="T39" s="536"/>
    </row>
    <row r="40" spans="1:20">
      <c r="A40" s="531"/>
      <c r="B40" s="538"/>
      <c r="C40" s="547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  <c r="Q40" s="561"/>
      <c r="T40" s="536"/>
    </row>
    <row r="41" spans="1:20">
      <c r="A41" s="531"/>
      <c r="B41" s="515"/>
      <c r="C41" s="547"/>
      <c r="D41" s="515"/>
      <c r="E41" s="533"/>
      <c r="F41" s="533"/>
      <c r="G41" s="533"/>
      <c r="H41" s="533"/>
      <c r="I41" s="533"/>
      <c r="J41" s="515"/>
      <c r="K41" s="533"/>
      <c r="L41" s="533"/>
      <c r="M41" s="533"/>
      <c r="N41" s="515"/>
      <c r="O41" s="534"/>
      <c r="P41" s="547"/>
      <c r="Q41" s="561"/>
      <c r="T41" s="536"/>
    </row>
    <row r="42" spans="1:20">
      <c r="A42" s="531"/>
      <c r="B42" s="515"/>
      <c r="C42" s="547"/>
      <c r="D42" s="515"/>
      <c r="E42" s="533"/>
      <c r="F42" s="533"/>
      <c r="G42" s="533"/>
      <c r="H42" s="533"/>
      <c r="I42" s="533"/>
      <c r="J42" s="515"/>
      <c r="K42" s="533"/>
      <c r="L42" s="533"/>
      <c r="M42" s="533"/>
      <c r="N42" s="515"/>
      <c r="O42" s="534"/>
      <c r="P42" s="547"/>
      <c r="Q42" s="561"/>
      <c r="T42" s="536"/>
    </row>
    <row r="43" spans="1:20">
      <c r="A43" s="531"/>
      <c r="B43" s="529"/>
      <c r="C43" s="547"/>
      <c r="D43" s="529"/>
      <c r="E43" s="533"/>
      <c r="F43" s="533"/>
      <c r="G43" s="533"/>
      <c r="H43" s="533"/>
      <c r="I43" s="533"/>
      <c r="J43" s="529"/>
      <c r="K43" s="533"/>
      <c r="L43" s="533"/>
      <c r="M43" s="533"/>
      <c r="N43" s="515"/>
      <c r="O43" s="534"/>
      <c r="P43" s="547"/>
      <c r="Q43" s="561"/>
      <c r="T43" s="536"/>
    </row>
    <row r="44" spans="1:20">
      <c r="A44" s="552"/>
      <c r="B44" s="523"/>
      <c r="C44" s="547"/>
      <c r="D44" s="523"/>
      <c r="E44" s="533"/>
      <c r="F44" s="533"/>
      <c r="G44" s="533"/>
      <c r="H44" s="533"/>
      <c r="I44" s="533"/>
      <c r="J44" s="523"/>
      <c r="K44" s="533"/>
      <c r="L44" s="533"/>
      <c r="M44" s="533"/>
      <c r="N44" s="515"/>
      <c r="O44" s="534"/>
      <c r="P44" s="547"/>
      <c r="Q44" s="561"/>
      <c r="T44" s="536"/>
    </row>
    <row r="45" spans="1:20">
      <c r="A45" s="552"/>
      <c r="B45" s="525"/>
      <c r="C45" s="547"/>
      <c r="D45" s="525"/>
      <c r="E45" s="533"/>
      <c r="F45" s="533"/>
      <c r="G45" s="533"/>
      <c r="H45" s="533"/>
      <c r="I45" s="533"/>
      <c r="J45" s="525"/>
      <c r="K45" s="533"/>
      <c r="L45" s="533"/>
      <c r="M45" s="533"/>
      <c r="N45" s="515"/>
      <c r="O45" s="534"/>
      <c r="P45" s="547"/>
      <c r="Q45" s="561"/>
      <c r="R45" s="515"/>
      <c r="S45" s="515"/>
      <c r="T45" s="536"/>
    </row>
    <row r="46" spans="1:20" s="515" customFormat="1">
      <c r="A46" s="552"/>
      <c r="B46" s="525"/>
      <c r="C46" s="547"/>
      <c r="D46" s="525"/>
      <c r="E46" s="533"/>
      <c r="F46" s="533"/>
      <c r="G46" s="533"/>
      <c r="H46" s="533"/>
      <c r="I46" s="533"/>
      <c r="J46" s="525"/>
      <c r="K46" s="533"/>
      <c r="L46" s="525"/>
      <c r="M46" s="533"/>
      <c r="N46" s="525"/>
      <c r="O46" s="534"/>
      <c r="P46" s="547"/>
      <c r="T46" s="536"/>
    </row>
    <row r="47" spans="1:20" s="515" customFormat="1">
      <c r="A47" s="562"/>
      <c r="B47" s="542"/>
      <c r="C47" s="547"/>
      <c r="D47" s="525"/>
      <c r="E47" s="533"/>
      <c r="F47" s="533"/>
      <c r="G47" s="533"/>
      <c r="H47" s="533"/>
      <c r="I47" s="533"/>
      <c r="J47" s="525"/>
      <c r="K47" s="533"/>
      <c r="L47" s="525"/>
      <c r="M47" s="533"/>
      <c r="N47" s="525"/>
      <c r="O47" s="534"/>
      <c r="P47" s="547"/>
      <c r="T47" s="536"/>
    </row>
    <row r="48" spans="1:20" s="515" customFormat="1">
      <c r="A48" s="537"/>
      <c r="B48" s="542"/>
      <c r="C48" s="547"/>
      <c r="D48" s="525"/>
      <c r="E48" s="533"/>
      <c r="F48" s="533"/>
      <c r="G48" s="533"/>
      <c r="H48" s="533"/>
      <c r="I48" s="533"/>
      <c r="J48" s="525"/>
      <c r="K48" s="533"/>
      <c r="L48" s="525"/>
      <c r="M48" s="533"/>
      <c r="N48" s="525"/>
      <c r="O48" s="534"/>
      <c r="P48" s="547"/>
      <c r="T48" s="536"/>
    </row>
    <row r="49" spans="1:20">
      <c r="A49" s="552"/>
      <c r="B49" s="525"/>
      <c r="C49" s="547"/>
      <c r="D49" s="525"/>
      <c r="E49" s="533"/>
      <c r="F49" s="533"/>
      <c r="G49" s="533"/>
      <c r="H49" s="533"/>
      <c r="I49" s="533"/>
      <c r="J49" s="525"/>
      <c r="K49" s="533"/>
      <c r="L49" s="525"/>
      <c r="M49" s="533"/>
      <c r="N49" s="525"/>
      <c r="O49" s="534"/>
      <c r="P49" s="547"/>
      <c r="R49" s="515"/>
      <c r="S49" s="515"/>
      <c r="T49" s="536"/>
    </row>
    <row r="50" spans="1:20">
      <c r="A50" s="552"/>
      <c r="B50" s="515"/>
      <c r="C50" s="577"/>
      <c r="D50" s="533"/>
      <c r="E50" s="533"/>
      <c r="F50" s="533"/>
      <c r="G50" s="533"/>
      <c r="H50" s="533"/>
      <c r="I50" s="533"/>
      <c r="J50" s="529"/>
      <c r="K50" s="533"/>
      <c r="L50" s="529"/>
      <c r="M50" s="533"/>
      <c r="N50" s="529"/>
      <c r="O50" s="534"/>
      <c r="P50" s="547"/>
      <c r="R50" s="515"/>
      <c r="S50" s="515"/>
      <c r="T50" s="536"/>
    </row>
    <row r="51" spans="1:20">
      <c r="A51" s="592"/>
      <c r="B51" s="538"/>
      <c r="C51" s="5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R51" s="515"/>
      <c r="S51" s="515"/>
      <c r="T51" s="536"/>
    </row>
    <row r="52" spans="1:20">
      <c r="A52" s="552"/>
      <c r="B52" s="515"/>
      <c r="C52" s="577"/>
      <c r="D52" s="515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  <c r="R52" s="515"/>
      <c r="S52" s="515"/>
      <c r="T52" s="536"/>
    </row>
    <row r="53" spans="1:20">
      <c r="A53" s="552"/>
      <c r="B53" s="515"/>
      <c r="C53" s="547"/>
      <c r="D53" s="515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  <c r="R53" s="515"/>
      <c r="S53" s="515"/>
      <c r="T53" s="536"/>
    </row>
    <row r="54" spans="1:20">
      <c r="A54" s="552"/>
      <c r="B54" s="529"/>
      <c r="C54" s="547"/>
      <c r="D54" s="529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  <c r="P54" s="547"/>
      <c r="R54" s="515"/>
      <c r="S54" s="515"/>
      <c r="T54" s="536"/>
    </row>
    <row r="55" spans="1:20">
      <c r="A55" s="552"/>
      <c r="B55" s="523"/>
      <c r="C55" s="547"/>
      <c r="D55" s="52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  <c r="P55" s="547"/>
      <c r="R55" s="515"/>
      <c r="S55" s="515"/>
      <c r="T55" s="536"/>
    </row>
    <row r="56" spans="1:20">
      <c r="A56" s="515"/>
      <c r="B56" s="515"/>
      <c r="C56" s="515"/>
      <c r="D56" s="515"/>
      <c r="E56" s="515"/>
      <c r="F56" s="515"/>
      <c r="G56" s="515"/>
      <c r="H56" s="515"/>
      <c r="I56" s="515"/>
      <c r="J56" s="533"/>
      <c r="K56" s="533"/>
      <c r="L56" s="533"/>
      <c r="M56" s="533"/>
      <c r="N56" s="515"/>
      <c r="O56" s="534"/>
      <c r="P56" s="547"/>
      <c r="R56" s="515"/>
      <c r="S56" s="515"/>
      <c r="T56" s="536"/>
    </row>
    <row r="57" spans="1:20">
      <c r="A57" s="552"/>
      <c r="B57" s="515"/>
      <c r="C57" s="547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  <c r="P57" s="547"/>
      <c r="R57" s="515"/>
      <c r="S57" s="515"/>
      <c r="T57" s="536"/>
    </row>
    <row r="58" spans="1:20">
      <c r="A58" s="552"/>
      <c r="B58" s="515"/>
      <c r="C58" s="547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  <c r="P58" s="547"/>
      <c r="R58" s="515"/>
      <c r="S58" s="515"/>
      <c r="T58" s="536"/>
    </row>
    <row r="59" spans="1:20">
      <c r="A59" s="552"/>
      <c r="B59" s="515"/>
      <c r="C59" s="547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  <c r="P59" s="547"/>
      <c r="R59" s="515"/>
      <c r="S59" s="515"/>
      <c r="T59" s="536"/>
    </row>
    <row r="60" spans="1:20">
      <c r="A60" s="552"/>
      <c r="B60" s="515"/>
      <c r="C60" s="533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  <c r="R60" s="515"/>
      <c r="S60" s="515"/>
      <c r="T60" s="536"/>
    </row>
    <row r="61" spans="1:20">
      <c r="A61" s="552"/>
      <c r="B61" s="515"/>
      <c r="C61" s="533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  <c r="R61" s="515"/>
      <c r="S61" s="515"/>
      <c r="T61" s="536"/>
    </row>
    <row r="62" spans="1:20">
      <c r="A62" s="552"/>
      <c r="B62" s="515"/>
      <c r="C62" s="533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  <c r="R62" s="515"/>
      <c r="S62" s="515"/>
      <c r="T62" s="536"/>
    </row>
    <row r="63" spans="1:20">
      <c r="A63" s="552"/>
      <c r="B63" s="515"/>
      <c r="C63" s="533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  <c r="R63" s="515"/>
      <c r="S63" s="515"/>
      <c r="T63" s="536"/>
    </row>
    <row r="64" spans="1:20">
      <c r="A64" s="552"/>
      <c r="B64" s="515"/>
      <c r="C64" s="533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  <c r="R64" s="515"/>
      <c r="S64" s="515"/>
      <c r="T64" s="536"/>
    </row>
    <row r="65" spans="1:20">
      <c r="A65" s="552"/>
      <c r="B65" s="515"/>
      <c r="C65" s="533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  <c r="R65" s="515"/>
      <c r="S65" s="515"/>
      <c r="T65" s="536"/>
    </row>
    <row r="66" spans="1:20">
      <c r="A66" s="552"/>
      <c r="B66" s="515"/>
      <c r="C66" s="533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15"/>
      <c r="O66" s="534"/>
      <c r="R66" s="515"/>
      <c r="S66" s="515"/>
      <c r="T66" s="536"/>
    </row>
    <row r="67" spans="1:20">
      <c r="A67" s="552"/>
      <c r="B67" s="515"/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N67" s="515"/>
      <c r="O67" s="534"/>
      <c r="R67" s="515"/>
      <c r="S67" s="515"/>
      <c r="T67" s="536"/>
    </row>
    <row r="68" spans="1:20">
      <c r="A68" s="552"/>
      <c r="B68" s="515"/>
      <c r="C68" s="533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N68" s="515"/>
      <c r="O68" s="534"/>
      <c r="R68" s="515"/>
      <c r="S68" s="515"/>
      <c r="T68" s="536"/>
    </row>
    <row r="69" spans="1:20">
      <c r="A69" s="552"/>
      <c r="B69" s="515"/>
      <c r="C69" s="533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N69" s="515"/>
      <c r="O69" s="534"/>
      <c r="R69" s="515"/>
      <c r="S69" s="515"/>
      <c r="T69" s="536"/>
    </row>
    <row r="70" spans="1:20">
      <c r="A70" s="552"/>
      <c r="B70" s="515"/>
      <c r="C70" s="533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N70" s="515"/>
      <c r="O70" s="534"/>
      <c r="R70" s="515"/>
      <c r="S70" s="515"/>
      <c r="T70" s="536"/>
    </row>
    <row r="71" spans="1:20">
      <c r="A71" s="552"/>
      <c r="B71" s="515"/>
      <c r="C71" s="533"/>
      <c r="D71" s="533"/>
      <c r="E71" s="533"/>
      <c r="F71" s="533"/>
      <c r="G71" s="533"/>
      <c r="H71" s="533"/>
      <c r="I71" s="533"/>
      <c r="J71" s="533"/>
      <c r="K71" s="533"/>
      <c r="L71" s="533"/>
      <c r="M71" s="533"/>
      <c r="N71" s="515"/>
      <c r="O71" s="534"/>
      <c r="R71" s="515"/>
      <c r="S71" s="515"/>
      <c r="T71" s="536"/>
    </row>
    <row r="72" spans="1:20">
      <c r="A72" s="552"/>
      <c r="B72" s="515"/>
      <c r="C72" s="533"/>
      <c r="D72" s="533"/>
      <c r="E72" s="533"/>
      <c r="F72" s="533"/>
      <c r="G72" s="533"/>
      <c r="H72" s="533"/>
      <c r="I72" s="533"/>
      <c r="J72" s="533"/>
      <c r="K72" s="533"/>
      <c r="L72" s="533"/>
      <c r="M72" s="533"/>
      <c r="N72" s="515"/>
      <c r="O72" s="534"/>
      <c r="R72" s="515"/>
      <c r="S72" s="515"/>
      <c r="T72" s="536"/>
    </row>
    <row r="73" spans="1:20">
      <c r="A73" s="552"/>
      <c r="B73" s="515"/>
      <c r="C73" s="533"/>
      <c r="D73" s="533"/>
      <c r="E73" s="533"/>
      <c r="F73" s="533"/>
      <c r="G73" s="533"/>
      <c r="H73" s="533"/>
      <c r="I73" s="533"/>
      <c r="J73" s="533"/>
      <c r="K73" s="533"/>
      <c r="L73" s="533"/>
      <c r="M73" s="533"/>
      <c r="N73" s="515"/>
      <c r="O73" s="534"/>
      <c r="R73" s="515"/>
      <c r="S73" s="515"/>
      <c r="T73" s="536"/>
    </row>
    <row r="74" spans="1:20">
      <c r="A74" s="552"/>
      <c r="B74" s="515"/>
      <c r="C74" s="533"/>
      <c r="D74" s="533"/>
      <c r="E74" s="533"/>
      <c r="F74" s="533"/>
      <c r="G74" s="533"/>
      <c r="H74" s="533"/>
      <c r="I74" s="533"/>
      <c r="J74" s="533"/>
      <c r="K74" s="533"/>
      <c r="L74" s="533"/>
      <c r="M74" s="533"/>
      <c r="N74" s="515"/>
      <c r="O74" s="534"/>
    </row>
    <row r="75" spans="1:20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O75" s="541"/>
    </row>
    <row r="76" spans="1:20">
      <c r="A76" s="580"/>
      <c r="C76" s="545"/>
      <c r="D76" s="545"/>
      <c r="E76" s="545"/>
      <c r="F76" s="545"/>
      <c r="G76" s="545"/>
      <c r="H76" s="545"/>
      <c r="I76" s="545"/>
      <c r="J76" s="545"/>
      <c r="K76" s="545"/>
      <c r="L76" s="545"/>
      <c r="M76" s="545"/>
      <c r="O76" s="541"/>
    </row>
    <row r="77" spans="1:20">
      <c r="A77" s="580"/>
      <c r="C77" s="545"/>
      <c r="D77" s="545"/>
      <c r="E77" s="545"/>
      <c r="F77" s="545"/>
      <c r="G77" s="545"/>
      <c r="H77" s="545"/>
      <c r="I77" s="545"/>
      <c r="J77" s="545"/>
      <c r="K77" s="545"/>
      <c r="L77" s="545"/>
      <c r="M77" s="545"/>
      <c r="O77" s="541"/>
    </row>
    <row r="78" spans="1:20">
      <c r="A78" s="580"/>
      <c r="C78" s="545"/>
      <c r="D78" s="545"/>
      <c r="E78" s="545"/>
      <c r="F78" s="545"/>
      <c r="G78" s="545"/>
      <c r="H78" s="545"/>
      <c r="I78" s="545"/>
      <c r="J78" s="545"/>
      <c r="K78" s="545"/>
      <c r="L78" s="545"/>
      <c r="M78" s="545"/>
      <c r="O78" s="541"/>
    </row>
    <row r="79" spans="1:20">
      <c r="A79" s="580"/>
      <c r="C79" s="545"/>
      <c r="D79" s="545"/>
      <c r="E79" s="545"/>
      <c r="F79" s="545"/>
      <c r="G79" s="545"/>
      <c r="H79" s="545"/>
      <c r="I79" s="545"/>
      <c r="J79" s="545"/>
      <c r="K79" s="545"/>
      <c r="L79" s="545"/>
      <c r="M79" s="545"/>
      <c r="O79" s="541"/>
    </row>
    <row r="80" spans="1:20">
      <c r="A80" s="580"/>
      <c r="C80" s="545"/>
      <c r="D80" s="545"/>
      <c r="E80" s="545"/>
      <c r="F80" s="545"/>
      <c r="G80" s="545"/>
      <c r="H80" s="545"/>
      <c r="I80" s="545"/>
      <c r="J80" s="545"/>
      <c r="K80" s="545"/>
      <c r="L80" s="545"/>
      <c r="M80" s="545"/>
      <c r="O80" s="541"/>
    </row>
    <row r="81" spans="1:13">
      <c r="A81" s="580"/>
      <c r="C81" s="545"/>
      <c r="D81" s="545"/>
      <c r="E81" s="545"/>
      <c r="F81" s="545"/>
      <c r="G81" s="545"/>
      <c r="H81" s="545"/>
      <c r="I81" s="545"/>
      <c r="J81" s="545"/>
      <c r="K81" s="545"/>
      <c r="L81" s="545"/>
      <c r="M81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5"/>
    <pageSetUpPr fitToPage="1"/>
  </sheetPr>
  <dimension ref="A1:T72"/>
  <sheetViews>
    <sheetView showGridLines="0" topLeftCell="H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8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'16041-172'!T2</f>
        <v>#REF!</v>
      </c>
    </row>
    <row r="3" spans="1:20">
      <c r="A3" s="513" t="s">
        <v>311</v>
      </c>
      <c r="M3" s="520" t="s">
        <v>299</v>
      </c>
      <c r="R3" s="518" t="s">
        <v>274</v>
      </c>
      <c r="S3" s="518"/>
      <c r="T3" s="519" t="e">
        <f>'16041-172'!T3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'16041-172'!T4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'16041-172'!T5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'16041-172'!T6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'16041-172'!T7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>P10*1000</f>
        <v>0</v>
      </c>
      <c r="B10" s="515"/>
      <c r="C10" s="547">
        <v>231</v>
      </c>
      <c r="D10" s="533"/>
      <c r="E10" s="533">
        <f>C10</f>
        <v>231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E10-E10</f>
        <v>0</v>
      </c>
      <c r="L10" s="533"/>
      <c r="M10" s="533">
        <f>(A10*K10)+I10</f>
        <v>0</v>
      </c>
      <c r="N10" s="515"/>
      <c r="O10" s="534" t="e">
        <f>I10/#REF!</f>
        <v>#REF!</v>
      </c>
      <c r="P10" s="547">
        <v>0</v>
      </c>
      <c r="Q10" s="561"/>
      <c r="R10" s="535"/>
      <c r="T10" s="536" t="e">
        <f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>
      <c r="A11" s="531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/>
      <c r="Q11" s="561"/>
    </row>
    <row r="12" spans="1:20">
      <c r="A12" s="531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/>
      <c r="Q12" s="561"/>
      <c r="T12" s="539" t="e">
        <f>SUM(T10:T10)</f>
        <v>#REF!</v>
      </c>
    </row>
    <row r="13" spans="1:20">
      <c r="A13" s="531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  <c r="Q13" s="561"/>
      <c r="T13" s="513">
        <v>1560</v>
      </c>
    </row>
    <row r="14" spans="1:20">
      <c r="A14" s="531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  <c r="Q14" s="561"/>
      <c r="T14" s="540" t="e">
        <f>T12-T13</f>
        <v>#REF!</v>
      </c>
    </row>
    <row r="15" spans="1:20">
      <c r="A15" s="531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Q15" s="561"/>
      <c r="T15" s="541" t="e">
        <f>T14/T12</f>
        <v>#REF!</v>
      </c>
    </row>
    <row r="16" spans="1:20">
      <c r="A16" s="531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Q16" s="561"/>
    </row>
    <row r="17" spans="1:17">
      <c r="A17" s="531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</row>
    <row r="18" spans="1:17">
      <c r="A18" s="531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</row>
    <row r="19" spans="1:17">
      <c r="A19" s="531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</row>
    <row r="20" spans="1:17">
      <c r="A20" s="531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Q20" s="561"/>
    </row>
    <row r="21" spans="1:17">
      <c r="A21" s="531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</row>
    <row r="22" spans="1:17">
      <c r="A22" s="531"/>
      <c r="B22" s="515"/>
      <c r="C22" s="547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Q22" s="561"/>
    </row>
    <row r="23" spans="1:17">
      <c r="A23" s="531"/>
      <c r="B23" s="515"/>
      <c r="C23" s="547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Q23" s="561"/>
    </row>
    <row r="24" spans="1:17">
      <c r="A24" s="531"/>
      <c r="B24" s="515"/>
      <c r="C24" s="547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Q24" s="561"/>
    </row>
    <row r="25" spans="1:17">
      <c r="A25" s="531"/>
      <c r="B25" s="515"/>
      <c r="C25" s="547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Q25" s="561"/>
    </row>
    <row r="26" spans="1:17">
      <c r="A26" s="531"/>
      <c r="B26" s="515"/>
      <c r="C26" s="547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Q26" s="561"/>
    </row>
    <row r="27" spans="1:17">
      <c r="A27" s="531"/>
      <c r="B27" s="515"/>
      <c r="C27" s="547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Q27" s="561"/>
    </row>
    <row r="28" spans="1:17">
      <c r="A28" s="531"/>
      <c r="B28" s="515"/>
      <c r="C28" s="547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Q28" s="561"/>
    </row>
    <row r="29" spans="1:17">
      <c r="A29" s="531"/>
      <c r="B29" s="515"/>
      <c r="C29" s="547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Q29" s="561"/>
    </row>
    <row r="30" spans="1:17">
      <c r="A30" s="531"/>
      <c r="B30" s="515"/>
      <c r="C30" s="547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Q30" s="561"/>
    </row>
    <row r="31" spans="1:17">
      <c r="A31" s="531"/>
      <c r="B31" s="538"/>
      <c r="C31" s="547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Q31" s="561"/>
    </row>
    <row r="32" spans="1:17">
      <c r="A32" s="531"/>
      <c r="B32" s="515"/>
      <c r="C32" s="547"/>
      <c r="D32" s="515"/>
      <c r="E32" s="533"/>
      <c r="F32" s="533"/>
      <c r="G32" s="533"/>
      <c r="H32" s="533"/>
      <c r="I32" s="533"/>
      <c r="J32" s="515"/>
      <c r="K32" s="533"/>
      <c r="L32" s="533"/>
      <c r="M32" s="533"/>
      <c r="N32" s="515"/>
      <c r="O32" s="534"/>
      <c r="P32" s="547"/>
      <c r="Q32" s="561"/>
    </row>
    <row r="33" spans="1:17">
      <c r="A33" s="531"/>
      <c r="B33" s="515"/>
      <c r="C33" s="547"/>
      <c r="D33" s="515"/>
      <c r="E33" s="533"/>
      <c r="F33" s="533"/>
      <c r="G33" s="533"/>
      <c r="H33" s="533"/>
      <c r="I33" s="533"/>
      <c r="J33" s="515"/>
      <c r="K33" s="533"/>
      <c r="L33" s="533"/>
      <c r="M33" s="533"/>
      <c r="N33" s="515"/>
      <c r="O33" s="534"/>
      <c r="P33" s="547"/>
      <c r="Q33" s="561"/>
    </row>
    <row r="34" spans="1:17">
      <c r="A34" s="531"/>
      <c r="B34" s="529"/>
      <c r="C34" s="547"/>
      <c r="D34" s="529"/>
      <c r="E34" s="533"/>
      <c r="F34" s="533"/>
      <c r="G34" s="533"/>
      <c r="H34" s="533"/>
      <c r="I34" s="533"/>
      <c r="J34" s="529"/>
      <c r="K34" s="533"/>
      <c r="L34" s="533"/>
      <c r="M34" s="533"/>
      <c r="N34" s="515"/>
      <c r="O34" s="534"/>
      <c r="P34" s="547"/>
      <c r="Q34" s="561"/>
    </row>
    <row r="35" spans="1:17">
      <c r="A35" s="552"/>
      <c r="B35" s="523"/>
      <c r="C35" s="547"/>
      <c r="D35" s="523"/>
      <c r="E35" s="533"/>
      <c r="F35" s="533"/>
      <c r="G35" s="533"/>
      <c r="H35" s="533"/>
      <c r="I35" s="533"/>
      <c r="J35" s="523"/>
      <c r="K35" s="533"/>
      <c r="L35" s="533"/>
      <c r="M35" s="533"/>
      <c r="N35" s="515"/>
      <c r="O35" s="534"/>
      <c r="P35" s="547"/>
      <c r="Q35" s="561"/>
    </row>
    <row r="36" spans="1:17">
      <c r="A36" s="552"/>
      <c r="B36" s="525"/>
      <c r="C36" s="547"/>
      <c r="D36" s="525"/>
      <c r="E36" s="533"/>
      <c r="F36" s="533"/>
      <c r="G36" s="533"/>
      <c r="H36" s="533"/>
      <c r="I36" s="533"/>
      <c r="J36" s="525"/>
      <c r="K36" s="533"/>
      <c r="L36" s="533"/>
      <c r="M36" s="533"/>
      <c r="N36" s="515"/>
      <c r="O36" s="534"/>
      <c r="P36" s="547"/>
      <c r="Q36" s="561"/>
    </row>
    <row r="37" spans="1:17" s="515" customFormat="1">
      <c r="A37" s="552"/>
      <c r="B37" s="525"/>
      <c r="C37" s="547"/>
      <c r="D37" s="525"/>
      <c r="E37" s="533"/>
      <c r="F37" s="533"/>
      <c r="G37" s="533"/>
      <c r="H37" s="533"/>
      <c r="I37" s="533"/>
      <c r="J37" s="525"/>
      <c r="K37" s="533"/>
      <c r="L37" s="525"/>
      <c r="M37" s="533"/>
      <c r="N37" s="525"/>
      <c r="O37" s="534"/>
      <c r="P37" s="547"/>
    </row>
    <row r="38" spans="1:17" s="515" customFormat="1">
      <c r="A38" s="562"/>
      <c r="B38" s="542"/>
      <c r="C38" s="547"/>
      <c r="D38" s="525"/>
      <c r="E38" s="533"/>
      <c r="F38" s="533"/>
      <c r="G38" s="533"/>
      <c r="H38" s="533"/>
      <c r="I38" s="533"/>
      <c r="J38" s="525"/>
      <c r="K38" s="533"/>
      <c r="L38" s="525"/>
      <c r="M38" s="533"/>
      <c r="N38" s="525"/>
      <c r="O38" s="534"/>
      <c r="P38" s="547"/>
    </row>
    <row r="39" spans="1:17" s="515" customFormat="1">
      <c r="A39" s="537"/>
      <c r="B39" s="542"/>
      <c r="C39" s="547"/>
      <c r="D39" s="525"/>
      <c r="E39" s="533"/>
      <c r="F39" s="533"/>
      <c r="G39" s="533"/>
      <c r="H39" s="533"/>
      <c r="I39" s="533"/>
      <c r="J39" s="525"/>
      <c r="K39" s="533"/>
      <c r="L39" s="525"/>
      <c r="M39" s="533"/>
      <c r="N39" s="525"/>
      <c r="O39" s="534"/>
      <c r="P39" s="547"/>
    </row>
    <row r="40" spans="1:17">
      <c r="A40" s="552"/>
      <c r="B40" s="525"/>
      <c r="C40" s="547"/>
      <c r="D40" s="525"/>
      <c r="E40" s="533"/>
      <c r="F40" s="533"/>
      <c r="G40" s="533"/>
      <c r="H40" s="533"/>
      <c r="I40" s="533"/>
      <c r="J40" s="525"/>
      <c r="K40" s="533"/>
      <c r="L40" s="525"/>
      <c r="M40" s="533"/>
      <c r="N40" s="525"/>
      <c r="O40" s="534"/>
      <c r="P40" s="547"/>
    </row>
    <row r="41" spans="1:17">
      <c r="A41" s="552"/>
      <c r="B41" s="515"/>
      <c r="C41" s="577"/>
      <c r="D41" s="533"/>
      <c r="E41" s="533"/>
      <c r="F41" s="533"/>
      <c r="G41" s="533"/>
      <c r="H41" s="533"/>
      <c r="I41" s="533"/>
      <c r="J41" s="529"/>
      <c r="K41" s="533"/>
      <c r="L41" s="529"/>
      <c r="M41" s="533"/>
      <c r="N41" s="529"/>
      <c r="O41" s="534"/>
      <c r="P41" s="547"/>
    </row>
    <row r="42" spans="1:17">
      <c r="A42" s="592"/>
      <c r="B42" s="538"/>
      <c r="C42" s="547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7">
      <c r="A43" s="552"/>
      <c r="B43" s="515"/>
      <c r="C43" s="577"/>
      <c r="D43" s="515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7">
      <c r="A44" s="552"/>
      <c r="B44" s="515"/>
      <c r="C44" s="547"/>
      <c r="D44" s="515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7">
      <c r="A45" s="552"/>
      <c r="B45" s="529"/>
      <c r="C45" s="547"/>
      <c r="D45" s="529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7">
      <c r="A46" s="552"/>
      <c r="B46" s="523"/>
      <c r="C46" s="547"/>
      <c r="D46" s="52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7">
      <c r="A47" s="515"/>
      <c r="B47" s="515"/>
      <c r="C47" s="515"/>
      <c r="D47" s="515"/>
      <c r="E47" s="515"/>
      <c r="F47" s="515"/>
      <c r="G47" s="515"/>
      <c r="H47" s="515"/>
      <c r="I47" s="515"/>
      <c r="J47" s="533"/>
      <c r="K47" s="533"/>
      <c r="L47" s="533"/>
      <c r="M47" s="533"/>
      <c r="N47" s="515"/>
      <c r="O47" s="534"/>
      <c r="P47" s="547"/>
    </row>
    <row r="48" spans="1:17">
      <c r="A48" s="552"/>
      <c r="B48" s="515"/>
      <c r="C48" s="547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52"/>
      <c r="B49" s="515"/>
      <c r="C49" s="547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52"/>
      <c r="B50" s="515"/>
      <c r="C50" s="547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52"/>
      <c r="B51" s="515"/>
      <c r="C51" s="533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</row>
    <row r="52" spans="1:16">
      <c r="A52" s="552"/>
      <c r="B52" s="515"/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</row>
    <row r="53" spans="1:16">
      <c r="A53" s="552"/>
      <c r="B53" s="515"/>
      <c r="C53" s="533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</row>
    <row r="54" spans="1:16">
      <c r="A54" s="552"/>
      <c r="B54" s="515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15"/>
      <c r="O54" s="534"/>
    </row>
    <row r="55" spans="1:16">
      <c r="A55" s="552"/>
      <c r="B55" s="515"/>
      <c r="C55" s="533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15"/>
      <c r="O55" s="534"/>
    </row>
    <row r="56" spans="1:16">
      <c r="A56" s="552"/>
      <c r="B56" s="515"/>
      <c r="C56" s="533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15"/>
      <c r="O56" s="534"/>
    </row>
    <row r="57" spans="1:16">
      <c r="A57" s="552"/>
      <c r="B57" s="515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15"/>
      <c r="O57" s="534"/>
    </row>
    <row r="58" spans="1:16">
      <c r="A58" s="552"/>
      <c r="B58" s="515"/>
      <c r="C58" s="533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15"/>
      <c r="O58" s="534"/>
    </row>
    <row r="59" spans="1:16">
      <c r="A59" s="552"/>
      <c r="B59" s="515"/>
      <c r="C59" s="533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15"/>
      <c r="O59" s="534"/>
    </row>
    <row r="60" spans="1:16">
      <c r="A60" s="552"/>
      <c r="B60" s="515"/>
      <c r="C60" s="533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15"/>
      <c r="O60" s="534"/>
    </row>
    <row r="61" spans="1:16">
      <c r="A61" s="552"/>
      <c r="B61" s="515"/>
      <c r="C61" s="533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15"/>
      <c r="O61" s="534"/>
    </row>
    <row r="62" spans="1:16">
      <c r="A62" s="552"/>
      <c r="B62" s="515"/>
      <c r="C62" s="533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15"/>
      <c r="O62" s="534"/>
    </row>
    <row r="63" spans="1:16">
      <c r="A63" s="552"/>
      <c r="B63" s="515"/>
      <c r="C63" s="533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15"/>
      <c r="O63" s="534"/>
    </row>
    <row r="64" spans="1:16">
      <c r="A64" s="552"/>
      <c r="B64" s="515"/>
      <c r="C64" s="533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15"/>
      <c r="O64" s="534"/>
    </row>
    <row r="65" spans="1:15">
      <c r="A65" s="552"/>
      <c r="B65" s="515"/>
      <c r="C65" s="533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15"/>
      <c r="O65" s="534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AH221"/>
  <sheetViews>
    <sheetView view="pageBreakPreview" zoomScale="75" zoomScaleNormal="100" zoomScaleSheetLayoutView="75" workbookViewId="0">
      <pane xSplit="3" ySplit="6" topLeftCell="D133" activePane="bottomRight" state="frozen"/>
      <selection activeCell="M24" sqref="M24"/>
      <selection pane="topRight" activeCell="M24" sqref="M24"/>
      <selection pane="bottomLeft" activeCell="M24" sqref="M24"/>
      <selection pane="bottomRight" activeCell="R149" sqref="R149"/>
    </sheetView>
  </sheetViews>
  <sheetFormatPr defaultColWidth="8.875" defaultRowHeight="15"/>
  <cols>
    <col min="1" max="1" width="4.125" style="780" customWidth="1"/>
    <col min="2" max="2" width="13.375" style="780" customWidth="1"/>
    <col min="3" max="3" width="13.5" style="780" customWidth="1"/>
    <col min="4" max="4" width="12.125" style="781" customWidth="1"/>
    <col min="5" max="5" width="1.625" style="780" customWidth="1"/>
    <col min="6" max="6" width="10.125" style="781" bestFit="1" customWidth="1"/>
    <col min="7" max="7" width="1.625" style="780" customWidth="1"/>
    <col min="8" max="8" width="23.125" style="720" bestFit="1" customWidth="1"/>
    <col min="9" max="9" width="2.625" style="720" customWidth="1"/>
    <col min="10" max="10" width="11.375" style="780" bestFit="1" customWidth="1"/>
    <col min="11" max="11" width="1.625" style="780" customWidth="1"/>
    <col min="12" max="12" width="10.5" style="780" bestFit="1" customWidth="1"/>
    <col min="13" max="13" width="1.625" style="780" customWidth="1"/>
    <col min="14" max="14" width="13.125" style="780" bestFit="1" customWidth="1"/>
    <col min="15" max="15" width="1.625" style="782" customWidth="1"/>
    <col min="16" max="16" width="13.125" style="780" bestFit="1" customWidth="1"/>
    <col min="17" max="17" width="1.625" style="780" customWidth="1"/>
    <col min="18" max="18" width="12.75" style="780" bestFit="1" customWidth="1"/>
    <col min="19" max="19" width="1.625" style="780" customWidth="1"/>
    <col min="20" max="20" width="13.125" style="780" bestFit="1" customWidth="1"/>
    <col min="21" max="21" width="12.125" style="780" customWidth="1"/>
    <col min="22" max="22" width="13.625" style="780" bestFit="1" customWidth="1"/>
    <col min="23" max="23" width="1.625" style="780" customWidth="1"/>
    <col min="24" max="24" width="13" style="780" bestFit="1" customWidth="1"/>
    <col min="25" max="25" width="1.625" style="780" customWidth="1"/>
    <col min="26" max="26" width="8.875" style="780" customWidth="1"/>
    <col min="27" max="27" width="1.625" style="780" customWidth="1"/>
    <col min="28" max="28" width="11.5" style="780" bestFit="1" customWidth="1"/>
    <col min="29" max="29" width="1.625" style="780" customWidth="1"/>
    <col min="30" max="16384" width="8.875" style="780"/>
  </cols>
  <sheetData>
    <row r="1" spans="1:22">
      <c r="A1" s="779" t="s">
        <v>350</v>
      </c>
      <c r="R1" s="783" t="s">
        <v>400</v>
      </c>
    </row>
    <row r="2" spans="1:22">
      <c r="A2" s="779" t="str">
        <f>'Sch.A-B.S'!F2</f>
        <v>Case No. 2013 - 00237</v>
      </c>
      <c r="R2" s="783"/>
    </row>
    <row r="3" spans="1:22">
      <c r="A3" s="779" t="s">
        <v>347</v>
      </c>
    </row>
    <row r="4" spans="1:22">
      <c r="A4" s="779" t="str">
        <f>'Sch.B-I.S'!A4</f>
        <v>Test Year 12/31/2012</v>
      </c>
    </row>
    <row r="5" spans="1:22">
      <c r="H5" s="784"/>
      <c r="I5" s="784"/>
      <c r="L5" s="785"/>
      <c r="M5" s="785"/>
      <c r="N5" s="786"/>
      <c r="O5" s="787"/>
    </row>
    <row r="6" spans="1:22" s="788" customFormat="1" ht="34.5" customHeight="1">
      <c r="D6" s="789" t="s">
        <v>777</v>
      </c>
      <c r="F6" s="789" t="s">
        <v>778</v>
      </c>
      <c r="H6" s="790" t="s">
        <v>1776</v>
      </c>
      <c r="I6" s="791"/>
      <c r="J6" s="789" t="s">
        <v>779</v>
      </c>
      <c r="L6" s="789" t="s">
        <v>363</v>
      </c>
      <c r="N6" s="789" t="s">
        <v>364</v>
      </c>
      <c r="O6" s="792"/>
      <c r="P6" s="789" t="s">
        <v>880</v>
      </c>
      <c r="R6" s="789" t="s">
        <v>365</v>
      </c>
      <c r="T6" s="370"/>
    </row>
    <row r="7" spans="1:22" s="794" customFormat="1">
      <c r="A7" s="793"/>
      <c r="C7" s="793"/>
      <c r="D7" s="781"/>
      <c r="E7" s="793"/>
      <c r="H7" s="795"/>
      <c r="I7" s="795"/>
      <c r="O7" s="796"/>
      <c r="T7" s="797" t="s">
        <v>366</v>
      </c>
      <c r="U7" s="798" t="s">
        <v>569</v>
      </c>
      <c r="V7" s="798" t="s">
        <v>367</v>
      </c>
    </row>
    <row r="8" spans="1:22" s="794" customFormat="1">
      <c r="A8" s="793" t="s">
        <v>373</v>
      </c>
      <c r="C8" s="793"/>
      <c r="D8" s="781"/>
      <c r="E8" s="793"/>
      <c r="H8" s="795"/>
      <c r="I8" s="795"/>
      <c r="O8" s="796"/>
      <c r="T8" s="797"/>
      <c r="U8" s="798"/>
      <c r="V8" s="798"/>
    </row>
    <row r="9" spans="1:22">
      <c r="B9" s="780" t="s">
        <v>640</v>
      </c>
      <c r="D9" s="370">
        <v>1981</v>
      </c>
      <c r="F9" s="799">
        <v>29587</v>
      </c>
      <c r="G9" s="800"/>
      <c r="H9" s="335">
        <v>3257.48</v>
      </c>
      <c r="J9" s="801">
        <f t="shared" ref="J9:J72" si="0">VLOOKUP(D9,$T$17:$W$55,2,FALSE)</f>
        <v>31</v>
      </c>
      <c r="K9" s="801"/>
      <c r="L9" s="785">
        <f t="shared" ref="L9:L40" si="1">VLOOKUP(B9,$T$9:$U$13,2,FALSE)</f>
        <v>0</v>
      </c>
      <c r="M9" s="785"/>
      <c r="N9" s="803">
        <f t="shared" ref="N9:N40" si="2">IF(L9*J9*H9&gt;H9,H9,L9*J9*H9)</f>
        <v>0</v>
      </c>
      <c r="O9" s="803"/>
      <c r="P9" s="803">
        <f t="shared" ref="P9:P40" si="3">H9-N9</f>
        <v>3257.48</v>
      </c>
      <c r="Q9" s="802"/>
      <c r="R9" s="804" t="str">
        <f t="shared" ref="R9:R40" si="4">IF(N9=H9,"Yes","No")</f>
        <v>No</v>
      </c>
      <c r="S9" s="804"/>
      <c r="T9" s="780" t="s">
        <v>369</v>
      </c>
      <c r="U9" s="50">
        <v>0.02</v>
      </c>
      <c r="V9" s="781">
        <v>50</v>
      </c>
    </row>
    <row r="10" spans="1:22">
      <c r="B10" s="780" t="s">
        <v>640</v>
      </c>
      <c r="D10" s="370">
        <v>1981</v>
      </c>
      <c r="F10" s="799">
        <v>29587</v>
      </c>
      <c r="G10" s="800"/>
      <c r="H10" s="335">
        <v>596</v>
      </c>
      <c r="I10" s="335"/>
      <c r="J10" s="801">
        <f t="shared" si="0"/>
        <v>31</v>
      </c>
      <c r="K10" s="801"/>
      <c r="L10" s="785">
        <f t="shared" si="1"/>
        <v>0</v>
      </c>
      <c r="M10" s="785"/>
      <c r="N10" s="803">
        <f t="shared" si="2"/>
        <v>0</v>
      </c>
      <c r="O10" s="803"/>
      <c r="P10" s="803">
        <f t="shared" si="3"/>
        <v>596</v>
      </c>
      <c r="Q10" s="802"/>
      <c r="R10" s="804" t="str">
        <f t="shared" si="4"/>
        <v>No</v>
      </c>
      <c r="S10" s="804"/>
      <c r="T10" s="780" t="s">
        <v>370</v>
      </c>
      <c r="U10" s="50">
        <f>ROUND(1/V10,3)</f>
        <v>0.25</v>
      </c>
      <c r="V10" s="781">
        <v>4</v>
      </c>
    </row>
    <row r="11" spans="1:22">
      <c r="B11" s="780" t="s">
        <v>640</v>
      </c>
      <c r="D11" s="370">
        <v>1981</v>
      </c>
      <c r="F11" s="799">
        <v>29587</v>
      </c>
      <c r="G11" s="800"/>
      <c r="H11" s="335">
        <v>1234.5</v>
      </c>
      <c r="J11" s="801">
        <f t="shared" si="0"/>
        <v>31</v>
      </c>
      <c r="K11" s="801"/>
      <c r="L11" s="785">
        <f t="shared" si="1"/>
        <v>0</v>
      </c>
      <c r="M11" s="785"/>
      <c r="N11" s="803">
        <f t="shared" si="2"/>
        <v>0</v>
      </c>
      <c r="O11" s="803"/>
      <c r="P11" s="803">
        <f t="shared" si="3"/>
        <v>1234.5</v>
      </c>
      <c r="Q11" s="802"/>
      <c r="R11" s="804" t="str">
        <f t="shared" si="4"/>
        <v>No</v>
      </c>
      <c r="S11" s="804"/>
      <c r="T11" s="780" t="s">
        <v>101</v>
      </c>
      <c r="U11" s="50">
        <v>0.125</v>
      </c>
      <c r="V11" s="781">
        <v>4</v>
      </c>
    </row>
    <row r="12" spans="1:22">
      <c r="B12" s="780" t="s">
        <v>369</v>
      </c>
      <c r="D12" s="370">
        <v>1985</v>
      </c>
      <c r="F12" s="799">
        <v>31372</v>
      </c>
      <c r="G12" s="800"/>
      <c r="H12" s="335">
        <v>13478.2</v>
      </c>
      <c r="J12" s="801">
        <f t="shared" si="0"/>
        <v>27</v>
      </c>
      <c r="K12" s="801"/>
      <c r="L12" s="785">
        <f t="shared" si="1"/>
        <v>0.02</v>
      </c>
      <c r="M12" s="785"/>
      <c r="N12" s="803">
        <f>IF(L12*J12*H12&gt;H12,H12,L12*J12*H12)</f>
        <v>7278.228000000001</v>
      </c>
      <c r="O12" s="803"/>
      <c r="P12" s="803">
        <f t="shared" si="3"/>
        <v>6199.9719999999998</v>
      </c>
      <c r="Q12" s="802"/>
      <c r="R12" s="804" t="str">
        <f t="shared" si="4"/>
        <v>No</v>
      </c>
      <c r="S12" s="804"/>
      <c r="T12" s="780" t="s">
        <v>640</v>
      </c>
      <c r="U12" s="50">
        <v>0</v>
      </c>
      <c r="V12" s="781">
        <v>0</v>
      </c>
    </row>
    <row r="13" spans="1:22">
      <c r="B13" s="780" t="s">
        <v>369</v>
      </c>
      <c r="D13" s="370">
        <v>1985</v>
      </c>
      <c r="F13" s="799">
        <v>31372</v>
      </c>
      <c r="G13" s="800"/>
      <c r="H13" s="335">
        <v>185476.3</v>
      </c>
      <c r="J13" s="801">
        <f t="shared" si="0"/>
        <v>27</v>
      </c>
      <c r="K13" s="801"/>
      <c r="L13" s="785">
        <f t="shared" si="1"/>
        <v>0.02</v>
      </c>
      <c r="M13" s="785"/>
      <c r="N13" s="803">
        <f t="shared" si="2"/>
        <v>100157.202</v>
      </c>
      <c r="O13" s="803"/>
      <c r="P13" s="803">
        <f t="shared" si="3"/>
        <v>85319.097999999984</v>
      </c>
      <c r="Q13" s="802"/>
      <c r="R13" s="804" t="str">
        <f t="shared" si="4"/>
        <v>No</v>
      </c>
      <c r="S13" s="804"/>
      <c r="T13" s="780" t="s">
        <v>592</v>
      </c>
      <c r="U13" s="50">
        <v>0</v>
      </c>
      <c r="V13" s="781">
        <v>0</v>
      </c>
    </row>
    <row r="14" spans="1:22">
      <c r="B14" s="780" t="s">
        <v>369</v>
      </c>
      <c r="D14" s="370">
        <v>1985</v>
      </c>
      <c r="F14" s="799">
        <v>31372</v>
      </c>
      <c r="G14" s="800"/>
      <c r="H14" s="335">
        <v>2641.38</v>
      </c>
      <c r="J14" s="801">
        <f t="shared" si="0"/>
        <v>27</v>
      </c>
      <c r="K14" s="801"/>
      <c r="L14" s="785">
        <f t="shared" si="1"/>
        <v>0.02</v>
      </c>
      <c r="M14" s="785"/>
      <c r="N14" s="803">
        <f t="shared" si="2"/>
        <v>1426.3452000000002</v>
      </c>
      <c r="O14" s="803"/>
      <c r="P14" s="803">
        <f t="shared" si="3"/>
        <v>1215.0347999999999</v>
      </c>
      <c r="Q14" s="802"/>
      <c r="R14" s="804" t="str">
        <f t="shared" si="4"/>
        <v>No</v>
      </c>
      <c r="S14" s="804"/>
      <c r="T14" s="780" t="s">
        <v>371</v>
      </c>
      <c r="U14" s="805"/>
    </row>
    <row r="15" spans="1:22">
      <c r="B15" s="780" t="s">
        <v>369</v>
      </c>
      <c r="D15" s="370">
        <v>1985</v>
      </c>
      <c r="F15" s="799">
        <v>31372</v>
      </c>
      <c r="G15" s="800"/>
      <c r="H15" s="335">
        <v>6336.72</v>
      </c>
      <c r="J15" s="801">
        <f t="shared" si="0"/>
        <v>27</v>
      </c>
      <c r="K15" s="801"/>
      <c r="L15" s="785">
        <f t="shared" si="1"/>
        <v>0.02</v>
      </c>
      <c r="M15" s="785"/>
      <c r="N15" s="803">
        <f t="shared" si="2"/>
        <v>3421.8288000000002</v>
      </c>
      <c r="O15" s="803"/>
      <c r="P15" s="803">
        <f t="shared" si="3"/>
        <v>2914.8912</v>
      </c>
      <c r="Q15" s="802"/>
      <c r="R15" s="804" t="str">
        <f t="shared" si="4"/>
        <v>No</v>
      </c>
      <c r="S15" s="804"/>
    </row>
    <row r="16" spans="1:22">
      <c r="B16" s="780" t="s">
        <v>369</v>
      </c>
      <c r="D16" s="370">
        <v>1985</v>
      </c>
      <c r="F16" s="799">
        <v>31372</v>
      </c>
      <c r="G16" s="800"/>
      <c r="H16" s="335">
        <v>30123.53</v>
      </c>
      <c r="J16" s="801">
        <f t="shared" si="0"/>
        <v>27</v>
      </c>
      <c r="K16" s="801"/>
      <c r="L16" s="785">
        <f t="shared" si="1"/>
        <v>0.02</v>
      </c>
      <c r="M16" s="785"/>
      <c r="N16" s="803">
        <f t="shared" si="2"/>
        <v>16266.706200000001</v>
      </c>
      <c r="O16" s="803"/>
      <c r="P16" s="803">
        <f t="shared" si="3"/>
        <v>13856.823799999998</v>
      </c>
      <c r="Q16" s="802"/>
      <c r="R16" s="804" t="str">
        <f t="shared" si="4"/>
        <v>No</v>
      </c>
      <c r="S16" s="804"/>
      <c r="U16" s="806">
        <v>41274</v>
      </c>
      <c r="V16" s="800"/>
    </row>
    <row r="17" spans="2:21">
      <c r="B17" s="780" t="s">
        <v>369</v>
      </c>
      <c r="D17" s="370">
        <v>1985</v>
      </c>
      <c r="F17" s="799">
        <v>31372</v>
      </c>
      <c r="G17" s="800"/>
      <c r="H17" s="335">
        <v>194242.01</v>
      </c>
      <c r="J17" s="801">
        <f t="shared" si="0"/>
        <v>27</v>
      </c>
      <c r="K17" s="801"/>
      <c r="L17" s="785">
        <f t="shared" si="1"/>
        <v>0.02</v>
      </c>
      <c r="M17" s="785"/>
      <c r="N17" s="803">
        <f t="shared" si="2"/>
        <v>104890.68540000002</v>
      </c>
      <c r="O17" s="803"/>
      <c r="P17" s="803">
        <f t="shared" si="3"/>
        <v>89351.324599999993</v>
      </c>
      <c r="Q17" s="802"/>
      <c r="R17" s="804" t="str">
        <f t="shared" si="4"/>
        <v>No</v>
      </c>
      <c r="S17" s="804"/>
      <c r="T17" s="370">
        <v>1974</v>
      </c>
      <c r="U17" s="780">
        <f>2012-T17</f>
        <v>38</v>
      </c>
    </row>
    <row r="18" spans="2:21">
      <c r="B18" s="780" t="s">
        <v>369</v>
      </c>
      <c r="D18" s="370">
        <v>1985</v>
      </c>
      <c r="F18" s="799">
        <v>31372</v>
      </c>
      <c r="H18" s="335">
        <v>25622.799999999999</v>
      </c>
      <c r="J18" s="801">
        <f t="shared" si="0"/>
        <v>27</v>
      </c>
      <c r="K18" s="801"/>
      <c r="L18" s="785">
        <f t="shared" si="1"/>
        <v>0.02</v>
      </c>
      <c r="M18" s="785"/>
      <c r="N18" s="803">
        <f t="shared" si="2"/>
        <v>13836.312</v>
      </c>
      <c r="O18" s="803"/>
      <c r="P18" s="803">
        <f t="shared" si="3"/>
        <v>11786.487999999999</v>
      </c>
      <c r="Q18" s="802"/>
      <c r="R18" s="804" t="str">
        <f t="shared" si="4"/>
        <v>No</v>
      </c>
      <c r="S18" s="804"/>
      <c r="T18" s="370">
        <v>1975</v>
      </c>
      <c r="U18" s="780">
        <f t="shared" ref="U18:U55" si="5">2012-T18</f>
        <v>37</v>
      </c>
    </row>
    <row r="19" spans="2:21">
      <c r="B19" s="780" t="s">
        <v>369</v>
      </c>
      <c r="D19" s="370">
        <v>1985</v>
      </c>
      <c r="F19" s="799">
        <v>31372</v>
      </c>
      <c r="H19" s="335">
        <v>334189.62</v>
      </c>
      <c r="J19" s="801">
        <f t="shared" si="0"/>
        <v>27</v>
      </c>
      <c r="K19" s="801"/>
      <c r="L19" s="785">
        <f t="shared" si="1"/>
        <v>0.02</v>
      </c>
      <c r="M19" s="785"/>
      <c r="N19" s="803">
        <f t="shared" si="2"/>
        <v>180462.39480000001</v>
      </c>
      <c r="O19" s="803"/>
      <c r="P19" s="803">
        <f t="shared" si="3"/>
        <v>153727.22519999999</v>
      </c>
      <c r="Q19" s="802"/>
      <c r="R19" s="804" t="str">
        <f t="shared" si="4"/>
        <v>No</v>
      </c>
      <c r="S19" s="804"/>
      <c r="T19" s="370">
        <v>1976</v>
      </c>
      <c r="U19" s="780">
        <f t="shared" si="5"/>
        <v>36</v>
      </c>
    </row>
    <row r="20" spans="2:21">
      <c r="B20" s="780" t="s">
        <v>369</v>
      </c>
      <c r="D20" s="370">
        <v>1985</v>
      </c>
      <c r="F20" s="799">
        <v>31372</v>
      </c>
      <c r="H20" s="335">
        <v>13680.34</v>
      </c>
      <c r="J20" s="801">
        <f t="shared" si="0"/>
        <v>27</v>
      </c>
      <c r="K20" s="801"/>
      <c r="L20" s="785">
        <f t="shared" si="1"/>
        <v>0.02</v>
      </c>
      <c r="M20" s="785"/>
      <c r="N20" s="803">
        <f t="shared" si="2"/>
        <v>7387.3836000000001</v>
      </c>
      <c r="O20" s="803"/>
      <c r="P20" s="803">
        <f t="shared" si="3"/>
        <v>6292.9564</v>
      </c>
      <c r="Q20" s="802"/>
      <c r="R20" s="804" t="str">
        <f t="shared" si="4"/>
        <v>No</v>
      </c>
      <c r="S20" s="804"/>
      <c r="T20" s="370">
        <v>1977</v>
      </c>
      <c r="U20" s="780">
        <f t="shared" si="5"/>
        <v>35</v>
      </c>
    </row>
    <row r="21" spans="2:21">
      <c r="B21" s="780" t="s">
        <v>369</v>
      </c>
      <c r="D21" s="370">
        <v>1985</v>
      </c>
      <c r="F21" s="799">
        <v>31372</v>
      </c>
      <c r="H21" s="335">
        <v>10164.719999999999</v>
      </c>
      <c r="J21" s="801">
        <f t="shared" si="0"/>
        <v>27</v>
      </c>
      <c r="K21" s="801"/>
      <c r="L21" s="785">
        <f t="shared" si="1"/>
        <v>0.02</v>
      </c>
      <c r="M21" s="785"/>
      <c r="N21" s="803">
        <f t="shared" si="2"/>
        <v>5488.9488000000001</v>
      </c>
      <c r="O21" s="803"/>
      <c r="P21" s="803">
        <f t="shared" si="3"/>
        <v>4675.7711999999992</v>
      </c>
      <c r="Q21" s="802"/>
      <c r="R21" s="804" t="str">
        <f t="shared" si="4"/>
        <v>No</v>
      </c>
      <c r="S21" s="804"/>
      <c r="T21" s="370">
        <v>1978</v>
      </c>
      <c r="U21" s="780">
        <f t="shared" si="5"/>
        <v>34</v>
      </c>
    </row>
    <row r="22" spans="2:21">
      <c r="B22" s="780" t="s">
        <v>369</v>
      </c>
      <c r="D22" s="370">
        <v>1985</v>
      </c>
      <c r="F22" s="799">
        <v>31372</v>
      </c>
      <c r="H22" s="335">
        <v>312686.93</v>
      </c>
      <c r="J22" s="801">
        <f t="shared" si="0"/>
        <v>27</v>
      </c>
      <c r="K22" s="801"/>
      <c r="L22" s="785">
        <f t="shared" si="1"/>
        <v>0.02</v>
      </c>
      <c r="M22" s="785"/>
      <c r="N22" s="803">
        <f t="shared" si="2"/>
        <v>168850.94220000002</v>
      </c>
      <c r="O22" s="803"/>
      <c r="P22" s="803">
        <f t="shared" si="3"/>
        <v>143835.98779999997</v>
      </c>
      <c r="Q22" s="802"/>
      <c r="R22" s="804" t="str">
        <f t="shared" si="4"/>
        <v>No</v>
      </c>
      <c r="S22" s="804"/>
      <c r="T22" s="370">
        <v>1979</v>
      </c>
      <c r="U22" s="780">
        <f t="shared" si="5"/>
        <v>33</v>
      </c>
    </row>
    <row r="23" spans="2:21">
      <c r="B23" s="780" t="s">
        <v>369</v>
      </c>
      <c r="D23" s="370">
        <v>1985</v>
      </c>
      <c r="F23" s="799">
        <v>31372</v>
      </c>
      <c r="H23" s="335">
        <v>125585.14</v>
      </c>
      <c r="J23" s="801">
        <f t="shared" si="0"/>
        <v>27</v>
      </c>
      <c r="K23" s="801"/>
      <c r="L23" s="785">
        <f t="shared" si="1"/>
        <v>0.02</v>
      </c>
      <c r="M23" s="785"/>
      <c r="N23" s="803">
        <f t="shared" si="2"/>
        <v>67815.975600000005</v>
      </c>
      <c r="O23" s="803"/>
      <c r="P23" s="803">
        <f t="shared" si="3"/>
        <v>57769.164399999994</v>
      </c>
      <c r="Q23" s="802"/>
      <c r="R23" s="804" t="str">
        <f t="shared" si="4"/>
        <v>No</v>
      </c>
      <c r="S23" s="804"/>
      <c r="T23" s="370">
        <v>1980</v>
      </c>
      <c r="U23" s="780">
        <f t="shared" si="5"/>
        <v>32</v>
      </c>
    </row>
    <row r="24" spans="2:21">
      <c r="B24" s="780" t="s">
        <v>369</v>
      </c>
      <c r="D24" s="370">
        <v>1985</v>
      </c>
      <c r="F24" s="799">
        <v>31372</v>
      </c>
      <c r="H24" s="335">
        <v>2264076.4700000002</v>
      </c>
      <c r="J24" s="801">
        <f t="shared" si="0"/>
        <v>27</v>
      </c>
      <c r="K24" s="801"/>
      <c r="L24" s="785">
        <f t="shared" si="1"/>
        <v>0.02</v>
      </c>
      <c r="M24" s="785"/>
      <c r="N24" s="803">
        <f t="shared" si="2"/>
        <v>1222601.2938000001</v>
      </c>
      <c r="O24" s="803"/>
      <c r="P24" s="803">
        <f t="shared" si="3"/>
        <v>1041475.1762000001</v>
      </c>
      <c r="Q24" s="802"/>
      <c r="R24" s="804" t="str">
        <f t="shared" si="4"/>
        <v>No</v>
      </c>
      <c r="S24" s="804"/>
      <c r="T24" s="370">
        <v>1981</v>
      </c>
      <c r="U24" s="780">
        <f t="shared" si="5"/>
        <v>31</v>
      </c>
    </row>
    <row r="25" spans="2:21">
      <c r="B25" s="780" t="s">
        <v>369</v>
      </c>
      <c r="C25" s="782"/>
      <c r="D25" s="370">
        <v>1985</v>
      </c>
      <c r="E25" s="782"/>
      <c r="F25" s="799">
        <v>31372</v>
      </c>
      <c r="G25" s="782"/>
      <c r="H25" s="335">
        <v>283658.51</v>
      </c>
      <c r="J25" s="801">
        <f t="shared" si="0"/>
        <v>27</v>
      </c>
      <c r="K25" s="801"/>
      <c r="L25" s="785">
        <f t="shared" si="1"/>
        <v>0.02</v>
      </c>
      <c r="M25" s="785"/>
      <c r="N25" s="803">
        <f t="shared" si="2"/>
        <v>153175.59540000002</v>
      </c>
      <c r="O25" s="803"/>
      <c r="P25" s="803">
        <f t="shared" si="3"/>
        <v>130482.91459999999</v>
      </c>
      <c r="Q25" s="802"/>
      <c r="R25" s="804" t="str">
        <f t="shared" si="4"/>
        <v>No</v>
      </c>
      <c r="S25" s="804"/>
      <c r="T25" s="370">
        <v>1982</v>
      </c>
      <c r="U25" s="780">
        <f t="shared" si="5"/>
        <v>30</v>
      </c>
    </row>
    <row r="26" spans="2:21">
      <c r="B26" s="780" t="s">
        <v>369</v>
      </c>
      <c r="C26" s="782"/>
      <c r="D26" s="370">
        <v>1985</v>
      </c>
      <c r="E26" s="782"/>
      <c r="F26" s="799">
        <v>31372</v>
      </c>
      <c r="G26" s="807"/>
      <c r="H26" s="335">
        <v>40452.800000000003</v>
      </c>
      <c r="J26" s="801">
        <f t="shared" si="0"/>
        <v>27</v>
      </c>
      <c r="K26" s="801"/>
      <c r="L26" s="785">
        <f t="shared" si="1"/>
        <v>0.02</v>
      </c>
      <c r="M26" s="785"/>
      <c r="N26" s="803">
        <f t="shared" si="2"/>
        <v>21844.512000000002</v>
      </c>
      <c r="O26" s="803"/>
      <c r="P26" s="803">
        <f t="shared" si="3"/>
        <v>18608.288</v>
      </c>
      <c r="Q26" s="802"/>
      <c r="R26" s="804" t="str">
        <f t="shared" si="4"/>
        <v>No</v>
      </c>
      <c r="S26" s="804"/>
      <c r="T26" s="370">
        <v>1983</v>
      </c>
      <c r="U26" s="780">
        <f t="shared" si="5"/>
        <v>29</v>
      </c>
    </row>
    <row r="27" spans="2:21">
      <c r="B27" s="780" t="s">
        <v>369</v>
      </c>
      <c r="C27" s="782"/>
      <c r="D27" s="370">
        <v>1985</v>
      </c>
      <c r="E27" s="782"/>
      <c r="F27" s="799">
        <v>31372</v>
      </c>
      <c r="G27" s="807"/>
      <c r="H27" s="335">
        <v>515437.63</v>
      </c>
      <c r="J27" s="801">
        <f t="shared" si="0"/>
        <v>27</v>
      </c>
      <c r="K27" s="801"/>
      <c r="L27" s="785">
        <f t="shared" si="1"/>
        <v>0.02</v>
      </c>
      <c r="M27" s="785"/>
      <c r="N27" s="803">
        <f t="shared" si="2"/>
        <v>278336.32020000002</v>
      </c>
      <c r="O27" s="803"/>
      <c r="P27" s="803">
        <f t="shared" si="3"/>
        <v>237101.30979999999</v>
      </c>
      <c r="Q27" s="802"/>
      <c r="R27" s="804" t="str">
        <f t="shared" si="4"/>
        <v>No</v>
      </c>
      <c r="S27" s="804"/>
      <c r="T27" s="370">
        <v>1984</v>
      </c>
      <c r="U27" s="780">
        <f t="shared" si="5"/>
        <v>28</v>
      </c>
    </row>
    <row r="28" spans="2:21">
      <c r="B28" s="780" t="s">
        <v>369</v>
      </c>
      <c r="C28" s="782"/>
      <c r="D28" s="370">
        <v>1985</v>
      </c>
      <c r="E28" s="782"/>
      <c r="F28" s="799">
        <v>31372</v>
      </c>
      <c r="G28" s="807"/>
      <c r="H28" s="335">
        <v>78560.820000000007</v>
      </c>
      <c r="J28" s="801">
        <f t="shared" si="0"/>
        <v>27</v>
      </c>
      <c r="K28" s="801"/>
      <c r="L28" s="785">
        <f t="shared" si="1"/>
        <v>0.02</v>
      </c>
      <c r="M28" s="785"/>
      <c r="N28" s="803">
        <f t="shared" si="2"/>
        <v>42422.842800000006</v>
      </c>
      <c r="O28" s="803"/>
      <c r="P28" s="803">
        <f t="shared" si="3"/>
        <v>36137.977200000001</v>
      </c>
      <c r="Q28" s="802"/>
      <c r="R28" s="804" t="str">
        <f t="shared" si="4"/>
        <v>No</v>
      </c>
      <c r="S28" s="804"/>
      <c r="T28" s="370">
        <v>1985</v>
      </c>
      <c r="U28" s="780">
        <f t="shared" si="5"/>
        <v>27</v>
      </c>
    </row>
    <row r="29" spans="2:21">
      <c r="B29" s="780" t="s">
        <v>369</v>
      </c>
      <c r="C29" s="782"/>
      <c r="D29" s="370">
        <v>1985</v>
      </c>
      <c r="E29" s="782"/>
      <c r="F29" s="799">
        <v>31372</v>
      </c>
      <c r="G29" s="807"/>
      <c r="H29" s="335">
        <v>370692.25</v>
      </c>
      <c r="J29" s="801">
        <f t="shared" si="0"/>
        <v>27</v>
      </c>
      <c r="K29" s="801"/>
      <c r="L29" s="785">
        <f t="shared" si="1"/>
        <v>0.02</v>
      </c>
      <c r="M29" s="785"/>
      <c r="N29" s="803">
        <f t="shared" si="2"/>
        <v>200173.815</v>
      </c>
      <c r="O29" s="803"/>
      <c r="P29" s="803">
        <f t="shared" si="3"/>
        <v>170518.435</v>
      </c>
      <c r="Q29" s="802"/>
      <c r="R29" s="804" t="str">
        <f t="shared" si="4"/>
        <v>No</v>
      </c>
      <c r="S29" s="804"/>
      <c r="T29" s="370">
        <v>1986</v>
      </c>
      <c r="U29" s="780">
        <f t="shared" si="5"/>
        <v>26</v>
      </c>
    </row>
    <row r="30" spans="2:21">
      <c r="B30" s="780" t="s">
        <v>369</v>
      </c>
      <c r="C30" s="782"/>
      <c r="D30" s="370">
        <v>1985</v>
      </c>
      <c r="E30" s="782"/>
      <c r="F30" s="799">
        <v>31372</v>
      </c>
      <c r="G30" s="807"/>
      <c r="H30" s="335">
        <v>70195.28</v>
      </c>
      <c r="J30" s="801">
        <f t="shared" si="0"/>
        <v>27</v>
      </c>
      <c r="K30" s="801"/>
      <c r="L30" s="785">
        <f t="shared" si="1"/>
        <v>0.02</v>
      </c>
      <c r="M30" s="785"/>
      <c r="N30" s="803">
        <f t="shared" si="2"/>
        <v>37905.451200000003</v>
      </c>
      <c r="O30" s="803"/>
      <c r="P30" s="803">
        <f t="shared" si="3"/>
        <v>32289.828799999996</v>
      </c>
      <c r="Q30" s="802"/>
      <c r="R30" s="804" t="str">
        <f t="shared" si="4"/>
        <v>No</v>
      </c>
      <c r="S30" s="804"/>
      <c r="T30" s="370">
        <v>1987</v>
      </c>
      <c r="U30" s="780">
        <f t="shared" si="5"/>
        <v>25</v>
      </c>
    </row>
    <row r="31" spans="2:21">
      <c r="B31" s="780" t="s">
        <v>369</v>
      </c>
      <c r="C31" s="782"/>
      <c r="D31" s="370">
        <v>1985</v>
      </c>
      <c r="E31" s="782"/>
      <c r="F31" s="799">
        <v>31372</v>
      </c>
      <c r="G31" s="807"/>
      <c r="H31" s="335">
        <v>145967.76</v>
      </c>
      <c r="J31" s="801">
        <f t="shared" si="0"/>
        <v>27</v>
      </c>
      <c r="K31" s="801"/>
      <c r="L31" s="785">
        <f t="shared" si="1"/>
        <v>0.02</v>
      </c>
      <c r="M31" s="785"/>
      <c r="N31" s="803">
        <f t="shared" si="2"/>
        <v>78822.590400000016</v>
      </c>
      <c r="O31" s="803"/>
      <c r="P31" s="803">
        <f t="shared" si="3"/>
        <v>67145.169599999994</v>
      </c>
      <c r="Q31" s="802"/>
      <c r="R31" s="804" t="str">
        <f t="shared" si="4"/>
        <v>No</v>
      </c>
      <c r="S31" s="804"/>
      <c r="T31" s="370">
        <v>1988</v>
      </c>
      <c r="U31" s="780">
        <f t="shared" si="5"/>
        <v>24</v>
      </c>
    </row>
    <row r="32" spans="2:21">
      <c r="B32" s="780" t="s">
        <v>369</v>
      </c>
      <c r="C32" s="782"/>
      <c r="D32" s="370">
        <v>1985</v>
      </c>
      <c r="E32" s="782"/>
      <c r="F32" s="799">
        <v>31372</v>
      </c>
      <c r="G32" s="807"/>
      <c r="H32" s="335">
        <v>19188.32</v>
      </c>
      <c r="J32" s="801">
        <f t="shared" si="0"/>
        <v>27</v>
      </c>
      <c r="K32" s="801"/>
      <c r="L32" s="785">
        <f t="shared" si="1"/>
        <v>0.02</v>
      </c>
      <c r="M32" s="785"/>
      <c r="N32" s="803">
        <f t="shared" si="2"/>
        <v>10361.692800000001</v>
      </c>
      <c r="O32" s="803"/>
      <c r="P32" s="803">
        <f t="shared" si="3"/>
        <v>8826.627199999999</v>
      </c>
      <c r="Q32" s="802"/>
      <c r="R32" s="804" t="str">
        <f t="shared" si="4"/>
        <v>No</v>
      </c>
      <c r="S32" s="804"/>
      <c r="T32" s="370">
        <v>1989</v>
      </c>
      <c r="U32" s="780">
        <f t="shared" si="5"/>
        <v>23</v>
      </c>
    </row>
    <row r="33" spans="1:21">
      <c r="B33" s="780" t="s">
        <v>369</v>
      </c>
      <c r="C33" s="782"/>
      <c r="D33" s="370">
        <v>1985</v>
      </c>
      <c r="E33" s="782"/>
      <c r="F33" s="799">
        <v>31372</v>
      </c>
      <c r="G33" s="807"/>
      <c r="H33" s="335">
        <v>129343.47</v>
      </c>
      <c r="J33" s="801">
        <f t="shared" si="0"/>
        <v>27</v>
      </c>
      <c r="K33" s="801"/>
      <c r="L33" s="785">
        <f t="shared" si="1"/>
        <v>0.02</v>
      </c>
      <c r="M33" s="785"/>
      <c r="N33" s="803">
        <f t="shared" si="2"/>
        <v>69845.473800000007</v>
      </c>
      <c r="O33" s="803"/>
      <c r="P33" s="803">
        <f t="shared" si="3"/>
        <v>59497.996199999994</v>
      </c>
      <c r="Q33" s="802"/>
      <c r="R33" s="804" t="str">
        <f t="shared" si="4"/>
        <v>No</v>
      </c>
      <c r="S33" s="804"/>
      <c r="T33" s="370">
        <v>1990</v>
      </c>
      <c r="U33" s="780">
        <f t="shared" si="5"/>
        <v>22</v>
      </c>
    </row>
    <row r="34" spans="1:21">
      <c r="B34" s="780" t="s">
        <v>369</v>
      </c>
      <c r="C34" s="782"/>
      <c r="D34" s="370">
        <v>1985</v>
      </c>
      <c r="E34" s="782"/>
      <c r="F34" s="799">
        <v>31372</v>
      </c>
      <c r="G34" s="807"/>
      <c r="H34" s="335">
        <v>21885.34</v>
      </c>
      <c r="J34" s="801">
        <f t="shared" si="0"/>
        <v>27</v>
      </c>
      <c r="K34" s="801"/>
      <c r="L34" s="785">
        <f t="shared" si="1"/>
        <v>0.02</v>
      </c>
      <c r="M34" s="785"/>
      <c r="N34" s="803">
        <f t="shared" si="2"/>
        <v>11818.083600000002</v>
      </c>
      <c r="O34" s="803"/>
      <c r="P34" s="803">
        <f t="shared" si="3"/>
        <v>10067.256399999998</v>
      </c>
      <c r="Q34" s="802"/>
      <c r="R34" s="804" t="str">
        <f t="shared" si="4"/>
        <v>No</v>
      </c>
      <c r="S34" s="804"/>
      <c r="T34" s="370">
        <v>1991</v>
      </c>
      <c r="U34" s="780">
        <f t="shared" si="5"/>
        <v>21</v>
      </c>
    </row>
    <row r="35" spans="1:21">
      <c r="B35" s="780" t="s">
        <v>369</v>
      </c>
      <c r="D35" s="370">
        <v>1997</v>
      </c>
      <c r="F35" s="808">
        <v>35642</v>
      </c>
      <c r="G35" s="809"/>
      <c r="H35" s="335">
        <v>6000.81</v>
      </c>
      <c r="J35" s="801">
        <f t="shared" si="0"/>
        <v>15</v>
      </c>
      <c r="K35" s="801"/>
      <c r="L35" s="785">
        <f t="shared" si="1"/>
        <v>0.02</v>
      </c>
      <c r="M35" s="785"/>
      <c r="N35" s="803">
        <f t="shared" si="2"/>
        <v>1800.2430000000002</v>
      </c>
      <c r="O35" s="803"/>
      <c r="P35" s="803">
        <f t="shared" si="3"/>
        <v>4200.567</v>
      </c>
      <c r="Q35" s="802"/>
      <c r="R35" s="804" t="str">
        <f t="shared" si="4"/>
        <v>No</v>
      </c>
      <c r="S35" s="804"/>
      <c r="T35" s="370">
        <v>1992</v>
      </c>
      <c r="U35" s="780">
        <f t="shared" si="5"/>
        <v>20</v>
      </c>
    </row>
    <row r="36" spans="1:21">
      <c r="B36" s="780" t="s">
        <v>369</v>
      </c>
      <c r="D36" s="370">
        <v>1997</v>
      </c>
      <c r="F36" s="808">
        <v>35642</v>
      </c>
      <c r="G36" s="800"/>
      <c r="H36" s="335">
        <v>677.84</v>
      </c>
      <c r="J36" s="801">
        <f t="shared" si="0"/>
        <v>15</v>
      </c>
      <c r="K36" s="801"/>
      <c r="L36" s="785">
        <f t="shared" si="1"/>
        <v>0.02</v>
      </c>
      <c r="M36" s="785"/>
      <c r="N36" s="803">
        <f t="shared" si="2"/>
        <v>203.352</v>
      </c>
      <c r="O36" s="803"/>
      <c r="P36" s="803">
        <f t="shared" si="3"/>
        <v>474.48800000000006</v>
      </c>
      <c r="Q36" s="802"/>
      <c r="R36" s="804" t="str">
        <f t="shared" si="4"/>
        <v>No</v>
      </c>
      <c r="S36" s="804"/>
      <c r="T36" s="370">
        <v>1993</v>
      </c>
      <c r="U36" s="780">
        <f t="shared" si="5"/>
        <v>19</v>
      </c>
    </row>
    <row r="37" spans="1:21">
      <c r="B37" s="780" t="s">
        <v>369</v>
      </c>
      <c r="D37" s="370">
        <v>1997</v>
      </c>
      <c r="F37" s="808">
        <v>35642</v>
      </c>
      <c r="G37" s="800"/>
      <c r="H37" s="335">
        <v>39951.21</v>
      </c>
      <c r="J37" s="801">
        <f t="shared" si="0"/>
        <v>15</v>
      </c>
      <c r="K37" s="801"/>
      <c r="L37" s="785">
        <f t="shared" si="1"/>
        <v>0.02</v>
      </c>
      <c r="M37" s="785"/>
      <c r="N37" s="803">
        <f t="shared" si="2"/>
        <v>11985.362999999999</v>
      </c>
      <c r="O37" s="803"/>
      <c r="P37" s="803">
        <f t="shared" si="3"/>
        <v>27965.847000000002</v>
      </c>
      <c r="Q37" s="802"/>
      <c r="R37" s="804" t="str">
        <f t="shared" si="4"/>
        <v>No</v>
      </c>
      <c r="S37" s="804"/>
      <c r="T37" s="370">
        <v>1994</v>
      </c>
      <c r="U37" s="780">
        <f t="shared" si="5"/>
        <v>18</v>
      </c>
    </row>
    <row r="38" spans="1:21">
      <c r="B38" s="780" t="s">
        <v>369</v>
      </c>
      <c r="D38" s="370">
        <v>1997</v>
      </c>
      <c r="F38" s="808">
        <v>35642</v>
      </c>
      <c r="G38" s="807"/>
      <c r="H38" s="335">
        <v>18022.240000000002</v>
      </c>
      <c r="J38" s="801">
        <f t="shared" si="0"/>
        <v>15</v>
      </c>
      <c r="K38" s="801"/>
      <c r="L38" s="785">
        <f t="shared" si="1"/>
        <v>0.02</v>
      </c>
      <c r="M38" s="785"/>
      <c r="N38" s="803">
        <f t="shared" si="2"/>
        <v>5406.6720000000005</v>
      </c>
      <c r="O38" s="803"/>
      <c r="P38" s="803">
        <f t="shared" si="3"/>
        <v>12615.568000000001</v>
      </c>
      <c r="Q38" s="802"/>
      <c r="R38" s="804" t="str">
        <f t="shared" si="4"/>
        <v>No</v>
      </c>
      <c r="S38" s="804"/>
      <c r="T38" s="370">
        <v>1995</v>
      </c>
      <c r="U38" s="780">
        <f t="shared" si="5"/>
        <v>17</v>
      </c>
    </row>
    <row r="39" spans="1:21">
      <c r="B39" s="780" t="s">
        <v>369</v>
      </c>
      <c r="D39" s="370">
        <v>1997</v>
      </c>
      <c r="F39" s="799">
        <v>35642</v>
      </c>
      <c r="G39" s="800"/>
      <c r="H39" s="335">
        <v>29151.79</v>
      </c>
      <c r="I39" s="335"/>
      <c r="J39" s="801">
        <f t="shared" si="0"/>
        <v>15</v>
      </c>
      <c r="K39" s="810"/>
      <c r="L39" s="811">
        <f t="shared" si="1"/>
        <v>0.02</v>
      </c>
      <c r="M39" s="811"/>
      <c r="N39" s="803">
        <f t="shared" si="2"/>
        <v>8745.5370000000003</v>
      </c>
      <c r="O39" s="803"/>
      <c r="P39" s="803">
        <f t="shared" si="3"/>
        <v>20406.253000000001</v>
      </c>
      <c r="Q39" s="803"/>
      <c r="R39" s="812" t="str">
        <f t="shared" si="4"/>
        <v>No</v>
      </c>
      <c r="S39" s="804"/>
      <c r="T39" s="370">
        <v>1996</v>
      </c>
      <c r="U39" s="780">
        <f t="shared" si="5"/>
        <v>16</v>
      </c>
    </row>
    <row r="40" spans="1:21">
      <c r="B40" s="780" t="s">
        <v>369</v>
      </c>
      <c r="D40" s="370">
        <v>1997</v>
      </c>
      <c r="F40" s="799">
        <v>35642</v>
      </c>
      <c r="G40" s="800"/>
      <c r="H40" s="335">
        <v>34478.839999999997</v>
      </c>
      <c r="J40" s="801">
        <f t="shared" si="0"/>
        <v>15</v>
      </c>
      <c r="K40" s="810"/>
      <c r="L40" s="811">
        <f t="shared" si="1"/>
        <v>0.02</v>
      </c>
      <c r="M40" s="811"/>
      <c r="N40" s="803">
        <f t="shared" si="2"/>
        <v>10343.651999999998</v>
      </c>
      <c r="O40" s="803"/>
      <c r="P40" s="803">
        <f t="shared" si="3"/>
        <v>24135.187999999998</v>
      </c>
      <c r="Q40" s="803"/>
      <c r="R40" s="812" t="str">
        <f t="shared" si="4"/>
        <v>No</v>
      </c>
      <c r="S40" s="720"/>
      <c r="T40" s="370">
        <v>1997</v>
      </c>
      <c r="U40" s="780">
        <f t="shared" si="5"/>
        <v>15</v>
      </c>
    </row>
    <row r="41" spans="1:21">
      <c r="B41" s="780" t="s">
        <v>369</v>
      </c>
      <c r="D41" s="370">
        <v>1997</v>
      </c>
      <c r="F41" s="799">
        <v>35642</v>
      </c>
      <c r="G41" s="800"/>
      <c r="H41" s="335">
        <v>682.5</v>
      </c>
      <c r="J41" s="801">
        <f t="shared" si="0"/>
        <v>15</v>
      </c>
      <c r="K41" s="810"/>
      <c r="L41" s="811">
        <f t="shared" ref="L41:L77" si="6">VLOOKUP(B41,$T$9:$U$13,2,FALSE)</f>
        <v>0.02</v>
      </c>
      <c r="M41" s="811"/>
      <c r="N41" s="803">
        <f t="shared" ref="N41:N77" si="7">IF(L41*J41*H41&gt;H41,H41,L41*J41*H41)</f>
        <v>204.75</v>
      </c>
      <c r="O41" s="803"/>
      <c r="P41" s="803">
        <f t="shared" ref="P41:P77" si="8">H41-N41</f>
        <v>477.75</v>
      </c>
      <c r="Q41" s="803"/>
      <c r="R41" s="812" t="str">
        <f t="shared" ref="R41:R77" si="9">IF(N41=H41,"Yes","No")</f>
        <v>No</v>
      </c>
      <c r="T41" s="370">
        <v>1998</v>
      </c>
      <c r="U41" s="780">
        <f t="shared" si="5"/>
        <v>14</v>
      </c>
    </row>
    <row r="42" spans="1:21">
      <c r="B42" s="780" t="s">
        <v>369</v>
      </c>
      <c r="D42" s="370">
        <v>1997</v>
      </c>
      <c r="F42" s="799">
        <v>35642</v>
      </c>
      <c r="G42" s="800"/>
      <c r="H42" s="335">
        <v>33053.68</v>
      </c>
      <c r="J42" s="801">
        <f t="shared" si="0"/>
        <v>15</v>
      </c>
      <c r="K42" s="810"/>
      <c r="L42" s="811">
        <f t="shared" si="6"/>
        <v>0.02</v>
      </c>
      <c r="M42" s="811"/>
      <c r="N42" s="803">
        <f t="shared" si="7"/>
        <v>9916.1039999999994</v>
      </c>
      <c r="O42" s="803"/>
      <c r="P42" s="803">
        <f t="shared" si="8"/>
        <v>23137.576000000001</v>
      </c>
      <c r="Q42" s="803"/>
      <c r="R42" s="812" t="str">
        <f t="shared" si="9"/>
        <v>No</v>
      </c>
      <c r="T42" s="370">
        <v>1999</v>
      </c>
      <c r="U42" s="780">
        <f t="shared" si="5"/>
        <v>13</v>
      </c>
    </row>
    <row r="43" spans="1:21">
      <c r="B43" s="780" t="s">
        <v>369</v>
      </c>
      <c r="D43" s="370">
        <v>1997</v>
      </c>
      <c r="F43" s="799">
        <v>35642</v>
      </c>
      <c r="G43" s="800"/>
      <c r="H43" s="335">
        <v>6843.71</v>
      </c>
      <c r="J43" s="801">
        <f t="shared" si="0"/>
        <v>15</v>
      </c>
      <c r="K43" s="810"/>
      <c r="L43" s="811">
        <f t="shared" si="6"/>
        <v>0.02</v>
      </c>
      <c r="M43" s="811"/>
      <c r="N43" s="803">
        <f t="shared" si="7"/>
        <v>2053.1129999999998</v>
      </c>
      <c r="O43" s="803"/>
      <c r="P43" s="803">
        <f t="shared" si="8"/>
        <v>4790.5969999999998</v>
      </c>
      <c r="Q43" s="803"/>
      <c r="R43" s="812" t="str">
        <f t="shared" si="9"/>
        <v>No</v>
      </c>
      <c r="T43" s="370">
        <v>2000</v>
      </c>
      <c r="U43" s="780">
        <f t="shared" si="5"/>
        <v>12</v>
      </c>
    </row>
    <row r="44" spans="1:21">
      <c r="B44" s="780" t="s">
        <v>369</v>
      </c>
      <c r="D44" s="370">
        <v>1997</v>
      </c>
      <c r="F44" s="799">
        <v>35642</v>
      </c>
      <c r="G44" s="800"/>
      <c r="H44" s="335">
        <v>12226.94</v>
      </c>
      <c r="J44" s="801">
        <f t="shared" si="0"/>
        <v>15</v>
      </c>
      <c r="K44" s="810"/>
      <c r="L44" s="811">
        <f t="shared" si="6"/>
        <v>0.02</v>
      </c>
      <c r="M44" s="811"/>
      <c r="N44" s="803">
        <f t="shared" si="7"/>
        <v>3668.0819999999999</v>
      </c>
      <c r="O44" s="803"/>
      <c r="P44" s="803">
        <f t="shared" si="8"/>
        <v>8558.8580000000002</v>
      </c>
      <c r="Q44" s="803"/>
      <c r="R44" s="812" t="str">
        <f t="shared" si="9"/>
        <v>No</v>
      </c>
      <c r="T44" s="370">
        <v>2001</v>
      </c>
      <c r="U44" s="780">
        <f t="shared" si="5"/>
        <v>11</v>
      </c>
    </row>
    <row r="45" spans="1:21">
      <c r="B45" s="780" t="s">
        <v>369</v>
      </c>
      <c r="D45" s="370">
        <v>1997</v>
      </c>
      <c r="F45" s="799">
        <v>35642</v>
      </c>
      <c r="G45" s="800"/>
      <c r="H45" s="335">
        <v>337.29</v>
      </c>
      <c r="J45" s="801">
        <f t="shared" si="0"/>
        <v>15</v>
      </c>
      <c r="K45" s="810"/>
      <c r="L45" s="811">
        <f t="shared" si="6"/>
        <v>0.02</v>
      </c>
      <c r="M45" s="811"/>
      <c r="N45" s="803">
        <f t="shared" si="7"/>
        <v>101.187</v>
      </c>
      <c r="O45" s="803"/>
      <c r="P45" s="803">
        <f t="shared" si="8"/>
        <v>236.10300000000001</v>
      </c>
      <c r="Q45" s="803"/>
      <c r="R45" s="812" t="str">
        <f t="shared" si="9"/>
        <v>No</v>
      </c>
      <c r="T45" s="370">
        <v>2002</v>
      </c>
      <c r="U45" s="780">
        <f t="shared" si="5"/>
        <v>10</v>
      </c>
    </row>
    <row r="46" spans="1:21">
      <c r="B46" s="780" t="s">
        <v>369</v>
      </c>
      <c r="D46" s="370">
        <v>1997</v>
      </c>
      <c r="F46" s="799">
        <v>35642</v>
      </c>
      <c r="G46" s="800"/>
      <c r="H46" s="335">
        <v>25347.95</v>
      </c>
      <c r="J46" s="801">
        <f t="shared" si="0"/>
        <v>15</v>
      </c>
      <c r="K46" s="810"/>
      <c r="L46" s="811">
        <f t="shared" si="6"/>
        <v>0.02</v>
      </c>
      <c r="M46" s="811"/>
      <c r="N46" s="803">
        <f t="shared" si="7"/>
        <v>7604.3850000000002</v>
      </c>
      <c r="O46" s="803"/>
      <c r="P46" s="803">
        <f t="shared" si="8"/>
        <v>17743.565000000002</v>
      </c>
      <c r="Q46" s="803"/>
      <c r="R46" s="812" t="str">
        <f t="shared" si="9"/>
        <v>No</v>
      </c>
      <c r="T46" s="370">
        <v>2003</v>
      </c>
      <c r="U46" s="780">
        <f t="shared" si="5"/>
        <v>9</v>
      </c>
    </row>
    <row r="47" spans="1:21">
      <c r="A47" s="813"/>
      <c r="B47" s="780" t="s">
        <v>369</v>
      </c>
      <c r="D47" s="370">
        <v>1997</v>
      </c>
      <c r="F47" s="799">
        <v>35642</v>
      </c>
      <c r="G47" s="800"/>
      <c r="H47" s="335">
        <v>7520.74</v>
      </c>
      <c r="J47" s="801">
        <f t="shared" si="0"/>
        <v>15</v>
      </c>
      <c r="K47" s="810"/>
      <c r="L47" s="811">
        <f t="shared" si="6"/>
        <v>0.02</v>
      </c>
      <c r="M47" s="811"/>
      <c r="N47" s="803">
        <f t="shared" si="7"/>
        <v>2256.2219999999998</v>
      </c>
      <c r="O47" s="803"/>
      <c r="P47" s="803">
        <f t="shared" si="8"/>
        <v>5264.518</v>
      </c>
      <c r="Q47" s="803"/>
      <c r="R47" s="812" t="str">
        <f t="shared" si="9"/>
        <v>No</v>
      </c>
      <c r="T47" s="370">
        <v>2004</v>
      </c>
      <c r="U47" s="780">
        <f t="shared" si="5"/>
        <v>8</v>
      </c>
    </row>
    <row r="48" spans="1:21">
      <c r="B48" s="780" t="s">
        <v>369</v>
      </c>
      <c r="D48" s="370">
        <v>1997</v>
      </c>
      <c r="F48" s="799">
        <v>35642</v>
      </c>
      <c r="G48" s="800"/>
      <c r="H48" s="335">
        <v>20637.8</v>
      </c>
      <c r="J48" s="801">
        <f t="shared" si="0"/>
        <v>15</v>
      </c>
      <c r="K48" s="810"/>
      <c r="L48" s="811">
        <f t="shared" si="6"/>
        <v>0.02</v>
      </c>
      <c r="M48" s="811"/>
      <c r="N48" s="803">
        <f t="shared" si="7"/>
        <v>6191.3399999999992</v>
      </c>
      <c r="O48" s="803"/>
      <c r="P48" s="803">
        <f t="shared" si="8"/>
        <v>14446.46</v>
      </c>
      <c r="Q48" s="803"/>
      <c r="R48" s="812" t="str">
        <f t="shared" si="9"/>
        <v>No</v>
      </c>
      <c r="S48" s="804"/>
      <c r="T48" s="370">
        <v>2005</v>
      </c>
      <c r="U48" s="780">
        <f t="shared" si="5"/>
        <v>7</v>
      </c>
    </row>
    <row r="49" spans="2:21">
      <c r="B49" s="780" t="s">
        <v>369</v>
      </c>
      <c r="D49" s="370">
        <v>1997</v>
      </c>
      <c r="F49" s="799">
        <v>35642</v>
      </c>
      <c r="G49" s="800"/>
      <c r="H49" s="335">
        <v>3041</v>
      </c>
      <c r="J49" s="801">
        <f t="shared" si="0"/>
        <v>15</v>
      </c>
      <c r="K49" s="810"/>
      <c r="L49" s="811">
        <f t="shared" si="6"/>
        <v>0.02</v>
      </c>
      <c r="M49" s="811"/>
      <c r="N49" s="803">
        <f t="shared" si="7"/>
        <v>912.3</v>
      </c>
      <c r="O49" s="803"/>
      <c r="P49" s="803">
        <f t="shared" si="8"/>
        <v>2128.6999999999998</v>
      </c>
      <c r="Q49" s="803"/>
      <c r="R49" s="812" t="str">
        <f t="shared" si="9"/>
        <v>No</v>
      </c>
      <c r="S49" s="804"/>
      <c r="T49" s="781">
        <v>2006</v>
      </c>
      <c r="U49" s="780">
        <f t="shared" si="5"/>
        <v>6</v>
      </c>
    </row>
    <row r="50" spans="2:21">
      <c r="B50" s="780" t="s">
        <v>369</v>
      </c>
      <c r="D50" s="370">
        <v>1997</v>
      </c>
      <c r="F50" s="799">
        <v>35642</v>
      </c>
      <c r="G50" s="800"/>
      <c r="H50" s="335">
        <v>854.21</v>
      </c>
      <c r="J50" s="801">
        <f t="shared" si="0"/>
        <v>15</v>
      </c>
      <c r="K50" s="810"/>
      <c r="L50" s="811">
        <f t="shared" si="6"/>
        <v>0.02</v>
      </c>
      <c r="M50" s="811"/>
      <c r="N50" s="803">
        <f t="shared" si="7"/>
        <v>256.26299999999998</v>
      </c>
      <c r="O50" s="803"/>
      <c r="P50" s="803">
        <f t="shared" si="8"/>
        <v>597.94700000000012</v>
      </c>
      <c r="Q50" s="803"/>
      <c r="R50" s="812" t="str">
        <f t="shared" si="9"/>
        <v>No</v>
      </c>
      <c r="S50" s="804"/>
      <c r="T50" s="781">
        <v>2007</v>
      </c>
      <c r="U50" s="780">
        <f t="shared" si="5"/>
        <v>5</v>
      </c>
    </row>
    <row r="51" spans="2:21">
      <c r="B51" s="780" t="s">
        <v>369</v>
      </c>
      <c r="C51" s="782"/>
      <c r="D51" s="814">
        <v>1997</v>
      </c>
      <c r="E51" s="782"/>
      <c r="F51" s="815">
        <v>35642</v>
      </c>
      <c r="G51" s="807"/>
      <c r="H51" s="335">
        <v>8920.93</v>
      </c>
      <c r="J51" s="801">
        <f t="shared" si="0"/>
        <v>15</v>
      </c>
      <c r="K51" s="810"/>
      <c r="L51" s="811">
        <f t="shared" si="6"/>
        <v>0.02</v>
      </c>
      <c r="M51" s="811"/>
      <c r="N51" s="803">
        <f t="shared" si="7"/>
        <v>2676.279</v>
      </c>
      <c r="O51" s="803"/>
      <c r="P51" s="803">
        <f t="shared" si="8"/>
        <v>6244.6509999999998</v>
      </c>
      <c r="Q51" s="803"/>
      <c r="R51" s="812" t="str">
        <f t="shared" si="9"/>
        <v>No</v>
      </c>
      <c r="S51" s="804"/>
      <c r="T51" s="816">
        <v>2008</v>
      </c>
      <c r="U51" s="780">
        <f t="shared" si="5"/>
        <v>4</v>
      </c>
    </row>
    <row r="52" spans="2:21">
      <c r="B52" s="780" t="s">
        <v>369</v>
      </c>
      <c r="C52" s="782"/>
      <c r="D52" s="814">
        <v>1997</v>
      </c>
      <c r="E52" s="782"/>
      <c r="F52" s="815">
        <v>35642</v>
      </c>
      <c r="G52" s="807"/>
      <c r="H52" s="335">
        <v>18713.8</v>
      </c>
      <c r="J52" s="801">
        <f t="shared" si="0"/>
        <v>15</v>
      </c>
      <c r="K52" s="810"/>
      <c r="L52" s="811">
        <f t="shared" si="6"/>
        <v>0.02</v>
      </c>
      <c r="M52" s="811"/>
      <c r="N52" s="803">
        <f t="shared" si="7"/>
        <v>5614.1399999999994</v>
      </c>
      <c r="O52" s="803"/>
      <c r="P52" s="803">
        <f t="shared" si="8"/>
        <v>13099.66</v>
      </c>
      <c r="Q52" s="803"/>
      <c r="R52" s="812" t="str">
        <f t="shared" si="9"/>
        <v>No</v>
      </c>
      <c r="S52" s="804"/>
      <c r="T52" s="816">
        <v>2009</v>
      </c>
      <c r="U52" s="780">
        <f t="shared" si="5"/>
        <v>3</v>
      </c>
    </row>
    <row r="53" spans="2:21">
      <c r="B53" s="780" t="s">
        <v>369</v>
      </c>
      <c r="C53" s="782"/>
      <c r="D53" s="814">
        <v>1997</v>
      </c>
      <c r="E53" s="782"/>
      <c r="F53" s="815">
        <v>35642</v>
      </c>
      <c r="G53" s="807"/>
      <c r="H53" s="335">
        <v>42319.97</v>
      </c>
      <c r="J53" s="801">
        <f t="shared" si="0"/>
        <v>15</v>
      </c>
      <c r="K53" s="810"/>
      <c r="L53" s="811">
        <f t="shared" si="6"/>
        <v>0.02</v>
      </c>
      <c r="M53" s="811"/>
      <c r="N53" s="803">
        <f t="shared" si="7"/>
        <v>12695.991</v>
      </c>
      <c r="O53" s="803"/>
      <c r="P53" s="803">
        <f t="shared" si="8"/>
        <v>29623.978999999999</v>
      </c>
      <c r="Q53" s="803"/>
      <c r="R53" s="812" t="str">
        <f t="shared" si="9"/>
        <v>No</v>
      </c>
      <c r="S53" s="804"/>
      <c r="T53" s="816">
        <v>2010</v>
      </c>
      <c r="U53" s="780">
        <f t="shared" si="5"/>
        <v>2</v>
      </c>
    </row>
    <row r="54" spans="2:21">
      <c r="B54" s="780" t="s">
        <v>369</v>
      </c>
      <c r="C54" s="782"/>
      <c r="D54" s="814">
        <v>1997</v>
      </c>
      <c r="E54" s="782"/>
      <c r="F54" s="815">
        <v>35642</v>
      </c>
      <c r="G54" s="807"/>
      <c r="H54" s="335">
        <v>117894.63</v>
      </c>
      <c r="J54" s="801">
        <f t="shared" si="0"/>
        <v>15</v>
      </c>
      <c r="K54" s="810"/>
      <c r="L54" s="811">
        <f t="shared" si="6"/>
        <v>0.02</v>
      </c>
      <c r="M54" s="811"/>
      <c r="N54" s="803">
        <f t="shared" si="7"/>
        <v>35368.389000000003</v>
      </c>
      <c r="O54" s="803"/>
      <c r="P54" s="803">
        <f t="shared" si="8"/>
        <v>82526.241000000009</v>
      </c>
      <c r="Q54" s="803"/>
      <c r="R54" s="812" t="str">
        <f t="shared" si="9"/>
        <v>No</v>
      </c>
      <c r="S54" s="804"/>
      <c r="T54" s="816">
        <v>2011</v>
      </c>
      <c r="U54" s="780">
        <f t="shared" si="5"/>
        <v>1</v>
      </c>
    </row>
    <row r="55" spans="2:21">
      <c r="B55" s="780" t="s">
        <v>369</v>
      </c>
      <c r="C55" s="782"/>
      <c r="D55" s="814">
        <v>1997</v>
      </c>
      <c r="E55" s="782"/>
      <c r="F55" s="815">
        <v>35642</v>
      </c>
      <c r="G55" s="807"/>
      <c r="H55" s="335">
        <v>2383</v>
      </c>
      <c r="J55" s="801">
        <f t="shared" si="0"/>
        <v>15</v>
      </c>
      <c r="K55" s="810"/>
      <c r="L55" s="811">
        <f t="shared" si="6"/>
        <v>0.02</v>
      </c>
      <c r="M55" s="811"/>
      <c r="N55" s="803">
        <f t="shared" si="7"/>
        <v>714.9</v>
      </c>
      <c r="O55" s="803"/>
      <c r="P55" s="803">
        <f t="shared" si="8"/>
        <v>1668.1</v>
      </c>
      <c r="Q55" s="803"/>
      <c r="R55" s="812" t="str">
        <f t="shared" si="9"/>
        <v>No</v>
      </c>
      <c r="S55" s="804"/>
      <c r="T55" s="816">
        <v>2012</v>
      </c>
      <c r="U55" s="780">
        <f t="shared" si="5"/>
        <v>0</v>
      </c>
    </row>
    <row r="56" spans="2:21">
      <c r="B56" s="780" t="s">
        <v>369</v>
      </c>
      <c r="C56" s="782"/>
      <c r="D56" s="814">
        <v>1997</v>
      </c>
      <c r="E56" s="782"/>
      <c r="F56" s="815">
        <v>35642</v>
      </c>
      <c r="G56" s="807"/>
      <c r="H56" s="335">
        <v>454</v>
      </c>
      <c r="J56" s="801">
        <f t="shared" si="0"/>
        <v>15</v>
      </c>
      <c r="K56" s="810"/>
      <c r="L56" s="811">
        <f t="shared" si="6"/>
        <v>0.02</v>
      </c>
      <c r="M56" s="811"/>
      <c r="N56" s="803">
        <f t="shared" si="7"/>
        <v>136.19999999999999</v>
      </c>
      <c r="O56" s="803"/>
      <c r="P56" s="803">
        <f t="shared" si="8"/>
        <v>317.8</v>
      </c>
      <c r="Q56" s="803"/>
      <c r="R56" s="812" t="str">
        <f t="shared" si="9"/>
        <v>No</v>
      </c>
      <c r="S56" s="804"/>
    </row>
    <row r="57" spans="2:21">
      <c r="B57" s="780" t="s">
        <v>640</v>
      </c>
      <c r="D57" s="370">
        <v>1997</v>
      </c>
      <c r="F57" s="799">
        <v>35642</v>
      </c>
      <c r="G57" s="800"/>
      <c r="H57" s="335">
        <v>840.8</v>
      </c>
      <c r="J57" s="801">
        <f t="shared" si="0"/>
        <v>15</v>
      </c>
      <c r="K57" s="810"/>
      <c r="L57" s="811">
        <f t="shared" si="6"/>
        <v>0</v>
      </c>
      <c r="M57" s="811"/>
      <c r="N57" s="803">
        <f t="shared" si="7"/>
        <v>0</v>
      </c>
      <c r="O57" s="803"/>
      <c r="P57" s="803">
        <f t="shared" si="8"/>
        <v>840.8</v>
      </c>
      <c r="Q57" s="803"/>
      <c r="R57" s="812" t="str">
        <f t="shared" si="9"/>
        <v>No</v>
      </c>
      <c r="S57" s="804"/>
    </row>
    <row r="58" spans="2:21">
      <c r="B58" s="780" t="s">
        <v>640</v>
      </c>
      <c r="D58" s="370">
        <v>1997</v>
      </c>
      <c r="F58" s="799">
        <v>35642</v>
      </c>
      <c r="G58" s="800"/>
      <c r="H58" s="335">
        <v>6853</v>
      </c>
      <c r="J58" s="801">
        <f t="shared" si="0"/>
        <v>15</v>
      </c>
      <c r="K58" s="810"/>
      <c r="L58" s="811">
        <f t="shared" si="6"/>
        <v>0</v>
      </c>
      <c r="M58" s="811"/>
      <c r="N58" s="803">
        <f t="shared" si="7"/>
        <v>0</v>
      </c>
      <c r="O58" s="803"/>
      <c r="P58" s="803">
        <f t="shared" si="8"/>
        <v>6853</v>
      </c>
      <c r="Q58" s="803"/>
      <c r="R58" s="812" t="str">
        <f t="shared" si="9"/>
        <v>No</v>
      </c>
      <c r="S58" s="804"/>
    </row>
    <row r="59" spans="2:21">
      <c r="B59" s="780" t="s">
        <v>640</v>
      </c>
      <c r="D59" s="370">
        <v>1997</v>
      </c>
      <c r="F59" s="799">
        <v>35642</v>
      </c>
      <c r="G59" s="800"/>
      <c r="H59" s="335">
        <v>628.83000000000004</v>
      </c>
      <c r="J59" s="801">
        <f t="shared" si="0"/>
        <v>15</v>
      </c>
      <c r="K59" s="810"/>
      <c r="L59" s="811">
        <f t="shared" si="6"/>
        <v>0</v>
      </c>
      <c r="M59" s="811"/>
      <c r="N59" s="803">
        <f t="shared" si="7"/>
        <v>0</v>
      </c>
      <c r="O59" s="803"/>
      <c r="P59" s="803">
        <f t="shared" si="8"/>
        <v>628.83000000000004</v>
      </c>
      <c r="Q59" s="803"/>
      <c r="R59" s="812" t="str">
        <f t="shared" si="9"/>
        <v>No</v>
      </c>
      <c r="S59" s="804"/>
    </row>
    <row r="60" spans="2:21">
      <c r="B60" s="780" t="s">
        <v>640</v>
      </c>
      <c r="D60" s="370">
        <v>1997</v>
      </c>
      <c r="F60" s="799">
        <v>35642</v>
      </c>
      <c r="G60" s="800"/>
      <c r="H60" s="335">
        <v>1025.44</v>
      </c>
      <c r="J60" s="801">
        <f t="shared" si="0"/>
        <v>15</v>
      </c>
      <c r="K60" s="810"/>
      <c r="L60" s="811">
        <f t="shared" si="6"/>
        <v>0</v>
      </c>
      <c r="M60" s="811"/>
      <c r="N60" s="803">
        <f t="shared" si="7"/>
        <v>0</v>
      </c>
      <c r="O60" s="803"/>
      <c r="P60" s="803">
        <f t="shared" si="8"/>
        <v>1025.44</v>
      </c>
      <c r="Q60" s="803"/>
      <c r="R60" s="812" t="str">
        <f t="shared" si="9"/>
        <v>No</v>
      </c>
      <c r="S60" s="804"/>
    </row>
    <row r="61" spans="2:21">
      <c r="B61" s="780" t="s">
        <v>640</v>
      </c>
      <c r="D61" s="370">
        <v>1997</v>
      </c>
      <c r="F61" s="799">
        <v>35642</v>
      </c>
      <c r="G61" s="800"/>
      <c r="H61" s="335">
        <v>5496</v>
      </c>
      <c r="J61" s="801">
        <f t="shared" si="0"/>
        <v>15</v>
      </c>
      <c r="K61" s="810"/>
      <c r="L61" s="811">
        <f t="shared" si="6"/>
        <v>0</v>
      </c>
      <c r="M61" s="811"/>
      <c r="N61" s="803">
        <f t="shared" si="7"/>
        <v>0</v>
      </c>
      <c r="O61" s="803"/>
      <c r="P61" s="803">
        <f t="shared" si="8"/>
        <v>5496</v>
      </c>
      <c r="Q61" s="803"/>
      <c r="R61" s="812" t="str">
        <f t="shared" si="9"/>
        <v>No</v>
      </c>
      <c r="S61" s="804"/>
    </row>
    <row r="62" spans="2:21">
      <c r="B62" s="780" t="s">
        <v>640</v>
      </c>
      <c r="D62" s="370">
        <v>1997</v>
      </c>
      <c r="F62" s="799">
        <v>35642</v>
      </c>
      <c r="G62" s="800"/>
      <c r="H62" s="335">
        <v>112</v>
      </c>
      <c r="J62" s="801">
        <f t="shared" si="0"/>
        <v>15</v>
      </c>
      <c r="K62" s="810"/>
      <c r="L62" s="811">
        <f t="shared" si="6"/>
        <v>0</v>
      </c>
      <c r="M62" s="811"/>
      <c r="N62" s="803">
        <f t="shared" si="7"/>
        <v>0</v>
      </c>
      <c r="O62" s="803"/>
      <c r="P62" s="803">
        <f t="shared" si="8"/>
        <v>112</v>
      </c>
      <c r="Q62" s="803"/>
      <c r="R62" s="812" t="str">
        <f t="shared" si="9"/>
        <v>No</v>
      </c>
      <c r="S62" s="804"/>
    </row>
    <row r="63" spans="2:21">
      <c r="B63" s="782" t="s">
        <v>370</v>
      </c>
      <c r="C63" s="782"/>
      <c r="D63" s="814">
        <v>1997</v>
      </c>
      <c r="E63" s="782"/>
      <c r="F63" s="815">
        <v>35642</v>
      </c>
      <c r="G63" s="807"/>
      <c r="H63" s="335">
        <v>91200.55</v>
      </c>
      <c r="J63" s="801">
        <f t="shared" si="0"/>
        <v>15</v>
      </c>
      <c r="K63" s="810"/>
      <c r="L63" s="811">
        <f t="shared" si="6"/>
        <v>0.25</v>
      </c>
      <c r="M63" s="811"/>
      <c r="N63" s="803">
        <f t="shared" si="7"/>
        <v>91200.55</v>
      </c>
      <c r="O63" s="803"/>
      <c r="P63" s="803">
        <f t="shared" si="8"/>
        <v>0</v>
      </c>
      <c r="Q63" s="803"/>
      <c r="R63" s="812" t="str">
        <f t="shared" si="9"/>
        <v>Yes</v>
      </c>
      <c r="S63" s="804"/>
    </row>
    <row r="64" spans="2:21">
      <c r="B64" s="782" t="s">
        <v>370</v>
      </c>
      <c r="C64" s="782"/>
      <c r="D64" s="814">
        <v>1997</v>
      </c>
      <c r="E64" s="782"/>
      <c r="F64" s="815">
        <v>35642</v>
      </c>
      <c r="G64" s="807"/>
      <c r="H64" s="335">
        <v>23193.71</v>
      </c>
      <c r="J64" s="801">
        <f t="shared" si="0"/>
        <v>15</v>
      </c>
      <c r="K64" s="810"/>
      <c r="L64" s="811">
        <f t="shared" si="6"/>
        <v>0.25</v>
      </c>
      <c r="M64" s="811"/>
      <c r="N64" s="803">
        <f t="shared" si="7"/>
        <v>23193.71</v>
      </c>
      <c r="O64" s="803"/>
      <c r="P64" s="803">
        <f t="shared" si="8"/>
        <v>0</v>
      </c>
      <c r="Q64" s="803"/>
      <c r="R64" s="812" t="str">
        <f t="shared" si="9"/>
        <v>Yes</v>
      </c>
      <c r="S64" s="804"/>
    </row>
    <row r="65" spans="2:34">
      <c r="B65" s="782" t="s">
        <v>370</v>
      </c>
      <c r="C65" s="782"/>
      <c r="D65" s="814">
        <v>1997</v>
      </c>
      <c r="E65" s="782"/>
      <c r="F65" s="815">
        <v>35642</v>
      </c>
      <c r="G65" s="807"/>
      <c r="H65" s="335">
        <v>30641.95</v>
      </c>
      <c r="J65" s="801">
        <f t="shared" si="0"/>
        <v>15</v>
      </c>
      <c r="K65" s="810"/>
      <c r="L65" s="811">
        <f t="shared" si="6"/>
        <v>0.25</v>
      </c>
      <c r="M65" s="811"/>
      <c r="N65" s="803">
        <f t="shared" si="7"/>
        <v>30641.95</v>
      </c>
      <c r="O65" s="803"/>
      <c r="P65" s="803">
        <f t="shared" si="8"/>
        <v>0</v>
      </c>
      <c r="Q65" s="803"/>
      <c r="R65" s="812" t="str">
        <f t="shared" si="9"/>
        <v>Yes</v>
      </c>
      <c r="S65" s="804"/>
    </row>
    <row r="66" spans="2:34">
      <c r="B66" s="782" t="s">
        <v>370</v>
      </c>
      <c r="C66" s="782"/>
      <c r="D66" s="814">
        <v>1997</v>
      </c>
      <c r="E66" s="782"/>
      <c r="F66" s="815">
        <v>35642</v>
      </c>
      <c r="G66" s="807"/>
      <c r="H66" s="335">
        <v>3289</v>
      </c>
      <c r="J66" s="801">
        <f t="shared" si="0"/>
        <v>15</v>
      </c>
      <c r="K66" s="810"/>
      <c r="L66" s="811">
        <f t="shared" si="6"/>
        <v>0.25</v>
      </c>
      <c r="M66" s="811"/>
      <c r="N66" s="803">
        <f t="shared" si="7"/>
        <v>3289</v>
      </c>
      <c r="O66" s="803"/>
      <c r="P66" s="803">
        <f t="shared" si="8"/>
        <v>0</v>
      </c>
      <c r="Q66" s="803"/>
      <c r="R66" s="812" t="str">
        <f t="shared" si="9"/>
        <v>Yes</v>
      </c>
      <c r="S66" s="804"/>
    </row>
    <row r="67" spans="2:34">
      <c r="B67" s="782" t="s">
        <v>370</v>
      </c>
      <c r="C67" s="782"/>
      <c r="D67" s="814">
        <v>1997</v>
      </c>
      <c r="E67" s="782"/>
      <c r="F67" s="815">
        <v>35642</v>
      </c>
      <c r="G67" s="807"/>
      <c r="H67" s="335">
        <v>626</v>
      </c>
      <c r="J67" s="801">
        <f t="shared" si="0"/>
        <v>15</v>
      </c>
      <c r="K67" s="810"/>
      <c r="L67" s="811">
        <f t="shared" si="6"/>
        <v>0.25</v>
      </c>
      <c r="M67" s="811"/>
      <c r="N67" s="803">
        <f t="shared" si="7"/>
        <v>626</v>
      </c>
      <c r="O67" s="803"/>
      <c r="P67" s="803">
        <f t="shared" si="8"/>
        <v>0</v>
      </c>
      <c r="Q67" s="803"/>
      <c r="R67" s="812" t="str">
        <f t="shared" si="9"/>
        <v>Yes</v>
      </c>
      <c r="S67" s="804"/>
    </row>
    <row r="68" spans="2:34">
      <c r="B68" s="782" t="s">
        <v>370</v>
      </c>
      <c r="C68" s="782"/>
      <c r="D68" s="814">
        <v>1999</v>
      </c>
      <c r="E68" s="782"/>
      <c r="F68" s="815">
        <v>36342</v>
      </c>
      <c r="G68" s="807"/>
      <c r="H68" s="335">
        <v>23723</v>
      </c>
      <c r="J68" s="801">
        <f t="shared" si="0"/>
        <v>13</v>
      </c>
      <c r="K68" s="810"/>
      <c r="L68" s="811">
        <f t="shared" si="6"/>
        <v>0.25</v>
      </c>
      <c r="M68" s="811"/>
      <c r="N68" s="803">
        <f t="shared" si="7"/>
        <v>23723</v>
      </c>
      <c r="O68" s="803"/>
      <c r="P68" s="803">
        <f t="shared" si="8"/>
        <v>0</v>
      </c>
      <c r="Q68" s="803"/>
      <c r="R68" s="812" t="str">
        <f t="shared" si="9"/>
        <v>Yes</v>
      </c>
      <c r="S68" s="804"/>
    </row>
    <row r="69" spans="2:34">
      <c r="B69" s="780" t="s">
        <v>369</v>
      </c>
      <c r="C69" s="782"/>
      <c r="D69" s="814">
        <v>2000</v>
      </c>
      <c r="E69" s="782"/>
      <c r="F69" s="815">
        <v>36861</v>
      </c>
      <c r="G69" s="807"/>
      <c r="H69" s="335">
        <v>69976</v>
      </c>
      <c r="J69" s="801">
        <f t="shared" si="0"/>
        <v>12</v>
      </c>
      <c r="K69" s="810"/>
      <c r="L69" s="811">
        <f t="shared" si="6"/>
        <v>0.02</v>
      </c>
      <c r="M69" s="811"/>
      <c r="N69" s="803">
        <f t="shared" si="7"/>
        <v>16794.239999999998</v>
      </c>
      <c r="O69" s="803"/>
      <c r="P69" s="803">
        <f t="shared" si="8"/>
        <v>53181.760000000002</v>
      </c>
      <c r="Q69" s="803"/>
      <c r="R69" s="812" t="str">
        <f t="shared" si="9"/>
        <v>No</v>
      </c>
      <c r="S69" s="804"/>
    </row>
    <row r="70" spans="2:34">
      <c r="B70" s="782" t="s">
        <v>370</v>
      </c>
      <c r="C70" s="782"/>
      <c r="D70" s="814">
        <v>2000</v>
      </c>
      <c r="E70" s="782"/>
      <c r="F70" s="815">
        <v>36526</v>
      </c>
      <c r="G70" s="807"/>
      <c r="H70" s="335">
        <v>21601</v>
      </c>
      <c r="J70" s="801">
        <f t="shared" si="0"/>
        <v>12</v>
      </c>
      <c r="K70" s="810"/>
      <c r="L70" s="811">
        <f t="shared" si="6"/>
        <v>0.25</v>
      </c>
      <c r="M70" s="811"/>
      <c r="N70" s="803">
        <f t="shared" si="7"/>
        <v>21601</v>
      </c>
      <c r="O70" s="803"/>
      <c r="P70" s="803">
        <f t="shared" si="8"/>
        <v>0</v>
      </c>
      <c r="Q70" s="803"/>
      <c r="R70" s="812" t="str">
        <f t="shared" si="9"/>
        <v>Yes</v>
      </c>
      <c r="S70" s="804"/>
    </row>
    <row r="71" spans="2:34">
      <c r="B71" s="782" t="s">
        <v>370</v>
      </c>
      <c r="C71" s="782"/>
      <c r="D71" s="814">
        <v>2000</v>
      </c>
      <c r="E71" s="782"/>
      <c r="F71" s="815">
        <v>36586</v>
      </c>
      <c r="G71" s="807"/>
      <c r="H71" s="335">
        <v>24098</v>
      </c>
      <c r="I71" s="335"/>
      <c r="J71" s="801">
        <f t="shared" si="0"/>
        <v>12</v>
      </c>
      <c r="K71" s="810"/>
      <c r="L71" s="811">
        <f t="shared" si="6"/>
        <v>0.25</v>
      </c>
      <c r="M71" s="811"/>
      <c r="N71" s="803">
        <f t="shared" si="7"/>
        <v>24098</v>
      </c>
      <c r="O71" s="803"/>
      <c r="P71" s="803">
        <f t="shared" si="8"/>
        <v>0</v>
      </c>
      <c r="Q71" s="803"/>
      <c r="R71" s="812" t="str">
        <f t="shared" si="9"/>
        <v>Yes</v>
      </c>
      <c r="S71" s="804"/>
    </row>
    <row r="72" spans="2:34">
      <c r="B72" s="782" t="s">
        <v>370</v>
      </c>
      <c r="C72" s="782"/>
      <c r="D72" s="814">
        <v>2001</v>
      </c>
      <c r="E72" s="782"/>
      <c r="F72" s="815">
        <v>36951</v>
      </c>
      <c r="G72" s="807"/>
      <c r="H72" s="335">
        <v>32326</v>
      </c>
      <c r="I72" s="335"/>
      <c r="J72" s="801">
        <f t="shared" si="0"/>
        <v>11</v>
      </c>
      <c r="K72" s="810"/>
      <c r="L72" s="811">
        <f t="shared" si="6"/>
        <v>0.25</v>
      </c>
      <c r="M72" s="811"/>
      <c r="N72" s="803">
        <f t="shared" si="7"/>
        <v>32326</v>
      </c>
      <c r="O72" s="803"/>
      <c r="P72" s="803">
        <f t="shared" si="8"/>
        <v>0</v>
      </c>
      <c r="Q72" s="803"/>
      <c r="R72" s="812" t="str">
        <f t="shared" si="9"/>
        <v>Yes</v>
      </c>
      <c r="S72" s="804"/>
    </row>
    <row r="73" spans="2:34" s="782" customFormat="1">
      <c r="B73" s="782" t="s">
        <v>592</v>
      </c>
      <c r="D73" s="814">
        <v>2002</v>
      </c>
      <c r="F73" s="815"/>
      <c r="G73" s="807"/>
      <c r="H73" s="335">
        <v>102864.3</v>
      </c>
      <c r="I73" s="335"/>
      <c r="J73" s="801">
        <f t="shared" ref="J73:J95" si="10">VLOOKUP(D73,$T$17:$W$55,2,FALSE)</f>
        <v>10</v>
      </c>
      <c r="K73" s="810"/>
      <c r="L73" s="811">
        <f t="shared" si="6"/>
        <v>0</v>
      </c>
      <c r="M73" s="811"/>
      <c r="N73" s="803">
        <f t="shared" si="7"/>
        <v>0</v>
      </c>
      <c r="O73" s="803"/>
      <c r="P73" s="803">
        <f t="shared" si="8"/>
        <v>102864.3</v>
      </c>
      <c r="Q73" s="803"/>
      <c r="R73" s="812" t="str">
        <f t="shared" si="9"/>
        <v>No</v>
      </c>
      <c r="S73" s="812"/>
    </row>
    <row r="74" spans="2:34" s="782" customFormat="1">
      <c r="B74" s="782" t="s">
        <v>592</v>
      </c>
      <c r="D74" s="814">
        <v>2002</v>
      </c>
      <c r="F74" s="815"/>
      <c r="G74" s="807"/>
      <c r="H74" s="335">
        <v>36282.69</v>
      </c>
      <c r="I74" s="335"/>
      <c r="J74" s="801">
        <f t="shared" si="10"/>
        <v>10</v>
      </c>
      <c r="K74" s="810"/>
      <c r="L74" s="811">
        <f t="shared" si="6"/>
        <v>0</v>
      </c>
      <c r="M74" s="811"/>
      <c r="N74" s="803">
        <f t="shared" si="7"/>
        <v>0</v>
      </c>
      <c r="O74" s="803"/>
      <c r="P74" s="803">
        <f t="shared" si="8"/>
        <v>36282.69</v>
      </c>
      <c r="Q74" s="803"/>
      <c r="R74" s="812" t="str">
        <f t="shared" si="9"/>
        <v>No</v>
      </c>
      <c r="S74" s="812"/>
    </row>
    <row r="75" spans="2:34" s="782" customFormat="1">
      <c r="B75" s="782" t="s">
        <v>369</v>
      </c>
      <c r="D75" s="814">
        <v>2002</v>
      </c>
      <c r="F75" s="815"/>
      <c r="G75" s="807"/>
      <c r="H75" s="335">
        <f>1346.14+366.2+173.49+197.97+464+1363+33.65+767.77+876.23+324+1440-360+304.5+161.53+1624+95.5+43.83+41.59+65.53+405.01+31.1+999.95+314.76+20.35+942.64+202.5+73.18+4413.36+957+337.36+819.4+89.72+181.45+884.16+299+3500+7000+1206.7+27.18+30.75-55.15+73.74+28.41+24.11+48.65+163.78+524.7+4384.93+42.54+478.34+465.27</f>
        <v>38243.82</v>
      </c>
      <c r="I75" s="335"/>
      <c r="J75" s="801">
        <f t="shared" si="10"/>
        <v>10</v>
      </c>
      <c r="K75" s="810"/>
      <c r="L75" s="811">
        <f t="shared" si="6"/>
        <v>0.02</v>
      </c>
      <c r="M75" s="811"/>
      <c r="N75" s="803">
        <f t="shared" si="7"/>
        <v>7648.7640000000001</v>
      </c>
      <c r="O75" s="803"/>
      <c r="P75" s="803">
        <f t="shared" si="8"/>
        <v>30595.056</v>
      </c>
      <c r="Q75" s="803"/>
      <c r="R75" s="812" t="str">
        <f t="shared" si="9"/>
        <v>No</v>
      </c>
      <c r="S75" s="812"/>
    </row>
    <row r="76" spans="2:34" s="782" customFormat="1">
      <c r="B76" s="782" t="s">
        <v>101</v>
      </c>
      <c r="D76" s="814">
        <v>2002</v>
      </c>
      <c r="F76" s="815"/>
      <c r="G76" s="807"/>
      <c r="H76" s="335">
        <f>3671.16+2108.99</f>
        <v>5780.15</v>
      </c>
      <c r="I76" s="335"/>
      <c r="J76" s="801">
        <f t="shared" si="10"/>
        <v>10</v>
      </c>
      <c r="K76" s="810"/>
      <c r="L76" s="811">
        <f t="shared" si="6"/>
        <v>0.125</v>
      </c>
      <c r="M76" s="811"/>
      <c r="N76" s="803">
        <f t="shared" si="7"/>
        <v>5780.15</v>
      </c>
      <c r="O76" s="803"/>
      <c r="P76" s="803">
        <f t="shared" si="8"/>
        <v>0</v>
      </c>
      <c r="Q76" s="803"/>
      <c r="R76" s="812" t="str">
        <f t="shared" si="9"/>
        <v>Yes</v>
      </c>
      <c r="S76" s="812"/>
    </row>
    <row r="77" spans="2:34" s="782" customFormat="1">
      <c r="B77" s="782" t="s">
        <v>370</v>
      </c>
      <c r="D77" s="814">
        <v>2002</v>
      </c>
      <c r="F77" s="815"/>
      <c r="G77" s="807"/>
      <c r="H77" s="335">
        <v>25878.91</v>
      </c>
      <c r="I77" s="335"/>
      <c r="J77" s="801">
        <f t="shared" si="10"/>
        <v>10</v>
      </c>
      <c r="K77" s="810"/>
      <c r="L77" s="811">
        <f t="shared" si="6"/>
        <v>0.25</v>
      </c>
      <c r="M77" s="811"/>
      <c r="N77" s="803">
        <f t="shared" si="7"/>
        <v>25878.91</v>
      </c>
      <c r="O77" s="803"/>
      <c r="P77" s="803">
        <f t="shared" si="8"/>
        <v>0</v>
      </c>
      <c r="Q77" s="803"/>
      <c r="R77" s="812" t="str">
        <f t="shared" si="9"/>
        <v>Yes</v>
      </c>
      <c r="S77" s="812"/>
    </row>
    <row r="78" spans="2:34">
      <c r="B78" s="780" t="s">
        <v>369</v>
      </c>
      <c r="D78" s="370">
        <v>2003</v>
      </c>
      <c r="F78" s="799"/>
      <c r="G78" s="800"/>
      <c r="H78" s="335">
        <f>303778.27-H79-H80-H81</f>
        <v>210574.95</v>
      </c>
      <c r="J78" s="801">
        <f t="shared" si="10"/>
        <v>9</v>
      </c>
      <c r="K78" s="801"/>
      <c r="L78" s="785">
        <f>VLOOKUP(B78,$T$9:$U$13,2,FALSE)</f>
        <v>0.02</v>
      </c>
      <c r="M78" s="785"/>
      <c r="N78" s="803">
        <f t="shared" ref="N78:N95" si="11">IF(L78*J78*H78&gt;H78,H78,L78*J78*H78)</f>
        <v>37903.491000000002</v>
      </c>
      <c r="O78" s="803"/>
      <c r="P78" s="803">
        <f t="shared" ref="P78:P95" si="12">H78-N78</f>
        <v>172671.459</v>
      </c>
      <c r="Q78" s="802"/>
      <c r="R78" s="804" t="str">
        <f t="shared" ref="R78:R95" si="13">IF(N78=H78,"Yes","No")</f>
        <v>No</v>
      </c>
      <c r="T78" s="806"/>
      <c r="U78" s="817"/>
      <c r="V78" s="806"/>
      <c r="W78" s="720"/>
      <c r="Y78" s="720"/>
      <c r="Z78" s="720"/>
      <c r="AA78" s="720"/>
      <c r="AB78" s="720"/>
      <c r="AC78" s="720"/>
      <c r="AD78" s="720"/>
      <c r="AE78" s="720"/>
      <c r="AF78" s="720"/>
      <c r="AG78" s="720"/>
      <c r="AH78" s="720"/>
    </row>
    <row r="79" spans="2:34">
      <c r="B79" s="780" t="s">
        <v>101</v>
      </c>
      <c r="D79" s="370">
        <v>2003</v>
      </c>
      <c r="F79" s="799"/>
      <c r="G79" s="800"/>
      <c r="H79" s="335">
        <f>3592.2</f>
        <v>3592.2</v>
      </c>
      <c r="J79" s="801">
        <f t="shared" si="10"/>
        <v>9</v>
      </c>
      <c r="K79" s="801"/>
      <c r="L79" s="785">
        <v>0.125</v>
      </c>
      <c r="M79" s="785"/>
      <c r="N79" s="803">
        <f t="shared" si="11"/>
        <v>3592.2</v>
      </c>
      <c r="O79" s="803"/>
      <c r="P79" s="803">
        <f t="shared" si="12"/>
        <v>0</v>
      </c>
      <c r="Q79" s="802"/>
      <c r="R79" s="804" t="str">
        <f t="shared" si="13"/>
        <v>Yes</v>
      </c>
      <c r="T79" s="720"/>
      <c r="U79" s="720"/>
      <c r="V79" s="720"/>
      <c r="W79" s="720"/>
      <c r="X79" s="720"/>
      <c r="Y79" s="720"/>
      <c r="Z79" s="720"/>
      <c r="AA79" s="720"/>
      <c r="AB79" s="720"/>
      <c r="AC79" s="720"/>
      <c r="AD79" s="720"/>
      <c r="AE79" s="720"/>
      <c r="AF79" s="720"/>
      <c r="AG79" s="720"/>
      <c r="AH79" s="720"/>
    </row>
    <row r="80" spans="2:34">
      <c r="B80" s="780" t="s">
        <v>370</v>
      </c>
      <c r="D80" s="370">
        <v>2003</v>
      </c>
      <c r="F80" s="799"/>
      <c r="G80" s="800"/>
      <c r="H80" s="335">
        <v>66712.73</v>
      </c>
      <c r="J80" s="801">
        <f t="shared" si="10"/>
        <v>9</v>
      </c>
      <c r="K80" s="801"/>
      <c r="L80" s="785">
        <f>VLOOKUP(B80,$T$9:$U$13,2,FALSE)</f>
        <v>0.25</v>
      </c>
      <c r="M80" s="785"/>
      <c r="N80" s="803">
        <f t="shared" si="11"/>
        <v>66712.73</v>
      </c>
      <c r="O80" s="803"/>
      <c r="P80" s="803">
        <f t="shared" si="12"/>
        <v>0</v>
      </c>
      <c r="Q80" s="802"/>
      <c r="R80" s="804" t="str">
        <f t="shared" si="13"/>
        <v>Yes</v>
      </c>
      <c r="T80" s="720"/>
      <c r="U80" s="720"/>
      <c r="V80" s="720"/>
      <c r="W80" s="720"/>
      <c r="X80" s="720"/>
      <c r="Y80" s="720"/>
      <c r="Z80" s="720"/>
      <c r="AA80" s="720"/>
      <c r="AB80" s="720"/>
      <c r="AC80" s="720"/>
      <c r="AD80" s="720"/>
      <c r="AE80" s="720"/>
      <c r="AF80" s="720"/>
      <c r="AG80" s="720"/>
      <c r="AH80" s="720"/>
    </row>
    <row r="81" spans="2:34">
      <c r="B81" s="780" t="s">
        <v>592</v>
      </c>
      <c r="D81" s="370">
        <v>2003</v>
      </c>
      <c r="F81" s="799"/>
      <c r="G81" s="800"/>
      <c r="H81" s="335">
        <v>22898.39</v>
      </c>
      <c r="I81" s="335"/>
      <c r="J81" s="801">
        <f t="shared" si="10"/>
        <v>9</v>
      </c>
      <c r="K81" s="801"/>
      <c r="L81" s="785">
        <f>VLOOKUP(B81,$T$9:$U$13,2,FALSE)</f>
        <v>0</v>
      </c>
      <c r="M81" s="785"/>
      <c r="N81" s="803">
        <f t="shared" si="11"/>
        <v>0</v>
      </c>
      <c r="O81" s="803"/>
      <c r="P81" s="803">
        <f t="shared" si="12"/>
        <v>22898.39</v>
      </c>
      <c r="Q81" s="803"/>
      <c r="R81" s="804" t="str">
        <f t="shared" si="13"/>
        <v>No</v>
      </c>
      <c r="T81" s="720"/>
      <c r="U81" s="720"/>
      <c r="V81" s="720"/>
      <c r="W81" s="720"/>
      <c r="X81" s="720"/>
      <c r="Y81" s="720"/>
      <c r="Z81" s="720"/>
      <c r="AA81" s="720"/>
      <c r="AB81" s="720"/>
      <c r="AC81" s="720"/>
      <c r="AD81" s="720"/>
      <c r="AE81" s="720"/>
      <c r="AF81" s="720"/>
      <c r="AG81" s="720"/>
      <c r="AH81" s="720"/>
    </row>
    <row r="82" spans="2:34">
      <c r="B82" s="780" t="s">
        <v>369</v>
      </c>
      <c r="D82" s="370">
        <v>2004</v>
      </c>
      <c r="F82" s="799"/>
      <c r="G82" s="800"/>
      <c r="H82" s="335">
        <f>517659.51-H83-H84-H85</f>
        <v>456980.02999999997</v>
      </c>
      <c r="J82" s="801">
        <f t="shared" si="10"/>
        <v>8</v>
      </c>
      <c r="K82" s="801"/>
      <c r="L82" s="785">
        <f>VLOOKUP(B82,$T$9:$U$13,2,FALSE)</f>
        <v>0.02</v>
      </c>
      <c r="M82" s="785"/>
      <c r="N82" s="803">
        <f t="shared" si="11"/>
        <v>73116.804799999998</v>
      </c>
      <c r="O82" s="803"/>
      <c r="P82" s="803">
        <f t="shared" si="12"/>
        <v>383863.22519999999</v>
      </c>
      <c r="Q82" s="802"/>
      <c r="R82" s="804" t="str">
        <f t="shared" si="13"/>
        <v>No</v>
      </c>
      <c r="U82" s="720"/>
      <c r="V82" s="720"/>
      <c r="W82" s="720"/>
      <c r="X82" s="720"/>
      <c r="Y82" s="720"/>
      <c r="Z82" s="720"/>
      <c r="AA82" s="720"/>
      <c r="AB82" s="720"/>
      <c r="AC82" s="720"/>
      <c r="AD82" s="720"/>
      <c r="AE82" s="720"/>
      <c r="AF82" s="720"/>
      <c r="AG82" s="720"/>
      <c r="AH82" s="720"/>
    </row>
    <row r="83" spans="2:34">
      <c r="B83" s="780" t="s">
        <v>101</v>
      </c>
      <c r="D83" s="370">
        <v>2004</v>
      </c>
      <c r="F83" s="799"/>
      <c r="G83" s="800"/>
      <c r="H83" s="335">
        <f>2282.04+619.92</f>
        <v>2901.96</v>
      </c>
      <c r="J83" s="801">
        <f t="shared" si="10"/>
        <v>8</v>
      </c>
      <c r="K83" s="801"/>
      <c r="L83" s="785">
        <v>0.125</v>
      </c>
      <c r="M83" s="785"/>
      <c r="N83" s="803">
        <f t="shared" si="11"/>
        <v>2901.96</v>
      </c>
      <c r="O83" s="803"/>
      <c r="P83" s="803">
        <f t="shared" si="12"/>
        <v>0</v>
      </c>
      <c r="Q83" s="802"/>
      <c r="R83" s="804" t="str">
        <f t="shared" si="13"/>
        <v>Yes</v>
      </c>
      <c r="T83" s="720"/>
      <c r="U83" s="720"/>
      <c r="V83" s="720"/>
      <c r="W83" s="720"/>
      <c r="X83" s="720"/>
      <c r="Y83" s="720"/>
      <c r="Z83" s="720"/>
      <c r="AA83" s="720"/>
      <c r="AB83" s="720"/>
      <c r="AC83" s="720"/>
      <c r="AD83" s="720"/>
      <c r="AE83" s="720"/>
      <c r="AF83" s="720"/>
      <c r="AG83" s="720"/>
      <c r="AH83" s="720"/>
    </row>
    <row r="84" spans="2:34">
      <c r="B84" s="780" t="s">
        <v>370</v>
      </c>
      <c r="D84" s="370">
        <v>2004</v>
      </c>
      <c r="F84" s="799"/>
      <c r="G84" s="800"/>
      <c r="H84" s="335">
        <v>55831.7</v>
      </c>
      <c r="J84" s="801">
        <f t="shared" si="10"/>
        <v>8</v>
      </c>
      <c r="K84" s="801"/>
      <c r="L84" s="785">
        <f>VLOOKUP(B84,$T$9:$U$13,2,FALSE)</f>
        <v>0.25</v>
      </c>
      <c r="M84" s="785"/>
      <c r="N84" s="803">
        <f t="shared" si="11"/>
        <v>55831.7</v>
      </c>
      <c r="O84" s="803"/>
      <c r="P84" s="803">
        <f t="shared" si="12"/>
        <v>0</v>
      </c>
      <c r="Q84" s="802"/>
      <c r="R84" s="804" t="str">
        <f t="shared" si="13"/>
        <v>Yes</v>
      </c>
      <c r="T84" s="720"/>
      <c r="U84" s="720"/>
      <c r="V84" s="720"/>
      <c r="W84" s="720"/>
      <c r="X84" s="720"/>
      <c r="Y84" s="720"/>
      <c r="Z84" s="720"/>
      <c r="AA84" s="720"/>
      <c r="AB84" s="720"/>
      <c r="AC84" s="720"/>
      <c r="AD84" s="720"/>
      <c r="AE84" s="720"/>
      <c r="AF84" s="720"/>
      <c r="AG84" s="720"/>
      <c r="AH84" s="720"/>
    </row>
    <row r="85" spans="2:34">
      <c r="B85" s="780" t="s">
        <v>592</v>
      </c>
      <c r="D85" s="370">
        <v>2004</v>
      </c>
      <c r="F85" s="799"/>
      <c r="G85" s="800"/>
      <c r="H85" s="335">
        <v>1945.82</v>
      </c>
      <c r="I85" s="335"/>
      <c r="J85" s="801">
        <f t="shared" si="10"/>
        <v>8</v>
      </c>
      <c r="K85" s="801"/>
      <c r="L85" s="785">
        <f>VLOOKUP(B85,$T$9:$U$13,2,FALSE)</f>
        <v>0</v>
      </c>
      <c r="M85" s="785"/>
      <c r="N85" s="803">
        <f t="shared" si="11"/>
        <v>0</v>
      </c>
      <c r="O85" s="803"/>
      <c r="P85" s="803">
        <f t="shared" si="12"/>
        <v>1945.82</v>
      </c>
      <c r="Q85" s="803"/>
      <c r="R85" s="804" t="str">
        <f t="shared" si="13"/>
        <v>No</v>
      </c>
      <c r="T85" s="720"/>
      <c r="U85" s="720"/>
      <c r="V85" s="720"/>
      <c r="W85" s="720"/>
      <c r="X85" s="720"/>
      <c r="Y85" s="720"/>
      <c r="Z85" s="720"/>
      <c r="AA85" s="720"/>
      <c r="AB85" s="720"/>
      <c r="AC85" s="720"/>
      <c r="AD85" s="720"/>
      <c r="AE85" s="720"/>
      <c r="AF85" s="720"/>
      <c r="AG85" s="720"/>
      <c r="AH85" s="720"/>
    </row>
    <row r="86" spans="2:34">
      <c r="B86" s="780" t="s">
        <v>369</v>
      </c>
      <c r="D86" s="370">
        <v>2005</v>
      </c>
      <c r="F86" s="799"/>
      <c r="G86" s="800"/>
      <c r="H86" s="335">
        <f>7256830.51-6546728.58-H89</f>
        <v>709699.02999999968</v>
      </c>
      <c r="J86" s="801">
        <f t="shared" si="10"/>
        <v>7</v>
      </c>
      <c r="K86" s="801"/>
      <c r="L86" s="785">
        <f>VLOOKUP(B86,$T$9:$U$13,2,FALSE)</f>
        <v>0.02</v>
      </c>
      <c r="M86" s="785"/>
      <c r="N86" s="803">
        <f t="shared" si="11"/>
        <v>99357.864199999967</v>
      </c>
      <c r="O86" s="803"/>
      <c r="P86" s="803">
        <f t="shared" si="12"/>
        <v>610341.16579999973</v>
      </c>
      <c r="Q86" s="802"/>
      <c r="R86" s="804" t="str">
        <f t="shared" si="13"/>
        <v>No</v>
      </c>
      <c r="U86" s="720"/>
      <c r="V86" s="720"/>
      <c r="W86" s="720"/>
      <c r="X86" s="720"/>
      <c r="Y86" s="720"/>
      <c r="Z86" s="720"/>
      <c r="AA86" s="720"/>
      <c r="AB86" s="720"/>
      <c r="AC86" s="720"/>
      <c r="AD86" s="720"/>
      <c r="AE86" s="720"/>
      <c r="AF86" s="720"/>
      <c r="AG86" s="720"/>
      <c r="AH86" s="720"/>
    </row>
    <row r="87" spans="2:34">
      <c r="B87" s="780" t="s">
        <v>101</v>
      </c>
      <c r="D87" s="370">
        <v>2005</v>
      </c>
      <c r="F87" s="799"/>
      <c r="G87" s="800"/>
      <c r="H87" s="335">
        <f>16432.23-12274.31</f>
        <v>4157.92</v>
      </c>
      <c r="J87" s="801">
        <f t="shared" si="10"/>
        <v>7</v>
      </c>
      <c r="K87" s="801"/>
      <c r="L87" s="785">
        <v>0.125</v>
      </c>
      <c r="M87" s="785"/>
      <c r="N87" s="803">
        <f t="shared" si="11"/>
        <v>3638.1800000000003</v>
      </c>
      <c r="O87" s="803"/>
      <c r="P87" s="803">
        <f t="shared" si="12"/>
        <v>519.73999999999978</v>
      </c>
      <c r="Q87" s="802"/>
      <c r="R87" s="804" t="str">
        <f t="shared" si="13"/>
        <v>No</v>
      </c>
      <c r="T87" s="720"/>
      <c r="U87" s="720"/>
      <c r="V87" s="720"/>
      <c r="W87" s="720"/>
      <c r="X87" s="720"/>
      <c r="Y87" s="720"/>
      <c r="Z87" s="720"/>
      <c r="AA87" s="720"/>
      <c r="AB87" s="720"/>
      <c r="AC87" s="720"/>
      <c r="AD87" s="720"/>
      <c r="AE87" s="720"/>
      <c r="AF87" s="720"/>
      <c r="AG87" s="720"/>
      <c r="AH87" s="720"/>
    </row>
    <row r="88" spans="2:34">
      <c r="B88" s="780" t="s">
        <v>370</v>
      </c>
      <c r="D88" s="370">
        <v>2005</v>
      </c>
      <c r="F88" s="799"/>
      <c r="G88" s="800"/>
      <c r="H88" s="335">
        <f>419015.19-399122.55</f>
        <v>19892.640000000014</v>
      </c>
      <c r="J88" s="801">
        <f t="shared" si="10"/>
        <v>7</v>
      </c>
      <c r="K88" s="801"/>
      <c r="L88" s="785">
        <f>VLOOKUP(B88,$T$9:$U$13,2,FALSE)</f>
        <v>0.25</v>
      </c>
      <c r="M88" s="785"/>
      <c r="N88" s="803">
        <f t="shared" si="11"/>
        <v>19892.640000000014</v>
      </c>
      <c r="O88" s="803"/>
      <c r="P88" s="803">
        <f t="shared" si="12"/>
        <v>0</v>
      </c>
      <c r="Q88" s="802"/>
      <c r="R88" s="804" t="str">
        <f t="shared" si="13"/>
        <v>Yes</v>
      </c>
      <c r="T88" s="720"/>
      <c r="U88" s="720"/>
      <c r="V88" s="720"/>
      <c r="W88" s="720"/>
      <c r="X88" s="720"/>
      <c r="Y88" s="720"/>
      <c r="Z88" s="720"/>
      <c r="AA88" s="720"/>
      <c r="AB88" s="720"/>
      <c r="AC88" s="720"/>
      <c r="AD88" s="720"/>
      <c r="AE88" s="720"/>
      <c r="AF88" s="720"/>
      <c r="AG88" s="720"/>
      <c r="AH88" s="720"/>
    </row>
    <row r="89" spans="2:34">
      <c r="B89" s="780" t="s">
        <v>592</v>
      </c>
      <c r="D89" s="370">
        <v>2005</v>
      </c>
      <c r="F89" s="799"/>
      <c r="G89" s="800"/>
      <c r="H89" s="335">
        <f>128111.41-127708.51</f>
        <v>402.90000000000873</v>
      </c>
      <c r="I89" s="335"/>
      <c r="J89" s="801">
        <f t="shared" si="10"/>
        <v>7</v>
      </c>
      <c r="K89" s="801"/>
      <c r="L89" s="785">
        <f>VLOOKUP(B89,$T$9:$U$13,2,FALSE)</f>
        <v>0</v>
      </c>
      <c r="M89" s="785"/>
      <c r="N89" s="803">
        <f t="shared" si="11"/>
        <v>0</v>
      </c>
      <c r="O89" s="803"/>
      <c r="P89" s="803">
        <f t="shared" si="12"/>
        <v>402.90000000000873</v>
      </c>
      <c r="Q89" s="803"/>
      <c r="R89" s="804" t="str">
        <f t="shared" si="13"/>
        <v>No</v>
      </c>
      <c r="T89" s="720"/>
      <c r="U89" s="720"/>
      <c r="V89" s="720"/>
      <c r="W89" s="720"/>
      <c r="X89" s="720"/>
      <c r="Y89" s="720"/>
      <c r="Z89" s="720"/>
      <c r="AA89" s="720"/>
      <c r="AB89" s="720"/>
      <c r="AC89" s="720"/>
      <c r="AD89" s="720"/>
      <c r="AE89" s="720"/>
      <c r="AF89" s="720"/>
      <c r="AG89" s="720"/>
      <c r="AH89" s="720"/>
    </row>
    <row r="90" spans="2:34">
      <c r="B90" s="780" t="s">
        <v>369</v>
      </c>
      <c r="D90" s="370">
        <v>2006</v>
      </c>
      <c r="F90" s="799"/>
      <c r="G90" s="800"/>
      <c r="H90" s="335">
        <f>7730565.26-7256830.51</f>
        <v>473734.75</v>
      </c>
      <c r="J90" s="801">
        <f t="shared" si="10"/>
        <v>6</v>
      </c>
      <c r="K90" s="801"/>
      <c r="L90" s="785">
        <f>VLOOKUP(B90,$T$9:$U$13,2,FALSE)</f>
        <v>0.02</v>
      </c>
      <c r="M90" s="785"/>
      <c r="N90" s="803">
        <f t="shared" si="11"/>
        <v>56848.17</v>
      </c>
      <c r="O90" s="803"/>
      <c r="P90" s="803">
        <f t="shared" si="12"/>
        <v>416886.58</v>
      </c>
      <c r="Q90" s="802"/>
      <c r="R90" s="804" t="str">
        <f t="shared" si="13"/>
        <v>No</v>
      </c>
      <c r="U90" s="720"/>
      <c r="V90" s="720"/>
      <c r="W90" s="720"/>
      <c r="X90" s="720"/>
      <c r="Y90" s="720"/>
      <c r="Z90" s="720"/>
      <c r="AA90" s="720"/>
      <c r="AB90" s="720"/>
      <c r="AC90" s="720"/>
      <c r="AD90" s="720"/>
      <c r="AE90" s="720"/>
      <c r="AF90" s="720"/>
      <c r="AG90" s="720"/>
      <c r="AH90" s="720"/>
    </row>
    <row r="91" spans="2:34">
      <c r="B91" s="780" t="s">
        <v>101</v>
      </c>
      <c r="D91" s="370">
        <v>2006</v>
      </c>
      <c r="F91" s="799"/>
      <c r="G91" s="800"/>
      <c r="H91" s="335">
        <f>18544.52-16432.23</f>
        <v>2112.2900000000009</v>
      </c>
      <c r="J91" s="801">
        <f t="shared" si="10"/>
        <v>6</v>
      </c>
      <c r="K91" s="801"/>
      <c r="L91" s="785">
        <v>0.125</v>
      </c>
      <c r="M91" s="785"/>
      <c r="N91" s="803">
        <f t="shared" si="11"/>
        <v>1584.2175000000007</v>
      </c>
      <c r="O91" s="803"/>
      <c r="P91" s="803">
        <f t="shared" si="12"/>
        <v>528.07250000000022</v>
      </c>
      <c r="Q91" s="802"/>
      <c r="R91" s="804" t="str">
        <f t="shared" si="13"/>
        <v>No</v>
      </c>
      <c r="T91" s="720"/>
      <c r="U91" s="720"/>
      <c r="V91" s="720"/>
      <c r="W91" s="720"/>
      <c r="X91" s="720"/>
      <c r="Y91" s="720"/>
      <c r="Z91" s="720"/>
      <c r="AA91" s="720"/>
      <c r="AB91" s="720"/>
      <c r="AC91" s="720"/>
      <c r="AD91" s="720"/>
      <c r="AE91" s="720"/>
      <c r="AF91" s="720"/>
      <c r="AG91" s="720"/>
      <c r="AH91" s="720"/>
    </row>
    <row r="92" spans="2:34">
      <c r="B92" s="780" t="s">
        <v>370</v>
      </c>
      <c r="D92" s="370">
        <v>2006</v>
      </c>
      <c r="F92" s="799"/>
      <c r="G92" s="800"/>
      <c r="H92" s="335">
        <f>434621.09-419015.19</f>
        <v>15605.900000000023</v>
      </c>
      <c r="J92" s="801">
        <f t="shared" si="10"/>
        <v>6</v>
      </c>
      <c r="K92" s="801"/>
      <c r="L92" s="785">
        <f>VLOOKUP(B92,$T$9:$U$13,2,FALSE)</f>
        <v>0.25</v>
      </c>
      <c r="M92" s="785"/>
      <c r="N92" s="803">
        <f t="shared" si="11"/>
        <v>15605.900000000023</v>
      </c>
      <c r="O92" s="803"/>
      <c r="P92" s="803">
        <f t="shared" si="12"/>
        <v>0</v>
      </c>
      <c r="Q92" s="802"/>
      <c r="R92" s="804" t="str">
        <f t="shared" si="13"/>
        <v>Yes</v>
      </c>
      <c r="T92" s="720"/>
      <c r="U92" s="720"/>
      <c r="V92" s="720"/>
      <c r="W92" s="720"/>
      <c r="X92" s="720"/>
      <c r="Y92" s="720"/>
      <c r="Z92" s="720"/>
      <c r="AA92" s="720"/>
      <c r="AB92" s="720"/>
      <c r="AC92" s="720"/>
      <c r="AD92" s="720"/>
      <c r="AE92" s="720"/>
      <c r="AF92" s="720"/>
      <c r="AG92" s="720"/>
      <c r="AH92" s="720"/>
    </row>
    <row r="93" spans="2:34">
      <c r="B93" s="780" t="s">
        <v>369</v>
      </c>
      <c r="D93" s="781">
        <v>2007</v>
      </c>
      <c r="H93" s="335">
        <f>7955405.05-7730565.26+334.96</f>
        <v>225174.75000000003</v>
      </c>
      <c r="J93" s="801">
        <f t="shared" si="10"/>
        <v>5</v>
      </c>
      <c r="K93" s="801"/>
      <c r="L93" s="785">
        <f>VLOOKUP(B93,$T$9:$U$13,2,FALSE)</f>
        <v>0.02</v>
      </c>
      <c r="N93" s="803">
        <f t="shared" si="11"/>
        <v>22517.475000000006</v>
      </c>
      <c r="P93" s="803">
        <f t="shared" si="12"/>
        <v>202657.27500000002</v>
      </c>
      <c r="R93" s="804" t="str">
        <f t="shared" si="13"/>
        <v>No</v>
      </c>
      <c r="T93" s="720"/>
      <c r="U93" s="720"/>
      <c r="V93" s="720"/>
      <c r="W93" s="720"/>
      <c r="X93" s="720"/>
      <c r="Y93" s="720"/>
      <c r="Z93" s="720"/>
      <c r="AA93" s="720"/>
      <c r="AB93" s="720"/>
      <c r="AC93" s="720"/>
      <c r="AD93" s="720"/>
      <c r="AE93" s="720"/>
      <c r="AF93" s="720"/>
      <c r="AG93" s="720"/>
      <c r="AH93" s="720"/>
    </row>
    <row r="94" spans="2:34">
      <c r="B94" s="780" t="s">
        <v>101</v>
      </c>
      <c r="D94" s="781">
        <v>2007</v>
      </c>
      <c r="H94" s="335">
        <f>157170.13-(15307.04+3237.48)</f>
        <v>138625.61000000002</v>
      </c>
      <c r="J94" s="801">
        <f t="shared" si="10"/>
        <v>5</v>
      </c>
      <c r="K94" s="801"/>
      <c r="L94" s="785">
        <v>0.125</v>
      </c>
      <c r="N94" s="803">
        <f t="shared" si="11"/>
        <v>86641.006250000006</v>
      </c>
      <c r="P94" s="803">
        <f t="shared" si="12"/>
        <v>51984.603750000009</v>
      </c>
      <c r="R94" s="804" t="str">
        <f t="shared" si="13"/>
        <v>No</v>
      </c>
      <c r="T94" s="720"/>
      <c r="U94" s="720"/>
      <c r="V94" s="720"/>
      <c r="W94" s="720"/>
      <c r="X94" s="720"/>
      <c r="Y94" s="720"/>
      <c r="Z94" s="720"/>
      <c r="AA94" s="720"/>
      <c r="AB94" s="720"/>
      <c r="AC94" s="720"/>
      <c r="AD94" s="720"/>
      <c r="AE94" s="720"/>
      <c r="AF94" s="720"/>
      <c r="AG94" s="720"/>
      <c r="AH94" s="720"/>
    </row>
    <row r="95" spans="2:34">
      <c r="B95" s="780" t="s">
        <v>370</v>
      </c>
      <c r="D95" s="781">
        <v>2007</v>
      </c>
      <c r="H95" s="818">
        <f>467157.6-434621.09</f>
        <v>32536.509999999951</v>
      </c>
      <c r="J95" s="801">
        <f t="shared" si="10"/>
        <v>5</v>
      </c>
      <c r="K95" s="801"/>
      <c r="L95" s="785">
        <f>VLOOKUP(B95,$T$9:$U$13,2,FALSE)</f>
        <v>0.25</v>
      </c>
      <c r="N95" s="819">
        <f t="shared" si="11"/>
        <v>32536.509999999951</v>
      </c>
      <c r="P95" s="819">
        <f t="shared" si="12"/>
        <v>0</v>
      </c>
      <c r="R95" s="804" t="str">
        <f t="shared" si="13"/>
        <v>Yes</v>
      </c>
      <c r="T95" s="720"/>
      <c r="U95" s="720"/>
      <c r="V95" s="720"/>
      <c r="W95" s="720"/>
      <c r="X95" s="720"/>
      <c r="Y95" s="720"/>
      <c r="Z95" s="720"/>
      <c r="AA95" s="720"/>
      <c r="AB95" s="720"/>
      <c r="AC95" s="720"/>
      <c r="AD95" s="720"/>
      <c r="AE95" s="720"/>
      <c r="AF95" s="720"/>
      <c r="AG95" s="720"/>
      <c r="AH95" s="720"/>
    </row>
    <row r="96" spans="2:34">
      <c r="F96" s="781" t="s">
        <v>374</v>
      </c>
      <c r="H96" s="720">
        <f>SUM(H9:H95)</f>
        <v>8616350.4300000016</v>
      </c>
      <c r="N96" s="720">
        <f>SUM(N9:N95)</f>
        <v>3818927.2103499989</v>
      </c>
      <c r="P96" s="720">
        <f>SUM(P9:P95)</f>
        <v>4797423.2196499985</v>
      </c>
      <c r="T96" s="720"/>
      <c r="U96" s="720"/>
      <c r="V96" s="720"/>
      <c r="W96" s="720"/>
      <c r="X96" s="720"/>
      <c r="Y96" s="720"/>
      <c r="Z96" s="720"/>
      <c r="AA96" s="720"/>
      <c r="AB96" s="720"/>
      <c r="AC96" s="720"/>
      <c r="AD96" s="720"/>
      <c r="AE96" s="720"/>
      <c r="AF96" s="720"/>
      <c r="AG96" s="720"/>
      <c r="AH96" s="720"/>
    </row>
    <row r="97" spans="1:34">
      <c r="T97" s="720"/>
      <c r="U97" s="720"/>
      <c r="V97" s="720"/>
      <c r="W97" s="720"/>
      <c r="X97" s="720"/>
      <c r="Y97" s="720"/>
      <c r="Z97" s="720"/>
      <c r="AA97" s="720"/>
      <c r="AB97" s="720"/>
      <c r="AC97" s="720"/>
      <c r="AD97" s="720"/>
      <c r="AE97" s="720"/>
      <c r="AF97" s="720"/>
      <c r="AG97" s="720"/>
      <c r="AH97" s="720"/>
    </row>
    <row r="98" spans="1:34">
      <c r="A98" s="813" t="s">
        <v>1548</v>
      </c>
      <c r="T98" s="720"/>
      <c r="U98" s="720"/>
      <c r="V98" s="720"/>
      <c r="W98" s="720"/>
      <c r="X98" s="720"/>
      <c r="Y98" s="720"/>
      <c r="Z98" s="720"/>
      <c r="AA98" s="720"/>
      <c r="AB98" s="720"/>
      <c r="AC98" s="720"/>
      <c r="AD98" s="720"/>
      <c r="AE98" s="720"/>
      <c r="AF98" s="720"/>
      <c r="AG98" s="720"/>
      <c r="AH98" s="720"/>
    </row>
    <row r="99" spans="1:34">
      <c r="B99" s="780" t="s">
        <v>369</v>
      </c>
      <c r="D99" s="781">
        <v>2008</v>
      </c>
      <c r="H99" s="720">
        <v>625518.99</v>
      </c>
      <c r="J99" s="801">
        <f t="shared" ref="J99:J103" si="14">VLOOKUP(D99,$T$17:$W$55,2,FALSE)</f>
        <v>4</v>
      </c>
      <c r="L99" s="785">
        <f>VLOOKUP(B99,$T$9:$U$13,2,FALSE)</f>
        <v>0.02</v>
      </c>
      <c r="N99" s="802">
        <f>IF(L99*J99*H99&gt;H99,H99,L99*J99*H99)</f>
        <v>50041.519200000002</v>
      </c>
      <c r="P99" s="802">
        <f>H99-N99</f>
        <v>575477.47080000001</v>
      </c>
      <c r="R99" s="804" t="str">
        <f>IF(N99=H99,"Yes","No")</f>
        <v>No</v>
      </c>
      <c r="T99" s="720"/>
      <c r="U99" s="720"/>
      <c r="V99" s="720"/>
      <c r="W99" s="720"/>
      <c r="X99" s="720"/>
      <c r="Y99" s="720"/>
      <c r="Z99" s="720"/>
      <c r="AA99" s="720"/>
      <c r="AB99" s="720"/>
      <c r="AC99" s="720"/>
      <c r="AD99" s="720"/>
      <c r="AE99" s="720"/>
      <c r="AF99" s="720"/>
      <c r="AG99" s="720"/>
      <c r="AH99" s="720"/>
    </row>
    <row r="100" spans="1:34">
      <c r="B100" s="780" t="s">
        <v>101</v>
      </c>
      <c r="D100" s="781">
        <v>2008</v>
      </c>
      <c r="H100" s="720">
        <v>502208</v>
      </c>
      <c r="J100" s="801">
        <f t="shared" si="14"/>
        <v>4</v>
      </c>
      <c r="L100" s="785">
        <v>0.125</v>
      </c>
      <c r="N100" s="802">
        <f>IF(L100*J100*H100&gt;H100,H100,L100*J100*H100)</f>
        <v>251104</v>
      </c>
      <c r="P100" s="802">
        <f>H100-N100</f>
        <v>251104</v>
      </c>
      <c r="R100" s="804" t="str">
        <f>IF(N100=H100,"Yes","No")</f>
        <v>No</v>
      </c>
      <c r="T100" s="720"/>
      <c r="U100" s="720"/>
      <c r="V100" s="720"/>
      <c r="W100" s="720"/>
      <c r="X100" s="720"/>
      <c r="Y100" s="720"/>
      <c r="Z100" s="720"/>
      <c r="AA100" s="720"/>
      <c r="AB100" s="720"/>
      <c r="AC100" s="720"/>
      <c r="AD100" s="720"/>
      <c r="AE100" s="720"/>
      <c r="AF100" s="720"/>
      <c r="AG100" s="720"/>
      <c r="AH100" s="720"/>
    </row>
    <row r="101" spans="1:34">
      <c r="B101" s="780" t="s">
        <v>370</v>
      </c>
      <c r="D101" s="781">
        <v>2008</v>
      </c>
      <c r="H101" s="720">
        <v>24039.77</v>
      </c>
      <c r="J101" s="801">
        <f t="shared" si="14"/>
        <v>4</v>
      </c>
      <c r="L101" s="785">
        <f>VLOOKUP(B101,$T$9:$U$13,2,FALSE)</f>
        <v>0.25</v>
      </c>
      <c r="N101" s="802">
        <f>IF(L101*J101*H101&gt;H101,H101,L101*J101*H101)</f>
        <v>24039.77</v>
      </c>
      <c r="P101" s="802">
        <f>H101-N101</f>
        <v>0</v>
      </c>
      <c r="R101" s="804" t="str">
        <f>IF(N101=H101,"Yes","No")</f>
        <v>Yes</v>
      </c>
      <c r="T101" s="720"/>
      <c r="U101" s="720"/>
      <c r="V101" s="720"/>
      <c r="W101" s="720"/>
      <c r="X101" s="720"/>
      <c r="Y101" s="720"/>
      <c r="Z101" s="720"/>
      <c r="AA101" s="720"/>
      <c r="AB101" s="720"/>
      <c r="AC101" s="720"/>
      <c r="AD101" s="720"/>
      <c r="AE101" s="720"/>
      <c r="AF101" s="720"/>
      <c r="AG101" s="720"/>
      <c r="AH101" s="720"/>
    </row>
    <row r="102" spans="1:34">
      <c r="B102" s="780" t="s">
        <v>640</v>
      </c>
      <c r="D102" s="781">
        <v>2008</v>
      </c>
      <c r="H102" s="720">
        <v>484.54</v>
      </c>
      <c r="J102" s="801">
        <f t="shared" si="14"/>
        <v>4</v>
      </c>
      <c r="L102" s="785">
        <f>VLOOKUP(B102,$T$9:$U$13,2,FALSE)</f>
        <v>0</v>
      </c>
      <c r="N102" s="802">
        <f>IF(L102*J102*H102&gt;H102,H102,L102*J102*H102)</f>
        <v>0</v>
      </c>
      <c r="P102" s="802">
        <f>H102-N102</f>
        <v>484.54</v>
      </c>
      <c r="R102" s="804" t="str">
        <f>IF(N102=H102,"Yes","No")</f>
        <v>No</v>
      </c>
      <c r="T102" s="720"/>
      <c r="U102" s="720"/>
      <c r="V102" s="720"/>
      <c r="W102" s="720"/>
      <c r="X102" s="720"/>
      <c r="Y102" s="720"/>
      <c r="Z102" s="720"/>
      <c r="AA102" s="720"/>
      <c r="AB102" s="720"/>
      <c r="AC102" s="720"/>
      <c r="AD102" s="720"/>
      <c r="AE102" s="720"/>
      <c r="AF102" s="720"/>
      <c r="AG102" s="720"/>
      <c r="AH102" s="720"/>
    </row>
    <row r="103" spans="1:34">
      <c r="B103" s="780" t="s">
        <v>592</v>
      </c>
      <c r="D103" s="781">
        <v>2008</v>
      </c>
      <c r="H103" s="818">
        <v>0</v>
      </c>
      <c r="J103" s="801">
        <f t="shared" si="14"/>
        <v>4</v>
      </c>
      <c r="L103" s="785">
        <f>VLOOKUP(B103,$T$9:$U$13,2,FALSE)</f>
        <v>0</v>
      </c>
      <c r="N103" s="819">
        <f>IF(L103*J103*H103&gt;H103,H103,L103*J103*H103)</f>
        <v>0</v>
      </c>
      <c r="P103" s="819">
        <f>H103-N103</f>
        <v>0</v>
      </c>
      <c r="R103" s="804" t="str">
        <f>IF(N103=H103,"Yes","No")</f>
        <v>Yes</v>
      </c>
      <c r="T103" s="720"/>
      <c r="U103" s="720"/>
      <c r="V103" s="720"/>
      <c r="W103" s="720"/>
      <c r="X103" s="720"/>
      <c r="Y103" s="720"/>
      <c r="Z103" s="720"/>
      <c r="AA103" s="720"/>
      <c r="AB103" s="720"/>
      <c r="AC103" s="720"/>
      <c r="AD103" s="720"/>
      <c r="AE103" s="720"/>
      <c r="AF103" s="720"/>
      <c r="AG103" s="720"/>
      <c r="AH103" s="720"/>
    </row>
    <row r="104" spans="1:34">
      <c r="F104" s="781" t="s">
        <v>374</v>
      </c>
      <c r="H104" s="802">
        <f>SUM(H99:H103)</f>
        <v>1152251.3</v>
      </c>
      <c r="N104" s="802">
        <f>SUM(N99:N103)</f>
        <v>325185.2892</v>
      </c>
      <c r="P104" s="802">
        <f>SUM(P99:P103)</f>
        <v>827066.01080000005</v>
      </c>
      <c r="T104" s="720"/>
      <c r="U104" s="720"/>
      <c r="V104" s="720"/>
      <c r="W104" s="720"/>
      <c r="X104" s="720"/>
      <c r="Y104" s="720"/>
      <c r="Z104" s="720"/>
      <c r="AA104" s="720"/>
      <c r="AB104" s="720"/>
      <c r="AC104" s="720"/>
      <c r="AD104" s="720"/>
      <c r="AE104" s="720"/>
      <c r="AF104" s="720"/>
      <c r="AG104" s="720"/>
      <c r="AH104" s="720"/>
    </row>
    <row r="105" spans="1:34">
      <c r="H105" s="802"/>
      <c r="J105" s="478"/>
      <c r="L105" s="802"/>
      <c r="N105" s="802"/>
      <c r="P105" s="802"/>
      <c r="T105" s="720"/>
      <c r="U105" s="720"/>
      <c r="V105" s="720"/>
      <c r="W105" s="720"/>
      <c r="X105" s="720"/>
      <c r="Y105" s="720"/>
      <c r="Z105" s="720"/>
      <c r="AA105" s="720"/>
      <c r="AB105" s="720"/>
      <c r="AC105" s="720"/>
      <c r="AD105" s="720"/>
      <c r="AE105" s="720"/>
      <c r="AF105" s="720"/>
      <c r="AG105" s="720"/>
      <c r="AH105" s="720"/>
    </row>
    <row r="106" spans="1:34">
      <c r="A106" s="813" t="s">
        <v>1549</v>
      </c>
      <c r="H106" s="802"/>
      <c r="N106" s="802"/>
      <c r="P106" s="802"/>
      <c r="T106" s="720"/>
      <c r="U106" s="720"/>
      <c r="V106" s="720"/>
      <c r="W106" s="720"/>
      <c r="X106" s="720"/>
      <c r="Y106" s="720"/>
      <c r="Z106" s="720"/>
      <c r="AA106" s="720"/>
      <c r="AB106" s="720"/>
      <c r="AC106" s="720"/>
      <c r="AD106" s="720"/>
      <c r="AE106" s="720"/>
      <c r="AF106" s="720"/>
      <c r="AG106" s="720"/>
      <c r="AH106" s="720"/>
    </row>
    <row r="107" spans="1:34">
      <c r="B107" s="780" t="s">
        <v>369</v>
      </c>
      <c r="D107" s="781">
        <v>2009</v>
      </c>
      <c r="H107" s="802">
        <v>126895.36</v>
      </c>
      <c r="J107" s="801">
        <f t="shared" ref="J107:J111" si="15">VLOOKUP(D107,$T$17:$W$55,2,FALSE)</f>
        <v>3</v>
      </c>
      <c r="L107" s="785">
        <f>VLOOKUP(B107,$T$9:$U$13,2,FALSE)</f>
        <v>0.02</v>
      </c>
      <c r="N107" s="802">
        <f>IF(L107*J107*H107&gt;H107,H107,L107*J107*H107)</f>
        <v>7613.7215999999999</v>
      </c>
      <c r="P107" s="802">
        <f>H107-N107</f>
        <v>119281.6384</v>
      </c>
      <c r="R107" s="804" t="str">
        <f>IF(N107=H107,"Yes","No")</f>
        <v>No</v>
      </c>
      <c r="T107" s="720"/>
      <c r="U107" s="720"/>
      <c r="V107" s="720"/>
      <c r="W107" s="720"/>
      <c r="X107" s="720"/>
      <c r="Y107" s="720"/>
      <c r="Z107" s="720"/>
      <c r="AA107" s="720"/>
      <c r="AB107" s="720"/>
      <c r="AC107" s="720"/>
      <c r="AD107" s="720"/>
      <c r="AE107" s="720"/>
      <c r="AF107" s="720"/>
      <c r="AG107" s="720"/>
      <c r="AH107" s="720"/>
    </row>
    <row r="108" spans="1:34">
      <c r="B108" s="780" t="s">
        <v>101</v>
      </c>
      <c r="D108" s="781">
        <v>2009</v>
      </c>
      <c r="H108" s="802">
        <v>59822.39</v>
      </c>
      <c r="J108" s="801">
        <f t="shared" si="15"/>
        <v>3</v>
      </c>
      <c r="L108" s="785">
        <v>0.125</v>
      </c>
      <c r="N108" s="802">
        <f>IF(L108*J108*H108&gt;H108,H108,L108*J108*H108)</f>
        <v>22433.396249999998</v>
      </c>
      <c r="P108" s="802">
        <f>H108-N108</f>
        <v>37388.993750000001</v>
      </c>
      <c r="R108" s="804" t="str">
        <f>IF(N108=H108,"Yes","No")</f>
        <v>No</v>
      </c>
      <c r="T108" s="720"/>
      <c r="U108" s="720"/>
      <c r="V108" s="720"/>
      <c r="W108" s="720"/>
      <c r="X108" s="720"/>
      <c r="Y108" s="720"/>
      <c r="Z108" s="720"/>
      <c r="AA108" s="720"/>
      <c r="AB108" s="720"/>
      <c r="AC108" s="720"/>
      <c r="AD108" s="720"/>
      <c r="AE108" s="720"/>
      <c r="AF108" s="720"/>
      <c r="AG108" s="720"/>
      <c r="AH108" s="720"/>
    </row>
    <row r="109" spans="1:34">
      <c r="B109" s="780" t="s">
        <v>370</v>
      </c>
      <c r="D109" s="781">
        <v>2009</v>
      </c>
      <c r="H109" s="802">
        <v>-1334.63</v>
      </c>
      <c r="J109" s="801">
        <f t="shared" si="15"/>
        <v>3</v>
      </c>
      <c r="L109" s="785">
        <f>VLOOKUP(B109,$T$9:$U$13,2,FALSE)</f>
        <v>0.25</v>
      </c>
      <c r="N109" s="802">
        <f>H109*L109</f>
        <v>-333.65750000000003</v>
      </c>
      <c r="P109" s="802">
        <f>H109-N109</f>
        <v>-1000.9725000000001</v>
      </c>
      <c r="R109" s="804" t="str">
        <f>IF(N109=H109,"Yes","No")</f>
        <v>No</v>
      </c>
      <c r="T109" s="720"/>
      <c r="U109" s="720"/>
      <c r="V109" s="720"/>
      <c r="W109" s="720"/>
      <c r="X109" s="720"/>
      <c r="Y109" s="720"/>
      <c r="Z109" s="720"/>
      <c r="AA109" s="720"/>
      <c r="AB109" s="720"/>
      <c r="AC109" s="720"/>
      <c r="AD109" s="720"/>
      <c r="AE109" s="720"/>
      <c r="AF109" s="720"/>
      <c r="AG109" s="720"/>
      <c r="AH109" s="720"/>
    </row>
    <row r="110" spans="1:34">
      <c r="B110" s="780" t="s">
        <v>640</v>
      </c>
      <c r="D110" s="781">
        <v>2009</v>
      </c>
      <c r="H110" s="802">
        <v>173.08</v>
      </c>
      <c r="J110" s="801">
        <f t="shared" si="15"/>
        <v>3</v>
      </c>
      <c r="L110" s="785">
        <f>VLOOKUP(B110,$T$9:$U$13,2,FALSE)</f>
        <v>0</v>
      </c>
      <c r="N110" s="802">
        <f>IF(L110*J110*H110&gt;H110,H110,L110*J110*H110)</f>
        <v>0</v>
      </c>
      <c r="P110" s="802">
        <f>H110-N110</f>
        <v>173.08</v>
      </c>
      <c r="R110" s="804" t="str">
        <f>IF(N110=H110,"Yes","No")</f>
        <v>No</v>
      </c>
      <c r="T110" s="720"/>
      <c r="U110" s="720"/>
      <c r="V110" s="720"/>
      <c r="W110" s="720"/>
      <c r="X110" s="720"/>
      <c r="Y110" s="720"/>
      <c r="Z110" s="720"/>
      <c r="AA110" s="720"/>
      <c r="AB110" s="720"/>
      <c r="AC110" s="720"/>
      <c r="AD110" s="720"/>
      <c r="AE110" s="720"/>
      <c r="AF110" s="720"/>
      <c r="AG110" s="720"/>
      <c r="AH110" s="720"/>
    </row>
    <row r="111" spans="1:34">
      <c r="B111" s="780" t="s">
        <v>592</v>
      </c>
      <c r="D111" s="781">
        <v>2009</v>
      </c>
      <c r="H111" s="819"/>
      <c r="J111" s="801">
        <f t="shared" si="15"/>
        <v>3</v>
      </c>
      <c r="L111" s="785">
        <f>VLOOKUP(B111,$T$9:$U$13,2,FALSE)</f>
        <v>0</v>
      </c>
      <c r="N111" s="819">
        <f>IF(L111*J111*H111&gt;H111,H111,L111*J111*H111)</f>
        <v>0</v>
      </c>
      <c r="P111" s="819">
        <f>H111-N111</f>
        <v>0</v>
      </c>
      <c r="R111" s="804" t="str">
        <f>IF(N111=H111,"Yes","No")</f>
        <v>Yes</v>
      </c>
      <c r="T111" s="720"/>
      <c r="U111" s="720"/>
      <c r="V111" s="720"/>
      <c r="W111" s="720"/>
      <c r="X111" s="720"/>
      <c r="Y111" s="720"/>
      <c r="Z111" s="720"/>
      <c r="AA111" s="720"/>
      <c r="AB111" s="720"/>
      <c r="AC111" s="720"/>
      <c r="AD111" s="720"/>
      <c r="AE111" s="720"/>
      <c r="AF111" s="720"/>
      <c r="AG111" s="720"/>
      <c r="AH111" s="720"/>
    </row>
    <row r="112" spans="1:34">
      <c r="F112" s="781" t="s">
        <v>374</v>
      </c>
      <c r="H112" s="802">
        <f>SUM(H107:H111)</f>
        <v>185556.19999999998</v>
      </c>
      <c r="N112" s="802">
        <f>SUM(N107:N111)</f>
        <v>29713.460349999998</v>
      </c>
      <c r="P112" s="802">
        <f>SUM(P107:P111)</f>
        <v>155842.73964999997</v>
      </c>
      <c r="R112" s="804"/>
      <c r="T112" s="720"/>
      <c r="U112" s="720"/>
      <c r="V112" s="720"/>
      <c r="W112" s="720"/>
      <c r="X112" s="720"/>
      <c r="Y112" s="720"/>
      <c r="Z112" s="720"/>
      <c r="AA112" s="720"/>
      <c r="AB112" s="720"/>
      <c r="AC112" s="720"/>
      <c r="AD112" s="720"/>
      <c r="AE112" s="720"/>
      <c r="AF112" s="720"/>
      <c r="AG112" s="720"/>
      <c r="AH112" s="720"/>
    </row>
    <row r="113" spans="1:34">
      <c r="H113" s="802"/>
      <c r="J113" s="801"/>
      <c r="L113" s="785"/>
      <c r="N113" s="803"/>
      <c r="P113" s="803"/>
      <c r="R113" s="804"/>
      <c r="T113" s="720"/>
      <c r="U113" s="720"/>
      <c r="V113" s="720"/>
      <c r="W113" s="720"/>
      <c r="X113" s="720"/>
      <c r="Y113" s="720"/>
      <c r="Z113" s="720"/>
      <c r="AA113" s="720"/>
      <c r="AB113" s="720"/>
      <c r="AC113" s="720"/>
      <c r="AD113" s="720"/>
      <c r="AE113" s="720"/>
      <c r="AF113" s="720"/>
      <c r="AG113" s="720"/>
      <c r="AH113" s="720"/>
    </row>
    <row r="114" spans="1:34">
      <c r="A114" s="813" t="s">
        <v>1550</v>
      </c>
      <c r="H114" s="802"/>
      <c r="N114" s="802"/>
      <c r="P114" s="802"/>
      <c r="T114" s="720"/>
      <c r="U114" s="720"/>
      <c r="V114" s="720"/>
      <c r="W114" s="720"/>
      <c r="X114" s="720"/>
      <c r="Y114" s="720"/>
      <c r="Z114" s="720"/>
      <c r="AA114" s="720"/>
      <c r="AB114" s="720"/>
      <c r="AC114" s="720"/>
      <c r="AD114" s="720"/>
      <c r="AE114" s="720"/>
      <c r="AF114" s="720"/>
      <c r="AG114" s="720"/>
      <c r="AH114" s="720"/>
    </row>
    <row r="115" spans="1:34">
      <c r="B115" s="780" t="s">
        <v>369</v>
      </c>
      <c r="D115" s="781">
        <v>2010</v>
      </c>
      <c r="H115" s="802">
        <v>122369.31999999999</v>
      </c>
      <c r="J115" s="801">
        <f t="shared" ref="J115:J119" si="16">VLOOKUP(D115,$T$17:$W$55,2,FALSE)</f>
        <v>2</v>
      </c>
      <c r="L115" s="785">
        <f>VLOOKUP(B115,$T$9:$U$13,2,FALSE)</f>
        <v>0.02</v>
      </c>
      <c r="N115" s="802">
        <f>IF(L115*J115*H115&gt;H115,H115,L115*J115*H115)</f>
        <v>4894.7727999999997</v>
      </c>
      <c r="P115" s="802">
        <f>H115-N115</f>
        <v>117474.54719999999</v>
      </c>
      <c r="R115" s="804" t="str">
        <f>IF(N115=H115,"Yes","No")</f>
        <v>No</v>
      </c>
      <c r="T115" s="720"/>
      <c r="U115" s="720"/>
      <c r="V115" s="720"/>
      <c r="W115" s="720"/>
      <c r="X115" s="720"/>
      <c r="Y115" s="720"/>
      <c r="Z115" s="720"/>
      <c r="AA115" s="720"/>
      <c r="AB115" s="720"/>
      <c r="AC115" s="720"/>
      <c r="AD115" s="720"/>
      <c r="AE115" s="720"/>
      <c r="AF115" s="720"/>
      <c r="AG115" s="720"/>
      <c r="AH115" s="720"/>
    </row>
    <row r="116" spans="1:34">
      <c r="B116" s="780" t="s">
        <v>101</v>
      </c>
      <c r="D116" s="781">
        <v>2010</v>
      </c>
      <c r="H116" s="802">
        <v>29825.15</v>
      </c>
      <c r="J116" s="801">
        <f t="shared" si="16"/>
        <v>2</v>
      </c>
      <c r="L116" s="785">
        <v>0.125</v>
      </c>
      <c r="N116" s="802">
        <f>IF(L116*J116*H116&gt;H116,H116,L116*J116*H116)</f>
        <v>7456.2875000000004</v>
      </c>
      <c r="P116" s="802">
        <f>H116-N116</f>
        <v>22368.862500000003</v>
      </c>
      <c r="R116" s="804" t="str">
        <f>IF(N116=H116,"Yes","No")</f>
        <v>No</v>
      </c>
      <c r="T116" s="720"/>
      <c r="U116" s="720"/>
      <c r="V116" s="720"/>
      <c r="W116" s="720"/>
      <c r="X116" s="720"/>
      <c r="Y116" s="720"/>
      <c r="Z116" s="720"/>
      <c r="AA116" s="720"/>
      <c r="AB116" s="720"/>
      <c r="AC116" s="720"/>
      <c r="AD116" s="720"/>
      <c r="AE116" s="720"/>
      <c r="AF116" s="720"/>
      <c r="AG116" s="720"/>
      <c r="AH116" s="720"/>
    </row>
    <row r="117" spans="1:34">
      <c r="B117" s="780" t="s">
        <v>370</v>
      </c>
      <c r="D117" s="781">
        <v>2010</v>
      </c>
      <c r="H117" s="802">
        <v>-746.89</v>
      </c>
      <c r="J117" s="801">
        <f t="shared" si="16"/>
        <v>2</v>
      </c>
      <c r="L117" s="785">
        <f>VLOOKUP(B117,$T$9:$U$13,2,FALSE)</f>
        <v>0.25</v>
      </c>
      <c r="N117" s="802">
        <f>IF(L117*J117*H117&gt;H117,H117,L117*J117*H117)</f>
        <v>-746.89</v>
      </c>
      <c r="P117" s="802">
        <f>H117+N117</f>
        <v>-1493.78</v>
      </c>
      <c r="R117" s="804" t="str">
        <f>IF(N117=H117,"Yes","No")</f>
        <v>Yes</v>
      </c>
      <c r="T117" s="720"/>
      <c r="U117" s="720"/>
      <c r="V117" s="720"/>
      <c r="W117" s="720"/>
      <c r="X117" s="720"/>
      <c r="Y117" s="720"/>
      <c r="Z117" s="720"/>
      <c r="AA117" s="720"/>
      <c r="AB117" s="720"/>
      <c r="AC117" s="720"/>
      <c r="AD117" s="720"/>
      <c r="AE117" s="720"/>
      <c r="AF117" s="720"/>
      <c r="AG117" s="720"/>
      <c r="AH117" s="720"/>
    </row>
    <row r="118" spans="1:34">
      <c r="B118" s="780" t="s">
        <v>640</v>
      </c>
      <c r="D118" s="781">
        <v>2010</v>
      </c>
      <c r="H118" s="802">
        <v>67.58</v>
      </c>
      <c r="J118" s="801">
        <f t="shared" si="16"/>
        <v>2</v>
      </c>
      <c r="L118" s="785">
        <f>VLOOKUP(B118,$T$9:$U$13,2,FALSE)</f>
        <v>0</v>
      </c>
      <c r="N118" s="802">
        <f>IF(L118*J118*H118&gt;H118,H118,L118*J118*H118)</f>
        <v>0</v>
      </c>
      <c r="P118" s="802">
        <f>H118-N118</f>
        <v>67.58</v>
      </c>
      <c r="R118" s="804" t="str">
        <f>IF(N118=H118,"Yes","No")</f>
        <v>No</v>
      </c>
      <c r="T118" s="720"/>
      <c r="U118" s="720"/>
      <c r="V118" s="720"/>
      <c r="W118" s="720"/>
      <c r="X118" s="720"/>
      <c r="Y118" s="720"/>
      <c r="Z118" s="720"/>
      <c r="AA118" s="720"/>
      <c r="AB118" s="720"/>
      <c r="AC118" s="720"/>
      <c r="AD118" s="720"/>
      <c r="AE118" s="720"/>
      <c r="AF118" s="720"/>
      <c r="AG118" s="720"/>
      <c r="AH118" s="720"/>
    </row>
    <row r="119" spans="1:34">
      <c r="B119" s="780" t="s">
        <v>592</v>
      </c>
      <c r="D119" s="781">
        <v>2010</v>
      </c>
      <c r="H119" s="819"/>
      <c r="J119" s="801">
        <f t="shared" si="16"/>
        <v>2</v>
      </c>
      <c r="L119" s="785">
        <f>VLOOKUP(B119,$T$9:$U$13,2,FALSE)</f>
        <v>0</v>
      </c>
      <c r="N119" s="819">
        <f>IF(L119*J119*H119&gt;H119,H119,L119*J119*H119)</f>
        <v>0</v>
      </c>
      <c r="P119" s="819">
        <f>H119-N119</f>
        <v>0</v>
      </c>
      <c r="R119" s="804" t="str">
        <f>IF(N119=H119,"Yes","No")</f>
        <v>Yes</v>
      </c>
      <c r="T119" s="720"/>
      <c r="U119" s="720"/>
      <c r="V119" s="720"/>
      <c r="W119" s="720"/>
      <c r="X119" s="720"/>
      <c r="Y119" s="720"/>
      <c r="Z119" s="720"/>
      <c r="AA119" s="720"/>
      <c r="AB119" s="720"/>
      <c r="AC119" s="720"/>
      <c r="AD119" s="720"/>
      <c r="AE119" s="720"/>
      <c r="AF119" s="720"/>
      <c r="AG119" s="720"/>
      <c r="AH119" s="720"/>
    </row>
    <row r="120" spans="1:34">
      <c r="F120" s="781" t="s">
        <v>374</v>
      </c>
      <c r="H120" s="802">
        <f>SUM(H115:H119)</f>
        <v>151515.15999999997</v>
      </c>
      <c r="N120" s="802">
        <f>SUM(N115:N119)</f>
        <v>11604.170300000002</v>
      </c>
      <c r="P120" s="802">
        <f>SUM(P115:P119)</f>
        <v>138417.20969999998</v>
      </c>
      <c r="T120" s="720"/>
      <c r="U120" s="720"/>
      <c r="V120" s="720"/>
      <c r="W120" s="720"/>
      <c r="X120" s="720"/>
      <c r="Y120" s="720"/>
      <c r="Z120" s="720"/>
      <c r="AA120" s="720"/>
      <c r="AB120" s="720"/>
      <c r="AC120" s="720"/>
      <c r="AD120" s="720"/>
      <c r="AE120" s="720"/>
      <c r="AF120" s="720"/>
      <c r="AG120" s="720"/>
      <c r="AH120" s="720"/>
    </row>
    <row r="121" spans="1:34">
      <c r="T121" s="720"/>
      <c r="U121" s="720"/>
      <c r="V121" s="720"/>
      <c r="W121" s="720"/>
      <c r="X121" s="720"/>
      <c r="Y121" s="720"/>
      <c r="Z121" s="720"/>
      <c r="AA121" s="720"/>
      <c r="AB121" s="720"/>
      <c r="AC121" s="720"/>
      <c r="AD121" s="720"/>
      <c r="AE121" s="720"/>
      <c r="AF121" s="720"/>
      <c r="AG121" s="720"/>
      <c r="AH121" s="720"/>
    </row>
    <row r="122" spans="1:34">
      <c r="A122" s="813" t="s">
        <v>1986</v>
      </c>
      <c r="T122" s="720"/>
      <c r="U122" s="720"/>
      <c r="V122" s="720"/>
      <c r="W122" s="720"/>
      <c r="X122" s="720"/>
      <c r="Y122" s="720"/>
      <c r="Z122" s="720"/>
      <c r="AA122" s="720"/>
      <c r="AB122" s="720"/>
      <c r="AC122" s="720"/>
      <c r="AD122" s="720"/>
      <c r="AE122" s="720"/>
      <c r="AF122" s="720"/>
      <c r="AG122" s="720"/>
      <c r="AH122" s="720"/>
    </row>
    <row r="123" spans="1:34">
      <c r="B123" s="780" t="s">
        <v>369</v>
      </c>
      <c r="D123" s="781">
        <v>2011</v>
      </c>
      <c r="H123" s="720">
        <v>106255.28</v>
      </c>
      <c r="J123" s="801">
        <f t="shared" ref="J123:J127" si="17">VLOOKUP(D123,$T$17:$W$55,2,FALSE)</f>
        <v>1</v>
      </c>
      <c r="L123" s="785">
        <f>VLOOKUP(B123,$T$9:$U$13,2,FALSE)</f>
        <v>0.02</v>
      </c>
      <c r="N123" s="802">
        <f t="shared" ref="N123:N127" si="18">IF(L123*J123*H123&gt;H123,H123,L123*J123*H123)</f>
        <v>2125.1055999999999</v>
      </c>
      <c r="P123" s="802">
        <f>H123-N123</f>
        <v>104130.1744</v>
      </c>
      <c r="R123" s="804" t="str">
        <f>IF(N123=H123,"Yes","No")</f>
        <v>No</v>
      </c>
      <c r="T123" s="720"/>
      <c r="U123" s="720"/>
      <c r="V123" s="720"/>
      <c r="W123" s="720"/>
      <c r="X123" s="720"/>
      <c r="Y123" s="720"/>
      <c r="Z123" s="720"/>
      <c r="AA123" s="720"/>
      <c r="AB123" s="720"/>
      <c r="AC123" s="720"/>
      <c r="AD123" s="720"/>
      <c r="AE123" s="720"/>
      <c r="AF123" s="720"/>
      <c r="AG123" s="720"/>
      <c r="AH123" s="720"/>
    </row>
    <row r="124" spans="1:34">
      <c r="B124" s="780" t="s">
        <v>101</v>
      </c>
      <c r="D124" s="781">
        <v>2011</v>
      </c>
      <c r="H124" s="720">
        <v>10032.86</v>
      </c>
      <c r="J124" s="801">
        <f t="shared" si="17"/>
        <v>1</v>
      </c>
      <c r="L124" s="785">
        <v>0.125</v>
      </c>
      <c r="N124" s="802">
        <f t="shared" si="18"/>
        <v>1254.1075000000001</v>
      </c>
      <c r="P124" s="802">
        <f>H124-N124</f>
        <v>8778.7525000000005</v>
      </c>
      <c r="R124" s="804" t="str">
        <f>IF(N124=H124,"Yes","No")</f>
        <v>No</v>
      </c>
      <c r="T124" s="720"/>
      <c r="U124" s="720"/>
      <c r="V124" s="720"/>
      <c r="W124" s="720"/>
      <c r="X124" s="720"/>
      <c r="Y124" s="720"/>
      <c r="Z124" s="720"/>
      <c r="AA124" s="720"/>
      <c r="AB124" s="720"/>
      <c r="AC124" s="720"/>
      <c r="AD124" s="720"/>
      <c r="AE124" s="720"/>
      <c r="AF124" s="720"/>
      <c r="AG124" s="720"/>
      <c r="AH124" s="720"/>
    </row>
    <row r="125" spans="1:34">
      <c r="B125" s="780" t="s">
        <v>370</v>
      </c>
      <c r="D125" s="781">
        <v>2011</v>
      </c>
      <c r="H125" s="720">
        <v>83996.02</v>
      </c>
      <c r="J125" s="801">
        <f t="shared" si="17"/>
        <v>1</v>
      </c>
      <c r="L125" s="785">
        <f>VLOOKUP(B125,$T$9:$U$13,2,FALSE)</f>
        <v>0.25</v>
      </c>
      <c r="N125" s="802">
        <f t="shared" si="18"/>
        <v>20999.005000000001</v>
      </c>
      <c r="P125" s="802">
        <f>H125+N125</f>
        <v>104995.02500000001</v>
      </c>
      <c r="R125" s="804" t="str">
        <f>IF(N125=H125,"Yes","No")</f>
        <v>No</v>
      </c>
      <c r="T125" s="720"/>
      <c r="U125" s="720"/>
      <c r="V125" s="720"/>
      <c r="W125" s="720"/>
      <c r="X125" s="720"/>
      <c r="Y125" s="720"/>
      <c r="Z125" s="720"/>
      <c r="AA125" s="720"/>
      <c r="AB125" s="720"/>
      <c r="AC125" s="720"/>
      <c r="AD125" s="720"/>
      <c r="AE125" s="720"/>
      <c r="AF125" s="720"/>
      <c r="AG125" s="720"/>
      <c r="AH125" s="720"/>
    </row>
    <row r="126" spans="1:34">
      <c r="B126" s="780" t="s">
        <v>640</v>
      </c>
      <c r="D126" s="781">
        <v>2011</v>
      </c>
      <c r="H126" s="720">
        <v>9.01</v>
      </c>
      <c r="J126" s="801">
        <f t="shared" si="17"/>
        <v>1</v>
      </c>
      <c r="L126" s="785">
        <f>VLOOKUP(B126,$T$9:$U$13,2,FALSE)</f>
        <v>0</v>
      </c>
      <c r="N126" s="802">
        <f t="shared" si="18"/>
        <v>0</v>
      </c>
      <c r="P126" s="802">
        <f>H126-N126</f>
        <v>9.01</v>
      </c>
      <c r="R126" s="804" t="str">
        <f>IF(N126=H126,"Yes","No")</f>
        <v>No</v>
      </c>
      <c r="T126" s="720"/>
      <c r="U126" s="720"/>
      <c r="V126" s="720"/>
      <c r="W126" s="720"/>
      <c r="X126" s="720"/>
      <c r="Y126" s="720"/>
      <c r="Z126" s="720"/>
      <c r="AA126" s="720"/>
      <c r="AB126" s="720"/>
      <c r="AC126" s="720"/>
      <c r="AD126" s="720"/>
      <c r="AE126" s="720"/>
      <c r="AF126" s="720"/>
      <c r="AG126" s="720"/>
      <c r="AH126" s="720"/>
    </row>
    <row r="127" spans="1:34">
      <c r="B127" s="780" t="s">
        <v>592</v>
      </c>
      <c r="D127" s="781">
        <v>2011</v>
      </c>
      <c r="H127" s="818">
        <v>0</v>
      </c>
      <c r="J127" s="801">
        <f t="shared" si="17"/>
        <v>1</v>
      </c>
      <c r="L127" s="785">
        <f>VLOOKUP(B127,$T$9:$U$13,2,FALSE)</f>
        <v>0</v>
      </c>
      <c r="N127" s="819">
        <f t="shared" si="18"/>
        <v>0</v>
      </c>
      <c r="P127" s="819">
        <f>H127-N127</f>
        <v>0</v>
      </c>
      <c r="R127" s="804" t="str">
        <f>IF(N127=H127,"Yes","No")</f>
        <v>Yes</v>
      </c>
      <c r="T127" s="720"/>
      <c r="U127" s="720"/>
      <c r="V127" s="720"/>
      <c r="W127" s="720"/>
      <c r="X127" s="720"/>
      <c r="Y127" s="720"/>
      <c r="Z127" s="720"/>
      <c r="AA127" s="720"/>
      <c r="AB127" s="720"/>
      <c r="AC127" s="720"/>
      <c r="AD127" s="720"/>
      <c r="AE127" s="720"/>
      <c r="AF127" s="720"/>
      <c r="AG127" s="720"/>
      <c r="AH127" s="720"/>
    </row>
    <row r="128" spans="1:34">
      <c r="F128" s="781" t="s">
        <v>374</v>
      </c>
      <c r="H128" s="802">
        <f>SUM(H123:H127)</f>
        <v>200293.17</v>
      </c>
      <c r="J128" s="801"/>
      <c r="N128" s="802">
        <f>SUM(N123:N127)</f>
        <v>24378.218100000002</v>
      </c>
      <c r="P128" s="802">
        <f>SUM(P123:P127)</f>
        <v>217912.96190000002</v>
      </c>
      <c r="T128" s="720"/>
      <c r="U128" s="720"/>
      <c r="V128" s="720"/>
      <c r="W128" s="720"/>
      <c r="X128" s="720"/>
      <c r="Y128" s="720"/>
      <c r="Z128" s="720"/>
      <c r="AA128" s="720"/>
      <c r="AB128" s="720"/>
      <c r="AC128" s="720"/>
      <c r="AD128" s="720"/>
      <c r="AE128" s="720"/>
      <c r="AF128" s="720"/>
      <c r="AG128" s="720"/>
      <c r="AH128" s="720"/>
    </row>
    <row r="129" spans="1:34">
      <c r="J129" s="801"/>
      <c r="T129" s="720"/>
      <c r="U129" s="720"/>
      <c r="V129" s="720"/>
      <c r="W129" s="720"/>
      <c r="X129" s="720"/>
      <c r="Y129" s="720"/>
      <c r="Z129" s="720"/>
      <c r="AA129" s="720"/>
      <c r="AB129" s="720"/>
      <c r="AC129" s="720"/>
      <c r="AD129" s="720"/>
      <c r="AE129" s="720"/>
      <c r="AF129" s="720"/>
      <c r="AG129" s="720"/>
      <c r="AH129" s="720"/>
    </row>
    <row r="130" spans="1:34">
      <c r="A130" s="813" t="s">
        <v>1985</v>
      </c>
      <c r="T130" s="720"/>
      <c r="U130" s="720"/>
      <c r="V130" s="720"/>
      <c r="W130" s="720"/>
      <c r="X130" s="720"/>
      <c r="Y130" s="720"/>
      <c r="Z130" s="720"/>
      <c r="AA130" s="720"/>
      <c r="AB130" s="720"/>
      <c r="AC130" s="720"/>
      <c r="AD130" s="720"/>
      <c r="AE130" s="720"/>
      <c r="AF130" s="720"/>
      <c r="AG130" s="720"/>
      <c r="AH130" s="720"/>
    </row>
    <row r="131" spans="1:34">
      <c r="B131" s="780" t="s">
        <v>369</v>
      </c>
      <c r="D131" s="781">
        <v>2012</v>
      </c>
      <c r="H131" s="720">
        <v>371869.15</v>
      </c>
      <c r="J131" s="801">
        <f t="shared" ref="J131:J135" si="19">VLOOKUP(D131,$T$17:$W$55,2,FALSE)</f>
        <v>0</v>
      </c>
      <c r="L131" s="785">
        <f>VLOOKUP(B131,$T$9:$U$13,2,FALSE)</f>
        <v>0.02</v>
      </c>
      <c r="N131" s="802">
        <f t="shared" ref="N131:N135" si="20">IF(L131*J131*H131&gt;H131,H131,L131*J131*H131)</f>
        <v>0</v>
      </c>
      <c r="P131" s="802">
        <f>H131-N131</f>
        <v>371869.15</v>
      </c>
      <c r="R131" s="804" t="str">
        <f>IF(N131=H131,"Yes","No")</f>
        <v>No</v>
      </c>
      <c r="T131" s="720"/>
      <c r="U131" s="720"/>
      <c r="V131" s="720"/>
      <c r="W131" s="720"/>
      <c r="X131" s="720"/>
      <c r="Y131" s="720"/>
      <c r="Z131" s="720"/>
      <c r="AA131" s="720"/>
      <c r="AB131" s="720"/>
      <c r="AC131" s="720"/>
      <c r="AD131" s="720"/>
      <c r="AE131" s="720"/>
      <c r="AF131" s="720"/>
      <c r="AG131" s="720"/>
      <c r="AH131" s="720"/>
    </row>
    <row r="132" spans="1:34">
      <c r="B132" s="780" t="s">
        <v>101</v>
      </c>
      <c r="D132" s="781">
        <v>2012</v>
      </c>
      <c r="H132" s="720">
        <v>15103.98</v>
      </c>
      <c r="J132" s="801">
        <f t="shared" si="19"/>
        <v>0</v>
      </c>
      <c r="L132" s="785">
        <v>0.125</v>
      </c>
      <c r="N132" s="802">
        <f t="shared" si="20"/>
        <v>0</v>
      </c>
      <c r="P132" s="802">
        <f>H132-N132</f>
        <v>15103.98</v>
      </c>
      <c r="R132" s="804" t="str">
        <f>IF(N132=H132,"Yes","No")</f>
        <v>No</v>
      </c>
      <c r="T132" s="720"/>
      <c r="U132" s="720"/>
      <c r="V132" s="720"/>
      <c r="W132" s="720"/>
      <c r="X132" s="720"/>
      <c r="Y132" s="720"/>
      <c r="Z132" s="720"/>
      <c r="AA132" s="720"/>
      <c r="AB132" s="720"/>
      <c r="AC132" s="720"/>
      <c r="AD132" s="720"/>
      <c r="AE132" s="720"/>
      <c r="AF132" s="720"/>
      <c r="AG132" s="720"/>
      <c r="AH132" s="720"/>
    </row>
    <row r="133" spans="1:34">
      <c r="B133" s="780" t="s">
        <v>370</v>
      </c>
      <c r="D133" s="781">
        <v>2012</v>
      </c>
      <c r="H133" s="720">
        <v>734.38</v>
      </c>
      <c r="J133" s="801">
        <f t="shared" si="19"/>
        <v>0</v>
      </c>
      <c r="L133" s="785">
        <f>VLOOKUP(B133,$T$9:$U$13,2,FALSE)</f>
        <v>0.25</v>
      </c>
      <c r="N133" s="802">
        <f t="shared" si="20"/>
        <v>0</v>
      </c>
      <c r="P133" s="802">
        <f>H133+N133</f>
        <v>734.38</v>
      </c>
      <c r="R133" s="804" t="str">
        <f>IF(N133=H133,"Yes","No")</f>
        <v>No</v>
      </c>
      <c r="T133" s="720"/>
      <c r="U133" s="720"/>
      <c r="V133" s="720"/>
      <c r="W133" s="720"/>
      <c r="X133" s="720"/>
      <c r="Y133" s="720"/>
      <c r="Z133" s="720"/>
      <c r="AA133" s="720"/>
      <c r="AB133" s="720"/>
      <c r="AC133" s="720"/>
      <c r="AD133" s="720"/>
      <c r="AE133" s="720"/>
      <c r="AF133" s="720"/>
      <c r="AG133" s="720"/>
      <c r="AH133" s="720"/>
    </row>
    <row r="134" spans="1:34">
      <c r="B134" s="780" t="s">
        <v>640</v>
      </c>
      <c r="D134" s="781">
        <v>2012</v>
      </c>
      <c r="H134" s="720">
        <v>40.369999999999997</v>
      </c>
      <c r="J134" s="801">
        <f t="shared" si="19"/>
        <v>0</v>
      </c>
      <c r="L134" s="785">
        <f>VLOOKUP(B134,$T$9:$U$13,2,FALSE)</f>
        <v>0</v>
      </c>
      <c r="N134" s="802">
        <f t="shared" si="20"/>
        <v>0</v>
      </c>
      <c r="P134" s="802">
        <f>H134-N134</f>
        <v>40.369999999999997</v>
      </c>
      <c r="R134" s="804" t="str">
        <f>IF(N134=H134,"Yes","No")</f>
        <v>No</v>
      </c>
      <c r="T134" s="720"/>
      <c r="U134" s="720"/>
      <c r="V134" s="720"/>
      <c r="W134" s="720"/>
      <c r="X134" s="720"/>
      <c r="Y134" s="720"/>
      <c r="Z134" s="720"/>
      <c r="AA134" s="720"/>
      <c r="AB134" s="720"/>
      <c r="AC134" s="720"/>
      <c r="AD134" s="720"/>
      <c r="AE134" s="720"/>
      <c r="AF134" s="720"/>
      <c r="AG134" s="720"/>
      <c r="AH134" s="720"/>
    </row>
    <row r="135" spans="1:34">
      <c r="B135" s="780" t="s">
        <v>592</v>
      </c>
      <c r="D135" s="781">
        <v>2012</v>
      </c>
      <c r="H135" s="818">
        <v>0</v>
      </c>
      <c r="J135" s="801">
        <f t="shared" si="19"/>
        <v>0</v>
      </c>
      <c r="L135" s="785">
        <f>VLOOKUP(B135,$T$9:$U$13,2,FALSE)</f>
        <v>0</v>
      </c>
      <c r="N135" s="819">
        <f t="shared" si="20"/>
        <v>0</v>
      </c>
      <c r="P135" s="819">
        <f>H135-N135</f>
        <v>0</v>
      </c>
      <c r="R135" s="804" t="str">
        <f>IF(N135=H135,"Yes","No")</f>
        <v>Yes</v>
      </c>
      <c r="T135" s="720"/>
      <c r="U135" s="720"/>
      <c r="V135" s="720"/>
      <c r="W135" s="720"/>
      <c r="X135" s="720"/>
      <c r="Y135" s="720"/>
      <c r="Z135" s="720"/>
      <c r="AA135" s="720"/>
      <c r="AB135" s="720"/>
      <c r="AC135" s="720"/>
      <c r="AD135" s="720"/>
      <c r="AE135" s="720"/>
      <c r="AF135" s="720"/>
      <c r="AG135" s="720"/>
      <c r="AH135" s="720"/>
    </row>
    <row r="136" spans="1:34">
      <c r="F136" s="781" t="s">
        <v>374</v>
      </c>
      <c r="H136" s="802">
        <f>SUM(H131:H135)</f>
        <v>387747.88</v>
      </c>
      <c r="J136" s="801"/>
      <c r="N136" s="802">
        <f>SUM(N131:N135)</f>
        <v>0</v>
      </c>
      <c r="P136" s="802">
        <f>SUM(P131:P135)</f>
        <v>387747.88</v>
      </c>
      <c r="T136" s="720"/>
      <c r="U136" s="720"/>
      <c r="V136" s="720"/>
      <c r="W136" s="720"/>
      <c r="X136" s="720"/>
      <c r="Y136" s="720"/>
      <c r="Z136" s="720"/>
      <c r="AA136" s="720"/>
      <c r="AB136" s="720"/>
      <c r="AC136" s="720"/>
      <c r="AD136" s="720"/>
      <c r="AE136" s="720"/>
      <c r="AF136" s="720"/>
      <c r="AG136" s="720"/>
      <c r="AH136" s="720"/>
    </row>
    <row r="137" spans="1:34">
      <c r="T137" s="720"/>
      <c r="U137" s="720"/>
      <c r="V137" s="720"/>
      <c r="W137" s="720"/>
      <c r="X137" s="720"/>
      <c r="Y137" s="720"/>
      <c r="Z137" s="720"/>
      <c r="AA137" s="720"/>
      <c r="AB137" s="720"/>
      <c r="AC137" s="720"/>
      <c r="AD137" s="720"/>
      <c r="AE137" s="720"/>
      <c r="AF137" s="720"/>
      <c r="AG137" s="720"/>
      <c r="AH137" s="720"/>
    </row>
    <row r="138" spans="1:34">
      <c r="T138" s="720"/>
      <c r="U138" s="720"/>
      <c r="V138" s="720"/>
      <c r="W138" s="720"/>
      <c r="X138" s="720"/>
      <c r="Y138" s="720"/>
      <c r="Z138" s="720"/>
      <c r="AA138" s="720"/>
      <c r="AB138" s="720"/>
      <c r="AC138" s="720"/>
      <c r="AD138" s="720"/>
      <c r="AE138" s="720"/>
      <c r="AF138" s="720"/>
      <c r="AG138" s="720"/>
      <c r="AH138" s="720"/>
    </row>
    <row r="139" spans="1:34">
      <c r="T139" s="720"/>
      <c r="U139" s="720"/>
      <c r="V139" s="720"/>
      <c r="W139" s="720"/>
      <c r="X139" s="720"/>
      <c r="Y139" s="720"/>
      <c r="Z139" s="720"/>
      <c r="AA139" s="720"/>
      <c r="AB139" s="720"/>
      <c r="AC139" s="720"/>
      <c r="AD139" s="720"/>
      <c r="AE139" s="720"/>
      <c r="AF139" s="720"/>
      <c r="AG139" s="720"/>
      <c r="AH139" s="720"/>
    </row>
    <row r="140" spans="1:34">
      <c r="T140" s="720"/>
      <c r="U140" s="720"/>
      <c r="V140" s="720"/>
      <c r="W140" s="720"/>
      <c r="X140" s="720"/>
      <c r="Y140" s="720"/>
      <c r="Z140" s="720"/>
      <c r="AA140" s="720"/>
      <c r="AB140" s="720"/>
      <c r="AC140" s="720"/>
      <c r="AD140" s="720"/>
      <c r="AE140" s="720"/>
      <c r="AF140" s="720"/>
      <c r="AG140" s="720"/>
      <c r="AH140" s="720"/>
    </row>
    <row r="141" spans="1:34">
      <c r="T141" s="720"/>
      <c r="U141" s="720"/>
      <c r="V141" s="720"/>
      <c r="W141" s="720"/>
      <c r="X141" s="720"/>
      <c r="Y141" s="720"/>
      <c r="Z141" s="720"/>
      <c r="AA141" s="720"/>
      <c r="AB141" s="720"/>
      <c r="AC141" s="720"/>
      <c r="AD141" s="720"/>
      <c r="AE141" s="720"/>
      <c r="AF141" s="720"/>
      <c r="AG141" s="720"/>
      <c r="AH141" s="720"/>
    </row>
    <row r="142" spans="1:34" ht="15.75" thickBot="1">
      <c r="F142" s="781" t="s">
        <v>391</v>
      </c>
      <c r="H142" s="820">
        <f>+H104+H96+H112+H120+H128+H136</f>
        <v>10693714.140000002</v>
      </c>
      <c r="L142" s="802"/>
      <c r="N142" s="820">
        <f>+N104+N96+N112+N120+N128+N136</f>
        <v>4209808.3482999988</v>
      </c>
      <c r="P142" s="820">
        <f>+P104+P96+P112+P120+P128+P136</f>
        <v>6524410.0216999985</v>
      </c>
      <c r="Q142" s="720"/>
    </row>
    <row r="143" spans="1:34" ht="15.75" thickTop="1">
      <c r="H143" s="335"/>
      <c r="L143" s="802"/>
      <c r="N143" s="335"/>
      <c r="P143" s="335"/>
      <c r="Q143" s="720"/>
    </row>
    <row r="144" spans="1:34">
      <c r="H144" s="335"/>
      <c r="N144" s="335"/>
      <c r="P144" s="335"/>
      <c r="Q144" s="720"/>
    </row>
    <row r="145" spans="1:18">
      <c r="H145" s="335"/>
      <c r="N145" s="335"/>
      <c r="P145" s="335"/>
      <c r="Q145" s="720"/>
    </row>
    <row r="148" spans="1:18">
      <c r="A148" s="821" t="s">
        <v>787</v>
      </c>
      <c r="B148" s="782"/>
      <c r="C148" s="782"/>
      <c r="D148" s="814"/>
    </row>
    <row r="149" spans="1:18">
      <c r="A149" s="782"/>
      <c r="B149" s="782" t="s">
        <v>369</v>
      </c>
      <c r="C149" s="782"/>
      <c r="D149" s="814">
        <v>1991</v>
      </c>
      <c r="F149" s="815">
        <v>33434</v>
      </c>
      <c r="G149" s="807"/>
      <c r="H149" s="335">
        <v>11611.3</v>
      </c>
      <c r="J149" s="801">
        <f t="shared" ref="J149:J159" si="21">VLOOKUP(D149,$T$17:$W$55,2,FALSE)</f>
        <v>21</v>
      </c>
      <c r="K149" s="801"/>
      <c r="L149" s="785">
        <f t="shared" ref="L149:L159" si="22">VLOOKUP(B149,$T$9:$U$13,2,FALSE)</f>
        <v>0.02</v>
      </c>
      <c r="M149" s="785"/>
      <c r="N149" s="802">
        <f t="shared" ref="N149:N159" si="23">IF(L149*J149*H149&gt;H149,H149,L149*J149*H149)</f>
        <v>4876.7459999999992</v>
      </c>
      <c r="O149" s="803"/>
      <c r="P149" s="802">
        <f t="shared" ref="P149:P159" si="24">H149-N149</f>
        <v>6734.5540000000001</v>
      </c>
      <c r="Q149" s="802"/>
      <c r="R149" s="804" t="str">
        <f t="shared" ref="R149:R159" si="25">IF(N149=H149,"Yes","No")</f>
        <v>No</v>
      </c>
    </row>
    <row r="150" spans="1:18">
      <c r="A150" s="782"/>
      <c r="B150" s="782" t="s">
        <v>369</v>
      </c>
      <c r="C150" s="782"/>
      <c r="D150" s="814">
        <v>1993</v>
      </c>
      <c r="F150" s="815">
        <v>34318</v>
      </c>
      <c r="G150" s="807"/>
      <c r="H150" s="335">
        <v>1938.5</v>
      </c>
      <c r="J150" s="801">
        <f t="shared" si="21"/>
        <v>19</v>
      </c>
      <c r="K150" s="801"/>
      <c r="L150" s="785">
        <f t="shared" si="22"/>
        <v>0.02</v>
      </c>
      <c r="M150" s="785"/>
      <c r="N150" s="802">
        <f t="shared" si="23"/>
        <v>736.63</v>
      </c>
      <c r="O150" s="803"/>
      <c r="P150" s="802">
        <f t="shared" si="24"/>
        <v>1201.8699999999999</v>
      </c>
      <c r="Q150" s="802"/>
      <c r="R150" s="804" t="str">
        <f t="shared" si="25"/>
        <v>No</v>
      </c>
    </row>
    <row r="151" spans="1:18">
      <c r="A151" s="782"/>
      <c r="B151" s="782" t="s">
        <v>369</v>
      </c>
      <c r="C151" s="782"/>
      <c r="D151" s="814">
        <v>1995</v>
      </c>
      <c r="F151" s="815">
        <v>34710</v>
      </c>
      <c r="G151" s="807"/>
      <c r="H151" s="335">
        <v>5579.76</v>
      </c>
      <c r="J151" s="801">
        <f t="shared" si="21"/>
        <v>17</v>
      </c>
      <c r="K151" s="801"/>
      <c r="L151" s="785">
        <f t="shared" si="22"/>
        <v>0.02</v>
      </c>
      <c r="M151" s="785"/>
      <c r="N151" s="802">
        <f t="shared" si="23"/>
        <v>1897.1184000000003</v>
      </c>
      <c r="O151" s="803"/>
      <c r="P151" s="802">
        <f t="shared" si="24"/>
        <v>3682.6415999999999</v>
      </c>
      <c r="Q151" s="802"/>
      <c r="R151" s="804" t="str">
        <f t="shared" si="25"/>
        <v>No</v>
      </c>
    </row>
    <row r="152" spans="1:18">
      <c r="A152" s="782"/>
      <c r="B152" s="782" t="s">
        <v>369</v>
      </c>
      <c r="C152" s="782"/>
      <c r="D152" s="814">
        <v>1995</v>
      </c>
      <c r="F152" s="815">
        <v>34773</v>
      </c>
      <c r="G152" s="807"/>
      <c r="H152" s="335">
        <v>22218.75</v>
      </c>
      <c r="J152" s="801">
        <f t="shared" si="21"/>
        <v>17</v>
      </c>
      <c r="K152" s="801"/>
      <c r="L152" s="785">
        <f t="shared" si="22"/>
        <v>0.02</v>
      </c>
      <c r="M152" s="785"/>
      <c r="N152" s="802">
        <f t="shared" si="23"/>
        <v>7554.3750000000009</v>
      </c>
      <c r="O152" s="803"/>
      <c r="P152" s="802">
        <f t="shared" si="24"/>
        <v>14664.375</v>
      </c>
      <c r="Q152" s="802"/>
      <c r="R152" s="804" t="str">
        <f t="shared" si="25"/>
        <v>No</v>
      </c>
    </row>
    <row r="153" spans="1:18">
      <c r="A153" s="782"/>
      <c r="B153" s="782" t="s">
        <v>369</v>
      </c>
      <c r="C153" s="782"/>
      <c r="D153" s="814">
        <v>1995</v>
      </c>
      <c r="F153" s="815">
        <v>34773</v>
      </c>
      <c r="G153" s="807"/>
      <c r="H153" s="335">
        <v>7500</v>
      </c>
      <c r="J153" s="801">
        <f t="shared" si="21"/>
        <v>17</v>
      </c>
      <c r="K153" s="801"/>
      <c r="L153" s="785">
        <f t="shared" si="22"/>
        <v>0.02</v>
      </c>
      <c r="M153" s="785"/>
      <c r="N153" s="802">
        <f t="shared" si="23"/>
        <v>2550</v>
      </c>
      <c r="O153" s="803"/>
      <c r="P153" s="802">
        <f t="shared" si="24"/>
        <v>4950</v>
      </c>
      <c r="Q153" s="802"/>
      <c r="R153" s="804" t="str">
        <f t="shared" si="25"/>
        <v>No</v>
      </c>
    </row>
    <row r="154" spans="1:18">
      <c r="A154" s="782"/>
      <c r="B154" s="780" t="s">
        <v>369</v>
      </c>
      <c r="C154" s="782"/>
      <c r="D154" s="814">
        <v>1997</v>
      </c>
      <c r="F154" s="815">
        <v>35625</v>
      </c>
      <c r="G154" s="807"/>
      <c r="H154" s="335">
        <v>8730.5</v>
      </c>
      <c r="J154" s="801">
        <f t="shared" si="21"/>
        <v>15</v>
      </c>
      <c r="K154" s="801"/>
      <c r="L154" s="785">
        <f t="shared" si="22"/>
        <v>0.02</v>
      </c>
      <c r="M154" s="785"/>
      <c r="N154" s="802">
        <f t="shared" si="23"/>
        <v>2619.15</v>
      </c>
      <c r="O154" s="803"/>
      <c r="P154" s="802">
        <f t="shared" si="24"/>
        <v>6111.35</v>
      </c>
      <c r="Q154" s="802"/>
      <c r="R154" s="804" t="str">
        <f t="shared" si="25"/>
        <v>No</v>
      </c>
    </row>
    <row r="155" spans="1:18">
      <c r="A155" s="782"/>
      <c r="B155" s="782" t="s">
        <v>369</v>
      </c>
      <c r="C155" s="782"/>
      <c r="D155" s="814">
        <v>1997</v>
      </c>
      <c r="F155" s="815">
        <v>35611</v>
      </c>
      <c r="G155" s="807"/>
      <c r="H155" s="335">
        <v>23736.03</v>
      </c>
      <c r="J155" s="801">
        <f t="shared" si="21"/>
        <v>15</v>
      </c>
      <c r="K155" s="801"/>
      <c r="L155" s="785">
        <f t="shared" si="22"/>
        <v>0.02</v>
      </c>
      <c r="M155" s="785"/>
      <c r="N155" s="802">
        <f t="shared" si="23"/>
        <v>7120.8089999999993</v>
      </c>
      <c r="O155" s="803"/>
      <c r="P155" s="802">
        <f t="shared" si="24"/>
        <v>16615.220999999998</v>
      </c>
      <c r="Q155" s="802"/>
      <c r="R155" s="804" t="str">
        <f t="shared" si="25"/>
        <v>No</v>
      </c>
    </row>
    <row r="156" spans="1:18">
      <c r="A156" s="782"/>
      <c r="B156" s="782" t="s">
        <v>369</v>
      </c>
      <c r="C156" s="782"/>
      <c r="D156" s="814">
        <v>1999</v>
      </c>
      <c r="F156" s="815">
        <v>36397</v>
      </c>
      <c r="G156" s="807"/>
      <c r="H156" s="335">
        <v>10148.14</v>
      </c>
      <c r="J156" s="801">
        <f t="shared" si="21"/>
        <v>13</v>
      </c>
      <c r="K156" s="801"/>
      <c r="L156" s="785">
        <f t="shared" si="22"/>
        <v>0.02</v>
      </c>
      <c r="M156" s="785"/>
      <c r="N156" s="802">
        <f t="shared" si="23"/>
        <v>2638.5164</v>
      </c>
      <c r="O156" s="803"/>
      <c r="P156" s="802">
        <f t="shared" si="24"/>
        <v>7509.623599999999</v>
      </c>
      <c r="Q156" s="802"/>
      <c r="R156" s="804" t="str">
        <f t="shared" si="25"/>
        <v>No</v>
      </c>
    </row>
    <row r="157" spans="1:18">
      <c r="A157" s="782"/>
      <c r="B157" s="782" t="s">
        <v>369</v>
      </c>
      <c r="C157" s="782"/>
      <c r="D157" s="814">
        <v>2000</v>
      </c>
      <c r="F157" s="815">
        <v>36801</v>
      </c>
      <c r="G157" s="807"/>
      <c r="H157" s="335">
        <v>1866.2</v>
      </c>
      <c r="J157" s="801">
        <f t="shared" si="21"/>
        <v>12</v>
      </c>
      <c r="K157" s="801"/>
      <c r="L157" s="785">
        <f t="shared" si="22"/>
        <v>0.02</v>
      </c>
      <c r="M157" s="785"/>
      <c r="N157" s="802">
        <f t="shared" si="23"/>
        <v>447.88799999999998</v>
      </c>
      <c r="O157" s="803"/>
      <c r="P157" s="802">
        <f t="shared" si="24"/>
        <v>1418.3120000000001</v>
      </c>
      <c r="Q157" s="802"/>
      <c r="R157" s="804" t="str">
        <f t="shared" si="25"/>
        <v>No</v>
      </c>
    </row>
    <row r="158" spans="1:18">
      <c r="A158" s="782"/>
      <c r="B158" s="782" t="s">
        <v>369</v>
      </c>
      <c r="C158" s="782"/>
      <c r="D158" s="814">
        <v>2000</v>
      </c>
      <c r="F158" s="815">
        <v>36633</v>
      </c>
      <c r="G158" s="807"/>
      <c r="H158" s="335">
        <v>11617.18</v>
      </c>
      <c r="J158" s="801">
        <f t="shared" si="21"/>
        <v>12</v>
      </c>
      <c r="K158" s="801"/>
      <c r="L158" s="785">
        <f t="shared" si="22"/>
        <v>0.02</v>
      </c>
      <c r="M158" s="785"/>
      <c r="N158" s="802">
        <f t="shared" si="23"/>
        <v>2788.1232</v>
      </c>
      <c r="O158" s="803"/>
      <c r="P158" s="802">
        <f t="shared" si="24"/>
        <v>8829.0568000000003</v>
      </c>
      <c r="Q158" s="802"/>
      <c r="R158" s="804" t="str">
        <f t="shared" si="25"/>
        <v>No</v>
      </c>
    </row>
    <row r="159" spans="1:18">
      <c r="A159" s="782"/>
      <c r="B159" s="782" t="s">
        <v>369</v>
      </c>
      <c r="C159" s="782"/>
      <c r="D159" s="814">
        <v>2000</v>
      </c>
      <c r="F159" s="815">
        <v>36572</v>
      </c>
      <c r="G159" s="807"/>
      <c r="H159" s="335">
        <v>8134.17</v>
      </c>
      <c r="J159" s="801">
        <f t="shared" si="21"/>
        <v>12</v>
      </c>
      <c r="K159" s="801"/>
      <c r="L159" s="785">
        <f t="shared" si="22"/>
        <v>0.02</v>
      </c>
      <c r="M159" s="785"/>
      <c r="N159" s="802">
        <f t="shared" si="23"/>
        <v>1952.2007999999998</v>
      </c>
      <c r="O159" s="803"/>
      <c r="P159" s="802">
        <f t="shared" si="24"/>
        <v>6181.9692000000005</v>
      </c>
      <c r="Q159" s="802"/>
      <c r="R159" s="804" t="str">
        <f t="shared" si="25"/>
        <v>No</v>
      </c>
    </row>
    <row r="160" spans="1:18">
      <c r="F160" s="781" t="s">
        <v>374</v>
      </c>
      <c r="H160" s="382">
        <f>SUM(H149:H159)</f>
        <v>113080.52999999998</v>
      </c>
      <c r="J160" s="1003"/>
      <c r="N160" s="822">
        <f>SUM(N149:N159)</f>
        <v>35181.556799999998</v>
      </c>
      <c r="P160" s="822">
        <f>SUM(P149:P159)</f>
        <v>77898.973200000008</v>
      </c>
    </row>
    <row r="161" spans="1:18">
      <c r="J161" s="1003"/>
    </row>
    <row r="162" spans="1:18" ht="15.75" thickBot="1">
      <c r="F162" s="781" t="s">
        <v>391</v>
      </c>
      <c r="H162" s="820">
        <f>H160</f>
        <v>113080.52999999998</v>
      </c>
      <c r="J162" s="1003"/>
      <c r="N162" s="820">
        <f>N160</f>
        <v>35181.556799999998</v>
      </c>
      <c r="P162" s="820">
        <f>P160</f>
        <v>77898.973200000008</v>
      </c>
    </row>
    <row r="163" spans="1:18" ht="15.75" thickTop="1">
      <c r="J163" s="1003"/>
      <c r="N163" s="720"/>
      <c r="P163" s="720"/>
    </row>
    <row r="164" spans="1:18">
      <c r="J164" s="1003"/>
      <c r="N164" s="720"/>
      <c r="P164" s="720"/>
    </row>
    <row r="165" spans="1:18">
      <c r="A165" s="821" t="s">
        <v>372</v>
      </c>
      <c r="B165" s="782"/>
      <c r="C165" s="782"/>
      <c r="D165" s="814"/>
      <c r="E165" s="782"/>
      <c r="F165" s="815"/>
      <c r="G165" s="807"/>
      <c r="H165" s="335"/>
      <c r="J165" s="1003"/>
    </row>
    <row r="166" spans="1:18">
      <c r="A166" s="782"/>
      <c r="B166" s="782" t="s">
        <v>369</v>
      </c>
      <c r="C166" s="782"/>
      <c r="D166" s="814">
        <v>1988</v>
      </c>
      <c r="E166" s="782"/>
      <c r="F166" s="815">
        <v>32336</v>
      </c>
      <c r="G166" s="807"/>
      <c r="H166" s="335">
        <v>9255</v>
      </c>
      <c r="J166" s="801">
        <f t="shared" ref="J166:J174" si="26">VLOOKUP(D166,$T$17:$W$55,2,FALSE)</f>
        <v>24</v>
      </c>
      <c r="K166" s="801"/>
      <c r="L166" s="785">
        <f t="shared" ref="L166:L174" si="27">VLOOKUP(B166,$T$9:$U$13,2,FALSE)</f>
        <v>0.02</v>
      </c>
      <c r="M166" s="785"/>
      <c r="N166" s="802">
        <f t="shared" ref="N166:N174" si="28">IF(L166*J166*H166&gt;H166,H166,L166*J166*H166)</f>
        <v>4442.3999999999996</v>
      </c>
      <c r="O166" s="803"/>
      <c r="P166" s="802">
        <f t="shared" ref="P166:P174" si="29">H166-N166</f>
        <v>4812.6000000000004</v>
      </c>
      <c r="Q166" s="802"/>
      <c r="R166" s="804" t="str">
        <f t="shared" ref="R166:R174" si="30">IF(N166=H166,"Yes","No")</f>
        <v>No</v>
      </c>
    </row>
    <row r="167" spans="1:18">
      <c r="A167" s="782"/>
      <c r="B167" s="782" t="s">
        <v>369</v>
      </c>
      <c r="C167" s="782"/>
      <c r="D167" s="814">
        <v>1990</v>
      </c>
      <c r="E167" s="782"/>
      <c r="F167" s="815"/>
      <c r="G167" s="807"/>
      <c r="H167" s="335">
        <v>19145.650000000001</v>
      </c>
      <c r="J167" s="801">
        <f t="shared" si="26"/>
        <v>22</v>
      </c>
      <c r="K167" s="801"/>
      <c r="L167" s="785">
        <f t="shared" si="27"/>
        <v>0.02</v>
      </c>
      <c r="M167" s="785"/>
      <c r="N167" s="802">
        <f t="shared" si="28"/>
        <v>8424.0860000000011</v>
      </c>
      <c r="O167" s="803"/>
      <c r="P167" s="802">
        <f t="shared" si="29"/>
        <v>10721.564</v>
      </c>
      <c r="Q167" s="802"/>
      <c r="R167" s="804" t="str">
        <f t="shared" si="30"/>
        <v>No</v>
      </c>
    </row>
    <row r="168" spans="1:18">
      <c r="A168" s="782"/>
      <c r="B168" s="782" t="s">
        <v>369</v>
      </c>
      <c r="C168" s="782"/>
      <c r="D168" s="814">
        <v>1990</v>
      </c>
      <c r="E168" s="782"/>
      <c r="F168" s="815"/>
      <c r="G168" s="807"/>
      <c r="H168" s="335">
        <v>2885.35</v>
      </c>
      <c r="J168" s="801">
        <f t="shared" si="26"/>
        <v>22</v>
      </c>
      <c r="K168" s="801"/>
      <c r="L168" s="785">
        <f t="shared" si="27"/>
        <v>0.02</v>
      </c>
      <c r="M168" s="785"/>
      <c r="N168" s="802">
        <f t="shared" si="28"/>
        <v>1269.5539999999999</v>
      </c>
      <c r="O168" s="803"/>
      <c r="P168" s="802">
        <f t="shared" si="29"/>
        <v>1615.796</v>
      </c>
      <c r="Q168" s="802"/>
      <c r="R168" s="804" t="str">
        <f t="shared" si="30"/>
        <v>No</v>
      </c>
    </row>
    <row r="169" spans="1:18">
      <c r="A169" s="782"/>
      <c r="B169" s="782" t="s">
        <v>369</v>
      </c>
      <c r="C169" s="782"/>
      <c r="D169" s="814">
        <v>1992</v>
      </c>
      <c r="E169" s="782"/>
      <c r="F169" s="815">
        <v>33706</v>
      </c>
      <c r="G169" s="807"/>
      <c r="H169" s="335">
        <v>38770.04</v>
      </c>
      <c r="J169" s="801">
        <f t="shared" si="26"/>
        <v>20</v>
      </c>
      <c r="K169" s="801"/>
      <c r="L169" s="785">
        <f t="shared" si="27"/>
        <v>0.02</v>
      </c>
      <c r="M169" s="785"/>
      <c r="N169" s="802">
        <f t="shared" si="28"/>
        <v>15508.016000000001</v>
      </c>
      <c r="O169" s="803"/>
      <c r="P169" s="802">
        <f t="shared" si="29"/>
        <v>23262.023999999998</v>
      </c>
      <c r="Q169" s="802"/>
      <c r="R169" s="804" t="str">
        <f t="shared" si="30"/>
        <v>No</v>
      </c>
    </row>
    <row r="170" spans="1:18">
      <c r="A170" s="782"/>
      <c r="B170" s="782" t="s">
        <v>369</v>
      </c>
      <c r="C170" s="782"/>
      <c r="D170" s="814">
        <v>1994</v>
      </c>
      <c r="E170" s="782"/>
      <c r="F170" s="815">
        <v>34511</v>
      </c>
      <c r="G170" s="807"/>
      <c r="H170" s="335">
        <v>3600</v>
      </c>
      <c r="J170" s="801">
        <f t="shared" si="26"/>
        <v>18</v>
      </c>
      <c r="K170" s="801"/>
      <c r="L170" s="785">
        <f t="shared" si="27"/>
        <v>0.02</v>
      </c>
      <c r="M170" s="785"/>
      <c r="N170" s="802">
        <f t="shared" si="28"/>
        <v>1296</v>
      </c>
      <c r="O170" s="803"/>
      <c r="P170" s="802">
        <f t="shared" si="29"/>
        <v>2304</v>
      </c>
      <c r="Q170" s="802"/>
      <c r="R170" s="804" t="str">
        <f t="shared" si="30"/>
        <v>No</v>
      </c>
    </row>
    <row r="171" spans="1:18">
      <c r="A171" s="782"/>
      <c r="B171" s="782" t="s">
        <v>369</v>
      </c>
      <c r="C171" s="782"/>
      <c r="D171" s="814">
        <v>1997</v>
      </c>
      <c r="E171" s="782"/>
      <c r="F171" s="815">
        <v>35488</v>
      </c>
      <c r="G171" s="807"/>
      <c r="H171" s="335">
        <v>592.4</v>
      </c>
      <c r="J171" s="801">
        <f t="shared" si="26"/>
        <v>15</v>
      </c>
      <c r="K171" s="801"/>
      <c r="L171" s="785">
        <f t="shared" si="27"/>
        <v>0.02</v>
      </c>
      <c r="M171" s="785"/>
      <c r="N171" s="802">
        <f t="shared" si="28"/>
        <v>177.72</v>
      </c>
      <c r="O171" s="803"/>
      <c r="P171" s="802">
        <f t="shared" si="29"/>
        <v>414.67999999999995</v>
      </c>
      <c r="Q171" s="802"/>
      <c r="R171" s="804" t="str">
        <f t="shared" si="30"/>
        <v>No</v>
      </c>
    </row>
    <row r="172" spans="1:18">
      <c r="A172" s="782"/>
      <c r="B172" s="782" t="s">
        <v>369</v>
      </c>
      <c r="C172" s="782"/>
      <c r="D172" s="814">
        <v>1998</v>
      </c>
      <c r="E172" s="782"/>
      <c r="F172" s="815">
        <v>35905</v>
      </c>
      <c r="G172" s="807"/>
      <c r="H172" s="335">
        <v>6393.4</v>
      </c>
      <c r="J172" s="801">
        <f t="shared" si="26"/>
        <v>14</v>
      </c>
      <c r="K172" s="801"/>
      <c r="L172" s="785">
        <f t="shared" si="27"/>
        <v>0.02</v>
      </c>
      <c r="M172" s="785"/>
      <c r="N172" s="802">
        <f t="shared" si="28"/>
        <v>1790.152</v>
      </c>
      <c r="O172" s="803"/>
      <c r="P172" s="802">
        <f t="shared" si="29"/>
        <v>4603.2479999999996</v>
      </c>
      <c r="Q172" s="802"/>
      <c r="R172" s="804" t="str">
        <f t="shared" si="30"/>
        <v>No</v>
      </c>
    </row>
    <row r="173" spans="1:18">
      <c r="A173" s="782"/>
      <c r="B173" s="782" t="s">
        <v>369</v>
      </c>
      <c r="C173" s="782"/>
      <c r="D173" s="814">
        <v>1998</v>
      </c>
      <c r="E173" s="782"/>
      <c r="F173" s="815">
        <v>35912</v>
      </c>
      <c r="G173" s="807"/>
      <c r="H173" s="335">
        <v>3543.75</v>
      </c>
      <c r="J173" s="801">
        <f t="shared" si="26"/>
        <v>14</v>
      </c>
      <c r="K173" s="801"/>
      <c r="L173" s="785">
        <f t="shared" si="27"/>
        <v>0.02</v>
      </c>
      <c r="M173" s="785"/>
      <c r="N173" s="802">
        <f t="shared" si="28"/>
        <v>992.25000000000011</v>
      </c>
      <c r="O173" s="803"/>
      <c r="P173" s="802">
        <f t="shared" si="29"/>
        <v>2551.5</v>
      </c>
      <c r="Q173" s="802"/>
      <c r="R173" s="804" t="str">
        <f t="shared" si="30"/>
        <v>No</v>
      </c>
    </row>
    <row r="174" spans="1:18">
      <c r="A174" s="782"/>
      <c r="B174" s="782" t="s">
        <v>369</v>
      </c>
      <c r="C174" s="782"/>
      <c r="D174" s="814">
        <v>1999</v>
      </c>
      <c r="E174" s="782"/>
      <c r="F174" s="815">
        <v>36403</v>
      </c>
      <c r="G174" s="807"/>
      <c r="H174" s="335">
        <v>5087.76</v>
      </c>
      <c r="J174" s="801">
        <f t="shared" si="26"/>
        <v>13</v>
      </c>
      <c r="K174" s="801"/>
      <c r="L174" s="785">
        <f t="shared" si="27"/>
        <v>0.02</v>
      </c>
      <c r="M174" s="785"/>
      <c r="N174" s="802">
        <f t="shared" si="28"/>
        <v>1322.8176000000001</v>
      </c>
      <c r="O174" s="803"/>
      <c r="P174" s="802">
        <f t="shared" si="29"/>
        <v>3764.9423999999999</v>
      </c>
      <c r="Q174" s="802"/>
      <c r="R174" s="804" t="str">
        <f t="shared" si="30"/>
        <v>No</v>
      </c>
    </row>
    <row r="175" spans="1:18">
      <c r="F175" s="781" t="s">
        <v>374</v>
      </c>
      <c r="H175" s="382">
        <f>SUM(H166:H174)</f>
        <v>89273.349999999991</v>
      </c>
      <c r="J175" s="1003"/>
      <c r="N175" s="822">
        <f>SUM(N166:N174)</f>
        <v>35222.995600000009</v>
      </c>
      <c r="P175" s="822">
        <f>SUM(P166:P174)</f>
        <v>54050.354399999997</v>
      </c>
    </row>
    <row r="176" spans="1:18">
      <c r="J176" s="1003"/>
    </row>
    <row r="177" spans="1:18">
      <c r="A177" s="813" t="s">
        <v>375</v>
      </c>
      <c r="J177" s="1003"/>
    </row>
    <row r="178" spans="1:18">
      <c r="B178" s="782" t="s">
        <v>369</v>
      </c>
      <c r="C178" s="782"/>
      <c r="D178" s="814">
        <v>2003</v>
      </c>
      <c r="H178" s="720">
        <v>8249.36</v>
      </c>
      <c r="J178" s="801">
        <f>VLOOKUP(D178,$T$17:$W$55,2,FALSE)</f>
        <v>9</v>
      </c>
      <c r="K178" s="801"/>
      <c r="L178" s="785">
        <f>VLOOKUP(B178,$T$9:$U$13,2,FALSE)</f>
        <v>0.02</v>
      </c>
      <c r="M178" s="785"/>
      <c r="N178" s="802">
        <f>H178*J178*L178</f>
        <v>1484.8848</v>
      </c>
      <c r="O178" s="803"/>
      <c r="P178" s="802">
        <f>H178-N178</f>
        <v>6764.4752000000008</v>
      </c>
      <c r="Q178" s="802"/>
      <c r="R178" s="804" t="str">
        <f>IF(N178=H178,"Yes","No")</f>
        <v>No</v>
      </c>
    </row>
    <row r="179" spans="1:18">
      <c r="B179" s="782" t="s">
        <v>369</v>
      </c>
      <c r="C179" s="782"/>
      <c r="D179" s="814">
        <v>2003</v>
      </c>
      <c r="H179" s="720">
        <v>221</v>
      </c>
      <c r="J179" s="801">
        <f>VLOOKUP(D179,$T$17:$W$55,2,FALSE)</f>
        <v>9</v>
      </c>
      <c r="K179" s="801"/>
      <c r="L179" s="785">
        <f>VLOOKUP(B179,$T$9:$U$13,2,FALSE)</f>
        <v>0.02</v>
      </c>
      <c r="M179" s="785"/>
      <c r="N179" s="802">
        <f>IF(L179*J179*H179&gt;H179,H179,L179*J179*H179)</f>
        <v>39.78</v>
      </c>
      <c r="O179" s="803"/>
      <c r="P179" s="802">
        <f>H179-N179</f>
        <v>181.22</v>
      </c>
      <c r="Q179" s="802"/>
      <c r="R179" s="804" t="str">
        <f>IF(N179=H179,"Yes","No")</f>
        <v>No</v>
      </c>
    </row>
    <row r="180" spans="1:18">
      <c r="F180" s="781" t="s">
        <v>374</v>
      </c>
      <c r="H180" s="382">
        <f>SUM(H178:H179)</f>
        <v>8470.36</v>
      </c>
      <c r="J180" s="1003"/>
      <c r="N180" s="822">
        <f>SUM(N178:N179)</f>
        <v>1524.6648</v>
      </c>
      <c r="P180" s="822">
        <f>SUM(P178:P179)</f>
        <v>6945.695200000001</v>
      </c>
    </row>
    <row r="181" spans="1:18">
      <c r="H181" s="335"/>
      <c r="J181" s="1003"/>
      <c r="N181" s="803"/>
      <c r="P181" s="803"/>
    </row>
    <row r="182" spans="1:18">
      <c r="A182" s="813" t="s">
        <v>645</v>
      </c>
      <c r="H182" s="335"/>
      <c r="J182" s="1003"/>
      <c r="N182" s="803"/>
      <c r="P182" s="803"/>
    </row>
    <row r="183" spans="1:18">
      <c r="B183" s="782" t="s">
        <v>369</v>
      </c>
      <c r="C183" s="782"/>
      <c r="D183" s="814">
        <v>2007</v>
      </c>
      <c r="H183" s="720">
        <v>6646.02</v>
      </c>
      <c r="J183" s="801">
        <f>VLOOKUP(D183,$T$17:$W$55,2,FALSE)</f>
        <v>5</v>
      </c>
      <c r="K183" s="801"/>
      <c r="L183" s="785">
        <f>VLOOKUP(B183,$T$9:$U$13,2,FALSE)</f>
        <v>0.02</v>
      </c>
      <c r="M183" s="785"/>
      <c r="N183" s="802">
        <f>H183*J183*L183</f>
        <v>664.60200000000009</v>
      </c>
      <c r="O183" s="803"/>
      <c r="P183" s="802">
        <f>H183-N183</f>
        <v>5981.4180000000006</v>
      </c>
      <c r="Q183" s="802"/>
      <c r="R183" s="804" t="str">
        <f>IF(N183=H183,"Yes","No")</f>
        <v>No</v>
      </c>
    </row>
    <row r="184" spans="1:18">
      <c r="B184" s="782" t="s">
        <v>369</v>
      </c>
      <c r="C184" s="782"/>
      <c r="D184" s="814">
        <v>2007</v>
      </c>
      <c r="H184" s="720">
        <v>0</v>
      </c>
      <c r="J184" s="801">
        <f>VLOOKUP(D184,$T$17:$W$55,2,FALSE)</f>
        <v>5</v>
      </c>
      <c r="K184" s="801"/>
      <c r="L184" s="785">
        <f>VLOOKUP(B184,$T$9:$U$13,2,FALSE)</f>
        <v>0.02</v>
      </c>
      <c r="M184" s="785"/>
      <c r="N184" s="802">
        <f>IF(L184*J184*H184&gt;H184,H184,L184*J184*H184)</f>
        <v>0</v>
      </c>
      <c r="O184" s="803"/>
      <c r="P184" s="802">
        <f>H184-N184</f>
        <v>0</v>
      </c>
      <c r="Q184" s="802"/>
      <c r="R184" s="804" t="str">
        <f>IF(N184=H184,"Yes","No")</f>
        <v>Yes</v>
      </c>
    </row>
    <row r="185" spans="1:18">
      <c r="F185" s="781" t="s">
        <v>374</v>
      </c>
      <c r="H185" s="382">
        <f>SUM(H183:H184)</f>
        <v>6646.02</v>
      </c>
      <c r="J185" s="1003"/>
      <c r="N185" s="822">
        <f>SUM(N183:N184)</f>
        <v>664.60200000000009</v>
      </c>
      <c r="P185" s="822">
        <f>SUM(P183:P184)</f>
        <v>5981.4180000000006</v>
      </c>
    </row>
    <row r="186" spans="1:18">
      <c r="H186" s="335"/>
      <c r="J186" s="1003"/>
      <c r="N186" s="803"/>
      <c r="P186" s="803"/>
    </row>
    <row r="187" spans="1:18">
      <c r="A187" s="813" t="s">
        <v>646</v>
      </c>
      <c r="H187" s="335"/>
      <c r="J187" s="1003"/>
      <c r="N187" s="803"/>
      <c r="P187" s="803"/>
    </row>
    <row r="188" spans="1:18">
      <c r="B188" s="782" t="s">
        <v>369</v>
      </c>
      <c r="C188" s="782"/>
      <c r="D188" s="814">
        <v>2008</v>
      </c>
      <c r="H188" s="720">
        <v>0</v>
      </c>
      <c r="J188" s="801">
        <f>VLOOKUP(D188,$T$17:$W$55,2,FALSE)</f>
        <v>4</v>
      </c>
      <c r="K188" s="801"/>
      <c r="L188" s="785">
        <f>VLOOKUP(B188,$T$9:$U$13,2,FALSE)</f>
        <v>0.02</v>
      </c>
      <c r="M188" s="785"/>
      <c r="N188" s="802">
        <f>H188*J188*L188</f>
        <v>0</v>
      </c>
      <c r="O188" s="803"/>
      <c r="P188" s="802">
        <f>H188-N188</f>
        <v>0</v>
      </c>
      <c r="Q188" s="802"/>
      <c r="R188" s="804" t="str">
        <f>IF(N188=H188,"Yes","No")</f>
        <v>Yes</v>
      </c>
    </row>
    <row r="189" spans="1:18">
      <c r="B189" s="782" t="s">
        <v>369</v>
      </c>
      <c r="C189" s="782"/>
      <c r="D189" s="814">
        <v>2008</v>
      </c>
      <c r="H189" s="720">
        <v>0</v>
      </c>
      <c r="J189" s="801">
        <f>VLOOKUP(D189,$T$17:$W$55,2,FALSE)</f>
        <v>4</v>
      </c>
      <c r="K189" s="801"/>
      <c r="L189" s="785">
        <f>VLOOKUP(B189,$T$9:$U$13,2,FALSE)</f>
        <v>0.02</v>
      </c>
      <c r="M189" s="785"/>
      <c r="N189" s="802">
        <f>IF(L189*J189*H189&gt;H189,H189,L189*J189*H189)</f>
        <v>0</v>
      </c>
      <c r="O189" s="803"/>
      <c r="P189" s="802">
        <f>H189-N189</f>
        <v>0</v>
      </c>
      <c r="Q189" s="802"/>
      <c r="R189" s="804" t="str">
        <f>IF(N189=H189,"Yes","No")</f>
        <v>Yes</v>
      </c>
    </row>
    <row r="190" spans="1:18">
      <c r="F190" s="781" t="s">
        <v>374</v>
      </c>
      <c r="H190" s="382">
        <f>SUM(H188:H189)</f>
        <v>0</v>
      </c>
      <c r="N190" s="822">
        <f>SUM(N188:N189)</f>
        <v>0</v>
      </c>
      <c r="P190" s="822">
        <f>SUM(P188:P189)</f>
        <v>0</v>
      </c>
    </row>
    <row r="191" spans="1:18">
      <c r="H191" s="335"/>
      <c r="J191" s="1003"/>
      <c r="N191" s="803"/>
      <c r="P191" s="803"/>
    </row>
    <row r="192" spans="1:18">
      <c r="A192" s="813" t="s">
        <v>1988</v>
      </c>
      <c r="H192" s="335"/>
      <c r="J192" s="1003"/>
      <c r="N192" s="803"/>
      <c r="P192" s="803"/>
    </row>
    <row r="193" spans="1:18">
      <c r="B193" s="782" t="s">
        <v>369</v>
      </c>
      <c r="C193" s="782"/>
      <c r="D193" s="814">
        <v>2009</v>
      </c>
      <c r="H193" s="720">
        <v>0</v>
      </c>
      <c r="J193" s="801">
        <f>VLOOKUP(D193,$T$17:$W$55,2,FALSE)</f>
        <v>3</v>
      </c>
      <c r="K193" s="801"/>
      <c r="L193" s="785">
        <f>VLOOKUP(B193,$T$9:$U$13,2,FALSE)</f>
        <v>0.02</v>
      </c>
      <c r="M193" s="785"/>
      <c r="N193" s="802">
        <f>H193*J193*L193</f>
        <v>0</v>
      </c>
      <c r="O193" s="803"/>
      <c r="P193" s="802">
        <f>H193-N193</f>
        <v>0</v>
      </c>
      <c r="Q193" s="802"/>
      <c r="R193" s="804" t="str">
        <f>IF(N193=H193,"Yes","No")</f>
        <v>Yes</v>
      </c>
    </row>
    <row r="194" spans="1:18">
      <c r="B194" s="782" t="s">
        <v>369</v>
      </c>
      <c r="C194" s="782"/>
      <c r="D194" s="814">
        <v>2009</v>
      </c>
      <c r="H194" s="720">
        <v>0</v>
      </c>
      <c r="J194" s="801">
        <f>VLOOKUP(D194,$T$17:$W$55,2,FALSE)</f>
        <v>3</v>
      </c>
      <c r="K194" s="801"/>
      <c r="L194" s="785">
        <f>VLOOKUP(B194,$T$9:$U$13,2,FALSE)</f>
        <v>0.02</v>
      </c>
      <c r="M194" s="785"/>
      <c r="N194" s="802">
        <f>IF(L194*J194*H194&gt;H194,H194,L194*J194*H194)</f>
        <v>0</v>
      </c>
      <c r="O194" s="803"/>
      <c r="P194" s="802">
        <f>H194-N194</f>
        <v>0</v>
      </c>
      <c r="Q194" s="802"/>
      <c r="R194" s="804" t="str">
        <f>IF(N194=H194,"Yes","No")</f>
        <v>Yes</v>
      </c>
    </row>
    <row r="195" spans="1:18">
      <c r="F195" s="781" t="s">
        <v>374</v>
      </c>
      <c r="H195" s="382">
        <f>SUM(H193:H194)</f>
        <v>0</v>
      </c>
      <c r="N195" s="822">
        <f>SUM(N193:N194)</f>
        <v>0</v>
      </c>
      <c r="P195" s="822">
        <f>SUM(P193:P194)</f>
        <v>0</v>
      </c>
    </row>
    <row r="196" spans="1:18">
      <c r="H196" s="335"/>
      <c r="N196" s="803"/>
      <c r="P196" s="803"/>
    </row>
    <row r="197" spans="1:18">
      <c r="A197" s="813" t="s">
        <v>1987</v>
      </c>
      <c r="H197" s="335"/>
      <c r="J197" s="1003"/>
      <c r="N197" s="803"/>
      <c r="P197" s="803"/>
    </row>
    <row r="198" spans="1:18">
      <c r="B198" s="782" t="s">
        <v>369</v>
      </c>
      <c r="C198" s="782"/>
      <c r="D198" s="814">
        <v>2010</v>
      </c>
      <c r="H198" s="720">
        <v>92348.5</v>
      </c>
      <c r="J198" s="801">
        <f>VLOOKUP(D198,$T$17:$W$55,2,FALSE)</f>
        <v>2</v>
      </c>
      <c r="K198" s="801"/>
      <c r="L198" s="785">
        <f>VLOOKUP(B198,$T$9:$U$13,2,FALSE)</f>
        <v>0.02</v>
      </c>
      <c r="M198" s="785"/>
      <c r="N198" s="802">
        <f>H198*J198*L198</f>
        <v>3693.94</v>
      </c>
      <c r="O198" s="803"/>
      <c r="P198" s="802">
        <f>H198-N198</f>
        <v>88654.56</v>
      </c>
      <c r="Q198" s="802"/>
      <c r="R198" s="804" t="str">
        <f>IF(N198=H198,"Yes","No")</f>
        <v>No</v>
      </c>
    </row>
    <row r="199" spans="1:18">
      <c r="B199" s="782" t="s">
        <v>369</v>
      </c>
      <c r="C199" s="782"/>
      <c r="D199" s="814">
        <v>2010</v>
      </c>
      <c r="H199" s="720">
        <v>0</v>
      </c>
      <c r="J199" s="801">
        <f>VLOOKUP(D199,$T$17:$W$55,2,FALSE)</f>
        <v>2</v>
      </c>
      <c r="K199" s="801"/>
      <c r="L199" s="785">
        <f>VLOOKUP(B199,$T$9:$U$13,2,FALSE)</f>
        <v>0.02</v>
      </c>
      <c r="M199" s="785"/>
      <c r="N199" s="802">
        <f>IF(L199*J199*H199&gt;H199,H199,L199*J199*H199)</f>
        <v>0</v>
      </c>
      <c r="O199" s="803"/>
      <c r="P199" s="802">
        <f>H199-N199</f>
        <v>0</v>
      </c>
      <c r="Q199" s="802"/>
      <c r="R199" s="804" t="str">
        <f>IF(N199=H199,"Yes","No")</f>
        <v>Yes</v>
      </c>
    </row>
    <row r="200" spans="1:18">
      <c r="F200" s="781" t="s">
        <v>374</v>
      </c>
      <c r="H200" s="382">
        <f>SUM(H198:H199)</f>
        <v>92348.5</v>
      </c>
      <c r="N200" s="822">
        <f>SUM(N198:N199)</f>
        <v>3693.94</v>
      </c>
      <c r="P200" s="822">
        <f>SUM(P198:P199)</f>
        <v>88654.56</v>
      </c>
    </row>
    <row r="201" spans="1:18">
      <c r="H201" s="335"/>
      <c r="N201" s="803"/>
      <c r="P201" s="803"/>
    </row>
    <row r="202" spans="1:18">
      <c r="A202" s="813" t="s">
        <v>1989</v>
      </c>
      <c r="H202" s="335"/>
      <c r="J202" s="1003"/>
      <c r="N202" s="803"/>
      <c r="P202" s="803"/>
    </row>
    <row r="203" spans="1:18">
      <c r="B203" s="782" t="s">
        <v>369</v>
      </c>
      <c r="C203" s="782"/>
      <c r="D203" s="814">
        <v>2011</v>
      </c>
      <c r="H203" s="720">
        <v>10128.25</v>
      </c>
      <c r="J203" s="801">
        <f>VLOOKUP(D203,$T$17:$W$55,2,FALSE)</f>
        <v>1</v>
      </c>
      <c r="K203" s="801"/>
      <c r="L203" s="785">
        <f>VLOOKUP(B203,$T$9:$U$13,2,FALSE)</f>
        <v>0.02</v>
      </c>
      <c r="M203" s="785"/>
      <c r="N203" s="802">
        <f>H203*J203*L203</f>
        <v>202.565</v>
      </c>
      <c r="O203" s="803"/>
      <c r="P203" s="802">
        <f>H203-N203</f>
        <v>9925.6849999999995</v>
      </c>
      <c r="Q203" s="802"/>
      <c r="R203" s="804" t="str">
        <f>IF(N203=H203,"Yes","No")</f>
        <v>No</v>
      </c>
    </row>
    <row r="204" spans="1:18">
      <c r="B204" s="782" t="s">
        <v>369</v>
      </c>
      <c r="C204" s="782"/>
      <c r="D204" s="814">
        <v>2011</v>
      </c>
      <c r="H204" s="720">
        <v>0</v>
      </c>
      <c r="J204" s="801">
        <f>VLOOKUP(D204,$T$17:$W$55,2,FALSE)</f>
        <v>1</v>
      </c>
      <c r="K204" s="801"/>
      <c r="L204" s="785">
        <f>VLOOKUP(B204,$T$9:$U$13,2,FALSE)</f>
        <v>0.02</v>
      </c>
      <c r="M204" s="785"/>
      <c r="N204" s="802">
        <f>IF(L204*J204*H204&gt;H204,H204,L204*J204*H204)</f>
        <v>0</v>
      </c>
      <c r="O204" s="803"/>
      <c r="P204" s="802">
        <f>H204-N204</f>
        <v>0</v>
      </c>
      <c r="Q204" s="802"/>
      <c r="R204" s="804" t="str">
        <f>IF(N204=H204,"Yes","No")</f>
        <v>Yes</v>
      </c>
    </row>
    <row r="205" spans="1:18">
      <c r="F205" s="781" t="s">
        <v>374</v>
      </c>
      <c r="H205" s="382">
        <f>SUM(H203:H204)</f>
        <v>10128.25</v>
      </c>
      <c r="N205" s="822">
        <f>SUM(N203:N204)</f>
        <v>202.565</v>
      </c>
      <c r="P205" s="822">
        <f>SUM(P203:P204)</f>
        <v>9925.6849999999995</v>
      </c>
    </row>
    <row r="206" spans="1:18">
      <c r="H206" s="335"/>
      <c r="N206" s="803"/>
      <c r="P206" s="803"/>
    </row>
    <row r="207" spans="1:18">
      <c r="A207" s="813" t="s">
        <v>1990</v>
      </c>
      <c r="H207" s="335"/>
      <c r="J207" s="1003"/>
      <c r="N207" s="803"/>
      <c r="P207" s="803"/>
    </row>
    <row r="208" spans="1:18">
      <c r="B208" s="782" t="s">
        <v>369</v>
      </c>
      <c r="C208" s="782"/>
      <c r="D208" s="814">
        <v>2012</v>
      </c>
      <c r="H208" s="720">
        <v>4603.75</v>
      </c>
      <c r="J208" s="801">
        <f>VLOOKUP(D208,$T$17:$W$55,2,FALSE)</f>
        <v>0</v>
      </c>
      <c r="K208" s="801"/>
      <c r="L208" s="785">
        <f>VLOOKUP(B208,$T$9:$U$13,2,FALSE)</f>
        <v>0.02</v>
      </c>
      <c r="M208" s="785"/>
      <c r="N208" s="802">
        <f>H208*J208*L208</f>
        <v>0</v>
      </c>
      <c r="O208" s="803"/>
      <c r="P208" s="802">
        <f>H208-N208</f>
        <v>4603.75</v>
      </c>
      <c r="Q208" s="802"/>
      <c r="R208" s="804" t="str">
        <f>IF(N208=H208,"Yes","No")</f>
        <v>No</v>
      </c>
    </row>
    <row r="209" spans="2:18">
      <c r="B209" s="782" t="s">
        <v>369</v>
      </c>
      <c r="C209" s="782"/>
      <c r="D209" s="814">
        <v>2012</v>
      </c>
      <c r="H209" s="720">
        <v>0</v>
      </c>
      <c r="J209" s="801">
        <f>VLOOKUP(D209,$T$17:$W$55,2,FALSE)</f>
        <v>0</v>
      </c>
      <c r="K209" s="801"/>
      <c r="L209" s="785">
        <f>VLOOKUP(B209,$T$9:$U$13,2,FALSE)</f>
        <v>0.02</v>
      </c>
      <c r="M209" s="785"/>
      <c r="N209" s="802">
        <f>IF(L209*J209*H209&gt;H209,H209,L209*J209*H209)</f>
        <v>0</v>
      </c>
      <c r="O209" s="803"/>
      <c r="P209" s="802">
        <f>H209-N209</f>
        <v>0</v>
      </c>
      <c r="Q209" s="802"/>
      <c r="R209" s="804" t="str">
        <f>IF(N209=H209,"Yes","No")</f>
        <v>Yes</v>
      </c>
    </row>
    <row r="210" spans="2:18">
      <c r="F210" s="781" t="s">
        <v>374</v>
      </c>
      <c r="H210" s="382">
        <f>SUM(H208:H209)</f>
        <v>4603.75</v>
      </c>
      <c r="N210" s="822">
        <f>SUM(N208:N209)</f>
        <v>0</v>
      </c>
      <c r="P210" s="822">
        <f>SUM(P208:P209)</f>
        <v>4603.75</v>
      </c>
    </row>
    <row r="211" spans="2:18">
      <c r="H211" s="335"/>
      <c r="N211" s="803"/>
      <c r="P211" s="803"/>
    </row>
    <row r="212" spans="2:18">
      <c r="H212" s="335"/>
      <c r="N212" s="803"/>
      <c r="P212" s="803"/>
    </row>
    <row r="213" spans="2:18">
      <c r="H213" s="335"/>
      <c r="N213" s="803"/>
      <c r="P213" s="803"/>
    </row>
    <row r="214" spans="2:18">
      <c r="H214" s="335"/>
      <c r="N214" s="803"/>
      <c r="P214" s="803"/>
    </row>
    <row r="215" spans="2:18">
      <c r="H215" s="335"/>
      <c r="N215" s="803"/>
      <c r="P215" s="803"/>
    </row>
    <row r="216" spans="2:18">
      <c r="H216" s="335"/>
      <c r="N216" s="803"/>
      <c r="P216" s="803"/>
    </row>
    <row r="217" spans="2:18">
      <c r="H217" s="335"/>
      <c r="N217" s="803"/>
      <c r="P217" s="803"/>
    </row>
    <row r="219" spans="2:18" ht="15.75" thickBot="1">
      <c r="F219" s="781" t="s">
        <v>391</v>
      </c>
      <c r="H219" s="820">
        <f>H175+H180+H185+H190+H195+H200+H205+H210</f>
        <v>211470.22999999998</v>
      </c>
      <c r="N219" s="820">
        <f>N175+N180+N185+N190+N195+N200+N205+N210</f>
        <v>41308.767400000012</v>
      </c>
      <c r="P219" s="820">
        <f>P175+P180+P185+P190+P195+P200+P205+P210</f>
        <v>170161.4626</v>
      </c>
    </row>
    <row r="220" spans="2:18" ht="15.75" thickTop="1">
      <c r="H220" s="720">
        <f>'Linked TB'!F233+'Linked TB'!F234+'Linked TB'!F235</f>
        <v>-181679.47</v>
      </c>
    </row>
    <row r="221" spans="2:18">
      <c r="H221" s="720">
        <f>SUM(H219:H220)</f>
        <v>29790.75999999998</v>
      </c>
    </row>
  </sheetData>
  <phoneticPr fontId="25" type="noConversion"/>
  <pageMargins left="0.75" right="0.75" top="1" bottom="1" header="0.5" footer="0.5"/>
  <pageSetup scale="65" orientation="landscape" r:id="rId1"/>
  <headerFooter alignWithMargins="0"/>
  <rowBreaks count="2" manualBreakCount="2">
    <brk id="45" max="17" man="1"/>
    <brk id="146" max="17" man="1"/>
  </rowBreak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5"/>
  <sheetViews>
    <sheetView showGridLines="0" topLeftCell="J1" workbookViewId="0">
      <selection activeCell="H45" sqref="A45:IV47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5.3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1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tr">
        <f>'16003-170'!R2</f>
        <v>First 6,000 gallons</v>
      </c>
      <c r="S2" s="518"/>
      <c r="T2" s="546" t="e">
        <f>'16003-170'!T2</f>
        <v>#REF!</v>
      </c>
    </row>
    <row r="3" spans="1:20">
      <c r="A3" s="513" t="s">
        <v>311</v>
      </c>
      <c r="M3" s="520" t="s">
        <v>295</v>
      </c>
      <c r="R3" s="518" t="str">
        <f>'16003-170'!R3</f>
        <v>Next 4,000 gallons</v>
      </c>
      <c r="S3" s="518"/>
      <c r="T3" s="546" t="e">
        <f>'16003-170'!T3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tr">
        <f>'16003-170'!R4</f>
        <v>Next 15,000 gallons</v>
      </c>
      <c r="S4" s="518"/>
      <c r="T4" s="546" t="e">
        <f>'16003-170'!T4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tr">
        <f>'16003-170'!R5</f>
        <v>Next 25,000 gallons</v>
      </c>
      <c r="S5" s="518"/>
      <c r="T5" s="546" t="e">
        <f>'16003-170'!T5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tr">
        <f>'16003-170'!R6</f>
        <v>Next 50,000 gallons</v>
      </c>
      <c r="S6" s="518"/>
      <c r="T6" s="546" t="e">
        <f>'16003-170'!T6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tr">
        <f>'16003-170'!R7</f>
        <v>Next 100,000 gallons</v>
      </c>
      <c r="S7" s="518"/>
      <c r="T7" s="546" t="e">
        <f>'16003-170'!T7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 t="shared" ref="A10:A18" si="0">P10*1000</f>
        <v>0</v>
      </c>
      <c r="B10" s="515"/>
      <c r="C10" s="532">
        <v>0</v>
      </c>
      <c r="D10" s="533"/>
      <c r="E10" s="533">
        <f>C10</f>
        <v>0</v>
      </c>
      <c r="F10" s="533"/>
      <c r="G10" s="533">
        <f t="shared" ref="G10:G18" si="1">A10*C10</f>
        <v>0</v>
      </c>
      <c r="H10" s="533"/>
      <c r="I10" s="533">
        <f>G10</f>
        <v>0</v>
      </c>
      <c r="J10" s="533"/>
      <c r="K10" s="533">
        <f t="shared" ref="K10:K18" si="2">$E$18-E10</f>
        <v>11</v>
      </c>
      <c r="L10" s="533"/>
      <c r="M10" s="533">
        <f t="shared" ref="M10:M18" si="3">(A10*K10)+I10</f>
        <v>0</v>
      </c>
      <c r="N10" s="515"/>
      <c r="O10" s="534">
        <f t="shared" ref="O10:O18" si="4">I10/$I$18</f>
        <v>0</v>
      </c>
      <c r="P10" s="532">
        <v>0</v>
      </c>
      <c r="Q10" s="561"/>
      <c r="R10" s="535"/>
      <c r="T10" s="536" t="e">
        <f t="shared" ref="T10:T18" si="5"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>
      <c r="A11" s="531">
        <f t="shared" si="0"/>
        <v>10000</v>
      </c>
      <c r="B11" s="515"/>
      <c r="C11" s="532">
        <v>1</v>
      </c>
      <c r="D11" s="533"/>
      <c r="E11" s="533">
        <f t="shared" ref="E11:E18" si="6">E10+C11</f>
        <v>1</v>
      </c>
      <c r="F11" s="533"/>
      <c r="G11" s="533">
        <f t="shared" si="1"/>
        <v>10000</v>
      </c>
      <c r="H11" s="533"/>
      <c r="I11" s="533">
        <f t="shared" ref="I11:I18" si="7">G11+I10</f>
        <v>10000</v>
      </c>
      <c r="J11" s="533"/>
      <c r="K11" s="533">
        <f t="shared" si="2"/>
        <v>10</v>
      </c>
      <c r="L11" s="533"/>
      <c r="M11" s="533">
        <f t="shared" si="3"/>
        <v>110000</v>
      </c>
      <c r="N11" s="515"/>
      <c r="O11" s="534">
        <f t="shared" si="4"/>
        <v>5.434782608695652E-2</v>
      </c>
      <c r="P11" s="532">
        <v>10</v>
      </c>
      <c r="Q11" s="561"/>
      <c r="R11" s="535"/>
      <c r="T11" s="536" t="e">
        <f t="shared" si="5"/>
        <v>#REF!</v>
      </c>
    </row>
    <row r="12" spans="1:20">
      <c r="A12" s="531">
        <f t="shared" si="0"/>
        <v>11000</v>
      </c>
      <c r="B12" s="515"/>
      <c r="C12" s="532">
        <v>2</v>
      </c>
      <c r="D12" s="533"/>
      <c r="E12" s="533">
        <f t="shared" si="6"/>
        <v>3</v>
      </c>
      <c r="F12" s="533"/>
      <c r="G12" s="533">
        <f t="shared" si="1"/>
        <v>22000</v>
      </c>
      <c r="H12" s="533"/>
      <c r="I12" s="533">
        <f t="shared" si="7"/>
        <v>32000</v>
      </c>
      <c r="J12" s="533"/>
      <c r="K12" s="533">
        <f t="shared" si="2"/>
        <v>8</v>
      </c>
      <c r="L12" s="533"/>
      <c r="M12" s="533">
        <f t="shared" si="3"/>
        <v>120000</v>
      </c>
      <c r="N12" s="515"/>
      <c r="O12" s="534">
        <f t="shared" si="4"/>
        <v>0.17391304347826086</v>
      </c>
      <c r="P12" s="532">
        <v>11</v>
      </c>
      <c r="Q12" s="561"/>
      <c r="R12" s="535"/>
      <c r="T12" s="536" t="e">
        <f t="shared" si="5"/>
        <v>#REF!</v>
      </c>
    </row>
    <row r="13" spans="1:20">
      <c r="A13" s="531">
        <f t="shared" si="0"/>
        <v>12000</v>
      </c>
      <c r="B13" s="515"/>
      <c r="C13" s="532">
        <v>1</v>
      </c>
      <c r="D13" s="533"/>
      <c r="E13" s="533">
        <f t="shared" si="6"/>
        <v>4</v>
      </c>
      <c r="F13" s="533"/>
      <c r="G13" s="533">
        <f t="shared" si="1"/>
        <v>12000</v>
      </c>
      <c r="H13" s="533"/>
      <c r="I13" s="533">
        <f t="shared" si="7"/>
        <v>44000</v>
      </c>
      <c r="J13" s="533"/>
      <c r="K13" s="533">
        <f t="shared" si="2"/>
        <v>7</v>
      </c>
      <c r="L13" s="533"/>
      <c r="M13" s="533">
        <f t="shared" si="3"/>
        <v>128000</v>
      </c>
      <c r="N13" s="515"/>
      <c r="O13" s="534">
        <f t="shared" si="4"/>
        <v>0.2391304347826087</v>
      </c>
      <c r="P13" s="532">
        <v>12</v>
      </c>
      <c r="Q13" s="561"/>
      <c r="R13" s="535"/>
      <c r="T13" s="536" t="e">
        <f t="shared" si="5"/>
        <v>#REF!</v>
      </c>
    </row>
    <row r="14" spans="1:20">
      <c r="A14" s="531">
        <f t="shared" si="0"/>
        <v>14000</v>
      </c>
      <c r="B14" s="515"/>
      <c r="C14" s="532">
        <v>2</v>
      </c>
      <c r="D14" s="533"/>
      <c r="E14" s="533">
        <f t="shared" si="6"/>
        <v>6</v>
      </c>
      <c r="F14" s="533"/>
      <c r="G14" s="533">
        <f t="shared" si="1"/>
        <v>28000</v>
      </c>
      <c r="H14" s="533"/>
      <c r="I14" s="533">
        <f t="shared" si="7"/>
        <v>72000</v>
      </c>
      <c r="J14" s="533"/>
      <c r="K14" s="533">
        <f t="shared" si="2"/>
        <v>5</v>
      </c>
      <c r="L14" s="533"/>
      <c r="M14" s="533">
        <f t="shared" si="3"/>
        <v>142000</v>
      </c>
      <c r="N14" s="515"/>
      <c r="O14" s="534">
        <f t="shared" si="4"/>
        <v>0.39130434782608697</v>
      </c>
      <c r="P14" s="532">
        <v>14</v>
      </c>
      <c r="Q14" s="561"/>
      <c r="R14" s="535"/>
      <c r="T14" s="536" t="e">
        <f t="shared" si="5"/>
        <v>#REF!</v>
      </c>
    </row>
    <row r="15" spans="1:20">
      <c r="A15" s="531">
        <f t="shared" si="0"/>
        <v>15000</v>
      </c>
      <c r="C15" s="532">
        <v>2</v>
      </c>
      <c r="E15" s="533">
        <f t="shared" si="6"/>
        <v>8</v>
      </c>
      <c r="G15" s="513">
        <f t="shared" si="1"/>
        <v>30000</v>
      </c>
      <c r="I15" s="533">
        <f t="shared" si="7"/>
        <v>102000</v>
      </c>
      <c r="K15" s="533">
        <f t="shared" si="2"/>
        <v>3</v>
      </c>
      <c r="M15" s="533">
        <f t="shared" si="3"/>
        <v>147000</v>
      </c>
      <c r="O15" s="534">
        <f t="shared" si="4"/>
        <v>0.55434782608695654</v>
      </c>
      <c r="P15" s="532">
        <v>15</v>
      </c>
      <c r="R15" s="535"/>
      <c r="T15" s="536" t="e">
        <f t="shared" si="5"/>
        <v>#REF!</v>
      </c>
    </row>
    <row r="16" spans="1:20">
      <c r="A16" s="531">
        <f t="shared" si="0"/>
        <v>17000</v>
      </c>
      <c r="C16" s="532">
        <v>1</v>
      </c>
      <c r="E16" s="533">
        <f t="shared" si="6"/>
        <v>9</v>
      </c>
      <c r="G16" s="513">
        <f t="shared" si="1"/>
        <v>17000</v>
      </c>
      <c r="I16" s="533">
        <f t="shared" si="7"/>
        <v>119000</v>
      </c>
      <c r="K16" s="533">
        <f t="shared" si="2"/>
        <v>2</v>
      </c>
      <c r="M16" s="533">
        <f t="shared" si="3"/>
        <v>153000</v>
      </c>
      <c r="O16" s="534">
        <f t="shared" si="4"/>
        <v>0.64673913043478259</v>
      </c>
      <c r="P16" s="532">
        <v>17</v>
      </c>
      <c r="T16" s="536" t="e">
        <f t="shared" si="5"/>
        <v>#REF!</v>
      </c>
    </row>
    <row r="17" spans="1:20">
      <c r="A17" s="531">
        <f t="shared" si="0"/>
        <v>24000</v>
      </c>
      <c r="C17" s="532">
        <v>1</v>
      </c>
      <c r="E17" s="533">
        <f t="shared" si="6"/>
        <v>10</v>
      </c>
      <c r="G17" s="513">
        <f t="shared" si="1"/>
        <v>24000</v>
      </c>
      <c r="I17" s="533">
        <f t="shared" si="7"/>
        <v>143000</v>
      </c>
      <c r="K17" s="533">
        <f t="shared" si="2"/>
        <v>1</v>
      </c>
      <c r="M17" s="533">
        <f t="shared" si="3"/>
        <v>167000</v>
      </c>
      <c r="O17" s="534">
        <f t="shared" si="4"/>
        <v>0.77717391304347827</v>
      </c>
      <c r="P17" s="532">
        <v>24</v>
      </c>
      <c r="T17" s="536" t="e">
        <f t="shared" si="5"/>
        <v>#REF!</v>
      </c>
    </row>
    <row r="18" spans="1:20">
      <c r="A18" s="531">
        <f t="shared" si="0"/>
        <v>41000</v>
      </c>
      <c r="C18" s="532">
        <v>1</v>
      </c>
      <c r="E18" s="533">
        <f t="shared" si="6"/>
        <v>11</v>
      </c>
      <c r="G18" s="513">
        <f t="shared" si="1"/>
        <v>41000</v>
      </c>
      <c r="I18" s="533">
        <f t="shared" si="7"/>
        <v>184000</v>
      </c>
      <c r="K18" s="533">
        <f t="shared" si="2"/>
        <v>0</v>
      </c>
      <c r="M18" s="533">
        <f t="shared" si="3"/>
        <v>184000</v>
      </c>
      <c r="O18" s="534">
        <f t="shared" si="4"/>
        <v>1</v>
      </c>
      <c r="P18" s="532">
        <v>41</v>
      </c>
      <c r="T18" s="536" t="e">
        <f t="shared" si="5"/>
        <v>#REF!</v>
      </c>
    </row>
    <row r="19" spans="1:20">
      <c r="A19" s="552"/>
      <c r="E19" s="533"/>
      <c r="I19" s="533"/>
      <c r="K19" s="533"/>
      <c r="M19" s="533"/>
      <c r="O19" s="534"/>
    </row>
    <row r="20" spans="1:20">
      <c r="A20" s="552"/>
      <c r="E20" s="533"/>
      <c r="I20" s="533"/>
      <c r="K20" s="533"/>
      <c r="M20" s="533"/>
      <c r="O20" s="534"/>
    </row>
    <row r="21" spans="1:20">
      <c r="A21" s="552"/>
      <c r="E21" s="533"/>
      <c r="I21" s="533"/>
      <c r="K21" s="533"/>
      <c r="M21" s="533"/>
      <c r="O21" s="534"/>
    </row>
    <row r="22" spans="1:20">
      <c r="T22" s="539" t="e">
        <f>SUM(T10:T18)</f>
        <v>#REF!</v>
      </c>
    </row>
    <row r="23" spans="1:20">
      <c r="T23" s="513">
        <v>522</v>
      </c>
    </row>
    <row r="24" spans="1:20">
      <c r="T24" s="540" t="e">
        <f>T22-T23</f>
        <v>#REF!</v>
      </c>
    </row>
    <row r="25" spans="1:20">
      <c r="T25" s="555" t="e">
        <f>T24/T22</f>
        <v>#REF!</v>
      </c>
    </row>
  </sheetData>
  <phoneticPr fontId="54" type="noConversion"/>
  <printOptions horizontalCentered="1"/>
  <pageMargins left="0" right="0" top="0.89999999999999991" bottom="0.5" header="0.25" footer="0.25"/>
  <pageSetup scale="77" fitToHeight="2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8"/>
  <sheetViews>
    <sheetView showGridLines="0" topLeftCell="J1" workbookViewId="0">
      <selection activeCell="J24" sqref="A24:IV26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5.375" style="513" bestFit="1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e">
        <f>#REF!</f>
        <v>#REF!</v>
      </c>
      <c r="S2" s="518"/>
      <c r="T2" s="519" t="e">
        <f>#REF!</f>
        <v>#REF!</v>
      </c>
    </row>
    <row r="3" spans="1:20">
      <c r="A3" s="513" t="s">
        <v>311</v>
      </c>
      <c r="M3" s="520" t="s">
        <v>513</v>
      </c>
      <c r="R3" s="518" t="e">
        <f>#REF!</f>
        <v>#REF!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e">
        <f>#REF!</f>
        <v>#REF!</v>
      </c>
      <c r="S4" s="518"/>
      <c r="T4" s="519" t="e">
        <f>#REF!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e">
        <f>#REF!</f>
        <v>#REF!</v>
      </c>
      <c r="S5" s="518"/>
      <c r="T5" s="519" t="e">
        <f>#REF!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e">
        <f>#REF!</f>
        <v>#REF!</v>
      </c>
      <c r="S6" s="518"/>
      <c r="T6" s="519" t="e">
        <f>#REF!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>
      <c r="A10" s="531">
        <f t="shared" ref="A10:A16" si="0">P10*1000</f>
        <v>0</v>
      </c>
      <c r="B10" s="515"/>
      <c r="C10" s="532">
        <v>0</v>
      </c>
      <c r="D10" s="533"/>
      <c r="E10" s="533">
        <f>C10</f>
        <v>0</v>
      </c>
      <c r="F10" s="533"/>
      <c r="G10" s="533">
        <f t="shared" ref="G10:G16" si="1">A10*C10</f>
        <v>0</v>
      </c>
      <c r="H10" s="533"/>
      <c r="I10" s="533">
        <f>G10</f>
        <v>0</v>
      </c>
      <c r="J10" s="533"/>
      <c r="K10" s="533">
        <f t="shared" ref="K10:K16" si="2">$E$16-E10</f>
        <v>11</v>
      </c>
      <c r="L10" s="533"/>
      <c r="M10" s="533">
        <f t="shared" ref="M10:M16" si="3">(A10*K10)+I10</f>
        <v>0</v>
      </c>
      <c r="N10" s="515"/>
      <c r="O10" s="534">
        <f t="shared" ref="O10:O16" si="4">I10/$I$16</f>
        <v>0</v>
      </c>
      <c r="P10" s="532">
        <v>0</v>
      </c>
      <c r="Q10" s="561"/>
      <c r="R10" s="535"/>
      <c r="T10" s="536" t="e">
        <f t="shared" ref="T10:T16" si="5">IF(A10&lt;13000,C10*$T$2,IF(A10=13000,C10*$T$2,IF(AND(A10&lt;26000,A10&gt;13000),(C10*$T$2)+((A10-13000)/1000*$T$3*C10),IF(AND(A10&gt;25000,A10&lt;51000),(C10*$T$2)+(12*$T$3*C10)+((A10-25000)/1000*$T$4*C10),IF(AND(A10&lt;51000,A10&gt;25000),(C10*$T$2)+(12*$T$3*C10)+(25*$T$4*C10)+((A10-25000)/1000*$T$5*C10),IF(AND(A10&lt;101000,A10&gt;50000),(C10*$T$2)+(12*$T$3*C10)+(25*$T$4*C10)+((A10-50000)/1000*$T$5*C10),IF(A10&gt;100000,(C10*$T$2)+(12*$T$3*C10)+(25*$T$4*C10)+(50*$T$5*C10)+((A10-100000)/1000*$T$6*C10))))))))</f>
        <v>#REF!</v>
      </c>
    </row>
    <row r="11" spans="1:20">
      <c r="A11" s="531">
        <f t="shared" si="0"/>
        <v>3000</v>
      </c>
      <c r="B11" s="515"/>
      <c r="C11" s="532">
        <v>2</v>
      </c>
      <c r="D11" s="533"/>
      <c r="E11" s="533">
        <f t="shared" ref="E11:E16" si="6">E10+C11</f>
        <v>2</v>
      </c>
      <c r="F11" s="533"/>
      <c r="G11" s="533">
        <f t="shared" si="1"/>
        <v>6000</v>
      </c>
      <c r="H11" s="533"/>
      <c r="I11" s="533">
        <f t="shared" ref="I11:I16" si="7">G11+I10</f>
        <v>6000</v>
      </c>
      <c r="J11" s="533"/>
      <c r="K11" s="533">
        <f t="shared" si="2"/>
        <v>9</v>
      </c>
      <c r="L11" s="533"/>
      <c r="M11" s="533">
        <f t="shared" si="3"/>
        <v>33000</v>
      </c>
      <c r="N11" s="515"/>
      <c r="O11" s="534">
        <f t="shared" si="4"/>
        <v>9.8360655737704916E-2</v>
      </c>
      <c r="P11" s="532">
        <v>3</v>
      </c>
      <c r="Q11" s="561"/>
      <c r="R11" s="535"/>
      <c r="T11" s="536" t="e">
        <f t="shared" si="5"/>
        <v>#REF!</v>
      </c>
    </row>
    <row r="12" spans="1:20">
      <c r="A12" s="531">
        <f t="shared" si="0"/>
        <v>4000</v>
      </c>
      <c r="B12" s="515"/>
      <c r="C12" s="532">
        <v>3</v>
      </c>
      <c r="D12" s="533"/>
      <c r="E12" s="533">
        <f t="shared" si="6"/>
        <v>5</v>
      </c>
      <c r="F12" s="533"/>
      <c r="G12" s="533">
        <f t="shared" si="1"/>
        <v>12000</v>
      </c>
      <c r="H12" s="533"/>
      <c r="I12" s="533">
        <f t="shared" si="7"/>
        <v>18000</v>
      </c>
      <c r="J12" s="533"/>
      <c r="K12" s="533">
        <f t="shared" si="2"/>
        <v>6</v>
      </c>
      <c r="L12" s="533"/>
      <c r="M12" s="533">
        <f t="shared" si="3"/>
        <v>42000</v>
      </c>
      <c r="N12" s="515"/>
      <c r="O12" s="534">
        <f t="shared" si="4"/>
        <v>0.29508196721311475</v>
      </c>
      <c r="P12" s="532">
        <v>4</v>
      </c>
      <c r="Q12" s="561"/>
      <c r="T12" s="536" t="e">
        <f t="shared" si="5"/>
        <v>#REF!</v>
      </c>
    </row>
    <row r="13" spans="1:20">
      <c r="A13" s="531">
        <f t="shared" si="0"/>
        <v>5000</v>
      </c>
      <c r="B13" s="515"/>
      <c r="C13" s="532">
        <v>2</v>
      </c>
      <c r="D13" s="533"/>
      <c r="E13" s="533">
        <f t="shared" si="6"/>
        <v>7</v>
      </c>
      <c r="F13" s="533"/>
      <c r="G13" s="533">
        <f t="shared" si="1"/>
        <v>10000</v>
      </c>
      <c r="H13" s="533"/>
      <c r="I13" s="533">
        <f t="shared" si="7"/>
        <v>28000</v>
      </c>
      <c r="J13" s="533"/>
      <c r="K13" s="533">
        <f t="shared" si="2"/>
        <v>4</v>
      </c>
      <c r="L13" s="533"/>
      <c r="M13" s="533">
        <f t="shared" si="3"/>
        <v>48000</v>
      </c>
      <c r="N13" s="515"/>
      <c r="O13" s="534">
        <f t="shared" si="4"/>
        <v>0.45901639344262296</v>
      </c>
      <c r="P13" s="532">
        <v>5</v>
      </c>
      <c r="Q13" s="561"/>
      <c r="T13" s="536" t="e">
        <f t="shared" si="5"/>
        <v>#REF!</v>
      </c>
    </row>
    <row r="14" spans="1:20">
      <c r="A14" s="531">
        <f t="shared" si="0"/>
        <v>6000</v>
      </c>
      <c r="B14" s="515"/>
      <c r="C14" s="532">
        <v>2</v>
      </c>
      <c r="D14" s="533"/>
      <c r="E14" s="533">
        <f t="shared" si="6"/>
        <v>9</v>
      </c>
      <c r="F14" s="533"/>
      <c r="G14" s="533">
        <f t="shared" si="1"/>
        <v>12000</v>
      </c>
      <c r="H14" s="533"/>
      <c r="I14" s="533">
        <f t="shared" si="7"/>
        <v>40000</v>
      </c>
      <c r="J14" s="533"/>
      <c r="K14" s="533">
        <f t="shared" si="2"/>
        <v>2</v>
      </c>
      <c r="L14" s="533"/>
      <c r="M14" s="533">
        <f t="shared" si="3"/>
        <v>52000</v>
      </c>
      <c r="N14" s="515"/>
      <c r="O14" s="534">
        <f t="shared" si="4"/>
        <v>0.65573770491803274</v>
      </c>
      <c r="P14" s="532">
        <v>6</v>
      </c>
      <c r="Q14" s="561"/>
      <c r="T14" s="536" t="e">
        <f t="shared" si="5"/>
        <v>#REF!</v>
      </c>
    </row>
    <row r="15" spans="1:20">
      <c r="A15" s="531">
        <f t="shared" si="0"/>
        <v>8000</v>
      </c>
      <c r="B15" s="515"/>
      <c r="C15" s="532">
        <v>1</v>
      </c>
      <c r="D15" s="533"/>
      <c r="E15" s="533">
        <f t="shared" si="6"/>
        <v>10</v>
      </c>
      <c r="F15" s="533"/>
      <c r="G15" s="533">
        <f t="shared" si="1"/>
        <v>8000</v>
      </c>
      <c r="H15" s="533"/>
      <c r="I15" s="533">
        <f t="shared" si="7"/>
        <v>48000</v>
      </c>
      <c r="J15" s="533"/>
      <c r="K15" s="533">
        <f t="shared" si="2"/>
        <v>1</v>
      </c>
      <c r="L15" s="533"/>
      <c r="M15" s="533">
        <f t="shared" si="3"/>
        <v>56000</v>
      </c>
      <c r="N15" s="515"/>
      <c r="O15" s="534">
        <f t="shared" si="4"/>
        <v>0.78688524590163933</v>
      </c>
      <c r="P15" s="532">
        <v>8</v>
      </c>
      <c r="Q15" s="561"/>
      <c r="T15" s="536" t="e">
        <f t="shared" si="5"/>
        <v>#REF!</v>
      </c>
    </row>
    <row r="16" spans="1:20">
      <c r="A16" s="531">
        <f t="shared" si="0"/>
        <v>13000</v>
      </c>
      <c r="B16" s="515"/>
      <c r="C16" s="532">
        <v>1</v>
      </c>
      <c r="D16" s="533"/>
      <c r="E16" s="533">
        <f t="shared" si="6"/>
        <v>11</v>
      </c>
      <c r="F16" s="533"/>
      <c r="G16" s="533">
        <f t="shared" si="1"/>
        <v>13000</v>
      </c>
      <c r="H16" s="533"/>
      <c r="I16" s="533">
        <f t="shared" si="7"/>
        <v>61000</v>
      </c>
      <c r="J16" s="533"/>
      <c r="K16" s="533">
        <f t="shared" si="2"/>
        <v>0</v>
      </c>
      <c r="L16" s="533"/>
      <c r="M16" s="533">
        <f t="shared" si="3"/>
        <v>61000</v>
      </c>
      <c r="N16" s="515"/>
      <c r="O16" s="534">
        <f t="shared" si="4"/>
        <v>1</v>
      </c>
      <c r="P16" s="532">
        <v>13</v>
      </c>
      <c r="Q16" s="561"/>
      <c r="T16" s="536" t="e">
        <f t="shared" si="5"/>
        <v>#REF!</v>
      </c>
    </row>
    <row r="17" spans="1:20">
      <c r="A17" s="552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Q17" s="561"/>
      <c r="T17" s="536"/>
    </row>
    <row r="18" spans="1:20">
      <c r="A18" s="552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Q18" s="561"/>
      <c r="T18" s="536"/>
    </row>
    <row r="19" spans="1:20">
      <c r="A19" s="552"/>
      <c r="B19" s="515"/>
      <c r="C19" s="547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Q19" s="561"/>
      <c r="T19" s="536"/>
    </row>
    <row r="20" spans="1:20">
      <c r="A20" s="552"/>
      <c r="B20" s="515"/>
      <c r="C20" s="547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Q20" s="561"/>
      <c r="T20" s="536"/>
    </row>
    <row r="21" spans="1:20">
      <c r="A21" s="552"/>
      <c r="B21" s="515"/>
      <c r="C21" s="547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Q21" s="561"/>
      <c r="T21" s="536"/>
    </row>
    <row r="22" spans="1:20">
      <c r="T22" s="536"/>
    </row>
    <row r="23" spans="1:20">
      <c r="T23" s="554" t="e">
        <f>SUM(T10:T16)</f>
        <v>#REF!</v>
      </c>
    </row>
    <row r="24" spans="1:20" hidden="1">
      <c r="T24" s="536">
        <v>427</v>
      </c>
    </row>
    <row r="25" spans="1:20" hidden="1">
      <c r="T25" s="536" t="e">
        <f>T23-T24</f>
        <v>#REF!</v>
      </c>
    </row>
    <row r="26" spans="1:20" hidden="1">
      <c r="T26" s="569" t="e">
        <f>T25/T23</f>
        <v>#REF!</v>
      </c>
    </row>
    <row r="27" spans="1:20">
      <c r="T27" s="536"/>
    </row>
    <row r="28" spans="1:20">
      <c r="T28" s="536"/>
    </row>
    <row r="29" spans="1:20">
      <c r="T29" s="536"/>
    </row>
    <row r="30" spans="1:20">
      <c r="T30" s="536"/>
    </row>
    <row r="31" spans="1:20">
      <c r="T31" s="536"/>
    </row>
    <row r="32" spans="1:20">
      <c r="T32" s="536"/>
    </row>
    <row r="33" spans="20:20">
      <c r="T33" s="536"/>
    </row>
    <row r="34" spans="20:20">
      <c r="T34" s="536"/>
    </row>
    <row r="35" spans="20:20">
      <c r="T35" s="536"/>
    </row>
    <row r="36" spans="20:20">
      <c r="T36" s="536"/>
    </row>
    <row r="37" spans="20:20">
      <c r="T37" s="536"/>
    </row>
    <row r="38" spans="20:20">
      <c r="T38" s="536"/>
    </row>
    <row r="39" spans="20:20">
      <c r="T39" s="536"/>
    </row>
    <row r="40" spans="20:20">
      <c r="T40" s="536"/>
    </row>
    <row r="41" spans="20:20">
      <c r="T41" s="536"/>
    </row>
    <row r="42" spans="20:20">
      <c r="T42" s="536"/>
    </row>
    <row r="43" spans="20:20">
      <c r="T43" s="536"/>
    </row>
    <row r="44" spans="20:20">
      <c r="T44" s="536"/>
    </row>
    <row r="45" spans="20:20">
      <c r="T45" s="536"/>
    </row>
    <row r="46" spans="20:20">
      <c r="T46" s="536"/>
    </row>
    <row r="47" spans="20:20">
      <c r="T47" s="536"/>
    </row>
    <row r="48" spans="20:20">
      <c r="T48" s="536"/>
    </row>
    <row r="49" spans="20:20">
      <c r="T49" s="536"/>
    </row>
    <row r="50" spans="20:20">
      <c r="T50" s="536"/>
    </row>
    <row r="51" spans="20:20">
      <c r="T51" s="536"/>
    </row>
    <row r="52" spans="20:20">
      <c r="T52" s="536"/>
    </row>
    <row r="53" spans="20:20">
      <c r="T53" s="536"/>
    </row>
    <row r="54" spans="20:20">
      <c r="T54" s="536"/>
    </row>
    <row r="55" spans="20:20">
      <c r="T55" s="536"/>
    </row>
    <row r="56" spans="20:20">
      <c r="T56" s="536"/>
    </row>
    <row r="57" spans="20:20">
      <c r="T57" s="536"/>
    </row>
    <row r="58" spans="20:20">
      <c r="T58" s="536"/>
    </row>
  </sheetData>
  <phoneticPr fontId="54" type="noConversion"/>
  <printOptions horizontalCentered="1"/>
  <pageMargins left="0" right="0" top="0.89999999999999991" bottom="0.5" header="0.25" footer="0.25"/>
  <pageSetup scale="77" fitToHeight="2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"/>
  <sheetViews>
    <sheetView showGridLines="0" topLeftCell="D1" workbookViewId="0">
      <selection activeCell="J24" sqref="A24:IV26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514</v>
      </c>
      <c r="M3" s="520" t="s">
        <v>515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7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7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7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7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7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7">
      <c r="A10" s="531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6" t="e">
        <f>'Sch.D&amp;E-REV'!D706</f>
        <v>#REF!</v>
      </c>
    </row>
    <row r="11" spans="1:17" hidden="1">
      <c r="P11" s="515">
        <v>495</v>
      </c>
    </row>
    <row r="12" spans="1:17" hidden="1">
      <c r="P12" s="515" t="e">
        <f>P10-P11</f>
        <v>#REF!</v>
      </c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5"/>
  <sheetViews>
    <sheetView showGridLines="0" topLeftCell="B1" workbookViewId="0">
      <selection activeCell="J24" sqref="A24:IV26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516</v>
      </c>
      <c r="M3" s="520" t="s">
        <v>517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7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7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7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7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7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7">
      <c r="A10" s="552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8" t="e">
        <f>'Sch.D&amp;E-REV'!D708</f>
        <v>#REF!</v>
      </c>
    </row>
    <row r="11" spans="1:17" hidden="1">
      <c r="A11" s="552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330</v>
      </c>
    </row>
    <row r="12" spans="1:17" hidden="1">
      <c r="A12" s="531"/>
      <c r="B12" s="515"/>
      <c r="C12" s="561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</row>
    <row r="13" spans="1:17">
      <c r="A13" s="531"/>
      <c r="B13" s="515"/>
      <c r="C13" s="561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</row>
    <row r="14" spans="1:17">
      <c r="A14" s="531"/>
      <c r="B14" s="515"/>
      <c r="C14" s="561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</row>
    <row r="15" spans="1:17">
      <c r="A15" s="531"/>
      <c r="B15" s="515"/>
      <c r="C15" s="561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</row>
    <row r="16" spans="1:17">
      <c r="A16" s="531"/>
      <c r="B16" s="515"/>
      <c r="C16" s="561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</row>
    <row r="17" spans="1:16">
      <c r="A17" s="531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</row>
    <row r="18" spans="1:16">
      <c r="A18" s="531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16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16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16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16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16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16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16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16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16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16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16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16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16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16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44"/>
      <c r="C36" s="561"/>
      <c r="D36" s="545"/>
      <c r="E36" s="533"/>
      <c r="F36" s="533"/>
      <c r="G36" s="533"/>
      <c r="H36" s="533"/>
      <c r="I36" s="533"/>
      <c r="J36" s="545"/>
      <c r="K36" s="533"/>
      <c r="L36" s="545"/>
      <c r="M36" s="533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15"/>
      <c r="C38" s="561"/>
      <c r="D38" s="515"/>
      <c r="E38" s="533"/>
      <c r="F38" s="533"/>
      <c r="G38" s="533"/>
      <c r="H38" s="533"/>
      <c r="I38" s="533"/>
      <c r="J38" s="515"/>
      <c r="K38" s="533"/>
      <c r="L38" s="515"/>
      <c r="M38" s="533"/>
      <c r="N38" s="515"/>
      <c r="O38" s="534"/>
      <c r="P38" s="547"/>
    </row>
    <row r="39" spans="1:16">
      <c r="A39" s="531"/>
      <c r="B39" s="529"/>
      <c r="C39" s="561"/>
      <c r="D39" s="529"/>
      <c r="E39" s="533"/>
      <c r="F39" s="533"/>
      <c r="G39" s="533"/>
      <c r="H39" s="533"/>
      <c r="I39" s="533"/>
      <c r="J39" s="529"/>
      <c r="K39" s="533"/>
      <c r="L39" s="529"/>
      <c r="M39" s="533"/>
      <c r="N39" s="529"/>
      <c r="O39" s="534"/>
      <c r="P39" s="547"/>
    </row>
    <row r="40" spans="1:16">
      <c r="A40" s="531"/>
      <c r="B40" s="523"/>
      <c r="C40" s="561"/>
      <c r="D40" s="523"/>
      <c r="E40" s="533"/>
      <c r="F40" s="533"/>
      <c r="G40" s="533"/>
      <c r="H40" s="533"/>
      <c r="I40" s="533"/>
      <c r="J40" s="523"/>
      <c r="K40" s="533"/>
      <c r="L40" s="523"/>
      <c r="M40" s="533"/>
      <c r="N40" s="523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25"/>
      <c r="C43" s="561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</row>
    <row r="44" spans="1:16">
      <c r="A44" s="531"/>
      <c r="B44" s="515"/>
      <c r="C44" s="561"/>
      <c r="D44" s="529"/>
      <c r="E44" s="533"/>
      <c r="F44" s="533"/>
      <c r="G44" s="533"/>
      <c r="H44" s="533"/>
      <c r="I44" s="533"/>
      <c r="J44" s="529"/>
      <c r="K44" s="533"/>
      <c r="L44" s="529"/>
      <c r="M44" s="533"/>
      <c r="N44" s="529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5"/>
  <sheetViews>
    <sheetView showGridLines="0" topLeftCell="B1" workbookViewId="0">
      <selection activeCell="J24" sqref="A24:IV26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516</v>
      </c>
      <c r="M3" s="520" t="s">
        <v>517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7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7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7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7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7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7">
      <c r="A10" s="552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8" t="e">
        <f>'Sch.D&amp;E-REV'!D710</f>
        <v>#REF!</v>
      </c>
    </row>
    <row r="11" spans="1:17" hidden="1">
      <c r="A11" s="552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330</v>
      </c>
    </row>
    <row r="12" spans="1:17" hidden="1">
      <c r="A12" s="531"/>
      <c r="B12" s="515"/>
      <c r="C12" s="561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</row>
    <row r="13" spans="1:17">
      <c r="A13" s="531"/>
      <c r="B13" s="515"/>
      <c r="C13" s="561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</row>
    <row r="14" spans="1:17">
      <c r="A14" s="531"/>
      <c r="B14" s="515"/>
      <c r="C14" s="561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</row>
    <row r="15" spans="1:17">
      <c r="A15" s="531"/>
      <c r="B15" s="515"/>
      <c r="C15" s="561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</row>
    <row r="16" spans="1:17">
      <c r="A16" s="531"/>
      <c r="B16" s="515"/>
      <c r="C16" s="561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</row>
    <row r="17" spans="1:16">
      <c r="A17" s="531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</row>
    <row r="18" spans="1:16">
      <c r="A18" s="531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16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16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16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16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16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16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16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16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16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16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16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16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16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16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44"/>
      <c r="C36" s="561"/>
      <c r="D36" s="545"/>
      <c r="E36" s="533"/>
      <c r="F36" s="533"/>
      <c r="G36" s="533"/>
      <c r="H36" s="533"/>
      <c r="I36" s="533"/>
      <c r="J36" s="545"/>
      <c r="K36" s="533"/>
      <c r="L36" s="545"/>
      <c r="M36" s="533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15"/>
      <c r="C38" s="561"/>
      <c r="D38" s="515"/>
      <c r="E38" s="533"/>
      <c r="F38" s="533"/>
      <c r="G38" s="533"/>
      <c r="H38" s="533"/>
      <c r="I38" s="533"/>
      <c r="J38" s="515"/>
      <c r="K38" s="533"/>
      <c r="L38" s="515"/>
      <c r="M38" s="533"/>
      <c r="N38" s="515"/>
      <c r="O38" s="534"/>
      <c r="P38" s="547"/>
    </row>
    <row r="39" spans="1:16">
      <c r="A39" s="531"/>
      <c r="B39" s="529"/>
      <c r="C39" s="561"/>
      <c r="D39" s="529"/>
      <c r="E39" s="533"/>
      <c r="F39" s="533"/>
      <c r="G39" s="533"/>
      <c r="H39" s="533"/>
      <c r="I39" s="533"/>
      <c r="J39" s="529"/>
      <c r="K39" s="533"/>
      <c r="L39" s="529"/>
      <c r="M39" s="533"/>
      <c r="N39" s="529"/>
      <c r="O39" s="534"/>
      <c r="P39" s="547"/>
    </row>
    <row r="40" spans="1:16">
      <c r="A40" s="531"/>
      <c r="B40" s="523"/>
      <c r="C40" s="561"/>
      <c r="D40" s="523"/>
      <c r="E40" s="533"/>
      <c r="F40" s="533"/>
      <c r="G40" s="533"/>
      <c r="H40" s="533"/>
      <c r="I40" s="533"/>
      <c r="J40" s="523"/>
      <c r="K40" s="533"/>
      <c r="L40" s="523"/>
      <c r="M40" s="533"/>
      <c r="N40" s="523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25"/>
      <c r="C43" s="561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</row>
    <row r="44" spans="1:16">
      <c r="A44" s="531"/>
      <c r="B44" s="515"/>
      <c r="C44" s="561"/>
      <c r="D44" s="529"/>
      <c r="E44" s="533"/>
      <c r="F44" s="533"/>
      <c r="G44" s="533"/>
      <c r="H44" s="533"/>
      <c r="I44" s="533"/>
      <c r="J44" s="529"/>
      <c r="K44" s="533"/>
      <c r="L44" s="529"/>
      <c r="M44" s="533"/>
      <c r="N44" s="529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5"/>
  <sheetViews>
    <sheetView showGridLines="0" topLeftCell="B1" workbookViewId="0">
      <selection activeCell="J24" sqref="A24:IV26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518</v>
      </c>
      <c r="M3" s="520" t="s">
        <v>517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7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7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7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7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7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7">
      <c r="A10" s="552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8" t="e">
        <f>'Sch.D&amp;E-REV'!D712</f>
        <v>#REF!</v>
      </c>
    </row>
    <row r="11" spans="1:17" hidden="1">
      <c r="A11" s="552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1155</v>
      </c>
    </row>
    <row r="12" spans="1:17" hidden="1">
      <c r="A12" s="531"/>
      <c r="B12" s="515"/>
      <c r="C12" s="561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</row>
    <row r="13" spans="1:17">
      <c r="A13" s="531"/>
      <c r="B13" s="515"/>
      <c r="C13" s="561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</row>
    <row r="14" spans="1:17">
      <c r="A14" s="531"/>
      <c r="B14" s="515"/>
      <c r="C14" s="561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</row>
    <row r="15" spans="1:17">
      <c r="A15" s="531"/>
      <c r="B15" s="515"/>
      <c r="C15" s="561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</row>
    <row r="16" spans="1:17">
      <c r="A16" s="531"/>
      <c r="B16" s="515"/>
      <c r="C16" s="561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</row>
    <row r="17" spans="1:16">
      <c r="A17" s="531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</row>
    <row r="18" spans="1:16">
      <c r="A18" s="531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16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16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16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16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16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16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16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16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16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16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16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16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16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16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44"/>
      <c r="C36" s="561"/>
      <c r="D36" s="545"/>
      <c r="E36" s="533"/>
      <c r="F36" s="533"/>
      <c r="G36" s="533"/>
      <c r="H36" s="533"/>
      <c r="I36" s="533"/>
      <c r="J36" s="545"/>
      <c r="K36" s="533"/>
      <c r="L36" s="545"/>
      <c r="M36" s="533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15"/>
      <c r="C38" s="561"/>
      <c r="D38" s="515"/>
      <c r="E38" s="533"/>
      <c r="F38" s="533"/>
      <c r="G38" s="533"/>
      <c r="H38" s="533"/>
      <c r="I38" s="533"/>
      <c r="J38" s="515"/>
      <c r="K38" s="533"/>
      <c r="L38" s="515"/>
      <c r="M38" s="533"/>
      <c r="N38" s="515"/>
      <c r="O38" s="534"/>
      <c r="P38" s="547"/>
    </row>
    <row r="39" spans="1:16">
      <c r="A39" s="531"/>
      <c r="B39" s="529"/>
      <c r="C39" s="561"/>
      <c r="D39" s="529"/>
      <c r="E39" s="533"/>
      <c r="F39" s="533"/>
      <c r="G39" s="533"/>
      <c r="H39" s="533"/>
      <c r="I39" s="533"/>
      <c r="J39" s="529"/>
      <c r="K39" s="533"/>
      <c r="L39" s="529"/>
      <c r="M39" s="533"/>
      <c r="N39" s="529"/>
      <c r="O39" s="534"/>
      <c r="P39" s="547"/>
    </row>
    <row r="40" spans="1:16">
      <c r="A40" s="531"/>
      <c r="B40" s="523"/>
      <c r="C40" s="561"/>
      <c r="D40" s="523"/>
      <c r="E40" s="533"/>
      <c r="F40" s="533"/>
      <c r="G40" s="533"/>
      <c r="H40" s="533"/>
      <c r="I40" s="533"/>
      <c r="J40" s="523"/>
      <c r="K40" s="533"/>
      <c r="L40" s="523"/>
      <c r="M40" s="533"/>
      <c r="N40" s="523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25"/>
      <c r="C43" s="561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</row>
    <row r="44" spans="1:16">
      <c r="A44" s="531"/>
      <c r="B44" s="515"/>
      <c r="C44" s="561"/>
      <c r="D44" s="529"/>
      <c r="E44" s="533"/>
      <c r="F44" s="533"/>
      <c r="G44" s="533"/>
      <c r="H44" s="533"/>
      <c r="I44" s="533"/>
      <c r="J44" s="529"/>
      <c r="K44" s="533"/>
      <c r="L44" s="529"/>
      <c r="M44" s="533"/>
      <c r="N44" s="529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P75"/>
  <sheetViews>
    <sheetView topLeftCell="D1" workbookViewId="0">
      <selection activeCell="J24" sqref="A24:IV26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6">
      <c r="O1" s="514"/>
    </row>
    <row r="2" spans="1:16">
      <c r="O2" s="514"/>
    </row>
    <row r="3" spans="1:16">
      <c r="A3" s="513" t="s">
        <v>309</v>
      </c>
      <c r="M3" s="520" t="s">
        <v>519</v>
      </c>
    </row>
    <row r="4" spans="1:16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6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6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6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6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6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6">
      <c r="A10" s="552">
        <f>P10*1000</f>
        <v>0</v>
      </c>
      <c r="B10" s="515"/>
      <c r="C10" s="547">
        <v>12</v>
      </c>
      <c r="D10" s="533"/>
      <c r="E10" s="533">
        <f>C10</f>
        <v>12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E$10-E10</f>
        <v>0</v>
      </c>
      <c r="L10" s="533"/>
      <c r="M10" s="533">
        <f>(A10*K10)+I10</f>
        <v>0</v>
      </c>
      <c r="N10" s="515"/>
      <c r="O10" s="534">
        <v>1</v>
      </c>
      <c r="P10" s="547">
        <v>0</v>
      </c>
    </row>
    <row r="11" spans="1:16">
      <c r="A11" s="552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/>
    </row>
    <row r="12" spans="1:16">
      <c r="A12" s="552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/>
    </row>
    <row r="13" spans="1:16">
      <c r="A13" s="552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</row>
    <row r="14" spans="1:16">
      <c r="A14" s="552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</row>
    <row r="15" spans="1:16">
      <c r="A15" s="552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</row>
    <row r="16" spans="1:16">
      <c r="A16" s="552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</row>
    <row r="17" spans="1:16">
      <c r="A17" s="552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</row>
    <row r="18" spans="1:16">
      <c r="A18" s="552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16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16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16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16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16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16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16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16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16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16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16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16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16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16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44"/>
      <c r="C36" s="561"/>
      <c r="D36" s="545"/>
      <c r="E36" s="533"/>
      <c r="F36" s="533"/>
      <c r="G36" s="533"/>
      <c r="H36" s="533"/>
      <c r="I36" s="533"/>
      <c r="J36" s="545"/>
      <c r="K36" s="533"/>
      <c r="L36" s="545"/>
      <c r="M36" s="533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15"/>
      <c r="C38" s="561"/>
      <c r="D38" s="515"/>
      <c r="E38" s="533"/>
      <c r="F38" s="533"/>
      <c r="G38" s="533"/>
      <c r="H38" s="533"/>
      <c r="I38" s="533"/>
      <c r="J38" s="515"/>
      <c r="K38" s="533"/>
      <c r="L38" s="515"/>
      <c r="M38" s="533"/>
      <c r="N38" s="515"/>
      <c r="O38" s="534"/>
      <c r="P38" s="547"/>
    </row>
    <row r="39" spans="1:16">
      <c r="A39" s="531"/>
      <c r="B39" s="529"/>
      <c r="C39" s="561"/>
      <c r="D39" s="529"/>
      <c r="E39" s="533"/>
      <c r="F39" s="533"/>
      <c r="G39" s="533"/>
      <c r="H39" s="533"/>
      <c r="I39" s="533"/>
      <c r="J39" s="529"/>
      <c r="K39" s="533"/>
      <c r="L39" s="529"/>
      <c r="M39" s="533"/>
      <c r="N39" s="529"/>
      <c r="O39" s="534"/>
      <c r="P39" s="547"/>
    </row>
    <row r="40" spans="1:16">
      <c r="A40" s="531"/>
      <c r="B40" s="523"/>
      <c r="C40" s="561"/>
      <c r="D40" s="523"/>
      <c r="E40" s="533"/>
      <c r="F40" s="533"/>
      <c r="G40" s="533"/>
      <c r="H40" s="533"/>
      <c r="I40" s="533"/>
      <c r="J40" s="523"/>
      <c r="K40" s="533"/>
      <c r="L40" s="523"/>
      <c r="M40" s="533"/>
      <c r="N40" s="523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25"/>
      <c r="C43" s="561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</row>
    <row r="44" spans="1:16">
      <c r="A44" s="531"/>
      <c r="B44" s="515"/>
      <c r="C44" s="561"/>
      <c r="D44" s="529"/>
      <c r="E44" s="533"/>
      <c r="F44" s="533"/>
      <c r="G44" s="533"/>
      <c r="H44" s="533"/>
      <c r="I44" s="533"/>
      <c r="J44" s="529"/>
      <c r="K44" s="533"/>
      <c r="L44" s="529"/>
      <c r="M44" s="533"/>
      <c r="N44" s="529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</row>
  </sheetData>
  <phoneticPr fontId="54" type="noConversion"/>
  <pageMargins left="0.75" right="0.75" top="1" bottom="1" header="0.5" footer="0.5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P75"/>
  <sheetViews>
    <sheetView topLeftCell="F1" workbookViewId="0">
      <selection activeCell="J24" sqref="A24:IV26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6">
      <c r="O1" s="514"/>
    </row>
    <row r="2" spans="1:16">
      <c r="O2" s="514"/>
    </row>
    <row r="3" spans="1:16">
      <c r="A3" s="513" t="s">
        <v>309</v>
      </c>
      <c r="M3" s="520" t="s">
        <v>519</v>
      </c>
    </row>
    <row r="4" spans="1:16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6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6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6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6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6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6">
      <c r="A10" s="552">
        <f>P10*1000</f>
        <v>0</v>
      </c>
      <c r="B10" s="515"/>
      <c r="C10" s="547">
        <v>12</v>
      </c>
      <c r="D10" s="533"/>
      <c r="E10" s="533">
        <f>C10</f>
        <v>12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E$10-E10</f>
        <v>0</v>
      </c>
      <c r="L10" s="533"/>
      <c r="M10" s="533">
        <f>(A10*K10)+I10</f>
        <v>0</v>
      </c>
      <c r="N10" s="515"/>
      <c r="O10" s="534">
        <v>1</v>
      </c>
      <c r="P10" s="547">
        <v>0</v>
      </c>
    </row>
    <row r="11" spans="1:16">
      <c r="A11" s="552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/>
    </row>
    <row r="12" spans="1:16">
      <c r="A12" s="552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/>
    </row>
    <row r="13" spans="1:16">
      <c r="A13" s="552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</row>
    <row r="14" spans="1:16">
      <c r="A14" s="552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</row>
    <row r="15" spans="1:16">
      <c r="A15" s="552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</row>
    <row r="16" spans="1:16">
      <c r="A16" s="552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</row>
    <row r="17" spans="1:16">
      <c r="A17" s="552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</row>
    <row r="18" spans="1:16">
      <c r="A18" s="552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16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16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16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16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16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16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16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16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16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16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16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16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16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16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44"/>
      <c r="C36" s="561"/>
      <c r="D36" s="545"/>
      <c r="E36" s="533"/>
      <c r="F36" s="533"/>
      <c r="G36" s="533"/>
      <c r="H36" s="533"/>
      <c r="I36" s="533"/>
      <c r="J36" s="545"/>
      <c r="K36" s="533"/>
      <c r="L36" s="545"/>
      <c r="M36" s="533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15"/>
      <c r="C38" s="561"/>
      <c r="D38" s="515"/>
      <c r="E38" s="533"/>
      <c r="F38" s="533"/>
      <c r="G38" s="533"/>
      <c r="H38" s="533"/>
      <c r="I38" s="533"/>
      <c r="J38" s="515"/>
      <c r="K38" s="533"/>
      <c r="L38" s="515"/>
      <c r="M38" s="533"/>
      <c r="N38" s="515"/>
      <c r="O38" s="534"/>
      <c r="P38" s="547"/>
    </row>
    <row r="39" spans="1:16">
      <c r="A39" s="531"/>
      <c r="B39" s="529"/>
      <c r="C39" s="561"/>
      <c r="D39" s="529"/>
      <c r="E39" s="533"/>
      <c r="F39" s="533"/>
      <c r="G39" s="533"/>
      <c r="H39" s="533"/>
      <c r="I39" s="533"/>
      <c r="J39" s="529"/>
      <c r="K39" s="533"/>
      <c r="L39" s="529"/>
      <c r="M39" s="533"/>
      <c r="N39" s="529"/>
      <c r="O39" s="534"/>
      <c r="P39" s="547"/>
    </row>
    <row r="40" spans="1:16">
      <c r="A40" s="531"/>
      <c r="B40" s="523"/>
      <c r="C40" s="561"/>
      <c r="D40" s="523"/>
      <c r="E40" s="533"/>
      <c r="F40" s="533"/>
      <c r="G40" s="533"/>
      <c r="H40" s="533"/>
      <c r="I40" s="533"/>
      <c r="J40" s="523"/>
      <c r="K40" s="533"/>
      <c r="L40" s="523"/>
      <c r="M40" s="533"/>
      <c r="N40" s="523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25"/>
      <c r="C43" s="561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</row>
    <row r="44" spans="1:16">
      <c r="A44" s="531"/>
      <c r="B44" s="515"/>
      <c r="C44" s="561"/>
      <c r="D44" s="529"/>
      <c r="E44" s="533"/>
      <c r="F44" s="533"/>
      <c r="G44" s="533"/>
      <c r="H44" s="533"/>
      <c r="I44" s="533"/>
      <c r="J44" s="529"/>
      <c r="K44" s="533"/>
      <c r="L44" s="529"/>
      <c r="M44" s="533"/>
      <c r="N44" s="529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</row>
  </sheetData>
  <phoneticPr fontId="54" type="noConversion"/>
  <pageMargins left="0.75" right="0.75" top="1" bottom="1" header="0.5" footer="0.5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P75"/>
  <sheetViews>
    <sheetView workbookViewId="0">
      <selection activeCell="J24" sqref="A24:IV26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6">
      <c r="O1" s="514"/>
    </row>
    <row r="2" spans="1:16">
      <c r="O2" s="514"/>
    </row>
    <row r="3" spans="1:16">
      <c r="A3" s="513" t="s">
        <v>309</v>
      </c>
      <c r="M3" s="520" t="s">
        <v>519</v>
      </c>
    </row>
    <row r="4" spans="1:16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6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6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6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6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6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6">
      <c r="A10" s="552">
        <f>P10*1000</f>
        <v>0</v>
      </c>
      <c r="B10" s="515"/>
      <c r="C10" s="547">
        <v>12</v>
      </c>
      <c r="D10" s="533"/>
      <c r="E10" s="533">
        <f>C10</f>
        <v>12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E$10-E10</f>
        <v>0</v>
      </c>
      <c r="L10" s="533"/>
      <c r="M10" s="533">
        <f>(A10*K10)+I10</f>
        <v>0</v>
      </c>
      <c r="N10" s="515"/>
      <c r="O10" s="534">
        <v>1</v>
      </c>
      <c r="P10" s="547">
        <v>0</v>
      </c>
    </row>
    <row r="11" spans="1:16">
      <c r="A11" s="552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/>
    </row>
    <row r="12" spans="1:16">
      <c r="A12" s="552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/>
    </row>
    <row r="13" spans="1:16">
      <c r="A13" s="552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</row>
    <row r="14" spans="1:16">
      <c r="A14" s="552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</row>
    <row r="15" spans="1:16">
      <c r="A15" s="552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</row>
    <row r="16" spans="1:16">
      <c r="A16" s="552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</row>
    <row r="17" spans="1:16">
      <c r="A17" s="552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</row>
    <row r="18" spans="1:16">
      <c r="A18" s="552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16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16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16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16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16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16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16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16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16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16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16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16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16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16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44"/>
      <c r="C36" s="561"/>
      <c r="D36" s="545"/>
      <c r="E36" s="533"/>
      <c r="F36" s="533"/>
      <c r="G36" s="533"/>
      <c r="H36" s="533"/>
      <c r="I36" s="533"/>
      <c r="J36" s="545"/>
      <c r="K36" s="533"/>
      <c r="L36" s="545"/>
      <c r="M36" s="533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15"/>
      <c r="C38" s="561"/>
      <c r="D38" s="515"/>
      <c r="E38" s="533"/>
      <c r="F38" s="533"/>
      <c r="G38" s="533"/>
      <c r="H38" s="533"/>
      <c r="I38" s="533"/>
      <c r="J38" s="515"/>
      <c r="K38" s="533"/>
      <c r="L38" s="515"/>
      <c r="M38" s="533"/>
      <c r="N38" s="515"/>
      <c r="O38" s="534"/>
      <c r="P38" s="547"/>
    </row>
    <row r="39" spans="1:16">
      <c r="A39" s="531"/>
      <c r="B39" s="529"/>
      <c r="C39" s="561"/>
      <c r="D39" s="529"/>
      <c r="E39" s="533"/>
      <c r="F39" s="533"/>
      <c r="G39" s="533"/>
      <c r="H39" s="533"/>
      <c r="I39" s="533"/>
      <c r="J39" s="529"/>
      <c r="K39" s="533"/>
      <c r="L39" s="529"/>
      <c r="M39" s="533"/>
      <c r="N39" s="529"/>
      <c r="O39" s="534"/>
      <c r="P39" s="547"/>
    </row>
    <row r="40" spans="1:16">
      <c r="A40" s="531"/>
      <c r="B40" s="523"/>
      <c r="C40" s="561"/>
      <c r="D40" s="523"/>
      <c r="E40" s="533"/>
      <c r="F40" s="533"/>
      <c r="G40" s="533"/>
      <c r="H40" s="533"/>
      <c r="I40" s="533"/>
      <c r="J40" s="523"/>
      <c r="K40" s="533"/>
      <c r="L40" s="523"/>
      <c r="M40" s="533"/>
      <c r="N40" s="523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25"/>
      <c r="C43" s="561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</row>
    <row r="44" spans="1:16">
      <c r="A44" s="531"/>
      <c r="B44" s="515"/>
      <c r="C44" s="561"/>
      <c r="D44" s="529"/>
      <c r="E44" s="533"/>
      <c r="F44" s="533"/>
      <c r="G44" s="533"/>
      <c r="H44" s="533"/>
      <c r="I44" s="533"/>
      <c r="J44" s="529"/>
      <c r="K44" s="533"/>
      <c r="L44" s="529"/>
      <c r="M44" s="533"/>
      <c r="N44" s="529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</row>
  </sheetData>
  <phoneticPr fontId="54" type="noConversion"/>
  <pageMargins left="0.75" right="0.75" top="1" bottom="1" header="0.5" footer="0.5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5"/>
  <sheetViews>
    <sheetView showGridLines="0" topLeftCell="D1" workbookViewId="0">
      <selection activeCell="J24" sqref="A24:IV26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hidden="1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309</v>
      </c>
      <c r="M3" s="520" t="s">
        <v>519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7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7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7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7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7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7">
      <c r="A10" s="552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8" t="e">
        <f>'Sch.D&amp;E-REV'!D714</f>
        <v>#REF!</v>
      </c>
    </row>
    <row r="11" spans="1:17" hidden="1">
      <c r="A11" s="552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495</v>
      </c>
    </row>
    <row r="12" spans="1:17" hidden="1">
      <c r="A12" s="552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</row>
    <row r="13" spans="1:17">
      <c r="A13" s="552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</row>
    <row r="14" spans="1:17">
      <c r="A14" s="552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</row>
    <row r="15" spans="1:17">
      <c r="A15" s="552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</row>
    <row r="16" spans="1:17">
      <c r="A16" s="552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</row>
    <row r="17" spans="1:16">
      <c r="A17" s="552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</row>
    <row r="18" spans="1:16">
      <c r="A18" s="552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16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16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16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16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16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16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16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16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16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16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16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16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16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16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44"/>
      <c r="C36" s="561"/>
      <c r="D36" s="545"/>
      <c r="E36" s="533"/>
      <c r="F36" s="533"/>
      <c r="G36" s="533"/>
      <c r="H36" s="533"/>
      <c r="I36" s="533"/>
      <c r="J36" s="545"/>
      <c r="K36" s="533"/>
      <c r="L36" s="545"/>
      <c r="M36" s="533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15"/>
      <c r="C38" s="561"/>
      <c r="D38" s="515"/>
      <c r="E38" s="533"/>
      <c r="F38" s="533"/>
      <c r="G38" s="533"/>
      <c r="H38" s="533"/>
      <c r="I38" s="533"/>
      <c r="J38" s="515"/>
      <c r="K38" s="533"/>
      <c r="L38" s="515"/>
      <c r="M38" s="533"/>
      <c r="N38" s="515"/>
      <c r="O38" s="534"/>
      <c r="P38" s="547"/>
    </row>
    <row r="39" spans="1:16">
      <c r="A39" s="531"/>
      <c r="B39" s="529"/>
      <c r="C39" s="561"/>
      <c r="D39" s="529"/>
      <c r="E39" s="533"/>
      <c r="F39" s="533"/>
      <c r="G39" s="533"/>
      <c r="H39" s="533"/>
      <c r="I39" s="533"/>
      <c r="J39" s="529"/>
      <c r="K39" s="533"/>
      <c r="L39" s="529"/>
      <c r="M39" s="533"/>
      <c r="N39" s="529"/>
      <c r="O39" s="534"/>
      <c r="P39" s="547"/>
    </row>
    <row r="40" spans="1:16">
      <c r="A40" s="531"/>
      <c r="B40" s="523"/>
      <c r="C40" s="561"/>
      <c r="D40" s="523"/>
      <c r="E40" s="533"/>
      <c r="F40" s="533"/>
      <c r="G40" s="533"/>
      <c r="H40" s="533"/>
      <c r="I40" s="533"/>
      <c r="J40" s="523"/>
      <c r="K40" s="533"/>
      <c r="L40" s="523"/>
      <c r="M40" s="533"/>
      <c r="N40" s="523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25"/>
      <c r="C43" s="561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</row>
    <row r="44" spans="1:16">
      <c r="A44" s="531"/>
      <c r="B44" s="515"/>
      <c r="C44" s="561"/>
      <c r="D44" s="529"/>
      <c r="E44" s="533"/>
      <c r="F44" s="533"/>
      <c r="G44" s="533"/>
      <c r="H44" s="533"/>
      <c r="I44" s="533"/>
      <c r="J44" s="529"/>
      <c r="K44" s="533"/>
      <c r="L44" s="529"/>
      <c r="M44" s="533"/>
      <c r="N44" s="529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K21" sqref="K21"/>
    </sheetView>
  </sheetViews>
  <sheetFormatPr defaultRowHeight="15"/>
  <cols>
    <col min="1" max="5" width="9" style="1762"/>
    <col min="6" max="6" width="11.375" style="1762" customWidth="1"/>
    <col min="7" max="7" width="12.875" style="1763" customWidth="1"/>
    <col min="8" max="8" width="8.25" style="1762" hidden="1" customWidth="1"/>
    <col min="9" max="16384" width="9" style="1762"/>
  </cols>
  <sheetData>
    <row r="1" spans="1:8">
      <c r="A1" s="1761" t="s">
        <v>350</v>
      </c>
    </row>
    <row r="2" spans="1:8">
      <c r="A2" s="1764" t="s">
        <v>2192</v>
      </c>
      <c r="B2" s="1765"/>
      <c r="C2" s="1765"/>
      <c r="D2" s="1765"/>
      <c r="E2" s="1765"/>
      <c r="F2" s="1765"/>
    </row>
    <row r="3" spans="1:8">
      <c r="A3" s="1761" t="s">
        <v>2193</v>
      </c>
    </row>
    <row r="5" spans="1:8">
      <c r="G5" s="1766">
        <v>41274</v>
      </c>
    </row>
    <row r="6" spans="1:8">
      <c r="G6" s="1769"/>
    </row>
    <row r="7" spans="1:8">
      <c r="A7" s="1762" t="s">
        <v>2194</v>
      </c>
      <c r="G7" s="1772">
        <f>+'Sch.A-B.S'!$F$46</f>
        <v>6783277.3699999982</v>
      </c>
      <c r="H7" s="1762" t="s">
        <v>2195</v>
      </c>
    </row>
    <row r="8" spans="1:8">
      <c r="G8" s="1769"/>
    </row>
    <row r="9" spans="1:8">
      <c r="A9" s="1762" t="s">
        <v>2196</v>
      </c>
      <c r="G9" s="1769"/>
    </row>
    <row r="10" spans="1:8">
      <c r="B10" s="1762" t="s">
        <v>2223</v>
      </c>
      <c r="G10" s="1769">
        <f>+'Sch.C-R.B'!H14</f>
        <v>-275137.41983956832</v>
      </c>
      <c r="H10" s="1762" t="s">
        <v>2197</v>
      </c>
    </row>
    <row r="11" spans="1:8">
      <c r="B11" s="1762" t="s">
        <v>2198</v>
      </c>
      <c r="F11" s="1767"/>
      <c r="G11" s="1769">
        <f>+'Sch.C-R.B'!H15</f>
        <v>362489.03308441234</v>
      </c>
      <c r="H11" s="1768" t="s">
        <v>2199</v>
      </c>
    </row>
    <row r="12" spans="1:8">
      <c r="B12" s="1762" t="s">
        <v>2200</v>
      </c>
      <c r="F12" s="1767"/>
      <c r="G12" s="1769">
        <f>+'Sch.C-R.B'!J17</f>
        <v>205698</v>
      </c>
      <c r="H12" s="1762" t="s">
        <v>2201</v>
      </c>
    </row>
    <row r="13" spans="1:8">
      <c r="B13" s="1762" t="s">
        <v>2202</v>
      </c>
      <c r="F13" s="1767"/>
      <c r="G13" s="1769">
        <f>+'Sch.C-R.B'!J18</f>
        <v>-170008.92249999999</v>
      </c>
      <c r="H13" s="1762" t="s">
        <v>2203</v>
      </c>
    </row>
    <row r="14" spans="1:8">
      <c r="B14" s="1762" t="s">
        <v>2204</v>
      </c>
      <c r="F14" s="1767"/>
      <c r="G14" s="1769">
        <f>+'Sch.C-R.B'!J19</f>
        <v>-80725.986449999997</v>
      </c>
      <c r="H14" s="1762" t="s">
        <v>2205</v>
      </c>
    </row>
    <row r="15" spans="1:8">
      <c r="B15" s="1762" t="s">
        <v>2206</v>
      </c>
      <c r="F15" s="1767"/>
      <c r="G15" s="1769">
        <f>+'Sch.C-R.B'!J20</f>
        <v>-665581.92000000004</v>
      </c>
      <c r="H15" s="1762" t="s">
        <v>2207</v>
      </c>
    </row>
    <row r="16" spans="1:8">
      <c r="B16" s="1762" t="s">
        <v>2208</v>
      </c>
      <c r="F16" s="1767"/>
      <c r="G16" s="1769">
        <f>+'Sch.C-R.B'!J21</f>
        <v>-56298.68</v>
      </c>
      <c r="H16" s="1762" t="s">
        <v>2209</v>
      </c>
    </row>
    <row r="17" spans="1:8">
      <c r="B17" s="1762" t="s">
        <v>2210</v>
      </c>
      <c r="F17" s="1767"/>
      <c r="G17" s="1769">
        <f>+'Sch.C-R.B'!J22</f>
        <v>-6355.2102118855328</v>
      </c>
      <c r="H17" s="1762" t="s">
        <v>2211</v>
      </c>
    </row>
    <row r="18" spans="1:8">
      <c r="B18" s="1762" t="s">
        <v>2212</v>
      </c>
      <c r="F18" s="1767"/>
      <c r="G18" s="1769">
        <f>-'Sch.A-B.S'!F25</f>
        <v>146419.74</v>
      </c>
      <c r="H18" s="1762" t="s">
        <v>2213</v>
      </c>
    </row>
    <row r="19" spans="1:8">
      <c r="B19" s="1762" t="s">
        <v>2224</v>
      </c>
      <c r="F19" s="1767"/>
      <c r="G19" s="1769">
        <f>+'Sch.A-B.S'!F31</f>
        <v>-1.1641532182693481E-10</v>
      </c>
      <c r="H19" s="1762" t="s">
        <v>2214</v>
      </c>
    </row>
    <row r="20" spans="1:8">
      <c r="B20" s="1770" t="s">
        <v>1</v>
      </c>
      <c r="F20" s="1767"/>
      <c r="G20" s="1769">
        <f>-'Sch.A-B.S'!F37</f>
        <v>-23077.73</v>
      </c>
      <c r="H20" s="1762" t="s">
        <v>2215</v>
      </c>
    </row>
    <row r="21" spans="1:8">
      <c r="B21" s="1770" t="s">
        <v>2216</v>
      </c>
      <c r="F21" s="1767"/>
      <c r="G21" s="1769">
        <f>-'Sch.A-B.S'!F38</f>
        <v>-1065126.48</v>
      </c>
      <c r="H21" s="1762" t="s">
        <v>2217</v>
      </c>
    </row>
    <row r="22" spans="1:8">
      <c r="B22" s="1770" t="s">
        <v>2218</v>
      </c>
      <c r="F22" s="1767"/>
      <c r="G22" s="1769">
        <f>-'Sch.A-B.S'!F39</f>
        <v>-14019</v>
      </c>
      <c r="H22" s="1762" t="s">
        <v>2219</v>
      </c>
    </row>
    <row r="23" spans="1:8">
      <c r="B23" s="1762" t="s">
        <v>2220</v>
      </c>
      <c r="F23" s="1767"/>
      <c r="G23" s="1769">
        <f>-'Sch.A-B.S'!F44</f>
        <v>-180065.93</v>
      </c>
      <c r="H23" s="1762" t="s">
        <v>2221</v>
      </c>
    </row>
    <row r="24" spans="1:8">
      <c r="F24" s="1767"/>
    </row>
    <row r="25" spans="1:8">
      <c r="F25" s="1767"/>
    </row>
    <row r="26" spans="1:8" ht="15.75" thickBot="1">
      <c r="A26" s="1762" t="s">
        <v>2222</v>
      </c>
      <c r="F26" s="1767"/>
      <c r="G26" s="1771">
        <f>SUM(G7:G24)</f>
        <v>4961486.8640829567</v>
      </c>
    </row>
    <row r="27" spans="1:8" ht="15.75" thickTop="1">
      <c r="F27" s="1767"/>
    </row>
    <row r="28" spans="1:8">
      <c r="F28" s="1767"/>
    </row>
    <row r="29" spans="1:8">
      <c r="F29" s="1767"/>
    </row>
    <row r="30" spans="1:8">
      <c r="F30" s="1767"/>
    </row>
    <row r="31" spans="1:8">
      <c r="F31" s="1767"/>
    </row>
    <row r="32" spans="1:8">
      <c r="F32" s="1767"/>
    </row>
    <row r="33" spans="6:6">
      <c r="F33" s="1767"/>
    </row>
  </sheetData>
  <pageMargins left="0.75" right="0.75" top="1" bottom="1" header="0.5" footer="0.5"/>
  <pageSetup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A24:IV26"/>
    </sheetView>
  </sheetViews>
  <sheetFormatPr defaultColWidth="8" defaultRowHeight="12.75"/>
  <cols>
    <col min="1" max="16384" width="8" style="532"/>
  </cols>
  <sheetData/>
  <phoneticPr fontId="54" type="noConversion"/>
  <pageMargins left="0.75" right="0.75" top="1" bottom="1" header="0.5" footer="0.5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A24:IV26"/>
    </sheetView>
  </sheetViews>
  <sheetFormatPr defaultColWidth="8" defaultRowHeight="12.75"/>
  <cols>
    <col min="1" max="16384" width="8" style="532"/>
  </cols>
  <sheetData/>
  <phoneticPr fontId="54" type="noConversion"/>
  <pageMargins left="0.75" right="0.75" top="1" bottom="1" header="0.5" footer="0.5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A24:IV26"/>
    </sheetView>
  </sheetViews>
  <sheetFormatPr defaultColWidth="8" defaultRowHeight="12.75"/>
  <cols>
    <col min="1" max="16384" width="8" style="532"/>
  </cols>
  <sheetData/>
  <phoneticPr fontId="54" type="noConversion"/>
  <pageMargins left="0.75" right="0.75" top="1" bottom="1" header="0.5" footer="0.5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A24:IV26"/>
    </sheetView>
  </sheetViews>
  <sheetFormatPr defaultColWidth="8" defaultRowHeight="12.75"/>
  <cols>
    <col min="1" max="16384" width="8" style="532"/>
  </cols>
  <sheetData/>
  <phoneticPr fontId="54" type="noConversion"/>
  <pageMargins left="0.75" right="0.75" top="1" bottom="1" header="0.5" footer="0.5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9" sqref="R19"/>
    </sheetView>
  </sheetViews>
  <sheetFormatPr defaultColWidth="8" defaultRowHeight="12.75"/>
  <cols>
    <col min="1" max="16384" width="8" style="532"/>
  </cols>
  <sheetData/>
  <phoneticPr fontId="54" type="noConversion"/>
  <pageMargins left="0.75" right="0.75" top="1" bottom="1" header="0.5" footer="0.5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9" sqref="R19"/>
    </sheetView>
  </sheetViews>
  <sheetFormatPr defaultColWidth="8" defaultRowHeight="12.75"/>
  <cols>
    <col min="1" max="16384" width="8" style="532"/>
  </cols>
  <sheetData/>
  <phoneticPr fontId="54" type="noConversion"/>
  <pageMargins left="0.75" right="0.75" top="1" bottom="1" header="0.5" footer="0.5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9" sqref="R19"/>
    </sheetView>
  </sheetViews>
  <sheetFormatPr defaultColWidth="8" defaultRowHeight="12.75"/>
  <cols>
    <col min="1" max="16384" width="8" style="532"/>
  </cols>
  <sheetData/>
  <phoneticPr fontId="54" type="noConversion"/>
  <pageMargins left="0.75" right="0.75" top="1" bottom="1" header="0.5" footer="0.5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9" sqref="R19"/>
    </sheetView>
  </sheetViews>
  <sheetFormatPr defaultColWidth="8" defaultRowHeight="12.75"/>
  <cols>
    <col min="1" max="16384" width="8" style="532"/>
  </cols>
  <sheetData/>
  <phoneticPr fontId="54" type="noConversion"/>
  <pageMargins left="0.75" right="0.75" top="1" bottom="1" header="0.5" footer="0.5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5"/>
  <sheetViews>
    <sheetView showGridLines="0" topLeftCell="D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hidden="1" customWidth="1"/>
    <col min="18" max="18" width="2.125" style="513" customWidth="1"/>
    <col min="19" max="19" width="12.5" style="513" customWidth="1"/>
    <col min="20" max="20" width="2.375" style="513" customWidth="1"/>
    <col min="21" max="16384" width="12.5" style="513"/>
  </cols>
  <sheetData>
    <row r="1" spans="1:17">
      <c r="O1" s="514"/>
    </row>
    <row r="2" spans="1:17">
      <c r="O2" s="514"/>
    </row>
    <row r="3" spans="1:17">
      <c r="A3" s="513" t="s">
        <v>520</v>
      </c>
      <c r="M3" s="520" t="s">
        <v>519</v>
      </c>
    </row>
    <row r="4" spans="1:17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</row>
    <row r="5" spans="1:17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</row>
    <row r="6" spans="1:17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</row>
    <row r="7" spans="1:17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</row>
    <row r="8" spans="1:17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17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</row>
    <row r="10" spans="1:17">
      <c r="A10" s="552" t="e">
        <f>P10*1000</f>
        <v>#REF!</v>
      </c>
      <c r="B10" s="515"/>
      <c r="C10" s="547">
        <v>11</v>
      </c>
      <c r="D10" s="533"/>
      <c r="E10" s="533">
        <f>C10</f>
        <v>11</v>
      </c>
      <c r="F10" s="533"/>
      <c r="G10" s="533" t="e">
        <f>A10*C10</f>
        <v>#REF!</v>
      </c>
      <c r="H10" s="533"/>
      <c r="I10" s="533" t="e">
        <f>G10</f>
        <v>#REF!</v>
      </c>
      <c r="J10" s="533"/>
      <c r="K10" s="533">
        <f>E$10-E10</f>
        <v>0</v>
      </c>
      <c r="L10" s="533"/>
      <c r="M10" s="533" t="e">
        <f>(A10*K10)+I10</f>
        <v>#REF!</v>
      </c>
      <c r="N10" s="515"/>
      <c r="O10" s="534">
        <v>1</v>
      </c>
      <c r="P10" s="597" t="e">
        <f>Q10*C10</f>
        <v>#REF!</v>
      </c>
      <c r="Q10" s="598" t="e">
        <f>'Sch.D&amp;E-REV'!D716</f>
        <v>#REF!</v>
      </c>
    </row>
    <row r="11" spans="1:17" hidden="1">
      <c r="A11" s="552"/>
      <c r="B11" s="515"/>
      <c r="C11" s="547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15"/>
      <c r="O11" s="534"/>
      <c r="P11" s="547">
        <v>660</v>
      </c>
    </row>
    <row r="12" spans="1:17" hidden="1">
      <c r="A12" s="552"/>
      <c r="B12" s="515"/>
      <c r="C12" s="547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15"/>
      <c r="O12" s="534"/>
      <c r="P12" s="547" t="e">
        <f>P10-P11</f>
        <v>#REF!</v>
      </c>
    </row>
    <row r="13" spans="1:17">
      <c r="A13" s="552"/>
      <c r="B13" s="515"/>
      <c r="C13" s="547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15"/>
      <c r="O13" s="534"/>
      <c r="P13" s="547"/>
    </row>
    <row r="14" spans="1:17">
      <c r="A14" s="552"/>
      <c r="B14" s="515"/>
      <c r="C14" s="547"/>
      <c r="D14" s="533"/>
      <c r="E14" s="533"/>
      <c r="F14" s="533"/>
      <c r="G14" s="533"/>
      <c r="H14" s="533"/>
      <c r="I14" s="533"/>
      <c r="J14" s="533"/>
      <c r="K14" s="533"/>
      <c r="L14" s="533"/>
      <c r="M14" s="533"/>
      <c r="N14" s="515"/>
      <c r="O14" s="534"/>
      <c r="P14" s="547"/>
    </row>
    <row r="15" spans="1:17">
      <c r="A15" s="552"/>
      <c r="B15" s="515"/>
      <c r="C15" s="547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</row>
    <row r="16" spans="1:17">
      <c r="A16" s="552"/>
      <c r="B16" s="515"/>
      <c r="C16" s="547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</row>
    <row r="17" spans="1:16">
      <c r="A17" s="552"/>
      <c r="B17" s="515"/>
      <c r="C17" s="547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</row>
    <row r="18" spans="1:16">
      <c r="A18" s="552"/>
      <c r="B18" s="515"/>
      <c r="C18" s="547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</row>
    <row r="19" spans="1:16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</row>
    <row r="20" spans="1:16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</row>
    <row r="21" spans="1:16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16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16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16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16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16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16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16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16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16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16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16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44"/>
      <c r="C36" s="561"/>
      <c r="D36" s="545"/>
      <c r="E36" s="533"/>
      <c r="F36" s="533"/>
      <c r="G36" s="533"/>
      <c r="H36" s="533"/>
      <c r="I36" s="533"/>
      <c r="J36" s="545"/>
      <c r="K36" s="533"/>
      <c r="L36" s="545"/>
      <c r="M36" s="533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15"/>
      <c r="C38" s="561"/>
      <c r="D38" s="515"/>
      <c r="E38" s="533"/>
      <c r="F38" s="533"/>
      <c r="G38" s="533"/>
      <c r="H38" s="533"/>
      <c r="I38" s="533"/>
      <c r="J38" s="515"/>
      <c r="K38" s="533"/>
      <c r="L38" s="515"/>
      <c r="M38" s="533"/>
      <c r="N38" s="515"/>
      <c r="O38" s="534"/>
      <c r="P38" s="547"/>
    </row>
    <row r="39" spans="1:16">
      <c r="A39" s="531"/>
      <c r="B39" s="529"/>
      <c r="C39" s="561"/>
      <c r="D39" s="529"/>
      <c r="E39" s="533"/>
      <c r="F39" s="533"/>
      <c r="G39" s="533"/>
      <c r="H39" s="533"/>
      <c r="I39" s="533"/>
      <c r="J39" s="529"/>
      <c r="K39" s="533"/>
      <c r="L39" s="529"/>
      <c r="M39" s="533"/>
      <c r="N39" s="529"/>
      <c r="O39" s="534"/>
      <c r="P39" s="547"/>
    </row>
    <row r="40" spans="1:16">
      <c r="A40" s="531"/>
      <c r="B40" s="523"/>
      <c r="C40" s="561"/>
      <c r="D40" s="523"/>
      <c r="E40" s="533"/>
      <c r="F40" s="533"/>
      <c r="G40" s="533"/>
      <c r="H40" s="533"/>
      <c r="I40" s="533"/>
      <c r="J40" s="523"/>
      <c r="K40" s="533"/>
      <c r="L40" s="523"/>
      <c r="M40" s="533"/>
      <c r="N40" s="523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25"/>
      <c r="C43" s="561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</row>
    <row r="44" spans="1:16">
      <c r="A44" s="531"/>
      <c r="B44" s="515"/>
      <c r="C44" s="561"/>
      <c r="D44" s="529"/>
      <c r="E44" s="533"/>
      <c r="F44" s="533"/>
      <c r="G44" s="533"/>
      <c r="H44" s="533"/>
      <c r="I44" s="533"/>
      <c r="J44" s="529"/>
      <c r="K44" s="533"/>
      <c r="L44" s="529"/>
      <c r="M44" s="533"/>
      <c r="N44" s="529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</row>
  </sheetData>
  <phoneticPr fontId="51" type="noConversion"/>
  <printOptions horizontalCentered="1"/>
  <pageMargins left="0" right="0" top="0.89999999999999991" bottom="0.5" header="0.25" footer="0.25"/>
  <pageSetup scale="78" orientation="portrait" horizontalDpi="4294967292" verticalDpi="4294967292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  <colBreaks count="1" manualBreakCount="1">
    <brk id="15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5"/>
  <sheetViews>
    <sheetView showGridLines="0" topLeftCell="H7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3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#REF!</f>
        <v>#REF!</v>
      </c>
    </row>
    <row r="3" spans="1:20">
      <c r="A3" s="513" t="s">
        <v>521</v>
      </c>
      <c r="M3" s="520" t="s">
        <v>522</v>
      </c>
      <c r="R3" s="518" t="s">
        <v>274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#REF!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#REF!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#REF!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#REF!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3" si="0">P10*1000</f>
        <v>0</v>
      </c>
      <c r="C10" s="532">
        <v>1</v>
      </c>
      <c r="D10" s="533"/>
      <c r="E10" s="533">
        <f>C10</f>
        <v>1</v>
      </c>
      <c r="F10" s="533"/>
      <c r="G10" s="533">
        <f t="shared" ref="G10:G23" si="1">A10*C10</f>
        <v>0</v>
      </c>
      <c r="H10" s="533"/>
      <c r="I10" s="533">
        <f>G10</f>
        <v>0</v>
      </c>
      <c r="J10" s="533"/>
      <c r="K10" s="533">
        <f t="shared" ref="K10:K23" si="2">$E$23-E10</f>
        <v>53</v>
      </c>
      <c r="L10" s="533"/>
      <c r="M10" s="533">
        <f t="shared" ref="M10:M23" si="3">(A10*K10)+I10</f>
        <v>0</v>
      </c>
      <c r="O10" s="534">
        <f t="shared" ref="O10:O23" si="4">I10/$I$23</f>
        <v>0</v>
      </c>
      <c r="P10" s="532">
        <v>0</v>
      </c>
      <c r="R10" s="535"/>
      <c r="S10" s="513"/>
      <c r="T10" s="536" t="e">
        <f t="shared" ref="T10:T23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1000</v>
      </c>
      <c r="C11" s="532">
        <v>8</v>
      </c>
      <c r="D11" s="533"/>
      <c r="E11" s="533">
        <f t="shared" ref="E11:E23" si="6">E10+C11</f>
        <v>9</v>
      </c>
      <c r="F11" s="533"/>
      <c r="G11" s="533">
        <f t="shared" si="1"/>
        <v>8000</v>
      </c>
      <c r="H11" s="533"/>
      <c r="I11" s="533">
        <f t="shared" ref="I11:I23" si="7">I10+G11</f>
        <v>8000</v>
      </c>
      <c r="J11" s="533"/>
      <c r="K11" s="533">
        <f t="shared" si="2"/>
        <v>45</v>
      </c>
      <c r="L11" s="533"/>
      <c r="M11" s="533">
        <f t="shared" si="3"/>
        <v>53000</v>
      </c>
      <c r="O11" s="534">
        <f t="shared" si="4"/>
        <v>2.8070175438596492E-2</v>
      </c>
      <c r="P11" s="532">
        <v>1</v>
      </c>
      <c r="R11" s="535"/>
      <c r="S11" s="513"/>
      <c r="T11" s="536" t="e">
        <f t="shared" si="5"/>
        <v>#REF!</v>
      </c>
    </row>
    <row r="12" spans="1:20">
      <c r="A12" s="552">
        <f t="shared" si="0"/>
        <v>2000</v>
      </c>
      <c r="B12" s="515"/>
      <c r="C12" s="532">
        <v>6</v>
      </c>
      <c r="D12" s="533"/>
      <c r="E12" s="533">
        <f t="shared" si="6"/>
        <v>15</v>
      </c>
      <c r="F12" s="533"/>
      <c r="G12" s="533">
        <f t="shared" si="1"/>
        <v>12000</v>
      </c>
      <c r="H12" s="533"/>
      <c r="I12" s="533">
        <f t="shared" si="7"/>
        <v>20000</v>
      </c>
      <c r="J12" s="533"/>
      <c r="K12" s="533">
        <f t="shared" si="2"/>
        <v>39</v>
      </c>
      <c r="L12" s="533"/>
      <c r="M12" s="533">
        <f t="shared" si="3"/>
        <v>98000</v>
      </c>
      <c r="N12" s="515"/>
      <c r="O12" s="534">
        <f t="shared" si="4"/>
        <v>7.0175438596491224E-2</v>
      </c>
      <c r="P12" s="532">
        <v>2</v>
      </c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12</v>
      </c>
      <c r="D13" s="533"/>
      <c r="E13" s="533">
        <f t="shared" si="6"/>
        <v>27</v>
      </c>
      <c r="F13" s="533"/>
      <c r="G13" s="533">
        <f t="shared" si="1"/>
        <v>36000</v>
      </c>
      <c r="H13" s="533"/>
      <c r="I13" s="533">
        <f t="shared" si="7"/>
        <v>56000</v>
      </c>
      <c r="J13" s="533"/>
      <c r="K13" s="533">
        <f t="shared" si="2"/>
        <v>27</v>
      </c>
      <c r="L13" s="533"/>
      <c r="M13" s="533">
        <f t="shared" si="3"/>
        <v>137000</v>
      </c>
      <c r="N13" s="515"/>
      <c r="O13" s="534">
        <f t="shared" si="4"/>
        <v>0.19649122807017544</v>
      </c>
      <c r="P13" s="532">
        <v>3</v>
      </c>
      <c r="T13" s="536" t="e">
        <f t="shared" si="5"/>
        <v>#REF!</v>
      </c>
    </row>
    <row r="14" spans="1:20">
      <c r="A14" s="552">
        <f t="shared" si="0"/>
        <v>4000</v>
      </c>
      <c r="B14" s="515"/>
      <c r="C14" s="532">
        <v>10</v>
      </c>
      <c r="D14" s="533"/>
      <c r="E14" s="533">
        <f t="shared" si="6"/>
        <v>37</v>
      </c>
      <c r="F14" s="533"/>
      <c r="G14" s="533">
        <f t="shared" si="1"/>
        <v>40000</v>
      </c>
      <c r="H14" s="533"/>
      <c r="I14" s="533">
        <f t="shared" si="7"/>
        <v>96000</v>
      </c>
      <c r="J14" s="533"/>
      <c r="K14" s="533">
        <f t="shared" si="2"/>
        <v>17</v>
      </c>
      <c r="L14" s="533"/>
      <c r="M14" s="533">
        <f t="shared" si="3"/>
        <v>164000</v>
      </c>
      <c r="N14" s="515"/>
      <c r="O14" s="534">
        <f t="shared" si="4"/>
        <v>0.33684210526315789</v>
      </c>
      <c r="P14" s="532">
        <v>4</v>
      </c>
      <c r="T14" s="536" t="e">
        <f t="shared" si="5"/>
        <v>#REF!</v>
      </c>
    </row>
    <row r="15" spans="1:20">
      <c r="A15" s="552">
        <f t="shared" si="0"/>
        <v>5000</v>
      </c>
      <c r="B15" s="515"/>
      <c r="C15" s="532">
        <v>5</v>
      </c>
      <c r="D15" s="533"/>
      <c r="E15" s="533">
        <f t="shared" si="6"/>
        <v>42</v>
      </c>
      <c r="F15" s="533"/>
      <c r="G15" s="533">
        <f t="shared" si="1"/>
        <v>25000</v>
      </c>
      <c r="H15" s="533"/>
      <c r="I15" s="533">
        <f t="shared" si="7"/>
        <v>121000</v>
      </c>
      <c r="J15" s="533"/>
      <c r="K15" s="533">
        <f t="shared" si="2"/>
        <v>12</v>
      </c>
      <c r="L15" s="533"/>
      <c r="M15" s="533">
        <f t="shared" si="3"/>
        <v>181000</v>
      </c>
      <c r="N15" s="515"/>
      <c r="O15" s="534">
        <f t="shared" si="4"/>
        <v>0.42456140350877192</v>
      </c>
      <c r="P15" s="532">
        <v>5</v>
      </c>
      <c r="T15" s="536" t="e">
        <f t="shared" si="5"/>
        <v>#REF!</v>
      </c>
    </row>
    <row r="16" spans="1:20">
      <c r="A16" s="552">
        <f t="shared" si="0"/>
        <v>8000</v>
      </c>
      <c r="B16" s="515"/>
      <c r="C16" s="532">
        <v>3</v>
      </c>
      <c r="D16" s="533"/>
      <c r="E16" s="533">
        <f t="shared" si="6"/>
        <v>45</v>
      </c>
      <c r="F16" s="533"/>
      <c r="G16" s="533">
        <f t="shared" si="1"/>
        <v>24000</v>
      </c>
      <c r="H16" s="533"/>
      <c r="I16" s="533">
        <f t="shared" si="7"/>
        <v>145000</v>
      </c>
      <c r="J16" s="533"/>
      <c r="K16" s="533">
        <f t="shared" si="2"/>
        <v>9</v>
      </c>
      <c r="L16" s="533"/>
      <c r="M16" s="533">
        <f t="shared" si="3"/>
        <v>217000</v>
      </c>
      <c r="N16" s="515"/>
      <c r="O16" s="534">
        <f t="shared" si="4"/>
        <v>0.50877192982456143</v>
      </c>
      <c r="P16" s="532">
        <v>8</v>
      </c>
      <c r="T16" s="536" t="e">
        <f t="shared" si="5"/>
        <v>#REF!</v>
      </c>
    </row>
    <row r="17" spans="1:20">
      <c r="A17" s="552">
        <f t="shared" si="0"/>
        <v>9000</v>
      </c>
      <c r="B17" s="515"/>
      <c r="C17" s="532">
        <v>1</v>
      </c>
      <c r="D17" s="533"/>
      <c r="E17" s="533">
        <f t="shared" si="6"/>
        <v>46</v>
      </c>
      <c r="F17" s="533"/>
      <c r="G17" s="533">
        <f t="shared" si="1"/>
        <v>9000</v>
      </c>
      <c r="H17" s="533"/>
      <c r="I17" s="533">
        <f t="shared" si="7"/>
        <v>154000</v>
      </c>
      <c r="J17" s="533"/>
      <c r="K17" s="533">
        <f t="shared" si="2"/>
        <v>8</v>
      </c>
      <c r="L17" s="533"/>
      <c r="M17" s="533">
        <f t="shared" si="3"/>
        <v>226000</v>
      </c>
      <c r="N17" s="515"/>
      <c r="O17" s="534">
        <f t="shared" si="4"/>
        <v>0.54035087719298247</v>
      </c>
      <c r="P17" s="532">
        <v>9</v>
      </c>
      <c r="T17" s="536" t="e">
        <f t="shared" si="5"/>
        <v>#REF!</v>
      </c>
    </row>
    <row r="18" spans="1:20">
      <c r="A18" s="531">
        <f t="shared" si="0"/>
        <v>10000</v>
      </c>
      <c r="B18" s="515"/>
      <c r="C18" s="532">
        <v>2</v>
      </c>
      <c r="D18" s="533"/>
      <c r="E18" s="533">
        <f t="shared" si="6"/>
        <v>48</v>
      </c>
      <c r="F18" s="533"/>
      <c r="G18" s="533">
        <f t="shared" si="1"/>
        <v>20000</v>
      </c>
      <c r="H18" s="533"/>
      <c r="I18" s="533">
        <f t="shared" si="7"/>
        <v>174000</v>
      </c>
      <c r="J18" s="533"/>
      <c r="K18" s="533">
        <f t="shared" si="2"/>
        <v>6</v>
      </c>
      <c r="L18" s="533"/>
      <c r="M18" s="533">
        <f t="shared" si="3"/>
        <v>234000</v>
      </c>
      <c r="N18" s="515"/>
      <c r="O18" s="534">
        <f t="shared" si="4"/>
        <v>0.61052631578947369</v>
      </c>
      <c r="P18" s="532">
        <v>10</v>
      </c>
      <c r="T18" s="536" t="e">
        <f t="shared" si="5"/>
        <v>#REF!</v>
      </c>
    </row>
    <row r="19" spans="1:20">
      <c r="A19" s="531">
        <f t="shared" si="0"/>
        <v>11000</v>
      </c>
      <c r="B19" s="515"/>
      <c r="C19" s="532">
        <v>2</v>
      </c>
      <c r="D19" s="533"/>
      <c r="E19" s="533">
        <f t="shared" si="6"/>
        <v>50</v>
      </c>
      <c r="F19" s="533"/>
      <c r="G19" s="533">
        <f t="shared" si="1"/>
        <v>22000</v>
      </c>
      <c r="H19" s="533"/>
      <c r="I19" s="533">
        <f t="shared" si="7"/>
        <v>196000</v>
      </c>
      <c r="J19" s="533"/>
      <c r="K19" s="533">
        <f t="shared" si="2"/>
        <v>4</v>
      </c>
      <c r="L19" s="533"/>
      <c r="M19" s="533">
        <f t="shared" si="3"/>
        <v>240000</v>
      </c>
      <c r="N19" s="515"/>
      <c r="O19" s="534">
        <f t="shared" si="4"/>
        <v>0.68771929824561406</v>
      </c>
      <c r="P19" s="532">
        <v>11</v>
      </c>
      <c r="T19" s="536" t="e">
        <f t="shared" si="5"/>
        <v>#REF!</v>
      </c>
    </row>
    <row r="20" spans="1:20">
      <c r="A20" s="531">
        <f t="shared" si="0"/>
        <v>16000</v>
      </c>
      <c r="B20" s="515"/>
      <c r="C20" s="532">
        <v>1</v>
      </c>
      <c r="D20" s="533"/>
      <c r="E20" s="533">
        <f t="shared" si="6"/>
        <v>51</v>
      </c>
      <c r="F20" s="533"/>
      <c r="G20" s="533">
        <f t="shared" si="1"/>
        <v>16000</v>
      </c>
      <c r="H20" s="533"/>
      <c r="I20" s="533">
        <f t="shared" si="7"/>
        <v>212000</v>
      </c>
      <c r="J20" s="533"/>
      <c r="K20" s="533">
        <f t="shared" si="2"/>
        <v>3</v>
      </c>
      <c r="L20" s="533"/>
      <c r="M20" s="533">
        <f t="shared" si="3"/>
        <v>260000</v>
      </c>
      <c r="N20" s="515"/>
      <c r="O20" s="534">
        <f t="shared" si="4"/>
        <v>0.743859649122807</v>
      </c>
      <c r="P20" s="532">
        <v>16</v>
      </c>
      <c r="T20" s="536" t="e">
        <f t="shared" si="5"/>
        <v>#REF!</v>
      </c>
    </row>
    <row r="21" spans="1:20">
      <c r="A21" s="531">
        <f t="shared" si="0"/>
        <v>18000</v>
      </c>
      <c r="B21" s="515"/>
      <c r="C21" s="532">
        <v>1</v>
      </c>
      <c r="D21" s="533"/>
      <c r="E21" s="533">
        <f t="shared" si="6"/>
        <v>52</v>
      </c>
      <c r="F21" s="533"/>
      <c r="G21" s="533">
        <f t="shared" si="1"/>
        <v>18000</v>
      </c>
      <c r="H21" s="533"/>
      <c r="I21" s="533">
        <f t="shared" si="7"/>
        <v>230000</v>
      </c>
      <c r="J21" s="533"/>
      <c r="K21" s="533">
        <f t="shared" si="2"/>
        <v>2</v>
      </c>
      <c r="L21" s="533"/>
      <c r="M21" s="533">
        <f t="shared" si="3"/>
        <v>266000</v>
      </c>
      <c r="N21" s="515"/>
      <c r="O21" s="534">
        <f t="shared" si="4"/>
        <v>0.80701754385964908</v>
      </c>
      <c r="P21" s="532">
        <v>18</v>
      </c>
      <c r="T21" s="536" t="e">
        <f t="shared" si="5"/>
        <v>#REF!</v>
      </c>
    </row>
    <row r="22" spans="1:20">
      <c r="A22" s="531">
        <f t="shared" si="0"/>
        <v>23000</v>
      </c>
      <c r="B22" s="515"/>
      <c r="C22" s="532">
        <v>1</v>
      </c>
      <c r="D22" s="533"/>
      <c r="E22" s="533">
        <f t="shared" si="6"/>
        <v>53</v>
      </c>
      <c r="F22" s="533"/>
      <c r="G22" s="533">
        <f t="shared" si="1"/>
        <v>23000</v>
      </c>
      <c r="H22" s="533"/>
      <c r="I22" s="533">
        <f t="shared" si="7"/>
        <v>253000</v>
      </c>
      <c r="J22" s="533"/>
      <c r="K22" s="533">
        <f t="shared" si="2"/>
        <v>1</v>
      </c>
      <c r="L22" s="533"/>
      <c r="M22" s="533">
        <f t="shared" si="3"/>
        <v>276000</v>
      </c>
      <c r="N22" s="515"/>
      <c r="O22" s="534">
        <f t="shared" si="4"/>
        <v>0.88771929824561402</v>
      </c>
      <c r="P22" s="532">
        <v>23</v>
      </c>
      <c r="T22" s="536" t="e">
        <f t="shared" si="5"/>
        <v>#REF!</v>
      </c>
    </row>
    <row r="23" spans="1:20">
      <c r="A23" s="531">
        <f t="shared" si="0"/>
        <v>32000</v>
      </c>
      <c r="B23" s="515"/>
      <c r="C23" s="532">
        <v>1</v>
      </c>
      <c r="D23" s="533"/>
      <c r="E23" s="533">
        <f t="shared" si="6"/>
        <v>54</v>
      </c>
      <c r="F23" s="533"/>
      <c r="G23" s="533">
        <f t="shared" si="1"/>
        <v>32000</v>
      </c>
      <c r="H23" s="533"/>
      <c r="I23" s="533">
        <f t="shared" si="7"/>
        <v>285000</v>
      </c>
      <c r="J23" s="533"/>
      <c r="K23" s="533">
        <f t="shared" si="2"/>
        <v>0</v>
      </c>
      <c r="L23" s="533"/>
      <c r="M23" s="533">
        <f t="shared" si="3"/>
        <v>285000</v>
      </c>
      <c r="N23" s="515"/>
      <c r="O23" s="534">
        <f t="shared" si="4"/>
        <v>1</v>
      </c>
      <c r="P23" s="532">
        <v>32</v>
      </c>
      <c r="T23" s="536" t="e">
        <f t="shared" si="5"/>
        <v>#REF!</v>
      </c>
    </row>
    <row r="24" spans="1:20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20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T25" s="539" t="e">
        <f>SUM(T10:T23)</f>
        <v>#REF!</v>
      </c>
    </row>
    <row r="26" spans="1:20" hidden="1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T26" s="513">
        <v>978</v>
      </c>
    </row>
    <row r="27" spans="1:20" hidden="1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T27" s="540" t="e">
        <f>T25-T26</f>
        <v>#REF!</v>
      </c>
    </row>
    <row r="28" spans="1:20" hidden="1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T28" s="555" t="e">
        <f>T27/T25</f>
        <v>#REF!</v>
      </c>
    </row>
    <row r="29" spans="1:20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44"/>
      <c r="C36" s="561"/>
      <c r="D36" s="545"/>
      <c r="E36" s="533"/>
      <c r="F36" s="533"/>
      <c r="G36" s="533"/>
      <c r="H36" s="533"/>
      <c r="I36" s="533"/>
      <c r="J36" s="545"/>
      <c r="K36" s="533"/>
      <c r="L36" s="545"/>
      <c r="M36" s="533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15"/>
      <c r="C38" s="561"/>
      <c r="D38" s="515"/>
      <c r="E38" s="533"/>
      <c r="F38" s="533"/>
      <c r="G38" s="533"/>
      <c r="H38" s="533"/>
      <c r="I38" s="533"/>
      <c r="J38" s="515"/>
      <c r="K38" s="533"/>
      <c r="L38" s="515"/>
      <c r="M38" s="533"/>
      <c r="N38" s="515"/>
      <c r="O38" s="534"/>
      <c r="P38" s="547"/>
    </row>
    <row r="39" spans="1:16">
      <c r="A39" s="531"/>
      <c r="B39" s="529"/>
      <c r="C39" s="561"/>
      <c r="D39" s="529"/>
      <c r="E39" s="533"/>
      <c r="F39" s="533"/>
      <c r="G39" s="533"/>
      <c r="H39" s="533"/>
      <c r="I39" s="533"/>
      <c r="J39" s="529"/>
      <c r="K39" s="533"/>
      <c r="L39" s="529"/>
      <c r="M39" s="533"/>
      <c r="N39" s="529"/>
      <c r="O39" s="534"/>
      <c r="P39" s="547"/>
    </row>
    <row r="40" spans="1:16">
      <c r="A40" s="531"/>
      <c r="B40" s="523"/>
      <c r="C40" s="561"/>
      <c r="D40" s="523"/>
      <c r="E40" s="533"/>
      <c r="F40" s="533"/>
      <c r="G40" s="533"/>
      <c r="H40" s="533"/>
      <c r="I40" s="533"/>
      <c r="J40" s="523"/>
      <c r="K40" s="533"/>
      <c r="L40" s="523"/>
      <c r="M40" s="533"/>
      <c r="N40" s="523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25"/>
      <c r="C43" s="561"/>
      <c r="D43" s="525"/>
      <c r="E43" s="533"/>
      <c r="F43" s="533"/>
      <c r="G43" s="533"/>
      <c r="H43" s="533"/>
      <c r="I43" s="533"/>
      <c r="J43" s="525"/>
      <c r="K43" s="533"/>
      <c r="L43" s="525"/>
      <c r="M43" s="533"/>
      <c r="N43" s="525"/>
      <c r="O43" s="534"/>
      <c r="P43" s="547"/>
    </row>
    <row r="44" spans="1:16">
      <c r="A44" s="531"/>
      <c r="B44" s="515"/>
      <c r="C44" s="561"/>
      <c r="D44" s="529"/>
      <c r="E44" s="533"/>
      <c r="F44" s="533"/>
      <c r="G44" s="533"/>
      <c r="H44" s="533"/>
      <c r="I44" s="533"/>
      <c r="J44" s="529"/>
      <c r="K44" s="533"/>
      <c r="L44" s="529"/>
      <c r="M44" s="533"/>
      <c r="N44" s="529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31"/>
      <c r="B53" s="515"/>
      <c r="C53" s="56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15"/>
      <c r="O53" s="534"/>
      <c r="P53" s="547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O74" s="541"/>
    </row>
    <row r="75" spans="1:15">
      <c r="A75" s="580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  <pageSetUpPr fitToPage="1"/>
  </sheetPr>
  <dimension ref="A1:T68"/>
  <sheetViews>
    <sheetView view="pageBreakPreview" zoomScale="75" zoomScaleNormal="100" zoomScaleSheetLayoutView="75" workbookViewId="0">
      <selection activeCell="E45" sqref="E45"/>
    </sheetView>
  </sheetViews>
  <sheetFormatPr defaultColWidth="10.875" defaultRowHeight="15"/>
  <cols>
    <col min="1" max="1" width="2.5" style="177" customWidth="1"/>
    <col min="2" max="2" width="2.625" style="177" customWidth="1"/>
    <col min="3" max="3" width="42.375" style="177" customWidth="1"/>
    <col min="4" max="4" width="3.5" style="177" customWidth="1"/>
    <col min="5" max="5" width="13" style="177" customWidth="1"/>
    <col min="6" max="6" width="3.5" style="177" customWidth="1"/>
    <col min="7" max="7" width="10.75" style="176" bestFit="1" customWidth="1"/>
    <col min="8" max="8" width="1.625" style="177" customWidth="1"/>
    <col min="9" max="9" width="8.125" style="178" bestFit="1" customWidth="1"/>
    <col min="10" max="10" width="3.125" style="178" customWidth="1"/>
    <col min="11" max="11" width="12.5" style="179" customWidth="1"/>
    <col min="12" max="12" width="1.625" style="173" customWidth="1"/>
    <col min="13" max="13" width="8.125" style="173" bestFit="1" customWidth="1"/>
    <col min="14" max="14" width="26.625" style="173" customWidth="1"/>
    <col min="15" max="15" width="9.25" style="173" bestFit="1" customWidth="1"/>
    <col min="16" max="16" width="1.875" style="173" customWidth="1"/>
    <col min="17" max="20" width="12.125" style="173" hidden="1" customWidth="1"/>
    <col min="21" max="21" width="0" style="173" hidden="1" customWidth="1"/>
    <col min="22" max="16384" width="10.875" style="173"/>
  </cols>
  <sheetData>
    <row r="1" spans="1:11">
      <c r="A1" s="168" t="s">
        <v>578</v>
      </c>
      <c r="B1" s="168"/>
      <c r="C1" s="168"/>
      <c r="D1" s="168"/>
      <c r="E1" s="168"/>
      <c r="F1" s="168"/>
      <c r="G1" s="169"/>
      <c r="H1" s="170"/>
      <c r="I1" s="171"/>
      <c r="J1" s="171"/>
      <c r="K1" s="172"/>
    </row>
    <row r="2" spans="1:11">
      <c r="A2" s="168" t="s">
        <v>1975</v>
      </c>
      <c r="B2" s="168"/>
      <c r="C2" s="168"/>
      <c r="D2" s="168"/>
      <c r="E2" s="168"/>
      <c r="F2" s="168"/>
      <c r="G2" s="169"/>
      <c r="H2" s="170"/>
      <c r="I2" s="257" t="s">
        <v>985</v>
      </c>
      <c r="J2" s="171"/>
      <c r="K2" s="172"/>
    </row>
    <row r="3" spans="1:11">
      <c r="A3" s="174"/>
      <c r="B3" s="174"/>
      <c r="C3" s="174"/>
      <c r="D3" s="174"/>
      <c r="E3" s="174"/>
      <c r="F3" s="174"/>
      <c r="G3" s="169"/>
      <c r="H3" s="170"/>
      <c r="I3" s="171"/>
      <c r="J3" s="171"/>
      <c r="K3" s="172"/>
    </row>
    <row r="4" spans="1:11">
      <c r="A4" s="175"/>
      <c r="B4" s="175"/>
      <c r="C4" s="175"/>
      <c r="D4" s="175"/>
      <c r="E4" s="175"/>
      <c r="F4" s="175"/>
    </row>
    <row r="5" spans="1:11">
      <c r="E5" s="181"/>
      <c r="G5" s="180" t="s">
        <v>489</v>
      </c>
    </row>
    <row r="6" spans="1:11">
      <c r="E6" s="181" t="s">
        <v>1976</v>
      </c>
      <c r="G6" s="180" t="s">
        <v>498</v>
      </c>
      <c r="H6" s="181"/>
      <c r="I6" s="182" t="s">
        <v>499</v>
      </c>
      <c r="J6" s="183"/>
    </row>
    <row r="7" spans="1:11">
      <c r="E7" s="989">
        <v>2012</v>
      </c>
      <c r="G7" s="184" t="s">
        <v>826</v>
      </c>
      <c r="H7" s="185"/>
      <c r="I7" s="186" t="s">
        <v>113</v>
      </c>
      <c r="J7" s="187"/>
    </row>
    <row r="8" spans="1:11">
      <c r="A8" s="188" t="s">
        <v>405</v>
      </c>
      <c r="B8" s="189"/>
      <c r="C8" s="189"/>
      <c r="D8" s="190"/>
      <c r="E8" s="190"/>
      <c r="F8" s="190"/>
    </row>
    <row r="9" spans="1:11">
      <c r="A9" s="190"/>
      <c r="B9" s="190" t="s">
        <v>128</v>
      </c>
      <c r="C9" s="190"/>
      <c r="D9" s="190"/>
      <c r="E9" s="190"/>
      <c r="F9" s="190"/>
    </row>
    <row r="10" spans="1:11">
      <c r="A10" s="190"/>
      <c r="B10" s="190"/>
      <c r="C10" s="190" t="s">
        <v>129</v>
      </c>
      <c r="D10" s="191" t="s">
        <v>784</v>
      </c>
      <c r="E10" s="990">
        <v>100</v>
      </c>
      <c r="F10" s="195"/>
      <c r="G10" s="991"/>
      <c r="H10" s="178"/>
    </row>
    <row r="11" spans="1:11" ht="15" hidden="1" customHeight="1">
      <c r="A11" s="190"/>
      <c r="B11" s="190" t="s">
        <v>594</v>
      </c>
      <c r="C11" s="190"/>
      <c r="D11" s="190"/>
      <c r="E11" s="982">
        <v>0</v>
      </c>
      <c r="F11" s="194"/>
      <c r="G11" s="991"/>
      <c r="H11" s="178"/>
    </row>
    <row r="12" spans="1:11" hidden="1">
      <c r="A12" s="190"/>
      <c r="B12" s="190"/>
      <c r="C12" s="190" t="s">
        <v>595</v>
      </c>
      <c r="D12" s="190"/>
      <c r="E12" s="982">
        <v>0</v>
      </c>
      <c r="F12" s="194"/>
      <c r="G12" s="991"/>
      <c r="H12" s="178"/>
    </row>
    <row r="13" spans="1:11">
      <c r="A13" s="190"/>
      <c r="B13" s="190" t="s">
        <v>796</v>
      </c>
      <c r="C13" s="190"/>
      <c r="D13" s="190"/>
      <c r="E13" s="990">
        <v>106622615.90000001</v>
      </c>
      <c r="F13" s="194"/>
      <c r="G13" s="991"/>
      <c r="H13" s="178"/>
    </row>
    <row r="14" spans="1:11">
      <c r="A14" s="190"/>
      <c r="B14" s="190" t="s">
        <v>105</v>
      </c>
      <c r="C14" s="190"/>
      <c r="D14" s="190"/>
      <c r="E14" s="990">
        <v>56633254.109999992</v>
      </c>
      <c r="F14" s="194"/>
      <c r="G14" s="991"/>
      <c r="H14" s="178"/>
    </row>
    <row r="15" spans="1:11">
      <c r="B15" s="190"/>
      <c r="C15" s="190"/>
      <c r="D15" s="190"/>
      <c r="E15" s="194"/>
      <c r="F15" s="194"/>
      <c r="G15" s="992"/>
      <c r="H15" s="183"/>
      <c r="I15" s="192"/>
      <c r="J15" s="192"/>
      <c r="K15" s="193"/>
    </row>
    <row r="16" spans="1:11" ht="15.75" thickBot="1">
      <c r="A16" s="190" t="s">
        <v>593</v>
      </c>
      <c r="B16" s="194"/>
      <c r="C16" s="194"/>
      <c r="D16" s="195" t="s">
        <v>784</v>
      </c>
      <c r="E16" s="993">
        <f>SUM(E9:E14)</f>
        <v>163255970.00999999</v>
      </c>
      <c r="F16" s="195"/>
      <c r="G16" s="991"/>
      <c r="H16" s="994"/>
      <c r="I16" s="995">
        <f>E16/E29</f>
        <v>0.47560999450422931</v>
      </c>
      <c r="J16" s="196"/>
    </row>
    <row r="17" spans="1:17" ht="15.75" thickTop="1">
      <c r="A17" s="197"/>
      <c r="B17" s="198"/>
      <c r="C17" s="198"/>
      <c r="D17" s="178"/>
      <c r="E17" s="178"/>
      <c r="F17" s="178"/>
      <c r="G17" s="992"/>
      <c r="H17" s="183"/>
      <c r="J17" s="192"/>
      <c r="K17" s="192"/>
    </row>
    <row r="18" spans="1:17">
      <c r="A18" s="188" t="s">
        <v>910</v>
      </c>
      <c r="B18" s="189"/>
      <c r="C18" s="189"/>
      <c r="D18" s="194"/>
      <c r="E18" s="194"/>
      <c r="F18" s="194"/>
      <c r="G18" s="991"/>
      <c r="H18" s="178"/>
      <c r="J18" s="198"/>
      <c r="K18" s="198"/>
    </row>
    <row r="19" spans="1:17">
      <c r="A19" s="190"/>
      <c r="B19" s="190" t="s">
        <v>478</v>
      </c>
      <c r="C19" s="190"/>
      <c r="D19" s="190"/>
      <c r="E19" s="194"/>
      <c r="F19" s="194"/>
      <c r="G19" s="991"/>
      <c r="H19" s="178"/>
      <c r="K19" s="198"/>
    </row>
    <row r="20" spans="1:17">
      <c r="A20" s="190"/>
      <c r="B20" s="190"/>
      <c r="C20" s="190" t="s">
        <v>106</v>
      </c>
      <c r="D20" s="191" t="s">
        <v>784</v>
      </c>
      <c r="E20" s="195">
        <v>180000000</v>
      </c>
      <c r="F20" s="195"/>
      <c r="G20" s="991">
        <f>(E20*0.0658)+42434</f>
        <v>11886434</v>
      </c>
      <c r="H20" s="178"/>
      <c r="K20" s="198"/>
    </row>
    <row r="21" spans="1:17">
      <c r="A21" s="190"/>
      <c r="B21" s="190"/>
      <c r="C21" s="190" t="s">
        <v>107</v>
      </c>
      <c r="D21" s="190"/>
      <c r="E21" s="194"/>
      <c r="F21" s="194"/>
      <c r="G21" s="991"/>
      <c r="H21" s="178"/>
      <c r="K21" s="198"/>
    </row>
    <row r="22" spans="1:17" ht="15.75" thickBot="1">
      <c r="B22" s="177" t="s">
        <v>553</v>
      </c>
      <c r="D22" s="191" t="s">
        <v>784</v>
      </c>
      <c r="E22" s="993">
        <f>SUM(E20:E21)</f>
        <v>180000000</v>
      </c>
      <c r="F22" s="195"/>
      <c r="G22" s="996">
        <f>SUM(G20:G21)</f>
        <v>11886434</v>
      </c>
      <c r="H22" s="200"/>
      <c r="I22" s="995">
        <f>E22/E29</f>
        <v>0.52439000549577075</v>
      </c>
      <c r="J22" s="200"/>
      <c r="K22" s="159"/>
    </row>
    <row r="23" spans="1:17" ht="15.75" thickTop="1">
      <c r="D23" s="191"/>
      <c r="E23" s="195"/>
      <c r="F23" s="195"/>
      <c r="G23" s="212"/>
      <c r="H23" s="200"/>
      <c r="I23" s="179"/>
      <c r="J23" s="200"/>
      <c r="K23" s="159"/>
    </row>
    <row r="24" spans="1:17" hidden="1">
      <c r="D24" s="191"/>
      <c r="E24" s="195"/>
      <c r="F24" s="195"/>
      <c r="G24" s="212"/>
      <c r="H24" s="200"/>
      <c r="I24" s="179"/>
      <c r="J24" s="200"/>
      <c r="K24" s="159"/>
    </row>
    <row r="25" spans="1:17" hidden="1">
      <c r="D25" s="191"/>
      <c r="E25" s="195"/>
      <c r="F25" s="195"/>
      <c r="G25" s="212"/>
      <c r="H25" s="200"/>
      <c r="I25" s="179"/>
      <c r="J25" s="200"/>
      <c r="K25" s="159"/>
    </row>
    <row r="26" spans="1:17" hidden="1">
      <c r="D26" s="191"/>
      <c r="E26" s="195"/>
      <c r="F26" s="195"/>
      <c r="G26" s="212"/>
      <c r="H26" s="200"/>
      <c r="I26" s="179"/>
      <c r="J26" s="200"/>
      <c r="K26" s="159"/>
    </row>
    <row r="27" spans="1:17" hidden="1">
      <c r="D27" s="191"/>
      <c r="E27" s="195"/>
      <c r="F27" s="195"/>
      <c r="G27" s="212"/>
      <c r="H27" s="199"/>
      <c r="I27" s="199"/>
      <c r="J27" s="199"/>
    </row>
    <row r="28" spans="1:17">
      <c r="C28" s="178"/>
      <c r="D28" s="191"/>
      <c r="E28" s="195"/>
      <c r="F28" s="195"/>
      <c r="G28" s="212"/>
      <c r="H28" s="199"/>
      <c r="I28" s="199"/>
      <c r="J28" s="199"/>
      <c r="K28" s="173"/>
      <c r="M28" s="204" t="s">
        <v>815</v>
      </c>
      <c r="N28" s="204"/>
      <c r="O28" s="204" t="s">
        <v>571</v>
      </c>
      <c r="P28" s="204"/>
      <c r="Q28" s="205" t="s">
        <v>816</v>
      </c>
    </row>
    <row r="29" spans="1:17" ht="15.75" thickBot="1">
      <c r="A29" s="190" t="s">
        <v>383</v>
      </c>
      <c r="B29" s="190"/>
      <c r="C29" s="190"/>
      <c r="D29" s="191" t="s">
        <v>784</v>
      </c>
      <c r="E29" s="997">
        <f>E16+E22</f>
        <v>343255970.00999999</v>
      </c>
      <c r="F29" s="195"/>
      <c r="G29" s="991"/>
      <c r="H29" s="199"/>
      <c r="I29" s="998">
        <f>SUM(I15:I27)</f>
        <v>1</v>
      </c>
      <c r="J29" s="199"/>
      <c r="K29" s="173" t="s">
        <v>170</v>
      </c>
      <c r="M29" s="206">
        <f>I22</f>
        <v>0.52439000549577075</v>
      </c>
      <c r="O29" s="206">
        <f>E31</f>
        <v>6.6035744444444447E-2</v>
      </c>
      <c r="Q29" s="206">
        <f>M29*O29</f>
        <v>3.4628484392139537E-2</v>
      </c>
    </row>
    <row r="30" spans="1:17">
      <c r="A30" s="175"/>
      <c r="E30" s="178"/>
      <c r="F30" s="178"/>
      <c r="G30" s="991"/>
      <c r="H30" s="178"/>
      <c r="K30" s="173" t="s">
        <v>171</v>
      </c>
      <c r="M30" s="207">
        <f>I16</f>
        <v>0.47560999450422931</v>
      </c>
      <c r="O30" s="207">
        <f>'Sch.C-R.B'!N55</f>
        <v>0.10466756744043261</v>
      </c>
      <c r="Q30" s="207">
        <f>M30*O30</f>
        <v>4.9780941175115202E-2</v>
      </c>
    </row>
    <row r="31" spans="1:17" ht="15.75" thickBot="1">
      <c r="A31" s="175" t="s">
        <v>934</v>
      </c>
      <c r="B31" s="175"/>
      <c r="C31" s="175"/>
      <c r="D31" s="175"/>
      <c r="E31" s="999">
        <f>G22/E22</f>
        <v>6.6035744444444447E-2</v>
      </c>
      <c r="F31" s="1000"/>
      <c r="G31" s="76"/>
      <c r="H31" s="178"/>
      <c r="K31" s="173"/>
      <c r="M31" s="206">
        <f>SUM(M29:M30)</f>
        <v>1</v>
      </c>
      <c r="O31" s="206"/>
      <c r="Q31" s="206">
        <f>SUM(Q29:Q30)</f>
        <v>8.4409425567254739E-2</v>
      </c>
    </row>
    <row r="32" spans="1:17" ht="15.75" thickTop="1">
      <c r="A32" s="175"/>
      <c r="B32" s="175"/>
      <c r="C32" s="175"/>
      <c r="D32" s="175"/>
      <c r="E32" s="175"/>
      <c r="F32" s="175"/>
    </row>
    <row r="33" spans="1:11">
      <c r="A33" s="62" t="str">
        <f>'Input Schedule'!G6</f>
        <v>WATER SERVICE CORPORATION OF KENTUCKY</v>
      </c>
      <c r="B33" s="175"/>
      <c r="C33" s="175"/>
      <c r="D33" s="175"/>
      <c r="E33" s="175"/>
      <c r="F33" s="175"/>
      <c r="I33" s="210" t="s">
        <v>986</v>
      </c>
    </row>
    <row r="34" spans="1:11">
      <c r="A34" s="209" t="s">
        <v>849</v>
      </c>
      <c r="B34" s="175"/>
      <c r="C34" s="175"/>
      <c r="D34" s="175"/>
      <c r="E34" s="175"/>
      <c r="F34" s="175"/>
    </row>
    <row r="35" spans="1:11">
      <c r="A35" s="62" t="s">
        <v>132</v>
      </c>
      <c r="B35" s="175"/>
      <c r="C35" s="175"/>
      <c r="D35" s="175"/>
      <c r="E35" s="175"/>
      <c r="F35" s="175"/>
    </row>
    <row r="36" spans="1:11">
      <c r="A36" s="62" t="str">
        <f>'Sch.B-I.S'!A4</f>
        <v>Test Year 12/31/2012</v>
      </c>
      <c r="B36" s="175"/>
      <c r="C36" s="175"/>
      <c r="D36" s="175"/>
      <c r="E36" s="175"/>
      <c r="F36" s="175"/>
    </row>
    <row r="37" spans="1:11" ht="12" customHeight="1">
      <c r="A37" s="175"/>
      <c r="B37" s="175"/>
      <c r="C37" s="175"/>
      <c r="D37" s="175"/>
      <c r="E37" s="175"/>
      <c r="F37" s="175"/>
    </row>
    <row r="38" spans="1:11" ht="12" customHeight="1">
      <c r="A38" s="209"/>
      <c r="B38" s="175"/>
      <c r="C38" s="175"/>
      <c r="D38" s="175"/>
      <c r="E38" s="175"/>
      <c r="F38" s="175"/>
      <c r="I38" s="173"/>
    </row>
    <row r="39" spans="1:11">
      <c r="A39" s="175"/>
      <c r="B39" s="175"/>
      <c r="C39" s="175"/>
      <c r="D39" s="175"/>
      <c r="E39" s="175"/>
      <c r="F39" s="175"/>
    </row>
    <row r="40" spans="1:11">
      <c r="A40" s="173"/>
      <c r="B40" s="175"/>
      <c r="C40" s="175"/>
      <c r="D40" s="175"/>
      <c r="E40" s="175"/>
      <c r="F40" s="175"/>
    </row>
    <row r="41" spans="1:11">
      <c r="A41" s="175"/>
      <c r="B41" s="175"/>
      <c r="C41" s="175"/>
      <c r="D41" s="175"/>
      <c r="E41" s="175"/>
      <c r="F41" s="175"/>
    </row>
    <row r="42" spans="1:11">
      <c r="A42" s="175"/>
      <c r="B42" s="175"/>
      <c r="C42" s="175"/>
      <c r="D42" s="175"/>
      <c r="E42" s="175"/>
      <c r="F42" s="175"/>
    </row>
    <row r="43" spans="1:11">
      <c r="A43" s="175"/>
      <c r="B43" s="175"/>
      <c r="C43" s="175"/>
      <c r="D43" s="175"/>
      <c r="E43" s="211" t="s">
        <v>850</v>
      </c>
      <c r="F43" s="175"/>
      <c r="G43" s="336"/>
      <c r="H43" s="337"/>
      <c r="I43" s="192"/>
    </row>
    <row r="44" spans="1:11">
      <c r="A44" s="175"/>
      <c r="B44" s="175"/>
      <c r="C44" s="175"/>
      <c r="D44" s="175"/>
      <c r="E44" s="208"/>
      <c r="F44" s="175"/>
      <c r="G44" s="203"/>
      <c r="H44" s="197"/>
      <c r="I44" s="198"/>
    </row>
    <row r="45" spans="1:11">
      <c r="A45" s="175" t="s">
        <v>888</v>
      </c>
      <c r="B45" s="175"/>
      <c r="C45" s="175"/>
      <c r="D45" s="175"/>
      <c r="E45" s="991">
        <f>'Sch.C-R.B'!J24</f>
        <v>4961486.8640829576</v>
      </c>
      <c r="F45" s="175"/>
      <c r="G45" s="203"/>
      <c r="H45" s="203"/>
      <c r="I45" s="203"/>
    </row>
    <row r="46" spans="1:11">
      <c r="A46" s="175"/>
      <c r="B46" s="175"/>
      <c r="C46" s="175"/>
      <c r="D46" s="175"/>
      <c r="E46" s="991"/>
      <c r="F46" s="175"/>
      <c r="G46" s="203"/>
      <c r="H46" s="203"/>
      <c r="I46" s="203"/>
      <c r="K46" s="173"/>
    </row>
    <row r="47" spans="1:11">
      <c r="A47" s="175"/>
      <c r="B47" s="175"/>
      <c r="C47" s="175" t="s">
        <v>88</v>
      </c>
      <c r="D47" s="175"/>
      <c r="E47" s="76">
        <f>I22</f>
        <v>0.52439000549577075</v>
      </c>
      <c r="F47" s="175"/>
      <c r="G47" s="333"/>
      <c r="H47" s="333"/>
      <c r="I47" s="333"/>
      <c r="K47" s="173"/>
    </row>
    <row r="48" spans="1:11">
      <c r="A48" s="175"/>
      <c r="B48" s="175"/>
      <c r="C48" s="175"/>
      <c r="D48" s="175"/>
      <c r="E48" s="76"/>
      <c r="F48" s="175"/>
      <c r="G48" s="333"/>
      <c r="H48" s="333"/>
      <c r="I48" s="333"/>
      <c r="K48" s="173"/>
    </row>
    <row r="49" spans="1:11">
      <c r="A49" s="175"/>
      <c r="B49" s="175"/>
      <c r="C49" s="175" t="s">
        <v>89</v>
      </c>
      <c r="D49" s="175"/>
      <c r="E49" s="76">
        <f>E31</f>
        <v>6.6035744444444447E-2</v>
      </c>
      <c r="F49" s="175"/>
      <c r="G49" s="333"/>
      <c r="H49" s="333"/>
      <c r="I49" s="333"/>
      <c r="K49" s="173"/>
    </row>
    <row r="50" spans="1:11">
      <c r="A50" s="175"/>
      <c r="B50" s="175"/>
      <c r="C50" s="175"/>
      <c r="D50" s="175"/>
      <c r="E50" s="76"/>
      <c r="F50" s="175"/>
      <c r="G50" s="333"/>
      <c r="H50" s="333"/>
      <c r="I50" s="333"/>
    </row>
    <row r="51" spans="1:11">
      <c r="A51" s="175"/>
      <c r="B51" s="175"/>
      <c r="C51" s="175"/>
      <c r="D51" s="175"/>
      <c r="E51" s="991"/>
      <c r="F51" s="175"/>
      <c r="G51" s="203"/>
      <c r="H51" s="203"/>
      <c r="I51" s="203"/>
    </row>
    <row r="52" spans="1:11" ht="15.75" thickBot="1">
      <c r="A52" s="175" t="s">
        <v>849</v>
      </c>
      <c r="B52" s="175"/>
      <c r="C52" s="175"/>
      <c r="D52" s="175"/>
      <c r="E52" s="993">
        <f>E49*E47*E45</f>
        <v>171808.77043470205</v>
      </c>
      <c r="F52" s="175"/>
      <c r="G52" s="203"/>
      <c r="H52" s="203"/>
      <c r="I52" s="203"/>
    </row>
    <row r="53" spans="1:11" ht="15.75" thickTop="1">
      <c r="A53" s="175"/>
      <c r="B53" s="175"/>
      <c r="C53" s="175"/>
      <c r="D53" s="175"/>
      <c r="E53" s="1000"/>
      <c r="F53" s="175"/>
    </row>
    <row r="54" spans="1:11">
      <c r="A54" s="175"/>
      <c r="B54" s="175"/>
      <c r="C54" s="175"/>
      <c r="D54" s="175"/>
      <c r="E54" s="175"/>
      <c r="F54" s="175"/>
    </row>
    <row r="55" spans="1:11">
      <c r="A55" s="175"/>
      <c r="B55" s="175"/>
      <c r="C55" s="175"/>
      <c r="D55" s="175"/>
      <c r="E55" s="175"/>
      <c r="F55" s="175"/>
    </row>
    <row r="56" spans="1:11">
      <c r="A56" s="175"/>
      <c r="B56" s="175"/>
      <c r="C56" s="175"/>
      <c r="D56" s="175"/>
      <c r="E56" s="175"/>
      <c r="F56" s="175"/>
    </row>
    <row r="57" spans="1:11">
      <c r="A57" s="175"/>
      <c r="B57" s="175"/>
      <c r="C57" s="175"/>
      <c r="D57" s="175"/>
      <c r="E57" s="175"/>
      <c r="F57" s="175"/>
    </row>
    <row r="58" spans="1:11" s="298" customFormat="1">
      <c r="A58" s="296"/>
      <c r="B58" s="296"/>
      <c r="C58" s="297"/>
      <c r="D58" s="296"/>
      <c r="E58" s="296"/>
      <c r="F58" s="296"/>
      <c r="G58" s="212"/>
      <c r="H58" s="198"/>
      <c r="I58" s="198"/>
      <c r="J58" s="198"/>
      <c r="K58" s="179"/>
    </row>
    <row r="59" spans="1:11" s="298" customFormat="1">
      <c r="A59" s="296"/>
      <c r="B59" s="296"/>
      <c r="C59" s="296"/>
      <c r="D59" s="296"/>
      <c r="E59" s="296"/>
      <c r="F59" s="296"/>
      <c r="G59" s="212"/>
      <c r="H59" s="198"/>
      <c r="I59" s="198"/>
      <c r="J59" s="198"/>
      <c r="K59" s="179"/>
    </row>
    <row r="60" spans="1:11" s="298" customFormat="1">
      <c r="A60" s="198"/>
      <c r="B60" s="198"/>
      <c r="C60" s="198"/>
      <c r="D60" s="299"/>
      <c r="E60" s="299"/>
      <c r="F60" s="299"/>
      <c r="G60" s="212"/>
      <c r="H60" s="200"/>
      <c r="I60" s="300"/>
      <c r="J60" s="200"/>
      <c r="K60" s="179"/>
    </row>
    <row r="61" spans="1:11" s="298" customFormat="1">
      <c r="A61" s="301"/>
      <c r="B61" s="302"/>
      <c r="C61" s="302"/>
      <c r="D61" s="301"/>
      <c r="E61" s="301"/>
      <c r="F61" s="301"/>
      <c r="G61" s="212"/>
      <c r="H61" s="198"/>
      <c r="I61" s="135"/>
      <c r="J61" s="198"/>
      <c r="K61" s="198"/>
    </row>
    <row r="62" spans="1:11" s="303" customFormat="1">
      <c r="A62" s="197"/>
      <c r="B62" s="197"/>
      <c r="C62" s="197"/>
      <c r="D62" s="201"/>
      <c r="E62" s="201"/>
      <c r="F62" s="201"/>
      <c r="G62" s="203"/>
      <c r="H62" s="202"/>
      <c r="I62" s="200"/>
      <c r="J62" s="200"/>
      <c r="K62" s="179"/>
    </row>
    <row r="63" spans="1:11" s="303" customFormat="1">
      <c r="A63" s="304"/>
      <c r="B63" s="304"/>
      <c r="C63" s="304"/>
      <c r="D63" s="304"/>
      <c r="E63" s="304"/>
      <c r="F63" s="304"/>
      <c r="G63" s="203"/>
      <c r="H63" s="197"/>
      <c r="I63" s="198"/>
      <c r="J63" s="198"/>
      <c r="K63" s="179"/>
    </row>
    <row r="64" spans="1:11" s="303" customFormat="1">
      <c r="A64" s="197"/>
      <c r="B64" s="197"/>
      <c r="C64" s="304"/>
      <c r="D64" s="304"/>
      <c r="E64" s="304"/>
      <c r="F64" s="304"/>
      <c r="G64" s="203"/>
      <c r="H64" s="197"/>
      <c r="I64" s="198"/>
      <c r="J64" s="198"/>
      <c r="K64" s="179"/>
    </row>
    <row r="65" spans="1:11" s="303" customFormat="1">
      <c r="A65" s="197"/>
      <c r="B65" s="197"/>
      <c r="C65" s="304"/>
      <c r="D65" s="304"/>
      <c r="E65" s="304"/>
      <c r="F65" s="304"/>
      <c r="G65" s="203"/>
      <c r="H65" s="197"/>
      <c r="I65" s="198"/>
      <c r="J65" s="198"/>
      <c r="K65" s="179"/>
    </row>
    <row r="66" spans="1:11" s="303" customFormat="1">
      <c r="A66" s="197"/>
      <c r="B66" s="197"/>
      <c r="C66" s="304"/>
      <c r="D66" s="304"/>
      <c r="E66" s="304"/>
      <c r="F66" s="304"/>
      <c r="G66" s="203"/>
      <c r="H66" s="197"/>
      <c r="I66" s="198"/>
      <c r="J66" s="198"/>
      <c r="K66" s="179"/>
    </row>
    <row r="67" spans="1:11" s="303" customFormat="1">
      <c r="A67" s="197"/>
      <c r="B67" s="197"/>
      <c r="C67" s="305"/>
      <c r="D67" s="197"/>
      <c r="E67" s="197"/>
      <c r="F67" s="197"/>
      <c r="G67" s="203"/>
      <c r="H67" s="197"/>
      <c r="I67" s="198"/>
      <c r="J67" s="198"/>
      <c r="K67" s="179"/>
    </row>
    <row r="68" spans="1:11" s="303" customFormat="1">
      <c r="A68" s="197"/>
      <c r="B68" s="197"/>
      <c r="C68" s="198"/>
      <c r="D68" s="197"/>
      <c r="E68" s="197"/>
      <c r="F68" s="197"/>
      <c r="G68" s="203"/>
      <c r="H68" s="197"/>
      <c r="I68" s="198"/>
      <c r="J68" s="198"/>
      <c r="K68" s="179"/>
    </row>
  </sheetData>
  <phoneticPr fontId="26" type="noConversion"/>
  <pageMargins left="0.75" right="0.75" top="1" bottom="1" header="0.5" footer="0.5"/>
  <pageSetup scale="62" orientation="landscape" horizontalDpi="4294967292" verticalDpi="4294967292" r:id="rId1"/>
  <headerFooter alignWithMargins="0"/>
  <rowBreaks count="1" manualBreakCount="1">
    <brk id="32" max="8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3"/>
  <sheetViews>
    <sheetView showGridLines="0" topLeftCell="J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6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'16071-170'!T2</f>
        <v>#REF!</v>
      </c>
    </row>
    <row r="3" spans="1:20">
      <c r="A3" s="513" t="s">
        <v>521</v>
      </c>
      <c r="M3" s="520" t="s">
        <v>522</v>
      </c>
      <c r="R3" s="518" t="s">
        <v>274</v>
      </c>
      <c r="S3" s="518"/>
      <c r="T3" s="519" t="e">
        <f>'16071-170'!T3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'16071-170'!T4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'16071-170'!T5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'16071-170'!T6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'16071-170'!T7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1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1" si="1">A10*C10</f>
        <v>0</v>
      </c>
      <c r="H10" s="533"/>
      <c r="I10" s="533">
        <f>G10</f>
        <v>0</v>
      </c>
      <c r="J10" s="533"/>
      <c r="K10" s="533">
        <f t="shared" ref="K10:K21" si="2">$E$21-E10</f>
        <v>11</v>
      </c>
      <c r="L10" s="533"/>
      <c r="M10" s="533">
        <f t="shared" ref="M10:M21" si="3">(A10*K10)+I10</f>
        <v>0</v>
      </c>
      <c r="O10" s="534">
        <f t="shared" ref="O10:O21" si="4">I10/$I$21</f>
        <v>0</v>
      </c>
      <c r="P10" s="532">
        <v>0</v>
      </c>
      <c r="R10" s="535"/>
      <c r="S10" s="513"/>
      <c r="T10" s="536" t="e">
        <f t="shared" ref="T10:T21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30000</v>
      </c>
      <c r="C11" s="532">
        <v>1</v>
      </c>
      <c r="D11" s="533"/>
      <c r="E11" s="533">
        <f t="shared" ref="E11:E21" si="6">E10+C11</f>
        <v>1</v>
      </c>
      <c r="F11" s="533"/>
      <c r="G11" s="533">
        <f t="shared" si="1"/>
        <v>30000</v>
      </c>
      <c r="H11" s="533"/>
      <c r="I11" s="533">
        <f t="shared" ref="I11:I21" si="7">I10+G11</f>
        <v>30000</v>
      </c>
      <c r="J11" s="533"/>
      <c r="K11" s="533">
        <f t="shared" si="2"/>
        <v>10</v>
      </c>
      <c r="L11" s="533"/>
      <c r="M11" s="533">
        <f t="shared" si="3"/>
        <v>330000</v>
      </c>
      <c r="O11" s="534">
        <f t="shared" si="4"/>
        <v>5.4844606946983544E-2</v>
      </c>
      <c r="P11" s="532">
        <v>30</v>
      </c>
      <c r="R11" s="535"/>
      <c r="S11" s="513"/>
      <c r="T11" s="536" t="e">
        <f t="shared" si="5"/>
        <v>#REF!</v>
      </c>
    </row>
    <row r="12" spans="1:20">
      <c r="A12" s="552">
        <f t="shared" si="0"/>
        <v>32000</v>
      </c>
      <c r="B12" s="515"/>
      <c r="C12" s="532">
        <v>1</v>
      </c>
      <c r="D12" s="533"/>
      <c r="E12" s="533">
        <f t="shared" si="6"/>
        <v>2</v>
      </c>
      <c r="F12" s="533"/>
      <c r="G12" s="533">
        <f t="shared" si="1"/>
        <v>32000</v>
      </c>
      <c r="H12" s="533"/>
      <c r="I12" s="533">
        <f t="shared" si="7"/>
        <v>62000</v>
      </c>
      <c r="J12" s="533"/>
      <c r="K12" s="533">
        <f t="shared" si="2"/>
        <v>9</v>
      </c>
      <c r="L12" s="533"/>
      <c r="M12" s="533">
        <f t="shared" si="3"/>
        <v>350000</v>
      </c>
      <c r="N12" s="515"/>
      <c r="O12" s="534">
        <f t="shared" si="4"/>
        <v>0.11334552102376599</v>
      </c>
      <c r="P12" s="532">
        <v>32</v>
      </c>
      <c r="T12" s="536" t="e">
        <f t="shared" si="5"/>
        <v>#REF!</v>
      </c>
    </row>
    <row r="13" spans="1:20">
      <c r="A13" s="552">
        <f t="shared" si="0"/>
        <v>40000</v>
      </c>
      <c r="B13" s="515"/>
      <c r="C13" s="532">
        <v>1</v>
      </c>
      <c r="D13" s="533"/>
      <c r="E13" s="533">
        <f t="shared" si="6"/>
        <v>3</v>
      </c>
      <c r="F13" s="533"/>
      <c r="G13" s="533">
        <f t="shared" si="1"/>
        <v>40000</v>
      </c>
      <c r="H13" s="533"/>
      <c r="I13" s="533">
        <f t="shared" si="7"/>
        <v>102000</v>
      </c>
      <c r="J13" s="533"/>
      <c r="K13" s="533">
        <f t="shared" si="2"/>
        <v>8</v>
      </c>
      <c r="L13" s="533"/>
      <c r="M13" s="533">
        <f t="shared" si="3"/>
        <v>422000</v>
      </c>
      <c r="N13" s="515"/>
      <c r="O13" s="534">
        <f t="shared" si="4"/>
        <v>0.18647166361974407</v>
      </c>
      <c r="P13" s="532">
        <v>40</v>
      </c>
      <c r="T13" s="536" t="e">
        <f t="shared" si="5"/>
        <v>#REF!</v>
      </c>
    </row>
    <row r="14" spans="1:20">
      <c r="A14" s="552">
        <f t="shared" si="0"/>
        <v>43000</v>
      </c>
      <c r="B14" s="515"/>
      <c r="C14" s="532">
        <v>1</v>
      </c>
      <c r="D14" s="533"/>
      <c r="E14" s="533">
        <f t="shared" si="6"/>
        <v>4</v>
      </c>
      <c r="F14" s="533"/>
      <c r="G14" s="533">
        <f t="shared" si="1"/>
        <v>43000</v>
      </c>
      <c r="H14" s="533"/>
      <c r="I14" s="533">
        <f t="shared" si="7"/>
        <v>145000</v>
      </c>
      <c r="J14" s="533"/>
      <c r="K14" s="533">
        <f t="shared" si="2"/>
        <v>7</v>
      </c>
      <c r="L14" s="533"/>
      <c r="M14" s="533">
        <f t="shared" si="3"/>
        <v>446000</v>
      </c>
      <c r="N14" s="515"/>
      <c r="O14" s="534">
        <f t="shared" si="4"/>
        <v>0.26508226691042047</v>
      </c>
      <c r="P14" s="532">
        <v>43</v>
      </c>
      <c r="T14" s="536" t="e">
        <f t="shared" si="5"/>
        <v>#REF!</v>
      </c>
    </row>
    <row r="15" spans="1:20">
      <c r="A15" s="552">
        <f t="shared" si="0"/>
        <v>45000</v>
      </c>
      <c r="B15" s="515"/>
      <c r="C15" s="532">
        <v>1</v>
      </c>
      <c r="D15" s="533"/>
      <c r="E15" s="533">
        <f t="shared" si="6"/>
        <v>5</v>
      </c>
      <c r="F15" s="533"/>
      <c r="G15" s="533">
        <f t="shared" si="1"/>
        <v>45000</v>
      </c>
      <c r="H15" s="533"/>
      <c r="I15" s="533">
        <f t="shared" si="7"/>
        <v>190000</v>
      </c>
      <c r="J15" s="533"/>
      <c r="K15" s="533">
        <f t="shared" si="2"/>
        <v>6</v>
      </c>
      <c r="L15" s="533"/>
      <c r="M15" s="533">
        <f t="shared" si="3"/>
        <v>460000</v>
      </c>
      <c r="N15" s="515"/>
      <c r="O15" s="534">
        <f t="shared" si="4"/>
        <v>0.34734917733089582</v>
      </c>
      <c r="P15" s="532">
        <v>45</v>
      </c>
      <c r="T15" s="536" t="e">
        <f t="shared" si="5"/>
        <v>#REF!</v>
      </c>
    </row>
    <row r="16" spans="1:20">
      <c r="A16" s="552">
        <f t="shared" si="0"/>
        <v>46000</v>
      </c>
      <c r="B16" s="515"/>
      <c r="C16" s="532">
        <v>1</v>
      </c>
      <c r="D16" s="533"/>
      <c r="E16" s="533">
        <f t="shared" si="6"/>
        <v>6</v>
      </c>
      <c r="F16" s="533"/>
      <c r="G16" s="533">
        <f t="shared" si="1"/>
        <v>46000</v>
      </c>
      <c r="H16" s="533"/>
      <c r="I16" s="533">
        <f t="shared" si="7"/>
        <v>236000</v>
      </c>
      <c r="J16" s="533"/>
      <c r="K16" s="533">
        <f t="shared" si="2"/>
        <v>5</v>
      </c>
      <c r="L16" s="533"/>
      <c r="M16" s="533">
        <f t="shared" si="3"/>
        <v>466000</v>
      </c>
      <c r="N16" s="515"/>
      <c r="O16" s="534">
        <f t="shared" si="4"/>
        <v>0.43144424131627057</v>
      </c>
      <c r="P16" s="532">
        <v>46</v>
      </c>
      <c r="T16" s="536" t="e">
        <f t="shared" si="5"/>
        <v>#REF!</v>
      </c>
    </row>
    <row r="17" spans="1:20">
      <c r="A17" s="552">
        <f t="shared" si="0"/>
        <v>48000</v>
      </c>
      <c r="B17" s="515"/>
      <c r="C17" s="532">
        <v>1</v>
      </c>
      <c r="D17" s="533"/>
      <c r="E17" s="533">
        <f t="shared" si="6"/>
        <v>7</v>
      </c>
      <c r="F17" s="533"/>
      <c r="G17" s="533">
        <f t="shared" si="1"/>
        <v>48000</v>
      </c>
      <c r="H17" s="533"/>
      <c r="I17" s="533">
        <f t="shared" si="7"/>
        <v>284000</v>
      </c>
      <c r="J17" s="533"/>
      <c r="K17" s="533">
        <f t="shared" si="2"/>
        <v>4</v>
      </c>
      <c r="L17" s="533"/>
      <c r="M17" s="533">
        <f t="shared" si="3"/>
        <v>476000</v>
      </c>
      <c r="N17" s="515"/>
      <c r="O17" s="534">
        <f t="shared" si="4"/>
        <v>0.51919561243144419</v>
      </c>
      <c r="P17" s="532">
        <v>48</v>
      </c>
      <c r="T17" s="536" t="e">
        <f t="shared" si="5"/>
        <v>#REF!</v>
      </c>
    </row>
    <row r="18" spans="1:20">
      <c r="A18" s="531">
        <f t="shared" si="0"/>
        <v>50000</v>
      </c>
      <c r="B18" s="515"/>
      <c r="C18" s="532">
        <v>1</v>
      </c>
      <c r="D18" s="533"/>
      <c r="E18" s="533">
        <f t="shared" si="6"/>
        <v>8</v>
      </c>
      <c r="F18" s="533"/>
      <c r="G18" s="533">
        <f t="shared" si="1"/>
        <v>50000</v>
      </c>
      <c r="H18" s="533"/>
      <c r="I18" s="533">
        <f t="shared" si="7"/>
        <v>334000</v>
      </c>
      <c r="J18" s="533"/>
      <c r="K18" s="533">
        <f t="shared" si="2"/>
        <v>3</v>
      </c>
      <c r="L18" s="533"/>
      <c r="M18" s="533">
        <f t="shared" si="3"/>
        <v>484000</v>
      </c>
      <c r="N18" s="515"/>
      <c r="O18" s="534">
        <f t="shared" si="4"/>
        <v>0.61060329067641683</v>
      </c>
      <c r="P18" s="532">
        <v>50</v>
      </c>
      <c r="T18" s="536" t="e">
        <f t="shared" si="5"/>
        <v>#REF!</v>
      </c>
    </row>
    <row r="19" spans="1:20">
      <c r="A19" s="531">
        <f t="shared" si="0"/>
        <v>54000</v>
      </c>
      <c r="B19" s="515"/>
      <c r="C19" s="532">
        <v>1</v>
      </c>
      <c r="D19" s="533"/>
      <c r="E19" s="533">
        <f t="shared" si="6"/>
        <v>9</v>
      </c>
      <c r="F19" s="533"/>
      <c r="G19" s="533">
        <f t="shared" si="1"/>
        <v>54000</v>
      </c>
      <c r="H19" s="533"/>
      <c r="I19" s="533">
        <f t="shared" si="7"/>
        <v>388000</v>
      </c>
      <c r="J19" s="533"/>
      <c r="K19" s="533">
        <f t="shared" si="2"/>
        <v>2</v>
      </c>
      <c r="L19" s="533"/>
      <c r="M19" s="533">
        <f t="shared" si="3"/>
        <v>496000</v>
      </c>
      <c r="N19" s="515"/>
      <c r="O19" s="534">
        <f t="shared" si="4"/>
        <v>0.7093235831809872</v>
      </c>
      <c r="P19" s="532">
        <v>54</v>
      </c>
      <c r="T19" s="536" t="e">
        <f t="shared" si="5"/>
        <v>#REF!</v>
      </c>
    </row>
    <row r="20" spans="1:20">
      <c r="A20" s="531">
        <f t="shared" si="0"/>
        <v>78000</v>
      </c>
      <c r="B20" s="515"/>
      <c r="C20" s="532">
        <v>1</v>
      </c>
      <c r="D20" s="533"/>
      <c r="E20" s="533">
        <f t="shared" si="6"/>
        <v>10</v>
      </c>
      <c r="F20" s="533"/>
      <c r="G20" s="533">
        <f t="shared" si="1"/>
        <v>78000</v>
      </c>
      <c r="H20" s="533"/>
      <c r="I20" s="533">
        <f t="shared" si="7"/>
        <v>466000</v>
      </c>
      <c r="J20" s="533"/>
      <c r="K20" s="533">
        <f t="shared" si="2"/>
        <v>1</v>
      </c>
      <c r="L20" s="533"/>
      <c r="M20" s="533">
        <f t="shared" si="3"/>
        <v>544000</v>
      </c>
      <c r="N20" s="515"/>
      <c r="O20" s="534">
        <f t="shared" si="4"/>
        <v>0.85191956124314439</v>
      </c>
      <c r="P20" s="532">
        <v>78</v>
      </c>
      <c r="T20" s="536" t="e">
        <f t="shared" si="5"/>
        <v>#REF!</v>
      </c>
    </row>
    <row r="21" spans="1:20">
      <c r="A21" s="531">
        <f t="shared" si="0"/>
        <v>81000</v>
      </c>
      <c r="B21" s="515"/>
      <c r="C21" s="532">
        <v>1</v>
      </c>
      <c r="D21" s="533"/>
      <c r="E21" s="533">
        <f t="shared" si="6"/>
        <v>11</v>
      </c>
      <c r="F21" s="533"/>
      <c r="G21" s="533">
        <f t="shared" si="1"/>
        <v>81000</v>
      </c>
      <c r="H21" s="533"/>
      <c r="I21" s="533">
        <f t="shared" si="7"/>
        <v>547000</v>
      </c>
      <c r="J21" s="533"/>
      <c r="K21" s="533">
        <f t="shared" si="2"/>
        <v>0</v>
      </c>
      <c r="L21" s="533"/>
      <c r="M21" s="533">
        <f t="shared" si="3"/>
        <v>547000</v>
      </c>
      <c r="N21" s="515"/>
      <c r="O21" s="534">
        <f t="shared" si="4"/>
        <v>1</v>
      </c>
      <c r="P21" s="532">
        <v>81</v>
      </c>
      <c r="T21" s="536" t="e">
        <f t="shared" si="5"/>
        <v>#REF!</v>
      </c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6"/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54" t="e">
        <f>SUM(T10:T21)</f>
        <v>#REF!</v>
      </c>
    </row>
    <row r="24" spans="1:20" hidden="1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T24" s="536">
        <v>1370</v>
      </c>
    </row>
    <row r="25" spans="1:20" hidden="1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T25" s="536" t="e">
        <f>T23-T24</f>
        <v>#REF!</v>
      </c>
    </row>
    <row r="26" spans="1:20" hidden="1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T26" s="536" t="e">
        <f>T25/T23</f>
        <v>#REF!</v>
      </c>
    </row>
    <row r="27" spans="1:20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T27" s="536"/>
    </row>
    <row r="28" spans="1:20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T28" s="536"/>
    </row>
    <row r="29" spans="1:20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T29" s="536"/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  <c r="T30" s="536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  <c r="T31" s="536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  <c r="T32" s="536"/>
    </row>
    <row r="33" spans="1:20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  <c r="T33" s="536"/>
    </row>
    <row r="34" spans="1:20">
      <c r="A34" s="531"/>
      <c r="B34" s="544"/>
      <c r="C34" s="561"/>
      <c r="D34" s="545"/>
      <c r="E34" s="533"/>
      <c r="F34" s="533"/>
      <c r="G34" s="533"/>
      <c r="H34" s="533"/>
      <c r="I34" s="533"/>
      <c r="J34" s="545"/>
      <c r="K34" s="533"/>
      <c r="L34" s="545"/>
      <c r="M34" s="533"/>
      <c r="O34" s="534"/>
      <c r="P34" s="547"/>
      <c r="T34" s="536"/>
    </row>
    <row r="35" spans="1:20">
      <c r="A35" s="531"/>
      <c r="B35" s="515"/>
      <c r="C35" s="561"/>
      <c r="D35" s="515"/>
      <c r="E35" s="533"/>
      <c r="F35" s="533"/>
      <c r="G35" s="533"/>
      <c r="H35" s="533"/>
      <c r="I35" s="533"/>
      <c r="J35" s="515"/>
      <c r="K35" s="533"/>
      <c r="L35" s="515"/>
      <c r="M35" s="533"/>
      <c r="N35" s="515"/>
      <c r="O35" s="534"/>
      <c r="P35" s="547"/>
      <c r="T35" s="536"/>
    </row>
    <row r="36" spans="1:20">
      <c r="A36" s="531"/>
      <c r="B36" s="515"/>
      <c r="C36" s="561"/>
      <c r="D36" s="515"/>
      <c r="E36" s="533"/>
      <c r="F36" s="533"/>
      <c r="G36" s="533"/>
      <c r="H36" s="533"/>
      <c r="I36" s="533"/>
      <c r="J36" s="515"/>
      <c r="K36" s="533"/>
      <c r="L36" s="515"/>
      <c r="M36" s="533"/>
      <c r="N36" s="515"/>
      <c r="O36" s="534"/>
      <c r="P36" s="547"/>
      <c r="T36" s="536"/>
    </row>
    <row r="37" spans="1:20">
      <c r="A37" s="531"/>
      <c r="B37" s="529"/>
      <c r="C37" s="561"/>
      <c r="D37" s="529"/>
      <c r="E37" s="533"/>
      <c r="F37" s="533"/>
      <c r="G37" s="533"/>
      <c r="H37" s="533"/>
      <c r="I37" s="533"/>
      <c r="J37" s="529"/>
      <c r="K37" s="533"/>
      <c r="L37" s="529"/>
      <c r="M37" s="533"/>
      <c r="N37" s="529"/>
      <c r="O37" s="534"/>
      <c r="P37" s="547"/>
      <c r="T37" s="536"/>
    </row>
    <row r="38" spans="1:20">
      <c r="A38" s="531"/>
      <c r="B38" s="523"/>
      <c r="C38" s="561"/>
      <c r="D38" s="523"/>
      <c r="E38" s="533"/>
      <c r="F38" s="533"/>
      <c r="G38" s="533"/>
      <c r="H38" s="533"/>
      <c r="I38" s="533"/>
      <c r="J38" s="523"/>
      <c r="K38" s="533"/>
      <c r="L38" s="523"/>
      <c r="M38" s="533"/>
      <c r="N38" s="523"/>
      <c r="O38" s="534"/>
      <c r="P38" s="547"/>
      <c r="T38" s="536"/>
    </row>
    <row r="39" spans="1:20">
      <c r="A39" s="531"/>
      <c r="B39" s="525"/>
      <c r="C39" s="561"/>
      <c r="D39" s="525"/>
      <c r="E39" s="533"/>
      <c r="F39" s="533"/>
      <c r="G39" s="533"/>
      <c r="H39" s="533"/>
      <c r="I39" s="533"/>
      <c r="J39" s="525"/>
      <c r="K39" s="533"/>
      <c r="L39" s="525"/>
      <c r="M39" s="533"/>
      <c r="N39" s="525"/>
      <c r="O39" s="534"/>
      <c r="P39" s="547"/>
      <c r="T39" s="536"/>
    </row>
    <row r="40" spans="1:20">
      <c r="A40" s="531"/>
      <c r="B40" s="525"/>
      <c r="C40" s="561"/>
      <c r="D40" s="525"/>
      <c r="E40" s="533"/>
      <c r="F40" s="533"/>
      <c r="G40" s="533"/>
      <c r="H40" s="533"/>
      <c r="I40" s="533"/>
      <c r="J40" s="525"/>
      <c r="K40" s="533"/>
      <c r="L40" s="525"/>
      <c r="M40" s="533"/>
      <c r="N40" s="525"/>
      <c r="O40" s="534"/>
      <c r="P40" s="547"/>
      <c r="T40" s="536"/>
    </row>
    <row r="41" spans="1:20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  <c r="T41" s="536"/>
    </row>
    <row r="42" spans="1:20">
      <c r="A42" s="531"/>
      <c r="B42" s="515"/>
      <c r="C42" s="561"/>
      <c r="D42" s="529"/>
      <c r="E42" s="533"/>
      <c r="F42" s="533"/>
      <c r="G42" s="533"/>
      <c r="H42" s="533"/>
      <c r="I42" s="533"/>
      <c r="J42" s="529"/>
      <c r="K42" s="533"/>
      <c r="L42" s="529"/>
      <c r="M42" s="533"/>
      <c r="N42" s="529"/>
      <c r="O42" s="534"/>
      <c r="P42" s="547"/>
      <c r="T42" s="536"/>
    </row>
    <row r="43" spans="1:20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  <c r="T43" s="536"/>
    </row>
    <row r="44" spans="1:20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  <c r="T44" s="536"/>
    </row>
    <row r="45" spans="1:20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T45" s="536"/>
    </row>
    <row r="46" spans="1:20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T46" s="536"/>
    </row>
    <row r="47" spans="1:20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  <c r="T47" s="536"/>
    </row>
    <row r="48" spans="1:20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  <c r="T48" s="536"/>
    </row>
    <row r="49" spans="1:20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  <c r="T49" s="536"/>
    </row>
    <row r="50" spans="1:20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  <c r="T50" s="536"/>
    </row>
    <row r="51" spans="1:20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  <c r="T51" s="536"/>
    </row>
    <row r="52" spans="1:20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  <c r="T52" s="536"/>
    </row>
    <row r="53" spans="1:20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  <c r="T53" s="536"/>
    </row>
    <row r="54" spans="1:20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  <c r="T54" s="536"/>
    </row>
    <row r="55" spans="1:20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  <c r="T55" s="536"/>
    </row>
    <row r="56" spans="1:20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  <c r="T56" s="536"/>
    </row>
    <row r="57" spans="1:20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20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20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20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20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20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20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20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3"/>
  <sheetViews>
    <sheetView showGridLines="0" topLeftCell="J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">
        <v>272</v>
      </c>
      <c r="S2" s="518"/>
      <c r="T2" s="519" t="e">
        <f>'16071-171'!T2</f>
        <v>#REF!</v>
      </c>
    </row>
    <row r="3" spans="1:20">
      <c r="A3" s="513" t="s">
        <v>521</v>
      </c>
      <c r="M3" s="520" t="s">
        <v>522</v>
      </c>
      <c r="R3" s="518" t="s">
        <v>274</v>
      </c>
      <c r="S3" s="518"/>
      <c r="T3" s="519" t="e">
        <f>'16071-171'!T3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">
        <v>275</v>
      </c>
      <c r="S4" s="518"/>
      <c r="T4" s="519" t="e">
        <f>'16071-171'!T4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">
        <v>277</v>
      </c>
      <c r="S5" s="518"/>
      <c r="T5" s="519" t="e">
        <f>'16071-171'!T5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">
        <v>280</v>
      </c>
      <c r="S6" s="518"/>
      <c r="T6" s="519" t="e">
        <f>'16071-171'!T6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">
        <v>287</v>
      </c>
      <c r="S7" s="518"/>
      <c r="T7" s="519" t="e">
        <f>'16071-171'!T7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5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5" si="1">A10*C10</f>
        <v>0</v>
      </c>
      <c r="H10" s="533"/>
      <c r="I10" s="533">
        <f>G10</f>
        <v>0</v>
      </c>
      <c r="J10" s="533"/>
      <c r="K10" s="533">
        <f t="shared" ref="K10:K15" si="2">$E$15-E10</f>
        <v>11</v>
      </c>
      <c r="L10" s="533"/>
      <c r="M10" s="533">
        <f t="shared" ref="M10:M15" si="3">(A10*K10)+I10</f>
        <v>0</v>
      </c>
      <c r="O10" s="534">
        <f t="shared" ref="O10:O15" si="4">I10/$I$15</f>
        <v>0</v>
      </c>
      <c r="P10" s="532">
        <v>0</v>
      </c>
      <c r="R10" s="535"/>
      <c r="S10" s="513"/>
      <c r="T10" s="536" t="e">
        <f t="shared" ref="T10:T15" si="5">IF(A10&lt;1000,C10*$T$2,IF(A10=1000,C10*$T$2,IF(AND(A10&lt;11000,A10&gt;1000),(C10*$T$2)+((A10-1000)*C10/1000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 t="shared" si="0"/>
        <v>4000</v>
      </c>
      <c r="C11" s="532">
        <v>3</v>
      </c>
      <c r="D11" s="533"/>
      <c r="E11" s="533">
        <f>E10+C11</f>
        <v>3</v>
      </c>
      <c r="F11" s="533"/>
      <c r="G11" s="533">
        <f t="shared" si="1"/>
        <v>12000</v>
      </c>
      <c r="H11" s="533"/>
      <c r="I11" s="533">
        <f>I10+G11</f>
        <v>12000</v>
      </c>
      <c r="J11" s="533"/>
      <c r="K11" s="533">
        <f t="shared" si="2"/>
        <v>8</v>
      </c>
      <c r="L11" s="533"/>
      <c r="M11" s="533">
        <f t="shared" si="3"/>
        <v>44000</v>
      </c>
      <c r="O11" s="534">
        <f t="shared" si="4"/>
        <v>0.20338983050847459</v>
      </c>
      <c r="P11" s="532">
        <v>4</v>
      </c>
      <c r="R11" s="535"/>
      <c r="S11" s="513"/>
      <c r="T11" s="536" t="e">
        <f t="shared" si="5"/>
        <v>#REF!</v>
      </c>
    </row>
    <row r="12" spans="1:20">
      <c r="A12" s="552">
        <f t="shared" si="0"/>
        <v>5000</v>
      </c>
      <c r="B12" s="515"/>
      <c r="C12" s="532">
        <v>5</v>
      </c>
      <c r="D12" s="533"/>
      <c r="E12" s="533">
        <f>E11+C12</f>
        <v>8</v>
      </c>
      <c r="F12" s="533"/>
      <c r="G12" s="533">
        <f t="shared" si="1"/>
        <v>25000</v>
      </c>
      <c r="H12" s="533"/>
      <c r="I12" s="533">
        <f>I11+G12</f>
        <v>37000</v>
      </c>
      <c r="J12" s="533"/>
      <c r="K12" s="533">
        <f t="shared" si="2"/>
        <v>3</v>
      </c>
      <c r="L12" s="533"/>
      <c r="M12" s="533">
        <f t="shared" si="3"/>
        <v>52000</v>
      </c>
      <c r="N12" s="515"/>
      <c r="O12" s="534">
        <f t="shared" si="4"/>
        <v>0.6271186440677966</v>
      </c>
      <c r="P12" s="532">
        <v>5</v>
      </c>
      <c r="T12" s="536" t="e">
        <f t="shared" si="5"/>
        <v>#REF!</v>
      </c>
    </row>
    <row r="13" spans="1:20">
      <c r="A13" s="552">
        <f t="shared" si="0"/>
        <v>6000</v>
      </c>
      <c r="B13" s="515"/>
      <c r="C13" s="532">
        <v>1</v>
      </c>
      <c r="D13" s="533"/>
      <c r="E13" s="533">
        <f>E12+C13</f>
        <v>9</v>
      </c>
      <c r="F13" s="533"/>
      <c r="G13" s="533">
        <f t="shared" si="1"/>
        <v>6000</v>
      </c>
      <c r="H13" s="533"/>
      <c r="I13" s="533">
        <f>I12+G13</f>
        <v>43000</v>
      </c>
      <c r="J13" s="533"/>
      <c r="K13" s="533">
        <f t="shared" si="2"/>
        <v>2</v>
      </c>
      <c r="L13" s="533"/>
      <c r="M13" s="533">
        <f t="shared" si="3"/>
        <v>55000</v>
      </c>
      <c r="N13" s="515"/>
      <c r="O13" s="534">
        <f t="shared" si="4"/>
        <v>0.72881355932203384</v>
      </c>
      <c r="P13" s="532">
        <v>6</v>
      </c>
      <c r="T13" s="536" t="e">
        <f t="shared" si="5"/>
        <v>#REF!</v>
      </c>
    </row>
    <row r="14" spans="1:20">
      <c r="A14" s="552">
        <f t="shared" si="0"/>
        <v>7000</v>
      </c>
      <c r="B14" s="515"/>
      <c r="C14" s="532">
        <v>1</v>
      </c>
      <c r="D14" s="533"/>
      <c r="E14" s="533">
        <f>E13+C14</f>
        <v>10</v>
      </c>
      <c r="F14" s="533"/>
      <c r="G14" s="533">
        <f t="shared" si="1"/>
        <v>7000</v>
      </c>
      <c r="H14" s="533"/>
      <c r="I14" s="533">
        <f>I13+G14</f>
        <v>50000</v>
      </c>
      <c r="J14" s="533"/>
      <c r="K14" s="533">
        <f t="shared" si="2"/>
        <v>1</v>
      </c>
      <c r="L14" s="533"/>
      <c r="M14" s="533">
        <f t="shared" si="3"/>
        <v>57000</v>
      </c>
      <c r="N14" s="515"/>
      <c r="O14" s="534">
        <f t="shared" si="4"/>
        <v>0.84745762711864403</v>
      </c>
      <c r="P14" s="532">
        <v>7</v>
      </c>
      <c r="T14" s="536" t="e">
        <f t="shared" si="5"/>
        <v>#REF!</v>
      </c>
    </row>
    <row r="15" spans="1:20">
      <c r="A15" s="552">
        <f t="shared" si="0"/>
        <v>9000</v>
      </c>
      <c r="B15" s="515"/>
      <c r="C15" s="532">
        <v>1</v>
      </c>
      <c r="D15" s="533"/>
      <c r="E15" s="533">
        <f>E14+C15</f>
        <v>11</v>
      </c>
      <c r="F15" s="533"/>
      <c r="G15" s="533">
        <f t="shared" si="1"/>
        <v>9000</v>
      </c>
      <c r="H15" s="533"/>
      <c r="I15" s="533">
        <f>I14+G15</f>
        <v>59000</v>
      </c>
      <c r="J15" s="533"/>
      <c r="K15" s="533">
        <f t="shared" si="2"/>
        <v>0</v>
      </c>
      <c r="L15" s="533"/>
      <c r="M15" s="533">
        <f t="shared" si="3"/>
        <v>59000</v>
      </c>
      <c r="N15" s="515"/>
      <c r="O15" s="534">
        <f t="shared" si="4"/>
        <v>1</v>
      </c>
      <c r="P15" s="532">
        <v>9</v>
      </c>
      <c r="T15" s="536" t="e">
        <f t="shared" si="5"/>
        <v>#REF!</v>
      </c>
    </row>
    <row r="16" spans="1:20">
      <c r="A16" s="531"/>
      <c r="B16" s="515"/>
      <c r="C16" s="561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T16" s="536"/>
    </row>
    <row r="17" spans="1:20">
      <c r="A17" s="531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T17" s="554" t="e">
        <f>SUM(T10:T15)</f>
        <v>#REF!</v>
      </c>
    </row>
    <row r="18" spans="1:20" hidden="1">
      <c r="A18" s="531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T18" s="536">
        <v>203</v>
      </c>
    </row>
    <row r="19" spans="1:20" hidden="1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T19" s="536" t="e">
        <f>T17-T18</f>
        <v>#REF!</v>
      </c>
    </row>
    <row r="20" spans="1:20" hidden="1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T20" s="555" t="e">
        <f>T19/T17</f>
        <v>#REF!</v>
      </c>
    </row>
    <row r="21" spans="1:20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20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20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20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20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20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20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44"/>
      <c r="C34" s="561"/>
      <c r="D34" s="545"/>
      <c r="E34" s="533"/>
      <c r="F34" s="533"/>
      <c r="G34" s="533"/>
      <c r="H34" s="533"/>
      <c r="I34" s="533"/>
      <c r="J34" s="545"/>
      <c r="K34" s="533"/>
      <c r="L34" s="545"/>
      <c r="M34" s="533"/>
      <c r="O34" s="534"/>
      <c r="P34" s="547"/>
    </row>
    <row r="35" spans="1:16">
      <c r="A35" s="531"/>
      <c r="B35" s="515"/>
      <c r="C35" s="561"/>
      <c r="D35" s="515"/>
      <c r="E35" s="533"/>
      <c r="F35" s="533"/>
      <c r="G35" s="533"/>
      <c r="H35" s="533"/>
      <c r="I35" s="533"/>
      <c r="J35" s="515"/>
      <c r="K35" s="533"/>
      <c r="L35" s="515"/>
      <c r="M35" s="533"/>
      <c r="N35" s="515"/>
      <c r="O35" s="534"/>
      <c r="P35" s="547"/>
    </row>
    <row r="36" spans="1:16">
      <c r="A36" s="531"/>
      <c r="B36" s="515"/>
      <c r="C36" s="561"/>
      <c r="D36" s="515"/>
      <c r="E36" s="533"/>
      <c r="F36" s="533"/>
      <c r="G36" s="533"/>
      <c r="H36" s="533"/>
      <c r="I36" s="533"/>
      <c r="J36" s="515"/>
      <c r="K36" s="533"/>
      <c r="L36" s="515"/>
      <c r="M36" s="533"/>
      <c r="N36" s="515"/>
      <c r="O36" s="534"/>
      <c r="P36" s="547"/>
    </row>
    <row r="37" spans="1:16">
      <c r="A37" s="531"/>
      <c r="B37" s="529"/>
      <c r="C37" s="561"/>
      <c r="D37" s="529"/>
      <c r="E37" s="533"/>
      <c r="F37" s="533"/>
      <c r="G37" s="533"/>
      <c r="H37" s="533"/>
      <c r="I37" s="533"/>
      <c r="J37" s="529"/>
      <c r="K37" s="533"/>
      <c r="L37" s="529"/>
      <c r="M37" s="533"/>
      <c r="N37" s="529"/>
      <c r="O37" s="534"/>
      <c r="P37" s="547"/>
    </row>
    <row r="38" spans="1:16">
      <c r="A38" s="531"/>
      <c r="B38" s="523"/>
      <c r="C38" s="561"/>
      <c r="D38" s="523"/>
      <c r="E38" s="533"/>
      <c r="F38" s="533"/>
      <c r="G38" s="533"/>
      <c r="H38" s="533"/>
      <c r="I38" s="533"/>
      <c r="J38" s="523"/>
      <c r="K38" s="533"/>
      <c r="L38" s="523"/>
      <c r="M38" s="533"/>
      <c r="N38" s="523"/>
      <c r="O38" s="534"/>
      <c r="P38" s="547"/>
    </row>
    <row r="39" spans="1:16">
      <c r="A39" s="531"/>
      <c r="B39" s="525"/>
      <c r="C39" s="561"/>
      <c r="D39" s="525"/>
      <c r="E39" s="533"/>
      <c r="F39" s="533"/>
      <c r="G39" s="533"/>
      <c r="H39" s="533"/>
      <c r="I39" s="533"/>
      <c r="J39" s="525"/>
      <c r="K39" s="533"/>
      <c r="L39" s="525"/>
      <c r="M39" s="533"/>
      <c r="N39" s="525"/>
      <c r="O39" s="534"/>
      <c r="P39" s="547"/>
    </row>
    <row r="40" spans="1:16">
      <c r="A40" s="531"/>
      <c r="B40" s="525"/>
      <c r="C40" s="561"/>
      <c r="D40" s="525"/>
      <c r="E40" s="533"/>
      <c r="F40" s="533"/>
      <c r="G40" s="533"/>
      <c r="H40" s="533"/>
      <c r="I40" s="533"/>
      <c r="J40" s="525"/>
      <c r="K40" s="533"/>
      <c r="L40" s="525"/>
      <c r="M40" s="533"/>
      <c r="N40" s="525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15"/>
      <c r="C42" s="561"/>
      <c r="D42" s="529"/>
      <c r="E42" s="533"/>
      <c r="F42" s="533"/>
      <c r="G42" s="533"/>
      <c r="H42" s="533"/>
      <c r="I42" s="533"/>
      <c r="J42" s="529"/>
      <c r="K42" s="533"/>
      <c r="L42" s="529"/>
      <c r="M42" s="533"/>
      <c r="N42" s="529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6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1"/>
  <sheetViews>
    <sheetView showGridLines="0" topLeftCell="J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str">
        <f>'16043-170'!R2</f>
        <v>First 6,000 gallons</v>
      </c>
      <c r="S2" s="518"/>
      <c r="T2" s="546" t="e">
        <f>'16043-170'!T2</f>
        <v>#REF!</v>
      </c>
    </row>
    <row r="3" spans="1:20">
      <c r="A3" s="513" t="s">
        <v>521</v>
      </c>
      <c r="M3" s="520" t="s">
        <v>523</v>
      </c>
      <c r="R3" s="518" t="str">
        <f>'16043-170'!R3</f>
        <v>Next 4,000 gallons</v>
      </c>
      <c r="S3" s="518"/>
      <c r="T3" s="546" t="e">
        <f>'16043-170'!T3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str">
        <f>'16043-170'!R4</f>
        <v>Next 15,000 gallons</v>
      </c>
      <c r="S4" s="518"/>
      <c r="T4" s="546" t="e">
        <f>'16043-170'!T4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str">
        <f>'16043-170'!R5</f>
        <v>Next 25,000 gallons</v>
      </c>
      <c r="S5" s="518"/>
      <c r="T5" s="546" t="e">
        <f>'16043-170'!T5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str">
        <f>'16043-170'!R6</f>
        <v>Next 50,000 gallons</v>
      </c>
      <c r="S6" s="518"/>
      <c r="T6" s="546" t="e">
        <f>'16043-170'!T6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 t="str">
        <f>'16043-170'!R7</f>
        <v>Next 100,000 gallons</v>
      </c>
      <c r="S7" s="518"/>
      <c r="T7" s="546" t="e">
        <f>'16043-170'!T7</f>
        <v>#REF!</v>
      </c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>P10*1000</f>
        <v>0</v>
      </c>
      <c r="C10" s="532">
        <v>0</v>
      </c>
      <c r="D10" s="533"/>
      <c r="E10" s="533">
        <f>C10</f>
        <v>0</v>
      </c>
      <c r="F10" s="533"/>
      <c r="G10" s="533">
        <f>A10*C10</f>
        <v>0</v>
      </c>
      <c r="H10" s="533"/>
      <c r="I10" s="533">
        <f>G10</f>
        <v>0</v>
      </c>
      <c r="J10" s="533"/>
      <c r="K10" s="533">
        <f>$E$14-E10</f>
        <v>11</v>
      </c>
      <c r="L10" s="533"/>
      <c r="M10" s="533">
        <f>(A10*K10)+I10</f>
        <v>0</v>
      </c>
      <c r="O10" s="534">
        <f>I10/$I$14</f>
        <v>0</v>
      </c>
      <c r="P10" s="532">
        <v>0</v>
      </c>
      <c r="R10" s="535"/>
      <c r="S10" s="513"/>
      <c r="T10" s="536" t="e">
        <f>IF(A10&lt;6000,C10*$T$2,IF(A10=6000,C10*$T$2,IF(AND(A10&lt;11000,A10&gt;6000),(C10*$T$2)+((A10-6000)/1000*C10*$T$3),IF(AND(A10&gt;10000,A10&lt;26000),(C10*$T$2)+(9*$T$3*C10)+((A10-10000)/1000*$T$4*C10),IF(AND(A10&lt;51000,A10&gt;25000),(C10*$T$2)+(9*$T$3*C10)+(15*$T$4*C10)+((A10-25000)/1000*$T$5*C10),IF(AND(A10&lt;101000,A10&gt;50000),(C10*$T$2)+(9*$T$3*C10)+(15*$T$4*C10)+(25*$T$5*C10)+((A10-50000)/1000*$T$6*C10),IF(A10&gt;100000,(C10*$T$2)+(9*$T$3*C10)+(15*$T$4*C10)+(25*$T$5*C10)+(50*$T$6*C10)+((A10-100000)/1000*$T$7*C10))))))))</f>
        <v>#REF!</v>
      </c>
    </row>
    <row r="11" spans="1:20" s="515" customFormat="1">
      <c r="A11" s="552">
        <f>P11*1000</f>
        <v>3000</v>
      </c>
      <c r="C11" s="532">
        <v>3</v>
      </c>
      <c r="D11" s="533"/>
      <c r="E11" s="533">
        <f>E10+C11</f>
        <v>3</v>
      </c>
      <c r="F11" s="533"/>
      <c r="G11" s="533">
        <f>A11*C11</f>
        <v>9000</v>
      </c>
      <c r="H11" s="533"/>
      <c r="I11" s="533">
        <f>I10+G11</f>
        <v>9000</v>
      </c>
      <c r="J11" s="533"/>
      <c r="K11" s="533">
        <f>$E$14-E11</f>
        <v>8</v>
      </c>
      <c r="L11" s="533"/>
      <c r="M11" s="533">
        <f>(A11*K11)+I11</f>
        <v>33000</v>
      </c>
      <c r="O11" s="534">
        <f>I11/$I$14</f>
        <v>0.19148936170212766</v>
      </c>
      <c r="P11" s="532">
        <v>3</v>
      </c>
      <c r="R11" s="535"/>
      <c r="S11" s="513"/>
      <c r="T11" s="536" t="e">
        <f>IF(A11&lt;6000,C11*$T$2,IF(A11=6000,C11*$T$2,IF(AND(A11&lt;11000,A11&gt;6000),(C11*$T$2)+((A11-6000)/1000*C11*$T$3),IF(AND(A11&gt;10000,A11&lt;26000),(C11*$T$2)+(9*$T$3*C11)+((A11-10000)/1000*$T$4*C11),IF(AND(A11&lt;51000,A11&gt;25000),(C11*$T$2)+(9*$T$3*C11)+(15*$T$4*C11)+((A11-25000)/1000*$T$5*C11),IF(AND(A11&lt;101000,A11&gt;50000),(C11*$T$2)+(9*$T$3*C11)+(15*$T$4*C11)+(25*$T$5*C11)+((A11-50000)/1000*$T$6*C11),IF(A11&gt;100000,(C11*$T$2)+(9*$T$3*C11)+(15*$T$4*C11)+(25*$T$5*C11)+(50*$T$6*C11)+((A11-100000)/1000*$T$7*C11))))))))</f>
        <v>#REF!</v>
      </c>
    </row>
    <row r="12" spans="1:20">
      <c r="A12" s="552">
        <f>P12*1000</f>
        <v>4000</v>
      </c>
      <c r="B12" s="515"/>
      <c r="C12" s="532">
        <v>5</v>
      </c>
      <c r="D12" s="533"/>
      <c r="E12" s="533">
        <f>E11+C12</f>
        <v>8</v>
      </c>
      <c r="F12" s="533"/>
      <c r="G12" s="533">
        <f>A12*C12</f>
        <v>20000</v>
      </c>
      <c r="H12" s="533"/>
      <c r="I12" s="533">
        <f>I11+G12</f>
        <v>29000</v>
      </c>
      <c r="J12" s="533"/>
      <c r="K12" s="533">
        <f>$E$14-E12</f>
        <v>3</v>
      </c>
      <c r="L12" s="533"/>
      <c r="M12" s="533">
        <f>(A12*K12)+I12</f>
        <v>41000</v>
      </c>
      <c r="N12" s="515"/>
      <c r="O12" s="534">
        <f>I12/$I$14</f>
        <v>0.61702127659574468</v>
      </c>
      <c r="P12" s="532">
        <v>4</v>
      </c>
      <c r="R12" s="535"/>
      <c r="T12" s="536" t="e">
        <f>IF(A12&lt;6000,C12*$T$2,IF(A12=6000,C12*$T$2,IF(AND(A12&lt;11000,A12&gt;6000),(C12*$T$2)+((A12-6000)/1000*C12*$T$3),IF(AND(A12&gt;10000,A12&lt;26000),(C12*$T$2)+(9*$T$3*C12)+((A12-10000)/1000*$T$4*C12),IF(AND(A12&lt;51000,A12&gt;25000),(C12*$T$2)+(9*$T$3*C12)+(15*$T$4*C12)+((A12-25000)/1000*$T$5*C12),IF(AND(A12&lt;101000,A12&gt;50000),(C12*$T$2)+(9*$T$3*C12)+(15*$T$4*C12)+(25*$T$5*C12)+((A12-50000)/1000*$T$6*C12),IF(A12&gt;100000,(C12*$T$2)+(9*$T$3*C12)+(15*$T$4*C12)+(25*$T$5*C12)+(50*$T$6*C12)+((A12-100000)/1000*$T$7*C12))))))))</f>
        <v>#REF!</v>
      </c>
    </row>
    <row r="13" spans="1:20">
      <c r="A13" s="552">
        <f>P13*1000</f>
        <v>5000</v>
      </c>
      <c r="B13" s="515"/>
      <c r="C13" s="532">
        <v>2</v>
      </c>
      <c r="D13" s="533"/>
      <c r="E13" s="533">
        <f>E12+C13</f>
        <v>10</v>
      </c>
      <c r="F13" s="533"/>
      <c r="G13" s="533">
        <f>A13*C13</f>
        <v>10000</v>
      </c>
      <c r="H13" s="533"/>
      <c r="I13" s="533">
        <f>I12+G13</f>
        <v>39000</v>
      </c>
      <c r="J13" s="533"/>
      <c r="K13" s="533">
        <f>$E$14-E13</f>
        <v>1</v>
      </c>
      <c r="L13" s="533"/>
      <c r="M13" s="533">
        <f>(A13*K13)+I13</f>
        <v>44000</v>
      </c>
      <c r="N13" s="515"/>
      <c r="O13" s="534">
        <f>I13/$I$14</f>
        <v>0.82978723404255317</v>
      </c>
      <c r="P13" s="532">
        <v>5</v>
      </c>
      <c r="R13" s="535"/>
      <c r="T13" s="536" t="e">
        <f>IF(A13&lt;6000,C13*$T$2,IF(A13=6000,C13*$T$2,IF(AND(A13&lt;11000,A13&gt;6000),(C13*$T$2)+((A13-6000)/1000*C13*$T$3),IF(AND(A13&gt;10000,A13&lt;26000),(C13*$T$2)+(9*$T$3*C13)+((A13-10000)/1000*$T$4*C13),IF(AND(A13&lt;51000,A13&gt;25000),(C13*$T$2)+(9*$T$3*C13)+(15*$T$4*C13)+((A13-25000)/1000*$T$5*C13),IF(AND(A13&lt;101000,A13&gt;50000),(C13*$T$2)+(9*$T$3*C13)+(15*$T$4*C13)+(25*$T$5*C13)+((A13-50000)/1000*$T$6*C13),IF(A13&gt;100000,(C13*$T$2)+(9*$T$3*C13)+(15*$T$4*C13)+(25*$T$5*C13)+(50*$T$6*C13)+((A13-100000)/1000*$T$7*C13))))))))</f>
        <v>#REF!</v>
      </c>
    </row>
    <row r="14" spans="1:20">
      <c r="A14" s="552">
        <f>P14*1000</f>
        <v>8000</v>
      </c>
      <c r="B14" s="515"/>
      <c r="C14" s="532">
        <v>1</v>
      </c>
      <c r="D14" s="533"/>
      <c r="E14" s="533">
        <f>E13+C14</f>
        <v>11</v>
      </c>
      <c r="F14" s="533"/>
      <c r="G14" s="533">
        <f>A14*C14</f>
        <v>8000</v>
      </c>
      <c r="H14" s="533"/>
      <c r="I14" s="533">
        <f>I13+G14</f>
        <v>47000</v>
      </c>
      <c r="J14" s="533"/>
      <c r="K14" s="533">
        <f>$E$14-E14</f>
        <v>0</v>
      </c>
      <c r="L14" s="533"/>
      <c r="M14" s="533">
        <f>(A14*K14)+I14</f>
        <v>47000</v>
      </c>
      <c r="N14" s="515"/>
      <c r="O14" s="534">
        <f>I14/$I$14</f>
        <v>1</v>
      </c>
      <c r="P14" s="532">
        <v>8</v>
      </c>
      <c r="R14" s="535"/>
      <c r="T14" s="536" t="e">
        <f>IF(A14&lt;6000,C14*$T$2,IF(A14=6000,C14*$T$2,IF(AND(A14&lt;11000,A14&gt;6000),(C14*$T$2)+((A14-6000)/1000*C14*$T$3),IF(AND(A14&gt;10000,A14&lt;26000),(C14*$T$2)+(9*$T$3*C14)+((A14-10000)/1000*$T$4*C14),IF(AND(A14&lt;51000,A14&gt;25000),(C14*$T$2)+(9*$T$3*C14)+(15*$T$4*C14)+((A14-25000)/1000*$T$5*C14),IF(AND(A14&lt;101000,A14&gt;50000),(C14*$T$2)+(9*$T$3*C14)+(15*$T$4*C14)+(25*$T$5*C14)+((A14-50000)/1000*$T$6*C14),IF(A14&gt;100000,(C14*$T$2)+(9*$T$3*C14)+(15*$T$4*C14)+(25*$T$5*C14)+(50*$T$6*C14)+((A14-100000)/1000*$T$7*C14))))))))</f>
        <v>#REF!</v>
      </c>
    </row>
    <row r="15" spans="1:20">
      <c r="A15" s="552"/>
      <c r="B15" s="515"/>
      <c r="C15" s="561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15"/>
      <c r="O15" s="534"/>
      <c r="P15" s="547"/>
      <c r="R15" s="535"/>
      <c r="T15" s="584"/>
    </row>
    <row r="16" spans="1:20">
      <c r="A16" s="531"/>
      <c r="B16" s="515"/>
      <c r="C16" s="561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15"/>
      <c r="O16" s="534"/>
      <c r="P16" s="547"/>
      <c r="R16" s="535"/>
      <c r="T16" s="536"/>
    </row>
    <row r="17" spans="1:20">
      <c r="A17" s="531"/>
      <c r="B17" s="515"/>
      <c r="C17" s="561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15"/>
      <c r="O17" s="534"/>
      <c r="P17" s="547"/>
      <c r="R17" s="535"/>
      <c r="T17" s="554" t="e">
        <f>SUM(T10:T14)</f>
        <v>#REF!</v>
      </c>
    </row>
    <row r="18" spans="1:20" hidden="1">
      <c r="A18" s="531"/>
      <c r="B18" s="515"/>
      <c r="C18" s="561"/>
      <c r="D18" s="533"/>
      <c r="E18" s="533"/>
      <c r="F18" s="533"/>
      <c r="G18" s="533"/>
      <c r="H18" s="533"/>
      <c r="I18" s="533"/>
      <c r="J18" s="533"/>
      <c r="K18" s="533"/>
      <c r="L18" s="533"/>
      <c r="M18" s="533"/>
      <c r="N18" s="515"/>
      <c r="O18" s="534"/>
      <c r="P18" s="547"/>
      <c r="T18" s="513">
        <v>225</v>
      </c>
    </row>
    <row r="19" spans="1:20" hidden="1">
      <c r="A19" s="531"/>
      <c r="B19" s="515"/>
      <c r="C19" s="561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15"/>
      <c r="O19" s="534"/>
      <c r="P19" s="547"/>
      <c r="T19" s="540" t="e">
        <f>T17-T18</f>
        <v>#REF!</v>
      </c>
    </row>
    <row r="20" spans="1:20" hidden="1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T20" s="555" t="e">
        <f>T19/T17</f>
        <v>#REF!</v>
      </c>
    </row>
    <row r="21" spans="1:20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</row>
    <row r="24" spans="1:20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</row>
    <row r="25" spans="1:20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20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</row>
    <row r="27" spans="1:20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</row>
    <row r="28" spans="1:20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20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20">
      <c r="A32" s="531"/>
      <c r="B32" s="544"/>
      <c r="C32" s="561"/>
      <c r="D32" s="545"/>
      <c r="E32" s="533"/>
      <c r="F32" s="533"/>
      <c r="G32" s="533"/>
      <c r="H32" s="533"/>
      <c r="I32" s="533"/>
      <c r="J32" s="545"/>
      <c r="K32" s="533"/>
      <c r="L32" s="545"/>
      <c r="M32" s="533"/>
      <c r="O32" s="534"/>
      <c r="P32" s="547"/>
    </row>
    <row r="33" spans="1:16">
      <c r="A33" s="531"/>
      <c r="B33" s="515"/>
      <c r="C33" s="561"/>
      <c r="D33" s="515"/>
      <c r="E33" s="533"/>
      <c r="F33" s="533"/>
      <c r="G33" s="533"/>
      <c r="H33" s="533"/>
      <c r="I33" s="533"/>
      <c r="J33" s="515"/>
      <c r="K33" s="533"/>
      <c r="L33" s="515"/>
      <c r="M33" s="533"/>
      <c r="N33" s="515"/>
      <c r="O33" s="534"/>
      <c r="P33" s="547"/>
    </row>
    <row r="34" spans="1:16">
      <c r="A34" s="531"/>
      <c r="B34" s="515"/>
      <c r="C34" s="561"/>
      <c r="D34" s="515"/>
      <c r="E34" s="533"/>
      <c r="F34" s="533"/>
      <c r="G34" s="533"/>
      <c r="H34" s="533"/>
      <c r="I34" s="533"/>
      <c r="J34" s="515"/>
      <c r="K34" s="533"/>
      <c r="L34" s="515"/>
      <c r="M34" s="533"/>
      <c r="N34" s="515"/>
      <c r="O34" s="534"/>
      <c r="P34" s="547"/>
    </row>
    <row r="35" spans="1:16">
      <c r="A35" s="531"/>
      <c r="B35" s="529"/>
      <c r="C35" s="561"/>
      <c r="D35" s="529"/>
      <c r="E35" s="533"/>
      <c r="F35" s="533"/>
      <c r="G35" s="533"/>
      <c r="H35" s="533"/>
      <c r="I35" s="533"/>
      <c r="J35" s="529"/>
      <c r="K35" s="533"/>
      <c r="L35" s="529"/>
      <c r="M35" s="533"/>
      <c r="N35" s="529"/>
      <c r="O35" s="534"/>
      <c r="P35" s="547"/>
    </row>
    <row r="36" spans="1:16">
      <c r="A36" s="531"/>
      <c r="B36" s="523"/>
      <c r="C36" s="561"/>
      <c r="D36" s="523"/>
      <c r="E36" s="533"/>
      <c r="F36" s="533"/>
      <c r="G36" s="533"/>
      <c r="H36" s="533"/>
      <c r="I36" s="533"/>
      <c r="J36" s="523"/>
      <c r="K36" s="533"/>
      <c r="L36" s="523"/>
      <c r="M36" s="533"/>
      <c r="N36" s="523"/>
      <c r="O36" s="534"/>
      <c r="P36" s="547"/>
    </row>
    <row r="37" spans="1:16">
      <c r="A37" s="531"/>
      <c r="B37" s="525"/>
      <c r="C37" s="561"/>
      <c r="D37" s="525"/>
      <c r="E37" s="533"/>
      <c r="F37" s="533"/>
      <c r="G37" s="533"/>
      <c r="H37" s="533"/>
      <c r="I37" s="533"/>
      <c r="J37" s="525"/>
      <c r="K37" s="533"/>
      <c r="L37" s="525"/>
      <c r="M37" s="533"/>
      <c r="N37" s="525"/>
      <c r="O37" s="534"/>
      <c r="P37" s="547"/>
    </row>
    <row r="38" spans="1:16">
      <c r="A38" s="531"/>
      <c r="B38" s="525"/>
      <c r="C38" s="561"/>
      <c r="D38" s="525"/>
      <c r="E38" s="533"/>
      <c r="F38" s="533"/>
      <c r="G38" s="533"/>
      <c r="H38" s="533"/>
      <c r="I38" s="533"/>
      <c r="J38" s="525"/>
      <c r="K38" s="533"/>
      <c r="L38" s="525"/>
      <c r="M38" s="533"/>
      <c r="N38" s="525"/>
      <c r="O38" s="534"/>
      <c r="P38" s="547"/>
    </row>
    <row r="39" spans="1:16">
      <c r="A39" s="531"/>
      <c r="B39" s="525"/>
      <c r="C39" s="561"/>
      <c r="D39" s="525"/>
      <c r="E39" s="533"/>
      <c r="F39" s="533"/>
      <c r="G39" s="533"/>
      <c r="H39" s="533"/>
      <c r="I39" s="533"/>
      <c r="J39" s="525"/>
      <c r="K39" s="533"/>
      <c r="L39" s="525"/>
      <c r="M39" s="533"/>
      <c r="N39" s="525"/>
      <c r="O39" s="534"/>
      <c r="P39" s="547"/>
    </row>
    <row r="40" spans="1:16">
      <c r="A40" s="531"/>
      <c r="B40" s="515"/>
      <c r="C40" s="561"/>
      <c r="D40" s="529"/>
      <c r="E40" s="533"/>
      <c r="F40" s="533"/>
      <c r="G40" s="533"/>
      <c r="H40" s="533"/>
      <c r="I40" s="533"/>
      <c r="J40" s="529"/>
      <c r="K40" s="533"/>
      <c r="L40" s="529"/>
      <c r="M40" s="533"/>
      <c r="N40" s="529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6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6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6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4"/>
  <sheetViews>
    <sheetView showGridLines="0" topLeftCell="H7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4.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e">
        <f>'16045-173'!R2</f>
        <v>#REF!</v>
      </c>
      <c r="S2" s="518"/>
      <c r="T2" s="519" t="e">
        <f>'16045-173'!T2</f>
        <v>#REF!</v>
      </c>
    </row>
    <row r="3" spans="1:20">
      <c r="A3" s="513" t="s">
        <v>521</v>
      </c>
      <c r="M3" s="520" t="s">
        <v>524</v>
      </c>
      <c r="R3" s="518" t="e">
        <f>'16045-173'!R3</f>
        <v>#REF!</v>
      </c>
      <c r="S3" s="518"/>
      <c r="T3" s="519" t="e">
        <f>'16045-173'!T3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e">
        <f>'16045-173'!R4</f>
        <v>#REF!</v>
      </c>
      <c r="S4" s="518"/>
      <c r="T4" s="519" t="e">
        <f>'16045-173'!T4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e">
        <f>'16045-173'!R5</f>
        <v>#REF!</v>
      </c>
      <c r="S5" s="518"/>
      <c r="T5" s="519" t="e">
        <f>'16045-173'!T5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e">
        <f>'16045-173'!R6</f>
        <v>#REF!</v>
      </c>
      <c r="S6" s="518"/>
      <c r="T6" s="519" t="e">
        <f>'16045-173'!T6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0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0" si="1">A10*C10</f>
        <v>0</v>
      </c>
      <c r="H10" s="533"/>
      <c r="I10" s="533">
        <f>G10</f>
        <v>0</v>
      </c>
      <c r="J10" s="533"/>
      <c r="K10" s="533">
        <f t="shared" ref="K10:K20" si="2">$E$20-E10</f>
        <v>11</v>
      </c>
      <c r="L10" s="533"/>
      <c r="M10" s="533">
        <f t="shared" ref="M10:M20" si="3">(A10*K10)+I10</f>
        <v>0</v>
      </c>
      <c r="O10" s="534">
        <f t="shared" ref="O10:O20" si="4">I10/$I$20</f>
        <v>0</v>
      </c>
      <c r="P10" s="532">
        <v>0</v>
      </c>
      <c r="R10" s="535"/>
      <c r="S10" s="513"/>
      <c r="T10" s="536" t="e">
        <f t="shared" ref="T10:T20" si="5">IF(A10&lt;13000,C10*$T$2,IF(A10=13000,C10*$T$2,IF(AND(A10&lt;26000,A10&gt;13000),(C10*$T$2)+((A10-13000)/1000*$T$3*C10),IF(AND(A10&gt;25000,A10&lt;51000),(C10*$T$2)+(12*$T$3*C10)+((A10-25000)/1000*$T$4*C10),IF(AND(A10&lt;51000,A10&gt;25000),(C10*$T$2)+(12*$T$3*C10)+(25*$T$4*C10)+((A10-25000)/1000*$T$5*C10),IF(AND(A10&lt;101000,A10&gt;50000),(C10*$T$2)+(12*$T$3*C10)+(25*$T$4*C10)+((A10-50000)/1000*$T$5*C10),IF(A10&gt;100000,(C10*$T$2)+(12*$T$3*C10)+(25*$T$4*C10)+(50*$T$5*C10)+((A10-100000)/1000*$T$6*C10))))))))</f>
        <v>#REF!</v>
      </c>
    </row>
    <row r="11" spans="1:20" s="515" customFormat="1">
      <c r="A11" s="552">
        <f t="shared" si="0"/>
        <v>28000</v>
      </c>
      <c r="C11" s="532">
        <v>1</v>
      </c>
      <c r="D11" s="533"/>
      <c r="E11" s="533">
        <f t="shared" ref="E11:E20" si="6">E10+C11</f>
        <v>1</v>
      </c>
      <c r="F11" s="533"/>
      <c r="G11" s="533">
        <f t="shared" si="1"/>
        <v>28000</v>
      </c>
      <c r="H11" s="533"/>
      <c r="I11" s="533">
        <f t="shared" ref="I11:I20" si="7">I10+G11</f>
        <v>28000</v>
      </c>
      <c r="J11" s="533"/>
      <c r="K11" s="533">
        <f t="shared" si="2"/>
        <v>10</v>
      </c>
      <c r="L11" s="533"/>
      <c r="M11" s="533">
        <f t="shared" si="3"/>
        <v>308000</v>
      </c>
      <c r="O11" s="534">
        <f t="shared" si="4"/>
        <v>4.6128500823723231E-2</v>
      </c>
      <c r="P11" s="532">
        <v>28</v>
      </c>
      <c r="R11" s="535"/>
      <c r="S11" s="513"/>
      <c r="T11" s="536" t="e">
        <f t="shared" si="5"/>
        <v>#REF!</v>
      </c>
    </row>
    <row r="12" spans="1:20">
      <c r="A12" s="552">
        <f t="shared" si="0"/>
        <v>31000</v>
      </c>
      <c r="B12" s="515"/>
      <c r="C12" s="532">
        <v>1</v>
      </c>
      <c r="D12" s="533"/>
      <c r="E12" s="533">
        <f t="shared" si="6"/>
        <v>2</v>
      </c>
      <c r="F12" s="533"/>
      <c r="G12" s="533">
        <f t="shared" si="1"/>
        <v>31000</v>
      </c>
      <c r="H12" s="533"/>
      <c r="I12" s="533">
        <f t="shared" si="7"/>
        <v>59000</v>
      </c>
      <c r="J12" s="533"/>
      <c r="K12" s="533">
        <f t="shared" si="2"/>
        <v>9</v>
      </c>
      <c r="L12" s="533"/>
      <c r="M12" s="533">
        <f t="shared" si="3"/>
        <v>338000</v>
      </c>
      <c r="N12" s="515"/>
      <c r="O12" s="534">
        <f t="shared" si="4"/>
        <v>9.7199341021416807E-2</v>
      </c>
      <c r="P12" s="532">
        <v>31</v>
      </c>
      <c r="T12" s="536" t="e">
        <f t="shared" si="5"/>
        <v>#REF!</v>
      </c>
    </row>
    <row r="13" spans="1:20">
      <c r="A13" s="552">
        <f t="shared" si="0"/>
        <v>51000</v>
      </c>
      <c r="B13" s="515"/>
      <c r="C13" s="532">
        <v>1</v>
      </c>
      <c r="D13" s="533"/>
      <c r="E13" s="533">
        <f t="shared" si="6"/>
        <v>3</v>
      </c>
      <c r="F13" s="533"/>
      <c r="G13" s="533">
        <f t="shared" si="1"/>
        <v>51000</v>
      </c>
      <c r="H13" s="533"/>
      <c r="I13" s="533">
        <f t="shared" si="7"/>
        <v>110000</v>
      </c>
      <c r="J13" s="533"/>
      <c r="K13" s="533">
        <f t="shared" si="2"/>
        <v>8</v>
      </c>
      <c r="L13" s="533"/>
      <c r="M13" s="533">
        <f t="shared" si="3"/>
        <v>518000</v>
      </c>
      <c r="N13" s="515"/>
      <c r="O13" s="534">
        <f t="shared" si="4"/>
        <v>0.1812191103789127</v>
      </c>
      <c r="P13" s="532">
        <v>51</v>
      </c>
      <c r="T13" s="536" t="e">
        <f t="shared" si="5"/>
        <v>#REF!</v>
      </c>
    </row>
    <row r="14" spans="1:20">
      <c r="A14" s="531">
        <f t="shared" si="0"/>
        <v>54000</v>
      </c>
      <c r="B14" s="515"/>
      <c r="C14" s="532">
        <v>1</v>
      </c>
      <c r="D14" s="533"/>
      <c r="E14" s="533">
        <f t="shared" si="6"/>
        <v>4</v>
      </c>
      <c r="F14" s="533"/>
      <c r="G14" s="533">
        <f t="shared" si="1"/>
        <v>54000</v>
      </c>
      <c r="H14" s="533"/>
      <c r="I14" s="533">
        <f t="shared" si="7"/>
        <v>164000</v>
      </c>
      <c r="J14" s="533"/>
      <c r="K14" s="533">
        <f t="shared" si="2"/>
        <v>7</v>
      </c>
      <c r="L14" s="533"/>
      <c r="M14" s="533">
        <f t="shared" si="3"/>
        <v>542000</v>
      </c>
      <c r="N14" s="515"/>
      <c r="O14" s="534">
        <f t="shared" si="4"/>
        <v>0.2701812191103789</v>
      </c>
      <c r="P14" s="532">
        <v>54</v>
      </c>
      <c r="T14" s="536" t="e">
        <f t="shared" si="5"/>
        <v>#REF!</v>
      </c>
    </row>
    <row r="15" spans="1:20">
      <c r="A15" s="531">
        <f t="shared" si="0"/>
        <v>57000</v>
      </c>
      <c r="B15" s="515"/>
      <c r="C15" s="532">
        <v>2</v>
      </c>
      <c r="D15" s="533"/>
      <c r="E15" s="533">
        <f t="shared" si="6"/>
        <v>6</v>
      </c>
      <c r="F15" s="533"/>
      <c r="G15" s="533">
        <f t="shared" si="1"/>
        <v>114000</v>
      </c>
      <c r="H15" s="533"/>
      <c r="I15" s="533">
        <f t="shared" si="7"/>
        <v>278000</v>
      </c>
      <c r="J15" s="533"/>
      <c r="K15" s="533">
        <f t="shared" si="2"/>
        <v>5</v>
      </c>
      <c r="L15" s="533"/>
      <c r="M15" s="533">
        <f t="shared" si="3"/>
        <v>563000</v>
      </c>
      <c r="N15" s="515"/>
      <c r="O15" s="534">
        <f t="shared" si="4"/>
        <v>0.45799011532125206</v>
      </c>
      <c r="P15" s="532">
        <v>57</v>
      </c>
      <c r="T15" s="536" t="e">
        <f t="shared" si="5"/>
        <v>#REF!</v>
      </c>
    </row>
    <row r="16" spans="1:20">
      <c r="A16" s="531">
        <f t="shared" si="0"/>
        <v>63000</v>
      </c>
      <c r="B16" s="515"/>
      <c r="C16" s="532">
        <v>1</v>
      </c>
      <c r="D16" s="533"/>
      <c r="E16" s="533">
        <f t="shared" si="6"/>
        <v>7</v>
      </c>
      <c r="F16" s="533"/>
      <c r="G16" s="533">
        <f t="shared" si="1"/>
        <v>63000</v>
      </c>
      <c r="H16" s="533"/>
      <c r="I16" s="533">
        <f t="shared" si="7"/>
        <v>341000</v>
      </c>
      <c r="J16" s="533"/>
      <c r="K16" s="533">
        <f t="shared" si="2"/>
        <v>4</v>
      </c>
      <c r="L16" s="533"/>
      <c r="M16" s="533">
        <f t="shared" si="3"/>
        <v>593000</v>
      </c>
      <c r="N16" s="515"/>
      <c r="O16" s="534">
        <f t="shared" si="4"/>
        <v>0.56177924217462938</v>
      </c>
      <c r="P16" s="532">
        <v>63</v>
      </c>
      <c r="T16" s="536" t="e">
        <f t="shared" si="5"/>
        <v>#REF!</v>
      </c>
    </row>
    <row r="17" spans="1:20">
      <c r="A17" s="531">
        <f t="shared" si="0"/>
        <v>64000</v>
      </c>
      <c r="B17" s="515"/>
      <c r="C17" s="532">
        <v>1</v>
      </c>
      <c r="D17" s="533"/>
      <c r="E17" s="533">
        <f t="shared" si="6"/>
        <v>8</v>
      </c>
      <c r="F17" s="533"/>
      <c r="G17" s="533">
        <f t="shared" si="1"/>
        <v>64000</v>
      </c>
      <c r="H17" s="533"/>
      <c r="I17" s="533">
        <f t="shared" si="7"/>
        <v>405000</v>
      </c>
      <c r="J17" s="533"/>
      <c r="K17" s="533">
        <f t="shared" si="2"/>
        <v>3</v>
      </c>
      <c r="L17" s="533"/>
      <c r="M17" s="533">
        <f t="shared" si="3"/>
        <v>597000</v>
      </c>
      <c r="N17" s="515"/>
      <c r="O17" s="534">
        <f t="shared" si="4"/>
        <v>0.66721581548599673</v>
      </c>
      <c r="P17" s="532">
        <v>64</v>
      </c>
      <c r="T17" s="536" t="e">
        <f t="shared" si="5"/>
        <v>#REF!</v>
      </c>
    </row>
    <row r="18" spans="1:20">
      <c r="A18" s="531">
        <f t="shared" si="0"/>
        <v>65000</v>
      </c>
      <c r="B18" s="515"/>
      <c r="C18" s="532">
        <v>1</v>
      </c>
      <c r="D18" s="533"/>
      <c r="E18" s="533">
        <f t="shared" si="6"/>
        <v>9</v>
      </c>
      <c r="F18" s="533"/>
      <c r="G18" s="533">
        <f t="shared" si="1"/>
        <v>65000</v>
      </c>
      <c r="H18" s="533"/>
      <c r="I18" s="533">
        <f t="shared" si="7"/>
        <v>470000</v>
      </c>
      <c r="J18" s="533"/>
      <c r="K18" s="533">
        <f t="shared" si="2"/>
        <v>2</v>
      </c>
      <c r="L18" s="533"/>
      <c r="M18" s="533">
        <f t="shared" si="3"/>
        <v>600000</v>
      </c>
      <c r="N18" s="515"/>
      <c r="O18" s="534">
        <f t="shared" si="4"/>
        <v>0.77429983525535417</v>
      </c>
      <c r="P18" s="532">
        <v>65</v>
      </c>
      <c r="T18" s="536" t="e">
        <f t="shared" si="5"/>
        <v>#REF!</v>
      </c>
    </row>
    <row r="19" spans="1:20">
      <c r="A19" s="531">
        <f t="shared" si="0"/>
        <v>66000</v>
      </c>
      <c r="B19" s="515"/>
      <c r="C19" s="532">
        <v>1</v>
      </c>
      <c r="D19" s="533"/>
      <c r="E19" s="533">
        <f t="shared" si="6"/>
        <v>10</v>
      </c>
      <c r="F19" s="533"/>
      <c r="G19" s="533">
        <f t="shared" si="1"/>
        <v>66000</v>
      </c>
      <c r="H19" s="533"/>
      <c r="I19" s="533">
        <f t="shared" si="7"/>
        <v>536000</v>
      </c>
      <c r="J19" s="533"/>
      <c r="K19" s="533">
        <f t="shared" si="2"/>
        <v>1</v>
      </c>
      <c r="L19" s="533"/>
      <c r="M19" s="533">
        <f t="shared" si="3"/>
        <v>602000</v>
      </c>
      <c r="N19" s="515"/>
      <c r="O19" s="534">
        <f t="shared" si="4"/>
        <v>0.88303130148270181</v>
      </c>
      <c r="P19" s="532">
        <v>66</v>
      </c>
      <c r="T19" s="536" t="e">
        <f t="shared" si="5"/>
        <v>#REF!</v>
      </c>
    </row>
    <row r="20" spans="1:20">
      <c r="A20" s="531">
        <f t="shared" si="0"/>
        <v>71000</v>
      </c>
      <c r="B20" s="515"/>
      <c r="C20" s="532">
        <v>1</v>
      </c>
      <c r="D20" s="533"/>
      <c r="E20" s="533">
        <f t="shared" si="6"/>
        <v>11</v>
      </c>
      <c r="F20" s="533"/>
      <c r="G20" s="533">
        <f t="shared" si="1"/>
        <v>71000</v>
      </c>
      <c r="H20" s="533"/>
      <c r="I20" s="533">
        <f t="shared" si="7"/>
        <v>607000</v>
      </c>
      <c r="J20" s="533"/>
      <c r="K20" s="533">
        <f t="shared" si="2"/>
        <v>0</v>
      </c>
      <c r="L20" s="533"/>
      <c r="M20" s="533">
        <f t="shared" si="3"/>
        <v>607000</v>
      </c>
      <c r="N20" s="515"/>
      <c r="O20" s="534">
        <f t="shared" si="4"/>
        <v>1</v>
      </c>
      <c r="P20" s="532">
        <v>71</v>
      </c>
      <c r="T20" s="536" t="e">
        <f t="shared" si="5"/>
        <v>#REF!</v>
      </c>
    </row>
    <row r="21" spans="1:20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T21" s="536"/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6"/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36"/>
    </row>
    <row r="24" spans="1:20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T24" s="536"/>
    </row>
    <row r="25" spans="1:20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</row>
    <row r="26" spans="1:20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T26" s="539" t="e">
        <f>SUM(T10:T20)</f>
        <v>#REF!</v>
      </c>
    </row>
    <row r="27" spans="1:20" hidden="1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T27" s="513">
        <v>1504</v>
      </c>
    </row>
    <row r="28" spans="1:20" hidden="1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T28" s="540" t="e">
        <f>T26-T27</f>
        <v>#REF!</v>
      </c>
    </row>
    <row r="29" spans="1:20" hidden="1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T29" s="555" t="e">
        <f>T28/T26</f>
        <v>#REF!</v>
      </c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44"/>
      <c r="C35" s="561"/>
      <c r="D35" s="545"/>
      <c r="E35" s="533"/>
      <c r="F35" s="533"/>
      <c r="G35" s="533"/>
      <c r="H35" s="533"/>
      <c r="I35" s="533"/>
      <c r="J35" s="545"/>
      <c r="K35" s="533"/>
      <c r="L35" s="545"/>
      <c r="M35" s="533"/>
      <c r="O35" s="534"/>
      <c r="P35" s="547"/>
    </row>
    <row r="36" spans="1:16">
      <c r="A36" s="531"/>
      <c r="B36" s="515"/>
      <c r="C36" s="561"/>
      <c r="D36" s="515"/>
      <c r="E36" s="533"/>
      <c r="F36" s="533"/>
      <c r="G36" s="533"/>
      <c r="H36" s="533"/>
      <c r="I36" s="533"/>
      <c r="J36" s="515"/>
      <c r="K36" s="533"/>
      <c r="L36" s="515"/>
      <c r="M36" s="533"/>
      <c r="N36" s="515"/>
      <c r="O36" s="534"/>
      <c r="P36" s="547"/>
    </row>
    <row r="37" spans="1:16">
      <c r="A37" s="531"/>
      <c r="B37" s="515"/>
      <c r="C37" s="561"/>
      <c r="D37" s="515"/>
      <c r="E37" s="533"/>
      <c r="F37" s="533"/>
      <c r="G37" s="533"/>
      <c r="H37" s="533"/>
      <c r="I37" s="533"/>
      <c r="J37" s="515"/>
      <c r="K37" s="533"/>
      <c r="L37" s="515"/>
      <c r="M37" s="533"/>
      <c r="N37" s="515"/>
      <c r="O37" s="534"/>
      <c r="P37" s="547"/>
    </row>
    <row r="38" spans="1:16">
      <c r="A38" s="531"/>
      <c r="B38" s="529"/>
      <c r="C38" s="561"/>
      <c r="D38" s="529"/>
      <c r="E38" s="533"/>
      <c r="F38" s="533"/>
      <c r="G38" s="533"/>
      <c r="H38" s="533"/>
      <c r="I38" s="533"/>
      <c r="J38" s="529"/>
      <c r="K38" s="533"/>
      <c r="L38" s="529"/>
      <c r="M38" s="533"/>
      <c r="N38" s="529"/>
      <c r="O38" s="534"/>
      <c r="P38" s="547"/>
    </row>
    <row r="39" spans="1:16">
      <c r="A39" s="531"/>
      <c r="B39" s="523"/>
      <c r="C39" s="561"/>
      <c r="D39" s="523"/>
      <c r="E39" s="533"/>
      <c r="F39" s="533"/>
      <c r="G39" s="533"/>
      <c r="H39" s="533"/>
      <c r="I39" s="533"/>
      <c r="J39" s="523"/>
      <c r="K39" s="533"/>
      <c r="L39" s="523"/>
      <c r="M39" s="533"/>
      <c r="N39" s="523"/>
      <c r="O39" s="534"/>
      <c r="P39" s="547"/>
    </row>
    <row r="40" spans="1:16">
      <c r="A40" s="531"/>
      <c r="B40" s="525"/>
      <c r="C40" s="561"/>
      <c r="D40" s="525"/>
      <c r="E40" s="533"/>
      <c r="F40" s="533"/>
      <c r="G40" s="533"/>
      <c r="H40" s="533"/>
      <c r="I40" s="533"/>
      <c r="J40" s="525"/>
      <c r="K40" s="533"/>
      <c r="L40" s="525"/>
      <c r="M40" s="533"/>
      <c r="N40" s="525"/>
      <c r="O40" s="534"/>
      <c r="P40" s="547"/>
    </row>
    <row r="41" spans="1:16">
      <c r="A41" s="531"/>
      <c r="B41" s="525"/>
      <c r="C41" s="561"/>
      <c r="D41" s="525"/>
      <c r="E41" s="533"/>
      <c r="F41" s="533"/>
      <c r="G41" s="533"/>
      <c r="H41" s="533"/>
      <c r="I41" s="533"/>
      <c r="J41" s="525"/>
      <c r="K41" s="533"/>
      <c r="L41" s="525"/>
      <c r="M41" s="533"/>
      <c r="N41" s="525"/>
      <c r="O41" s="534"/>
      <c r="P41" s="547"/>
    </row>
    <row r="42" spans="1:16">
      <c r="A42" s="531"/>
      <c r="B42" s="525"/>
      <c r="C42" s="561"/>
      <c r="D42" s="525"/>
      <c r="E42" s="533"/>
      <c r="F42" s="533"/>
      <c r="G42" s="533"/>
      <c r="H42" s="533"/>
      <c r="I42" s="533"/>
      <c r="J42" s="525"/>
      <c r="K42" s="533"/>
      <c r="L42" s="525"/>
      <c r="M42" s="533"/>
      <c r="N42" s="525"/>
      <c r="O42" s="534"/>
      <c r="P42" s="547"/>
    </row>
    <row r="43" spans="1:16">
      <c r="A43" s="531"/>
      <c r="B43" s="515"/>
      <c r="C43" s="561"/>
      <c r="D43" s="529"/>
      <c r="E43" s="533"/>
      <c r="F43" s="533"/>
      <c r="G43" s="533"/>
      <c r="H43" s="533"/>
      <c r="I43" s="533"/>
      <c r="J43" s="529"/>
      <c r="K43" s="533"/>
      <c r="L43" s="529"/>
      <c r="M43" s="533"/>
      <c r="N43" s="529"/>
      <c r="O43" s="534"/>
      <c r="P43" s="547"/>
    </row>
    <row r="44" spans="1:16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31"/>
      <c r="B50" s="515"/>
      <c r="C50" s="561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15"/>
      <c r="O50" s="534"/>
      <c r="P50" s="547"/>
    </row>
    <row r="51" spans="1:16">
      <c r="A51" s="531"/>
      <c r="B51" s="515"/>
      <c r="C51" s="56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15"/>
      <c r="O51" s="534"/>
      <c r="P51" s="547"/>
    </row>
    <row r="52" spans="1:16">
      <c r="A52" s="531"/>
      <c r="B52" s="515"/>
      <c r="C52" s="561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15"/>
      <c r="O52" s="534"/>
      <c r="P52" s="547"/>
    </row>
    <row r="53" spans="1:16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  <c r="O71" s="541"/>
    </row>
    <row r="72" spans="1:15">
      <c r="A72" s="580"/>
      <c r="C72" s="545"/>
      <c r="D72" s="545"/>
      <c r="E72" s="545"/>
      <c r="F72" s="545"/>
      <c r="G72" s="545"/>
      <c r="H72" s="545"/>
      <c r="I72" s="545"/>
      <c r="J72" s="545"/>
      <c r="K72" s="545"/>
      <c r="L72" s="545"/>
      <c r="M72" s="545"/>
      <c r="O72" s="541"/>
    </row>
    <row r="73" spans="1:15">
      <c r="A73" s="580"/>
      <c r="C73" s="545"/>
      <c r="D73" s="545"/>
      <c r="E73" s="545"/>
      <c r="F73" s="545"/>
      <c r="G73" s="545"/>
      <c r="H73" s="545"/>
      <c r="I73" s="545"/>
      <c r="J73" s="545"/>
      <c r="K73" s="545"/>
      <c r="L73" s="545"/>
      <c r="M73" s="545"/>
      <c r="O73" s="541"/>
    </row>
    <row r="74" spans="1:15">
      <c r="A74" s="580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1"/>
  <sheetViews>
    <sheetView showGridLines="0" topLeftCell="H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2.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8" t="e">
        <f>'16075-170'!R2</f>
        <v>#REF!</v>
      </c>
      <c r="S2" s="518"/>
      <c r="T2" s="519" t="e">
        <f>'16075-170'!T2</f>
        <v>#REF!</v>
      </c>
    </row>
    <row r="3" spans="1:20">
      <c r="A3" s="513" t="s">
        <v>521</v>
      </c>
      <c r="M3" s="520" t="s">
        <v>524</v>
      </c>
      <c r="R3" s="518" t="e">
        <f>'16075-170'!R3</f>
        <v>#REF!</v>
      </c>
      <c r="S3" s="518"/>
      <c r="T3" s="519" t="e">
        <f>'16075-170'!T3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 t="e">
        <f>'16075-170'!R4</f>
        <v>#REF!</v>
      </c>
      <c r="S4" s="518"/>
      <c r="T4" s="519" t="e">
        <f>'16075-170'!T4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 t="e">
        <f>'16075-170'!R5</f>
        <v>#REF!</v>
      </c>
      <c r="S5" s="518"/>
      <c r="T5" s="519" t="e">
        <f>'16075-170'!T5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 t="e">
        <f>'16075-170'!R6</f>
        <v>#REF!</v>
      </c>
      <c r="S6" s="518"/>
      <c r="T6" s="519" t="e">
        <f>'16075-170'!T6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1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1" si="1">A10*C10</f>
        <v>0</v>
      </c>
      <c r="H10" s="533"/>
      <c r="I10" s="533">
        <f>G10</f>
        <v>0</v>
      </c>
      <c r="J10" s="533"/>
      <c r="K10" s="533">
        <f t="shared" ref="K10:K21" si="2">$E$21-E10</f>
        <v>11</v>
      </c>
      <c r="L10" s="533"/>
      <c r="M10" s="533">
        <f t="shared" ref="M10:M21" si="3">(A10*K10)+I10</f>
        <v>0</v>
      </c>
      <c r="O10" s="534">
        <f t="shared" ref="O10:O21" si="4">I10/$I$21</f>
        <v>0</v>
      </c>
      <c r="P10" s="532">
        <v>0</v>
      </c>
      <c r="R10" s="535"/>
      <c r="S10" s="513"/>
      <c r="T10" s="536" t="e">
        <f t="shared" ref="T10:T21" si="5">IF(A10&lt;13000,C10*$T$2,IF(A10=13000,C10*$T$2,IF(AND(A10&lt;26000,A10&gt;13000),(C10*$T$2)+((A10-13000)/1000*$T$3*C10),IF(AND(A10&gt;25000,A10&lt;51000),(C10*$T$2)+(12*$T$3*C10)+((A10-25000)/1000*$T$4*C10),IF(AND(A10&lt;51000,A10&gt;25000),(C10*$T$2)+(12*$T$3*C10)+(25*$T$4*C10)+((A10-25000)/1000*$T$5*C10),IF(AND(A10&lt;101000,A10&gt;50000),(C10*$T$2)+(12*$T$3*C10)+(25*$T$4*C10)+((A10-50000)/1000*$T$5*C10),IF(A10&gt;100000,(C10*$T$2)+(12*$T$3*C10)+(25*$T$4*C10)+(50*$T$5*C10)+((A10-100000)/1000*$T$6*C10))))))))</f>
        <v>#REF!</v>
      </c>
    </row>
    <row r="11" spans="1:20" s="515" customFormat="1">
      <c r="A11" s="552">
        <f t="shared" si="0"/>
        <v>17000</v>
      </c>
      <c r="C11" s="532">
        <v>1</v>
      </c>
      <c r="D11" s="533"/>
      <c r="E11" s="533">
        <f t="shared" ref="E11:E21" si="6">E10+C11</f>
        <v>1</v>
      </c>
      <c r="F11" s="533"/>
      <c r="G11" s="533">
        <f t="shared" si="1"/>
        <v>17000</v>
      </c>
      <c r="H11" s="533"/>
      <c r="I11" s="533">
        <f t="shared" ref="I11:I21" si="7">I10+G11</f>
        <v>17000</v>
      </c>
      <c r="J11" s="533"/>
      <c r="K11" s="533">
        <f t="shared" si="2"/>
        <v>10</v>
      </c>
      <c r="L11" s="533"/>
      <c r="M11" s="533">
        <f t="shared" si="3"/>
        <v>187000</v>
      </c>
      <c r="O11" s="534">
        <f t="shared" si="4"/>
        <v>1.7561983471074381E-2</v>
      </c>
      <c r="P11" s="532">
        <v>17</v>
      </c>
      <c r="R11" s="535"/>
      <c r="S11" s="513"/>
      <c r="T11" s="536" t="e">
        <f t="shared" si="5"/>
        <v>#REF!</v>
      </c>
    </row>
    <row r="12" spans="1:20">
      <c r="A12" s="552">
        <f t="shared" si="0"/>
        <v>27000</v>
      </c>
      <c r="B12" s="515"/>
      <c r="C12" s="532">
        <v>1</v>
      </c>
      <c r="D12" s="533"/>
      <c r="E12" s="533">
        <f t="shared" si="6"/>
        <v>2</v>
      </c>
      <c r="F12" s="533"/>
      <c r="G12" s="533">
        <f t="shared" si="1"/>
        <v>27000</v>
      </c>
      <c r="H12" s="533"/>
      <c r="I12" s="533">
        <f t="shared" si="7"/>
        <v>44000</v>
      </c>
      <c r="J12" s="533"/>
      <c r="K12" s="533">
        <f t="shared" si="2"/>
        <v>9</v>
      </c>
      <c r="L12" s="533"/>
      <c r="M12" s="533">
        <f t="shared" si="3"/>
        <v>287000</v>
      </c>
      <c r="N12" s="515"/>
      <c r="O12" s="534">
        <f t="shared" si="4"/>
        <v>4.5454545454545456E-2</v>
      </c>
      <c r="P12" s="532">
        <v>27</v>
      </c>
      <c r="T12" s="536" t="e">
        <f t="shared" si="5"/>
        <v>#REF!</v>
      </c>
    </row>
    <row r="13" spans="1:20">
      <c r="A13" s="552">
        <f t="shared" si="0"/>
        <v>47000</v>
      </c>
      <c r="B13" s="515"/>
      <c r="C13" s="532">
        <v>1</v>
      </c>
      <c r="D13" s="533"/>
      <c r="E13" s="533">
        <f t="shared" si="6"/>
        <v>3</v>
      </c>
      <c r="F13" s="533"/>
      <c r="G13" s="533">
        <f t="shared" si="1"/>
        <v>47000</v>
      </c>
      <c r="H13" s="533"/>
      <c r="I13" s="533">
        <f t="shared" si="7"/>
        <v>91000</v>
      </c>
      <c r="J13" s="533"/>
      <c r="K13" s="533">
        <f t="shared" si="2"/>
        <v>8</v>
      </c>
      <c r="L13" s="533"/>
      <c r="M13" s="533">
        <f t="shared" si="3"/>
        <v>467000</v>
      </c>
      <c r="N13" s="515"/>
      <c r="O13" s="534">
        <f t="shared" si="4"/>
        <v>9.4008264462809923E-2</v>
      </c>
      <c r="P13" s="532">
        <v>47</v>
      </c>
      <c r="T13" s="536" t="e">
        <f t="shared" si="5"/>
        <v>#REF!</v>
      </c>
    </row>
    <row r="14" spans="1:20">
      <c r="A14" s="531">
        <f t="shared" si="0"/>
        <v>51000</v>
      </c>
      <c r="B14" s="515"/>
      <c r="C14" s="532">
        <v>1</v>
      </c>
      <c r="D14" s="533"/>
      <c r="E14" s="533">
        <f t="shared" si="6"/>
        <v>4</v>
      </c>
      <c r="F14" s="533"/>
      <c r="G14" s="533">
        <f t="shared" si="1"/>
        <v>51000</v>
      </c>
      <c r="H14" s="533"/>
      <c r="I14" s="533">
        <f t="shared" si="7"/>
        <v>142000</v>
      </c>
      <c r="J14" s="533"/>
      <c r="K14" s="533">
        <f t="shared" si="2"/>
        <v>7</v>
      </c>
      <c r="L14" s="533"/>
      <c r="M14" s="533">
        <f t="shared" si="3"/>
        <v>499000</v>
      </c>
      <c r="N14" s="515"/>
      <c r="O14" s="534">
        <f t="shared" si="4"/>
        <v>0.14669421487603307</v>
      </c>
      <c r="P14" s="532">
        <v>51</v>
      </c>
      <c r="T14" s="536" t="e">
        <f t="shared" si="5"/>
        <v>#REF!</v>
      </c>
    </row>
    <row r="15" spans="1:20">
      <c r="A15" s="531">
        <f t="shared" si="0"/>
        <v>70000</v>
      </c>
      <c r="B15" s="515"/>
      <c r="C15" s="532">
        <v>1</v>
      </c>
      <c r="D15" s="533"/>
      <c r="E15" s="533">
        <f t="shared" si="6"/>
        <v>5</v>
      </c>
      <c r="F15" s="533"/>
      <c r="G15" s="533">
        <f t="shared" si="1"/>
        <v>70000</v>
      </c>
      <c r="H15" s="533"/>
      <c r="I15" s="533">
        <f t="shared" si="7"/>
        <v>212000</v>
      </c>
      <c r="J15" s="533"/>
      <c r="K15" s="533">
        <f t="shared" si="2"/>
        <v>6</v>
      </c>
      <c r="L15" s="533"/>
      <c r="M15" s="533">
        <f t="shared" si="3"/>
        <v>632000</v>
      </c>
      <c r="N15" s="515"/>
      <c r="O15" s="534">
        <f t="shared" si="4"/>
        <v>0.21900826446280991</v>
      </c>
      <c r="P15" s="532">
        <v>70</v>
      </c>
      <c r="T15" s="536" t="e">
        <f t="shared" si="5"/>
        <v>#REF!</v>
      </c>
    </row>
    <row r="16" spans="1:20">
      <c r="A16" s="531">
        <f t="shared" si="0"/>
        <v>74000</v>
      </c>
      <c r="B16" s="515"/>
      <c r="C16" s="532">
        <v>1</v>
      </c>
      <c r="D16" s="533"/>
      <c r="E16" s="533">
        <f t="shared" si="6"/>
        <v>6</v>
      </c>
      <c r="F16" s="533"/>
      <c r="G16" s="533">
        <f t="shared" si="1"/>
        <v>74000</v>
      </c>
      <c r="H16" s="533"/>
      <c r="I16" s="533">
        <f t="shared" si="7"/>
        <v>286000</v>
      </c>
      <c r="J16" s="533"/>
      <c r="K16" s="533">
        <f t="shared" si="2"/>
        <v>5</v>
      </c>
      <c r="L16" s="533"/>
      <c r="M16" s="533">
        <f t="shared" si="3"/>
        <v>656000</v>
      </c>
      <c r="N16" s="515"/>
      <c r="O16" s="534">
        <f t="shared" si="4"/>
        <v>0.29545454545454547</v>
      </c>
      <c r="P16" s="532">
        <v>74</v>
      </c>
      <c r="T16" s="536" t="e">
        <f t="shared" si="5"/>
        <v>#REF!</v>
      </c>
    </row>
    <row r="17" spans="1:20">
      <c r="A17" s="531">
        <f t="shared" si="0"/>
        <v>77000</v>
      </c>
      <c r="B17" s="515"/>
      <c r="C17" s="532">
        <v>1</v>
      </c>
      <c r="D17" s="533"/>
      <c r="E17" s="533">
        <f t="shared" si="6"/>
        <v>7</v>
      </c>
      <c r="F17" s="533"/>
      <c r="G17" s="533">
        <f t="shared" si="1"/>
        <v>77000</v>
      </c>
      <c r="H17" s="533"/>
      <c r="I17" s="533">
        <f t="shared" si="7"/>
        <v>363000</v>
      </c>
      <c r="J17" s="533"/>
      <c r="K17" s="533">
        <f t="shared" si="2"/>
        <v>4</v>
      </c>
      <c r="L17" s="533"/>
      <c r="M17" s="533">
        <f t="shared" si="3"/>
        <v>671000</v>
      </c>
      <c r="N17" s="515"/>
      <c r="O17" s="534">
        <f t="shared" si="4"/>
        <v>0.375</v>
      </c>
      <c r="P17" s="532">
        <v>77</v>
      </c>
      <c r="T17" s="536" t="e">
        <f t="shared" si="5"/>
        <v>#REF!</v>
      </c>
    </row>
    <row r="18" spans="1:20">
      <c r="A18" s="531">
        <f t="shared" si="0"/>
        <v>112000</v>
      </c>
      <c r="B18" s="515"/>
      <c r="C18" s="532">
        <v>1</v>
      </c>
      <c r="D18" s="533"/>
      <c r="E18" s="533">
        <f t="shared" si="6"/>
        <v>8</v>
      </c>
      <c r="F18" s="533"/>
      <c r="G18" s="533">
        <f t="shared" si="1"/>
        <v>112000</v>
      </c>
      <c r="H18" s="533"/>
      <c r="I18" s="533">
        <f t="shared" si="7"/>
        <v>475000</v>
      </c>
      <c r="J18" s="533"/>
      <c r="K18" s="533">
        <f t="shared" si="2"/>
        <v>3</v>
      </c>
      <c r="L18" s="533"/>
      <c r="M18" s="533">
        <f t="shared" si="3"/>
        <v>811000</v>
      </c>
      <c r="N18" s="515"/>
      <c r="O18" s="534">
        <f t="shared" si="4"/>
        <v>0.49070247933884298</v>
      </c>
      <c r="P18" s="532">
        <v>112</v>
      </c>
      <c r="T18" s="536" t="e">
        <f t="shared" si="5"/>
        <v>#REF!</v>
      </c>
    </row>
    <row r="19" spans="1:20">
      <c r="A19" s="531">
        <f t="shared" si="0"/>
        <v>127000</v>
      </c>
      <c r="B19" s="515"/>
      <c r="C19" s="532">
        <v>1</v>
      </c>
      <c r="D19" s="533"/>
      <c r="E19" s="533">
        <f t="shared" si="6"/>
        <v>9</v>
      </c>
      <c r="F19" s="533"/>
      <c r="G19" s="533">
        <f t="shared" si="1"/>
        <v>127000</v>
      </c>
      <c r="H19" s="533"/>
      <c r="I19" s="533">
        <f t="shared" si="7"/>
        <v>602000</v>
      </c>
      <c r="J19" s="533"/>
      <c r="K19" s="533">
        <f t="shared" si="2"/>
        <v>2</v>
      </c>
      <c r="L19" s="533"/>
      <c r="M19" s="533">
        <f t="shared" si="3"/>
        <v>856000</v>
      </c>
      <c r="N19" s="515"/>
      <c r="O19" s="534">
        <f t="shared" si="4"/>
        <v>0.62190082644628097</v>
      </c>
      <c r="P19" s="532">
        <v>127</v>
      </c>
      <c r="T19" s="536" t="e">
        <f t="shared" si="5"/>
        <v>#REF!</v>
      </c>
    </row>
    <row r="20" spans="1:20">
      <c r="A20" s="531">
        <f t="shared" si="0"/>
        <v>182000</v>
      </c>
      <c r="B20" s="515"/>
      <c r="C20" s="532">
        <v>1</v>
      </c>
      <c r="D20" s="533"/>
      <c r="E20" s="533">
        <f t="shared" si="6"/>
        <v>10</v>
      </c>
      <c r="F20" s="533"/>
      <c r="G20" s="533">
        <f t="shared" si="1"/>
        <v>182000</v>
      </c>
      <c r="H20" s="533"/>
      <c r="I20" s="533">
        <f t="shared" si="7"/>
        <v>784000</v>
      </c>
      <c r="J20" s="533"/>
      <c r="K20" s="533">
        <f t="shared" si="2"/>
        <v>1</v>
      </c>
      <c r="L20" s="533"/>
      <c r="M20" s="533">
        <f t="shared" si="3"/>
        <v>966000</v>
      </c>
      <c r="N20" s="515"/>
      <c r="O20" s="534">
        <f t="shared" si="4"/>
        <v>0.80991735537190079</v>
      </c>
      <c r="P20" s="532">
        <v>182</v>
      </c>
      <c r="T20" s="536" t="e">
        <f t="shared" si="5"/>
        <v>#REF!</v>
      </c>
    </row>
    <row r="21" spans="1:20">
      <c r="A21" s="531">
        <f t="shared" si="0"/>
        <v>184000</v>
      </c>
      <c r="B21" s="515"/>
      <c r="C21" s="532">
        <v>1</v>
      </c>
      <c r="D21" s="533"/>
      <c r="E21" s="533">
        <f t="shared" si="6"/>
        <v>11</v>
      </c>
      <c r="F21" s="533"/>
      <c r="G21" s="533">
        <f t="shared" si="1"/>
        <v>184000</v>
      </c>
      <c r="H21" s="533"/>
      <c r="I21" s="533">
        <f t="shared" si="7"/>
        <v>968000</v>
      </c>
      <c r="J21" s="533"/>
      <c r="K21" s="533">
        <f t="shared" si="2"/>
        <v>0</v>
      </c>
      <c r="L21" s="533"/>
      <c r="M21" s="533">
        <f t="shared" si="3"/>
        <v>968000</v>
      </c>
      <c r="N21" s="515"/>
      <c r="O21" s="534">
        <f t="shared" si="4"/>
        <v>1</v>
      </c>
      <c r="P21" s="532">
        <v>184</v>
      </c>
      <c r="T21" s="536" t="e">
        <f t="shared" si="5"/>
        <v>#REF!</v>
      </c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32"/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32"/>
    </row>
    <row r="24" spans="1:20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T24" s="539" t="e">
        <f>SUM(T10:T21)</f>
        <v>#REF!</v>
      </c>
    </row>
    <row r="25" spans="1:20" hidden="1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T25" s="513">
        <v>2217</v>
      </c>
    </row>
    <row r="26" spans="1:20" hidden="1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T26" s="540" t="e">
        <f>T24-T25</f>
        <v>#REF!</v>
      </c>
    </row>
    <row r="27" spans="1:20" hidden="1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T27" s="555" t="e">
        <f>T26/T24</f>
        <v>#REF!</v>
      </c>
    </row>
    <row r="28" spans="1:20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</row>
    <row r="29" spans="1:20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</row>
    <row r="30" spans="1:20">
      <c r="A30" s="531"/>
      <c r="B30" s="515"/>
      <c r="C30" s="561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15"/>
      <c r="O30" s="534"/>
      <c r="P30" s="547"/>
    </row>
    <row r="31" spans="1:20">
      <c r="A31" s="531"/>
      <c r="B31" s="515"/>
      <c r="C31" s="561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15"/>
      <c r="O31" s="534"/>
      <c r="P31" s="547"/>
    </row>
    <row r="32" spans="1:20">
      <c r="A32" s="531"/>
      <c r="B32" s="544"/>
      <c r="C32" s="561"/>
      <c r="D32" s="545"/>
      <c r="E32" s="533"/>
      <c r="F32" s="533"/>
      <c r="G32" s="533"/>
      <c r="H32" s="533"/>
      <c r="I32" s="533"/>
      <c r="J32" s="545"/>
      <c r="K32" s="533"/>
      <c r="L32" s="545"/>
      <c r="M32" s="533"/>
      <c r="O32" s="534"/>
      <c r="P32" s="547"/>
    </row>
    <row r="33" spans="1:16">
      <c r="A33" s="531"/>
      <c r="B33" s="515"/>
      <c r="C33" s="561"/>
      <c r="D33" s="515"/>
      <c r="E33" s="533"/>
      <c r="F33" s="533"/>
      <c r="G33" s="533"/>
      <c r="H33" s="533"/>
      <c r="I33" s="533"/>
      <c r="J33" s="515"/>
      <c r="K33" s="533"/>
      <c r="L33" s="515"/>
      <c r="M33" s="533"/>
      <c r="N33" s="515"/>
      <c r="O33" s="534"/>
      <c r="P33" s="547"/>
    </row>
    <row r="34" spans="1:16">
      <c r="A34" s="531"/>
      <c r="B34" s="515"/>
      <c r="C34" s="561"/>
      <c r="D34" s="515"/>
      <c r="E34" s="533"/>
      <c r="F34" s="533"/>
      <c r="G34" s="533"/>
      <c r="H34" s="533"/>
      <c r="I34" s="533"/>
      <c r="J34" s="515"/>
      <c r="K34" s="533"/>
      <c r="L34" s="515"/>
      <c r="M34" s="533"/>
      <c r="N34" s="515"/>
      <c r="O34" s="534"/>
      <c r="P34" s="547"/>
    </row>
    <row r="35" spans="1:16">
      <c r="A35" s="531"/>
      <c r="B35" s="529"/>
      <c r="C35" s="561"/>
      <c r="D35" s="529"/>
      <c r="E35" s="533"/>
      <c r="F35" s="533"/>
      <c r="G35" s="533"/>
      <c r="H35" s="533"/>
      <c r="I35" s="533"/>
      <c r="J35" s="529"/>
      <c r="K35" s="533"/>
      <c r="L35" s="529"/>
      <c r="M35" s="533"/>
      <c r="N35" s="529"/>
      <c r="O35" s="534"/>
      <c r="P35" s="547"/>
    </row>
    <row r="36" spans="1:16">
      <c r="A36" s="531"/>
      <c r="B36" s="523"/>
      <c r="C36" s="561"/>
      <c r="D36" s="523"/>
      <c r="E36" s="533"/>
      <c r="F36" s="533"/>
      <c r="G36" s="533"/>
      <c r="H36" s="533"/>
      <c r="I36" s="533"/>
      <c r="J36" s="523"/>
      <c r="K36" s="533"/>
      <c r="L36" s="523"/>
      <c r="M36" s="533"/>
      <c r="N36" s="523"/>
      <c r="O36" s="534"/>
      <c r="P36" s="547"/>
    </row>
    <row r="37" spans="1:16">
      <c r="A37" s="531"/>
      <c r="B37" s="525"/>
      <c r="C37" s="561"/>
      <c r="D37" s="525"/>
      <c r="E37" s="533"/>
      <c r="F37" s="533"/>
      <c r="G37" s="533"/>
      <c r="H37" s="533"/>
      <c r="I37" s="533"/>
      <c r="J37" s="525"/>
      <c r="K37" s="533"/>
      <c r="L37" s="525"/>
      <c r="M37" s="533"/>
      <c r="N37" s="525"/>
      <c r="O37" s="534"/>
      <c r="P37" s="547"/>
    </row>
    <row r="38" spans="1:16">
      <c r="A38" s="531"/>
      <c r="B38" s="525"/>
      <c r="C38" s="561"/>
      <c r="D38" s="525"/>
      <c r="E38" s="533"/>
      <c r="F38" s="533"/>
      <c r="G38" s="533"/>
      <c r="H38" s="533"/>
      <c r="I38" s="533"/>
      <c r="J38" s="525"/>
      <c r="K38" s="533"/>
      <c r="L38" s="525"/>
      <c r="M38" s="533"/>
      <c r="N38" s="525"/>
      <c r="O38" s="534"/>
      <c r="P38" s="547"/>
    </row>
    <row r="39" spans="1:16">
      <c r="A39" s="531"/>
      <c r="B39" s="525"/>
      <c r="C39" s="561"/>
      <c r="D39" s="525"/>
      <c r="E39" s="533"/>
      <c r="F39" s="533"/>
      <c r="G39" s="533"/>
      <c r="H39" s="533"/>
      <c r="I39" s="533"/>
      <c r="J39" s="525"/>
      <c r="K39" s="533"/>
      <c r="L39" s="525"/>
      <c r="M39" s="533"/>
      <c r="N39" s="525"/>
      <c r="O39" s="534"/>
      <c r="P39" s="547"/>
    </row>
    <row r="40" spans="1:16">
      <c r="A40" s="531"/>
      <c r="B40" s="515"/>
      <c r="C40" s="561"/>
      <c r="D40" s="529"/>
      <c r="E40" s="533"/>
      <c r="F40" s="533"/>
      <c r="G40" s="533"/>
      <c r="H40" s="533"/>
      <c r="I40" s="533"/>
      <c r="J40" s="529"/>
      <c r="K40" s="533"/>
      <c r="L40" s="529"/>
      <c r="M40" s="533"/>
      <c r="N40" s="529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</row>
    <row r="45" spans="1:16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</row>
    <row r="46" spans="1:16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</row>
    <row r="47" spans="1:16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16">
      <c r="A48" s="531"/>
      <c r="B48" s="515"/>
      <c r="C48" s="561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15"/>
      <c r="O48" s="534"/>
      <c r="P48" s="547"/>
    </row>
    <row r="49" spans="1:16">
      <c r="A49" s="531"/>
      <c r="B49" s="515"/>
      <c r="C49" s="561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15"/>
      <c r="O49" s="534"/>
      <c r="P49" s="547"/>
    </row>
    <row r="50" spans="1:16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6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6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6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6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6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6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6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6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6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6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6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6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6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6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  <c r="O69" s="541"/>
    </row>
    <row r="70" spans="1:15">
      <c r="A70" s="580"/>
      <c r="C70" s="545"/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O70" s="541"/>
    </row>
    <row r="71" spans="1:15">
      <c r="A71" s="580"/>
      <c r="C71" s="545"/>
      <c r="D71" s="545"/>
      <c r="E71" s="545"/>
      <c r="F71" s="545"/>
      <c r="G71" s="545"/>
      <c r="H71" s="545"/>
      <c r="I71" s="545"/>
      <c r="J71" s="545"/>
      <c r="K71" s="545"/>
      <c r="L71" s="545"/>
      <c r="M71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9"/>
  <sheetViews>
    <sheetView showGridLines="0" topLeftCell="H7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3.8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#REF!</f>
        <v>#REF!</v>
      </c>
      <c r="S2" s="518"/>
      <c r="T2" s="519" t="e">
        <f>#REF!</f>
        <v>#REF!</v>
      </c>
    </row>
    <row r="3" spans="1:20">
      <c r="A3" s="513" t="s">
        <v>521</v>
      </c>
      <c r="M3" s="520" t="s">
        <v>525</v>
      </c>
      <c r="R3" s="519" t="e">
        <f>#REF!</f>
        <v>#REF!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#REF!</f>
        <v>#REF!</v>
      </c>
      <c r="S4" s="518"/>
      <c r="T4" s="519" t="e">
        <f>#REF!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#REF!</f>
        <v>#REF!</v>
      </c>
      <c r="S5" s="518"/>
      <c r="T5" s="519" t="e">
        <f>#REF!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#REF!</f>
        <v>#REF!</v>
      </c>
      <c r="S6" s="518"/>
      <c r="T6" s="519" t="e">
        <f>#REF!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5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5" si="1">A10*C10</f>
        <v>0</v>
      </c>
      <c r="H10" s="533"/>
      <c r="I10" s="533">
        <f>G10</f>
        <v>0</v>
      </c>
      <c r="J10" s="533"/>
      <c r="K10" s="533">
        <f t="shared" ref="K10:K25" si="2">$E$25-E10</f>
        <v>22</v>
      </c>
      <c r="L10" s="533"/>
      <c r="M10" s="533">
        <f t="shared" ref="M10:M25" si="3">(A10*K10)+I10</f>
        <v>0</v>
      </c>
      <c r="O10" s="534">
        <f t="shared" ref="O10:O25" si="4">I10/$I$25</f>
        <v>0</v>
      </c>
      <c r="P10" s="532">
        <v>0</v>
      </c>
      <c r="R10" s="535"/>
      <c r="S10" s="513"/>
      <c r="T10" s="536" t="e">
        <f t="shared" ref="T10:T25" si="5">IF(A10&lt;21400,C10*$T$2,IF(A10=21400,C10*$T$2,IF(AND(A10&lt;26000,A10&gt;21400),(C10*$T$2)+((A10-21400)*C10/1000*$T$3),IF(AND(A10&gt;25000,A10&lt;51000),(C10*$T$2)+(3.6*$T$3*C10)+((A10-25000)/1000*$T$4*C10),IF(AND(A10&lt;101000,A10&gt;50000),(C10*$T$2)+(3.6*$T$3*C10)+(25*$T$4*C10)+((A10-50000)/1000*$T$5*C10),IF(A10&gt;100000,(C10*$T$2)+(3.6*$T$3*C10)+(25*$T$4*C10)+(50*$T$5*C10)+((A10-100000)/1000*$T$6*C10)))))))</f>
        <v>#REF!</v>
      </c>
    </row>
    <row r="11" spans="1:20" s="515" customFormat="1">
      <c r="A11" s="552">
        <f t="shared" si="0"/>
        <v>1000</v>
      </c>
      <c r="C11" s="532">
        <v>1</v>
      </c>
      <c r="D11" s="533"/>
      <c r="E11" s="533">
        <f t="shared" ref="E11:E25" si="6">E10+C11</f>
        <v>1</v>
      </c>
      <c r="F11" s="533"/>
      <c r="G11" s="533">
        <f t="shared" si="1"/>
        <v>1000</v>
      </c>
      <c r="H11" s="533"/>
      <c r="I11" s="533">
        <f t="shared" ref="I11:I25" si="7">I10+G11</f>
        <v>1000</v>
      </c>
      <c r="J11" s="533"/>
      <c r="K11" s="533">
        <f t="shared" si="2"/>
        <v>21</v>
      </c>
      <c r="L11" s="533"/>
      <c r="M11" s="533">
        <f t="shared" si="3"/>
        <v>22000</v>
      </c>
      <c r="O11" s="534">
        <f t="shared" si="4"/>
        <v>4.6296296296296294E-3</v>
      </c>
      <c r="P11" s="532">
        <v>1</v>
      </c>
      <c r="R11" s="535"/>
      <c r="S11" s="513"/>
      <c r="T11" s="536" t="e">
        <f t="shared" si="5"/>
        <v>#REF!</v>
      </c>
    </row>
    <row r="12" spans="1:20">
      <c r="A12" s="552">
        <f t="shared" si="0"/>
        <v>2000</v>
      </c>
      <c r="B12" s="515"/>
      <c r="C12" s="532">
        <v>1</v>
      </c>
      <c r="D12" s="533"/>
      <c r="E12" s="533">
        <f t="shared" si="6"/>
        <v>2</v>
      </c>
      <c r="F12" s="533"/>
      <c r="G12" s="533">
        <f t="shared" si="1"/>
        <v>2000</v>
      </c>
      <c r="H12" s="533"/>
      <c r="I12" s="533">
        <f t="shared" si="7"/>
        <v>3000</v>
      </c>
      <c r="J12" s="533"/>
      <c r="K12" s="533">
        <f t="shared" si="2"/>
        <v>20</v>
      </c>
      <c r="L12" s="533"/>
      <c r="M12" s="533">
        <f t="shared" si="3"/>
        <v>43000</v>
      </c>
      <c r="N12" s="515"/>
      <c r="O12" s="534">
        <f t="shared" si="4"/>
        <v>1.3888888888888888E-2</v>
      </c>
      <c r="P12" s="532">
        <v>2</v>
      </c>
      <c r="T12" s="536" t="e">
        <f t="shared" si="5"/>
        <v>#REF!</v>
      </c>
    </row>
    <row r="13" spans="1:20">
      <c r="A13" s="552">
        <f t="shared" si="0"/>
        <v>3000</v>
      </c>
      <c r="B13" s="515"/>
      <c r="C13" s="532">
        <v>1</v>
      </c>
      <c r="D13" s="533"/>
      <c r="E13" s="533">
        <f t="shared" si="6"/>
        <v>3</v>
      </c>
      <c r="F13" s="533"/>
      <c r="G13" s="533">
        <f t="shared" si="1"/>
        <v>3000</v>
      </c>
      <c r="H13" s="533"/>
      <c r="I13" s="533">
        <f t="shared" si="7"/>
        <v>6000</v>
      </c>
      <c r="J13" s="533"/>
      <c r="K13" s="533">
        <f t="shared" si="2"/>
        <v>19</v>
      </c>
      <c r="L13" s="533"/>
      <c r="M13" s="533">
        <f t="shared" si="3"/>
        <v>63000</v>
      </c>
      <c r="N13" s="515"/>
      <c r="O13" s="534">
        <f t="shared" si="4"/>
        <v>2.7777777777777776E-2</v>
      </c>
      <c r="P13" s="532">
        <v>3</v>
      </c>
      <c r="T13" s="536" t="e">
        <f t="shared" si="5"/>
        <v>#REF!</v>
      </c>
    </row>
    <row r="14" spans="1:20">
      <c r="A14" s="531">
        <f t="shared" si="0"/>
        <v>4000</v>
      </c>
      <c r="B14" s="515"/>
      <c r="C14" s="532">
        <v>1</v>
      </c>
      <c r="D14" s="533"/>
      <c r="E14" s="533">
        <f t="shared" si="6"/>
        <v>4</v>
      </c>
      <c r="F14" s="533"/>
      <c r="G14" s="533">
        <f t="shared" si="1"/>
        <v>4000</v>
      </c>
      <c r="H14" s="533"/>
      <c r="I14" s="533">
        <f t="shared" si="7"/>
        <v>10000</v>
      </c>
      <c r="J14" s="533"/>
      <c r="K14" s="533">
        <f t="shared" si="2"/>
        <v>18</v>
      </c>
      <c r="L14" s="533"/>
      <c r="M14" s="533">
        <f t="shared" si="3"/>
        <v>82000</v>
      </c>
      <c r="N14" s="515"/>
      <c r="O14" s="534">
        <f t="shared" si="4"/>
        <v>4.6296296296296294E-2</v>
      </c>
      <c r="P14" s="532">
        <v>4</v>
      </c>
      <c r="T14" s="536" t="e">
        <f t="shared" si="5"/>
        <v>#REF!</v>
      </c>
    </row>
    <row r="15" spans="1:20">
      <c r="A15" s="531">
        <f t="shared" si="0"/>
        <v>7000</v>
      </c>
      <c r="B15" s="515"/>
      <c r="C15" s="532">
        <v>1</v>
      </c>
      <c r="D15" s="533"/>
      <c r="E15" s="533">
        <f t="shared" si="6"/>
        <v>5</v>
      </c>
      <c r="F15" s="533"/>
      <c r="G15" s="533">
        <f t="shared" si="1"/>
        <v>7000</v>
      </c>
      <c r="H15" s="533"/>
      <c r="I15" s="533">
        <f t="shared" si="7"/>
        <v>17000</v>
      </c>
      <c r="J15" s="533"/>
      <c r="K15" s="533">
        <f t="shared" si="2"/>
        <v>17</v>
      </c>
      <c r="L15" s="533"/>
      <c r="M15" s="533">
        <f t="shared" si="3"/>
        <v>136000</v>
      </c>
      <c r="N15" s="515"/>
      <c r="O15" s="534">
        <f t="shared" si="4"/>
        <v>7.8703703703703706E-2</v>
      </c>
      <c r="P15" s="532">
        <v>7</v>
      </c>
      <c r="T15" s="536" t="e">
        <f t="shared" si="5"/>
        <v>#REF!</v>
      </c>
    </row>
    <row r="16" spans="1:20">
      <c r="A16" s="531">
        <f t="shared" si="0"/>
        <v>8000</v>
      </c>
      <c r="B16" s="515"/>
      <c r="C16" s="532">
        <v>3</v>
      </c>
      <c r="D16" s="533"/>
      <c r="E16" s="533">
        <f t="shared" si="6"/>
        <v>8</v>
      </c>
      <c r="F16" s="533"/>
      <c r="G16" s="533">
        <f t="shared" si="1"/>
        <v>24000</v>
      </c>
      <c r="H16" s="533"/>
      <c r="I16" s="533">
        <f t="shared" si="7"/>
        <v>41000</v>
      </c>
      <c r="J16" s="533"/>
      <c r="K16" s="533">
        <f t="shared" si="2"/>
        <v>14</v>
      </c>
      <c r="L16" s="533"/>
      <c r="M16" s="533">
        <f t="shared" si="3"/>
        <v>153000</v>
      </c>
      <c r="N16" s="515"/>
      <c r="O16" s="534">
        <f t="shared" si="4"/>
        <v>0.18981481481481483</v>
      </c>
      <c r="P16" s="532">
        <v>8</v>
      </c>
      <c r="T16" s="536" t="e">
        <f t="shared" si="5"/>
        <v>#REF!</v>
      </c>
    </row>
    <row r="17" spans="1:20">
      <c r="A17" s="531">
        <f t="shared" si="0"/>
        <v>9000</v>
      </c>
      <c r="B17" s="515"/>
      <c r="C17" s="532">
        <v>2</v>
      </c>
      <c r="D17" s="533"/>
      <c r="E17" s="533">
        <f t="shared" si="6"/>
        <v>10</v>
      </c>
      <c r="F17" s="533"/>
      <c r="G17" s="533">
        <f t="shared" si="1"/>
        <v>18000</v>
      </c>
      <c r="H17" s="533"/>
      <c r="I17" s="533">
        <f t="shared" si="7"/>
        <v>59000</v>
      </c>
      <c r="J17" s="533"/>
      <c r="K17" s="533">
        <f t="shared" si="2"/>
        <v>12</v>
      </c>
      <c r="L17" s="533"/>
      <c r="M17" s="533">
        <f t="shared" si="3"/>
        <v>167000</v>
      </c>
      <c r="N17" s="515"/>
      <c r="O17" s="534">
        <f t="shared" si="4"/>
        <v>0.27314814814814814</v>
      </c>
      <c r="P17" s="532">
        <v>9</v>
      </c>
      <c r="T17" s="536" t="e">
        <f t="shared" si="5"/>
        <v>#REF!</v>
      </c>
    </row>
    <row r="18" spans="1:20">
      <c r="A18" s="531">
        <f t="shared" si="0"/>
        <v>10000</v>
      </c>
      <c r="B18" s="515"/>
      <c r="C18" s="532">
        <v>1</v>
      </c>
      <c r="D18" s="533"/>
      <c r="E18" s="533">
        <f t="shared" si="6"/>
        <v>11</v>
      </c>
      <c r="F18" s="533"/>
      <c r="G18" s="533">
        <f t="shared" si="1"/>
        <v>10000</v>
      </c>
      <c r="H18" s="533"/>
      <c r="I18" s="533">
        <f t="shared" si="7"/>
        <v>69000</v>
      </c>
      <c r="J18" s="533"/>
      <c r="K18" s="533">
        <f t="shared" si="2"/>
        <v>11</v>
      </c>
      <c r="L18" s="533"/>
      <c r="M18" s="533">
        <f t="shared" si="3"/>
        <v>179000</v>
      </c>
      <c r="N18" s="515"/>
      <c r="O18" s="534">
        <f t="shared" si="4"/>
        <v>0.31944444444444442</v>
      </c>
      <c r="P18" s="532">
        <v>10</v>
      </c>
      <c r="T18" s="536" t="e">
        <f t="shared" si="5"/>
        <v>#REF!</v>
      </c>
    </row>
    <row r="19" spans="1:20">
      <c r="A19" s="531">
        <f t="shared" si="0"/>
        <v>11000</v>
      </c>
      <c r="B19" s="515"/>
      <c r="C19" s="532">
        <v>1</v>
      </c>
      <c r="D19" s="533"/>
      <c r="E19" s="533">
        <f t="shared" si="6"/>
        <v>12</v>
      </c>
      <c r="F19" s="533"/>
      <c r="G19" s="533">
        <f t="shared" si="1"/>
        <v>11000</v>
      </c>
      <c r="H19" s="533"/>
      <c r="I19" s="533">
        <f t="shared" si="7"/>
        <v>80000</v>
      </c>
      <c r="J19" s="533"/>
      <c r="K19" s="533">
        <f t="shared" si="2"/>
        <v>10</v>
      </c>
      <c r="L19" s="533"/>
      <c r="M19" s="533">
        <f t="shared" si="3"/>
        <v>190000</v>
      </c>
      <c r="N19" s="515"/>
      <c r="O19" s="534">
        <f t="shared" si="4"/>
        <v>0.37037037037037035</v>
      </c>
      <c r="P19" s="532">
        <v>11</v>
      </c>
      <c r="T19" s="536" t="e">
        <f t="shared" si="5"/>
        <v>#REF!</v>
      </c>
    </row>
    <row r="20" spans="1:20">
      <c r="A20" s="531">
        <f t="shared" si="0"/>
        <v>12000</v>
      </c>
      <c r="B20" s="515"/>
      <c r="C20" s="532">
        <v>4</v>
      </c>
      <c r="D20" s="533"/>
      <c r="E20" s="533">
        <f t="shared" si="6"/>
        <v>16</v>
      </c>
      <c r="F20" s="533"/>
      <c r="G20" s="533">
        <f t="shared" si="1"/>
        <v>48000</v>
      </c>
      <c r="H20" s="533"/>
      <c r="I20" s="533">
        <f t="shared" si="7"/>
        <v>128000</v>
      </c>
      <c r="J20" s="533"/>
      <c r="K20" s="533">
        <f t="shared" si="2"/>
        <v>6</v>
      </c>
      <c r="L20" s="533"/>
      <c r="M20" s="533">
        <f t="shared" si="3"/>
        <v>200000</v>
      </c>
      <c r="N20" s="515"/>
      <c r="O20" s="534">
        <f t="shared" si="4"/>
        <v>0.59259259259259256</v>
      </c>
      <c r="P20" s="532">
        <v>12</v>
      </c>
      <c r="T20" s="536" t="e">
        <f t="shared" si="5"/>
        <v>#REF!</v>
      </c>
    </row>
    <row r="21" spans="1:20">
      <c r="A21" s="531">
        <f t="shared" si="0"/>
        <v>13000</v>
      </c>
      <c r="B21" s="515"/>
      <c r="C21" s="532">
        <v>2</v>
      </c>
      <c r="D21" s="533"/>
      <c r="E21" s="533">
        <f t="shared" si="6"/>
        <v>18</v>
      </c>
      <c r="F21" s="533"/>
      <c r="G21" s="533">
        <f t="shared" si="1"/>
        <v>26000</v>
      </c>
      <c r="H21" s="533"/>
      <c r="I21" s="533">
        <f t="shared" si="7"/>
        <v>154000</v>
      </c>
      <c r="J21" s="533"/>
      <c r="K21" s="533">
        <f t="shared" si="2"/>
        <v>4</v>
      </c>
      <c r="L21" s="533"/>
      <c r="M21" s="533">
        <f t="shared" si="3"/>
        <v>206000</v>
      </c>
      <c r="N21" s="515"/>
      <c r="O21" s="534">
        <f t="shared" si="4"/>
        <v>0.71296296296296291</v>
      </c>
      <c r="P21" s="532">
        <v>13</v>
      </c>
      <c r="T21" s="536" t="e">
        <f t="shared" si="5"/>
        <v>#REF!</v>
      </c>
    </row>
    <row r="22" spans="1:20">
      <c r="A22" s="531">
        <f t="shared" si="0"/>
        <v>14000</v>
      </c>
      <c r="B22" s="515"/>
      <c r="C22" s="532">
        <v>1</v>
      </c>
      <c r="D22" s="533"/>
      <c r="E22" s="533">
        <f t="shared" si="6"/>
        <v>19</v>
      </c>
      <c r="F22" s="533"/>
      <c r="G22" s="533">
        <f t="shared" si="1"/>
        <v>14000</v>
      </c>
      <c r="H22" s="533"/>
      <c r="I22" s="533">
        <f t="shared" si="7"/>
        <v>168000</v>
      </c>
      <c r="J22" s="533"/>
      <c r="K22" s="533">
        <f t="shared" si="2"/>
        <v>3</v>
      </c>
      <c r="L22" s="533"/>
      <c r="M22" s="533">
        <f t="shared" si="3"/>
        <v>210000</v>
      </c>
      <c r="N22" s="515"/>
      <c r="O22" s="534">
        <f t="shared" si="4"/>
        <v>0.77777777777777779</v>
      </c>
      <c r="P22" s="532">
        <v>14</v>
      </c>
      <c r="T22" s="536" t="e">
        <f t="shared" si="5"/>
        <v>#REF!</v>
      </c>
    </row>
    <row r="23" spans="1:20">
      <c r="A23" s="531">
        <f t="shared" si="0"/>
        <v>15000</v>
      </c>
      <c r="B23" s="515"/>
      <c r="C23" s="532">
        <v>1</v>
      </c>
      <c r="D23" s="533"/>
      <c r="E23" s="533">
        <f t="shared" si="6"/>
        <v>20</v>
      </c>
      <c r="F23" s="533"/>
      <c r="G23" s="533">
        <f t="shared" si="1"/>
        <v>15000</v>
      </c>
      <c r="H23" s="533"/>
      <c r="I23" s="533">
        <f t="shared" si="7"/>
        <v>183000</v>
      </c>
      <c r="J23" s="533"/>
      <c r="K23" s="533">
        <f t="shared" si="2"/>
        <v>2</v>
      </c>
      <c r="L23" s="533"/>
      <c r="M23" s="533">
        <f t="shared" si="3"/>
        <v>213000</v>
      </c>
      <c r="N23" s="515"/>
      <c r="O23" s="534">
        <f t="shared" si="4"/>
        <v>0.84722222222222221</v>
      </c>
      <c r="P23" s="532">
        <v>15</v>
      </c>
      <c r="T23" s="536" t="e">
        <f t="shared" si="5"/>
        <v>#REF!</v>
      </c>
    </row>
    <row r="24" spans="1:20">
      <c r="A24" s="531">
        <f t="shared" si="0"/>
        <v>16000</v>
      </c>
      <c r="B24" s="515"/>
      <c r="C24" s="532">
        <v>1</v>
      </c>
      <c r="D24" s="533"/>
      <c r="E24" s="533">
        <f t="shared" si="6"/>
        <v>21</v>
      </c>
      <c r="F24" s="533"/>
      <c r="G24" s="533">
        <f t="shared" si="1"/>
        <v>16000</v>
      </c>
      <c r="H24" s="533"/>
      <c r="I24" s="533">
        <f t="shared" si="7"/>
        <v>199000</v>
      </c>
      <c r="J24" s="533"/>
      <c r="K24" s="533">
        <f t="shared" si="2"/>
        <v>1</v>
      </c>
      <c r="L24" s="533"/>
      <c r="M24" s="533">
        <f t="shared" si="3"/>
        <v>215000</v>
      </c>
      <c r="N24" s="515"/>
      <c r="O24" s="534">
        <f t="shared" si="4"/>
        <v>0.92129629629629628</v>
      </c>
      <c r="P24" s="532">
        <v>16</v>
      </c>
      <c r="T24" s="536" t="e">
        <f t="shared" si="5"/>
        <v>#REF!</v>
      </c>
    </row>
    <row r="25" spans="1:20">
      <c r="A25" s="531">
        <f t="shared" si="0"/>
        <v>17000</v>
      </c>
      <c r="B25" s="515"/>
      <c r="C25" s="532">
        <v>1</v>
      </c>
      <c r="D25" s="533"/>
      <c r="E25" s="533">
        <f t="shared" si="6"/>
        <v>22</v>
      </c>
      <c r="F25" s="533"/>
      <c r="G25" s="533">
        <f t="shared" si="1"/>
        <v>17000</v>
      </c>
      <c r="H25" s="533"/>
      <c r="I25" s="533">
        <f t="shared" si="7"/>
        <v>216000</v>
      </c>
      <c r="J25" s="533"/>
      <c r="K25" s="533">
        <f t="shared" si="2"/>
        <v>0</v>
      </c>
      <c r="L25" s="533"/>
      <c r="M25" s="533">
        <f t="shared" si="3"/>
        <v>216000</v>
      </c>
      <c r="N25" s="515"/>
      <c r="O25" s="534">
        <f t="shared" si="4"/>
        <v>1</v>
      </c>
      <c r="P25" s="532">
        <v>17</v>
      </c>
      <c r="T25" s="536" t="e">
        <f t="shared" si="5"/>
        <v>#REF!</v>
      </c>
    </row>
    <row r="26" spans="1:20">
      <c r="A26" s="531"/>
      <c r="B26" s="515"/>
      <c r="C26" s="561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15"/>
      <c r="O26" s="534"/>
      <c r="P26" s="547"/>
      <c r="T26" s="536"/>
    </row>
    <row r="27" spans="1:20">
      <c r="A27" s="531"/>
      <c r="B27" s="515"/>
      <c r="C27" s="561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15"/>
      <c r="O27" s="534"/>
      <c r="P27" s="547"/>
      <c r="T27" s="554" t="e">
        <f>SUM(T10:T25)</f>
        <v>#REF!</v>
      </c>
    </row>
    <row r="28" spans="1:20" hidden="1">
      <c r="A28" s="531"/>
      <c r="B28" s="515"/>
      <c r="C28" s="561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15"/>
      <c r="O28" s="534"/>
      <c r="P28" s="547"/>
      <c r="T28" s="536">
        <v>1309</v>
      </c>
    </row>
    <row r="29" spans="1:20" hidden="1">
      <c r="A29" s="531"/>
      <c r="B29" s="515"/>
      <c r="C29" s="561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15"/>
      <c r="O29" s="534"/>
      <c r="P29" s="547"/>
      <c r="T29" s="536" t="e">
        <f>T27-T28</f>
        <v>#REF!</v>
      </c>
    </row>
    <row r="30" spans="1:20" hidden="1">
      <c r="A30" s="531"/>
      <c r="B30" s="544"/>
      <c r="C30" s="561"/>
      <c r="D30" s="545"/>
      <c r="E30" s="533"/>
      <c r="F30" s="533"/>
      <c r="G30" s="533"/>
      <c r="H30" s="533"/>
      <c r="I30" s="533"/>
      <c r="J30" s="545"/>
      <c r="K30" s="533"/>
      <c r="L30" s="545"/>
      <c r="M30" s="533"/>
      <c r="O30" s="534"/>
      <c r="P30" s="547"/>
      <c r="T30" s="569" t="e">
        <f>T29/T27</f>
        <v>#REF!</v>
      </c>
    </row>
    <row r="31" spans="1:20">
      <c r="A31" s="531"/>
      <c r="B31" s="515"/>
      <c r="C31" s="561"/>
      <c r="D31" s="515"/>
      <c r="E31" s="533"/>
      <c r="F31" s="533"/>
      <c r="G31" s="533"/>
      <c r="H31" s="533"/>
      <c r="I31" s="533"/>
      <c r="J31" s="515"/>
      <c r="K31" s="533"/>
      <c r="L31" s="515"/>
      <c r="M31" s="533"/>
      <c r="N31" s="515"/>
      <c r="O31" s="534"/>
      <c r="P31" s="547"/>
      <c r="T31" s="536"/>
    </row>
    <row r="32" spans="1:20">
      <c r="A32" s="531"/>
      <c r="B32" s="515"/>
      <c r="C32" s="561"/>
      <c r="D32" s="515"/>
      <c r="E32" s="533"/>
      <c r="F32" s="533"/>
      <c r="G32" s="533"/>
      <c r="H32" s="533"/>
      <c r="I32" s="533"/>
      <c r="J32" s="515"/>
      <c r="K32" s="533"/>
      <c r="L32" s="515"/>
      <c r="M32" s="533"/>
      <c r="N32" s="515"/>
      <c r="O32" s="534"/>
      <c r="P32" s="547"/>
      <c r="T32" s="536"/>
    </row>
    <row r="33" spans="1:20">
      <c r="A33" s="531"/>
      <c r="B33" s="529"/>
      <c r="C33" s="561"/>
      <c r="D33" s="529"/>
      <c r="E33" s="533"/>
      <c r="F33" s="533"/>
      <c r="G33" s="533"/>
      <c r="H33" s="533"/>
      <c r="I33" s="533"/>
      <c r="J33" s="529"/>
      <c r="K33" s="533"/>
      <c r="L33" s="529"/>
      <c r="M33" s="533"/>
      <c r="N33" s="529"/>
      <c r="O33" s="534"/>
      <c r="P33" s="547"/>
      <c r="T33" s="536"/>
    </row>
    <row r="34" spans="1:20">
      <c r="A34" s="531"/>
      <c r="B34" s="523"/>
      <c r="C34" s="561"/>
      <c r="D34" s="523"/>
      <c r="E34" s="533"/>
      <c r="F34" s="533"/>
      <c r="G34" s="533"/>
      <c r="H34" s="533"/>
      <c r="I34" s="533"/>
      <c r="J34" s="523"/>
      <c r="K34" s="533"/>
      <c r="L34" s="523"/>
      <c r="M34" s="533"/>
      <c r="N34" s="523"/>
      <c r="O34" s="534"/>
      <c r="P34" s="547"/>
      <c r="T34" s="536"/>
    </row>
    <row r="35" spans="1:20">
      <c r="A35" s="531"/>
      <c r="B35" s="525"/>
      <c r="C35" s="561"/>
      <c r="D35" s="525"/>
      <c r="E35" s="533"/>
      <c r="F35" s="533"/>
      <c r="G35" s="533"/>
      <c r="H35" s="533"/>
      <c r="I35" s="533"/>
      <c r="J35" s="525"/>
      <c r="K35" s="533"/>
      <c r="L35" s="525"/>
      <c r="M35" s="533"/>
      <c r="N35" s="525"/>
      <c r="O35" s="534"/>
      <c r="P35" s="547"/>
      <c r="T35" s="536"/>
    </row>
    <row r="36" spans="1:20">
      <c r="A36" s="531"/>
      <c r="B36" s="525"/>
      <c r="C36" s="561"/>
      <c r="D36" s="525"/>
      <c r="E36" s="533"/>
      <c r="F36" s="533"/>
      <c r="G36" s="533"/>
      <c r="H36" s="533"/>
      <c r="I36" s="533"/>
      <c r="J36" s="525"/>
      <c r="K36" s="533"/>
      <c r="L36" s="525"/>
      <c r="M36" s="533"/>
      <c r="N36" s="525"/>
      <c r="O36" s="534"/>
      <c r="P36" s="547"/>
      <c r="T36" s="536"/>
    </row>
    <row r="37" spans="1:20">
      <c r="A37" s="531"/>
      <c r="B37" s="525"/>
      <c r="C37" s="561"/>
      <c r="D37" s="525"/>
      <c r="E37" s="533"/>
      <c r="F37" s="533"/>
      <c r="G37" s="533"/>
      <c r="H37" s="533"/>
      <c r="I37" s="533"/>
      <c r="J37" s="525"/>
      <c r="K37" s="533"/>
      <c r="L37" s="525"/>
      <c r="M37" s="533"/>
      <c r="N37" s="525"/>
      <c r="O37" s="534"/>
      <c r="P37" s="547"/>
      <c r="T37" s="536"/>
    </row>
    <row r="38" spans="1:20">
      <c r="A38" s="531"/>
      <c r="B38" s="515"/>
      <c r="C38" s="561"/>
      <c r="D38" s="529"/>
      <c r="E38" s="533"/>
      <c r="F38" s="533"/>
      <c r="G38" s="533"/>
      <c r="H38" s="533"/>
      <c r="I38" s="533"/>
      <c r="J38" s="529"/>
      <c r="K38" s="533"/>
      <c r="L38" s="529"/>
      <c r="M38" s="533"/>
      <c r="N38" s="529"/>
      <c r="O38" s="534"/>
      <c r="P38" s="547"/>
      <c r="T38" s="536"/>
    </row>
    <row r="39" spans="1:20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  <c r="T39" s="536"/>
    </row>
    <row r="40" spans="1:20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  <c r="T40" s="536"/>
    </row>
    <row r="41" spans="1:20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  <c r="T41" s="536"/>
    </row>
    <row r="42" spans="1:20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  <c r="T42" s="536"/>
    </row>
    <row r="43" spans="1:20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  <c r="T43" s="536"/>
    </row>
    <row r="44" spans="1:20">
      <c r="A44" s="531"/>
      <c r="B44" s="515"/>
      <c r="C44" s="561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15"/>
      <c r="O44" s="534"/>
      <c r="P44" s="547"/>
      <c r="T44" s="536"/>
    </row>
    <row r="45" spans="1:20">
      <c r="A45" s="531"/>
      <c r="B45" s="515"/>
      <c r="C45" s="561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15"/>
      <c r="O45" s="534"/>
      <c r="P45" s="547"/>
      <c r="T45" s="536"/>
    </row>
    <row r="46" spans="1:20">
      <c r="A46" s="531"/>
      <c r="B46" s="515"/>
      <c r="C46" s="561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15"/>
      <c r="O46" s="534"/>
      <c r="P46" s="547"/>
      <c r="R46" s="515"/>
      <c r="S46" s="515"/>
      <c r="T46" s="536"/>
    </row>
    <row r="47" spans="1:20">
      <c r="A47" s="531"/>
      <c r="B47" s="515"/>
      <c r="C47" s="561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15"/>
      <c r="O47" s="534"/>
      <c r="P47" s="547"/>
    </row>
    <row r="48" spans="1:20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5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5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O65" s="541"/>
    </row>
    <row r="66" spans="1:15">
      <c r="A66" s="580"/>
      <c r="C66" s="545"/>
      <c r="D66" s="545"/>
      <c r="E66" s="545"/>
      <c r="F66" s="545"/>
      <c r="G66" s="545"/>
      <c r="H66" s="545"/>
      <c r="I66" s="545"/>
      <c r="J66" s="545"/>
      <c r="K66" s="545"/>
      <c r="L66" s="545"/>
      <c r="M66" s="545"/>
      <c r="O66" s="541"/>
    </row>
    <row r="67" spans="1:15">
      <c r="A67" s="580"/>
      <c r="C67" s="545"/>
      <c r="D67" s="545"/>
      <c r="E67" s="545"/>
      <c r="F67" s="545"/>
      <c r="G67" s="545"/>
      <c r="H67" s="545"/>
      <c r="I67" s="545"/>
      <c r="J67" s="545"/>
      <c r="K67" s="545"/>
      <c r="L67" s="545"/>
      <c r="M67" s="545"/>
      <c r="O67" s="541"/>
    </row>
    <row r="68" spans="1:15">
      <c r="A68" s="580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O68" s="541"/>
    </row>
    <row r="69" spans="1:15">
      <c r="A69" s="580"/>
      <c r="C69" s="545"/>
      <c r="D69" s="545"/>
      <c r="E69" s="545"/>
      <c r="F69" s="545"/>
      <c r="G69" s="545"/>
      <c r="H69" s="545"/>
      <c r="I69" s="545"/>
      <c r="J69" s="545"/>
      <c r="K69" s="545"/>
      <c r="L69" s="545"/>
      <c r="M69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3"/>
  <sheetViews>
    <sheetView showGridLines="0" topLeftCell="H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37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'16076-170'!R2</f>
        <v>#REF!</v>
      </c>
      <c r="S2" s="518"/>
      <c r="T2" s="519" t="e">
        <f>'16076-170'!T2</f>
        <v>#REF!</v>
      </c>
    </row>
    <row r="3" spans="1:20">
      <c r="A3" s="513" t="s">
        <v>521</v>
      </c>
      <c r="M3" s="520" t="s">
        <v>525</v>
      </c>
      <c r="R3" s="519" t="e">
        <f>'16076-170'!R3</f>
        <v>#REF!</v>
      </c>
      <c r="S3" s="518"/>
      <c r="T3" s="519" t="e">
        <f>'16076-170'!T3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e">
        <f>'16076-170'!R4</f>
        <v>#REF!</v>
      </c>
      <c r="S4" s="518"/>
      <c r="T4" s="519" t="e">
        <f>'16076-170'!T4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 t="e">
        <f>'16076-170'!R5</f>
        <v>#REF!</v>
      </c>
      <c r="S5" s="518"/>
      <c r="T5" s="519" t="e">
        <f>'16076-170'!T5</f>
        <v>#REF!</v>
      </c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 t="e">
        <f>'16076-170'!R6</f>
        <v>#REF!</v>
      </c>
      <c r="S6" s="518"/>
      <c r="T6" s="519" t="e">
        <f>'16076-170'!T6</f>
        <v>#REF!</v>
      </c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19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19" si="1">A10*C10</f>
        <v>0</v>
      </c>
      <c r="H10" s="533"/>
      <c r="I10" s="533">
        <f>G10</f>
        <v>0</v>
      </c>
      <c r="J10" s="533"/>
      <c r="K10" s="533">
        <f t="shared" ref="K10:K19" si="2">$E$19-E10</f>
        <v>11</v>
      </c>
      <c r="L10" s="533"/>
      <c r="M10" s="533">
        <f t="shared" ref="M10:M19" si="3">(A10*K10)+I10</f>
        <v>0</v>
      </c>
      <c r="O10" s="534">
        <f t="shared" ref="O10:O19" si="4">I10/$I$19</f>
        <v>0</v>
      </c>
      <c r="P10" s="532">
        <v>0</v>
      </c>
      <c r="R10" s="535"/>
      <c r="S10" s="513"/>
      <c r="T10" s="536" t="e">
        <f t="shared" ref="T10:T19" si="5">IF(A10&lt;21400,C10*$T$2,IF(A10=21400,C10*$T$2,IF(AND(A10&lt;26000,A10&gt;21400),(C10*$T$2)+((A10-21400)*C10/1000*$T$3),IF(AND(A10&gt;25000,A10&lt;51000),(C10*$T$2)+(3.6*$T$3*C10)+((A10-25000)/1000*$T$4*C10),IF(AND(A10&lt;101000,A10&gt;50000),(C10*$T$2)+(3.6*$T$3*C10)+(25*$T$4*C10)+((A10-50000)/1000*$T$5*C10),IF(A10&gt;100000,(C10*$T$2)+(3.6*$T$3*C10)+(25*$T$4*C10)+(50*$T$5*C10)+((A10-100000)/1000*$T$6*C10)))))))</f>
        <v>#REF!</v>
      </c>
    </row>
    <row r="11" spans="1:20" s="515" customFormat="1">
      <c r="A11" s="552">
        <f t="shared" si="0"/>
        <v>18000</v>
      </c>
      <c r="C11" s="532">
        <v>1</v>
      </c>
      <c r="D11" s="533"/>
      <c r="E11" s="533">
        <f t="shared" ref="E11:E19" si="6">E10+C11</f>
        <v>1</v>
      </c>
      <c r="F11" s="533"/>
      <c r="G11" s="533">
        <f t="shared" si="1"/>
        <v>18000</v>
      </c>
      <c r="H11" s="533"/>
      <c r="I11" s="533">
        <f t="shared" ref="I11:I19" si="7">I10+G11</f>
        <v>18000</v>
      </c>
      <c r="J11" s="533"/>
      <c r="K11" s="533">
        <f t="shared" si="2"/>
        <v>10</v>
      </c>
      <c r="L11" s="533"/>
      <c r="M11" s="533">
        <f t="shared" si="3"/>
        <v>198000</v>
      </c>
      <c r="O11" s="534">
        <f t="shared" si="4"/>
        <v>5.8064516129032261E-2</v>
      </c>
      <c r="P11" s="532">
        <v>18</v>
      </c>
      <c r="R11" s="535"/>
      <c r="S11" s="513"/>
      <c r="T11" s="536" t="e">
        <f t="shared" si="5"/>
        <v>#REF!</v>
      </c>
    </row>
    <row r="12" spans="1:20">
      <c r="A12" s="552">
        <f t="shared" si="0"/>
        <v>22000</v>
      </c>
      <c r="B12" s="515"/>
      <c r="C12" s="532">
        <v>1</v>
      </c>
      <c r="D12" s="533"/>
      <c r="E12" s="533">
        <f t="shared" si="6"/>
        <v>2</v>
      </c>
      <c r="F12" s="533"/>
      <c r="G12" s="533">
        <f t="shared" si="1"/>
        <v>22000</v>
      </c>
      <c r="H12" s="533"/>
      <c r="I12" s="533">
        <f t="shared" si="7"/>
        <v>40000</v>
      </c>
      <c r="J12" s="533"/>
      <c r="K12" s="533">
        <f t="shared" si="2"/>
        <v>9</v>
      </c>
      <c r="L12" s="533"/>
      <c r="M12" s="533">
        <f t="shared" si="3"/>
        <v>238000</v>
      </c>
      <c r="N12" s="515"/>
      <c r="O12" s="534">
        <f t="shared" si="4"/>
        <v>0.12903225806451613</v>
      </c>
      <c r="P12" s="532">
        <v>22</v>
      </c>
      <c r="T12" s="536" t="e">
        <f t="shared" si="5"/>
        <v>#REF!</v>
      </c>
    </row>
    <row r="13" spans="1:20">
      <c r="A13" s="552">
        <f t="shared" si="0"/>
        <v>23000</v>
      </c>
      <c r="B13" s="515"/>
      <c r="C13" s="532">
        <v>1</v>
      </c>
      <c r="D13" s="533"/>
      <c r="E13" s="533">
        <f t="shared" si="6"/>
        <v>3</v>
      </c>
      <c r="F13" s="533"/>
      <c r="G13" s="533">
        <f t="shared" si="1"/>
        <v>23000</v>
      </c>
      <c r="H13" s="533"/>
      <c r="I13" s="533">
        <f t="shared" si="7"/>
        <v>63000</v>
      </c>
      <c r="J13" s="533"/>
      <c r="K13" s="533">
        <f t="shared" si="2"/>
        <v>8</v>
      </c>
      <c r="L13" s="533"/>
      <c r="M13" s="533">
        <f t="shared" si="3"/>
        <v>247000</v>
      </c>
      <c r="N13" s="515"/>
      <c r="O13" s="534">
        <f t="shared" si="4"/>
        <v>0.20322580645161289</v>
      </c>
      <c r="P13" s="532">
        <v>23</v>
      </c>
      <c r="T13" s="536" t="e">
        <f t="shared" si="5"/>
        <v>#REF!</v>
      </c>
    </row>
    <row r="14" spans="1:20">
      <c r="A14" s="531">
        <f t="shared" si="0"/>
        <v>24000</v>
      </c>
      <c r="B14" s="515"/>
      <c r="C14" s="532">
        <v>1</v>
      </c>
      <c r="D14" s="533"/>
      <c r="E14" s="533">
        <f t="shared" si="6"/>
        <v>4</v>
      </c>
      <c r="F14" s="533"/>
      <c r="G14" s="533">
        <f t="shared" si="1"/>
        <v>24000</v>
      </c>
      <c r="H14" s="533"/>
      <c r="I14" s="533">
        <f t="shared" si="7"/>
        <v>87000</v>
      </c>
      <c r="J14" s="533"/>
      <c r="K14" s="533">
        <f t="shared" si="2"/>
        <v>7</v>
      </c>
      <c r="L14" s="533"/>
      <c r="M14" s="533">
        <f t="shared" si="3"/>
        <v>255000</v>
      </c>
      <c r="N14" s="515"/>
      <c r="O14" s="534">
        <f t="shared" si="4"/>
        <v>0.28064516129032258</v>
      </c>
      <c r="P14" s="532">
        <v>24</v>
      </c>
      <c r="T14" s="536" t="e">
        <f t="shared" si="5"/>
        <v>#REF!</v>
      </c>
    </row>
    <row r="15" spans="1:20">
      <c r="A15" s="531">
        <f t="shared" si="0"/>
        <v>27000</v>
      </c>
      <c r="B15" s="515"/>
      <c r="C15" s="532">
        <v>2</v>
      </c>
      <c r="D15" s="533"/>
      <c r="E15" s="533">
        <f t="shared" si="6"/>
        <v>6</v>
      </c>
      <c r="F15" s="533"/>
      <c r="G15" s="533">
        <f t="shared" si="1"/>
        <v>54000</v>
      </c>
      <c r="H15" s="533"/>
      <c r="I15" s="533">
        <f t="shared" si="7"/>
        <v>141000</v>
      </c>
      <c r="J15" s="533"/>
      <c r="K15" s="533">
        <f t="shared" si="2"/>
        <v>5</v>
      </c>
      <c r="L15" s="533"/>
      <c r="M15" s="533">
        <f t="shared" si="3"/>
        <v>276000</v>
      </c>
      <c r="N15" s="515"/>
      <c r="O15" s="534">
        <f t="shared" si="4"/>
        <v>0.45483870967741935</v>
      </c>
      <c r="P15" s="532">
        <v>27</v>
      </c>
      <c r="T15" s="536" t="e">
        <f t="shared" si="5"/>
        <v>#REF!</v>
      </c>
    </row>
    <row r="16" spans="1:20">
      <c r="A16" s="531">
        <f t="shared" si="0"/>
        <v>30000</v>
      </c>
      <c r="B16" s="515"/>
      <c r="C16" s="532">
        <v>1</v>
      </c>
      <c r="D16" s="533"/>
      <c r="E16" s="533">
        <f t="shared" si="6"/>
        <v>7</v>
      </c>
      <c r="F16" s="533"/>
      <c r="G16" s="533">
        <f t="shared" si="1"/>
        <v>30000</v>
      </c>
      <c r="H16" s="533"/>
      <c r="I16" s="533">
        <f t="shared" si="7"/>
        <v>171000</v>
      </c>
      <c r="J16" s="533"/>
      <c r="K16" s="533">
        <f t="shared" si="2"/>
        <v>4</v>
      </c>
      <c r="L16" s="533"/>
      <c r="M16" s="533">
        <f t="shared" si="3"/>
        <v>291000</v>
      </c>
      <c r="N16" s="515"/>
      <c r="O16" s="534">
        <f t="shared" si="4"/>
        <v>0.55161290322580647</v>
      </c>
      <c r="P16" s="532">
        <v>30</v>
      </c>
      <c r="T16" s="536" t="e">
        <f t="shared" si="5"/>
        <v>#REF!</v>
      </c>
    </row>
    <row r="17" spans="1:20">
      <c r="A17" s="531">
        <f t="shared" si="0"/>
        <v>31000</v>
      </c>
      <c r="B17" s="515"/>
      <c r="C17" s="532">
        <v>1</v>
      </c>
      <c r="D17" s="533"/>
      <c r="E17" s="533">
        <f t="shared" si="6"/>
        <v>8</v>
      </c>
      <c r="F17" s="533"/>
      <c r="G17" s="533">
        <f t="shared" si="1"/>
        <v>31000</v>
      </c>
      <c r="H17" s="533"/>
      <c r="I17" s="533">
        <f t="shared" si="7"/>
        <v>202000</v>
      </c>
      <c r="J17" s="533"/>
      <c r="K17" s="533">
        <f t="shared" si="2"/>
        <v>3</v>
      </c>
      <c r="L17" s="533"/>
      <c r="M17" s="533">
        <f t="shared" si="3"/>
        <v>295000</v>
      </c>
      <c r="N17" s="515"/>
      <c r="O17" s="534">
        <f t="shared" si="4"/>
        <v>0.65161290322580645</v>
      </c>
      <c r="P17" s="532">
        <v>31</v>
      </c>
      <c r="T17" s="536" t="e">
        <f t="shared" si="5"/>
        <v>#REF!</v>
      </c>
    </row>
    <row r="18" spans="1:20">
      <c r="A18" s="531">
        <f t="shared" si="0"/>
        <v>34000</v>
      </c>
      <c r="B18" s="515"/>
      <c r="C18" s="532">
        <v>2</v>
      </c>
      <c r="D18" s="533"/>
      <c r="E18" s="533">
        <f t="shared" si="6"/>
        <v>10</v>
      </c>
      <c r="F18" s="533"/>
      <c r="G18" s="533">
        <f t="shared" si="1"/>
        <v>68000</v>
      </c>
      <c r="H18" s="533"/>
      <c r="I18" s="533">
        <f t="shared" si="7"/>
        <v>270000</v>
      </c>
      <c r="J18" s="533"/>
      <c r="K18" s="533">
        <f t="shared" si="2"/>
        <v>1</v>
      </c>
      <c r="L18" s="533"/>
      <c r="M18" s="533">
        <f t="shared" si="3"/>
        <v>304000</v>
      </c>
      <c r="N18" s="515"/>
      <c r="O18" s="534">
        <f t="shared" si="4"/>
        <v>0.87096774193548387</v>
      </c>
      <c r="P18" s="532">
        <v>34</v>
      </c>
      <c r="T18" s="536" t="e">
        <f t="shared" si="5"/>
        <v>#REF!</v>
      </c>
    </row>
    <row r="19" spans="1:20">
      <c r="A19" s="531">
        <f t="shared" si="0"/>
        <v>40000</v>
      </c>
      <c r="B19" s="515"/>
      <c r="C19" s="532">
        <v>1</v>
      </c>
      <c r="D19" s="533"/>
      <c r="E19" s="533">
        <f t="shared" si="6"/>
        <v>11</v>
      </c>
      <c r="F19" s="533"/>
      <c r="G19" s="533">
        <f t="shared" si="1"/>
        <v>40000</v>
      </c>
      <c r="H19" s="533"/>
      <c r="I19" s="533">
        <f t="shared" si="7"/>
        <v>310000</v>
      </c>
      <c r="J19" s="533"/>
      <c r="K19" s="533">
        <f t="shared" si="2"/>
        <v>0</v>
      </c>
      <c r="L19" s="533"/>
      <c r="M19" s="533">
        <f t="shared" si="3"/>
        <v>310000</v>
      </c>
      <c r="N19" s="515"/>
      <c r="O19" s="534">
        <f t="shared" si="4"/>
        <v>1</v>
      </c>
      <c r="P19" s="532">
        <v>40</v>
      </c>
      <c r="T19" s="536" t="e">
        <f t="shared" si="5"/>
        <v>#REF!</v>
      </c>
    </row>
    <row r="20" spans="1:20">
      <c r="A20" s="531"/>
      <c r="B20" s="515"/>
      <c r="C20" s="561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15"/>
      <c r="O20" s="534"/>
      <c r="P20" s="547"/>
      <c r="T20" s="536"/>
    </row>
    <row r="21" spans="1:20">
      <c r="A21" s="531"/>
      <c r="B21" s="515"/>
      <c r="C21" s="561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15"/>
      <c r="O21" s="534"/>
      <c r="P21" s="547"/>
      <c r="T21" s="554" t="e">
        <f>SUM(T10:T19)</f>
        <v>#REF!</v>
      </c>
    </row>
    <row r="22" spans="1:20" hidden="1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6">
        <v>840</v>
      </c>
    </row>
    <row r="23" spans="1:20" hidden="1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36" t="e">
        <f>T21-T22</f>
        <v>#REF!</v>
      </c>
    </row>
    <row r="24" spans="1:20" hidden="1">
      <c r="A24" s="531"/>
      <c r="B24" s="544"/>
      <c r="C24" s="561"/>
      <c r="D24" s="545"/>
      <c r="E24" s="533"/>
      <c r="F24" s="533"/>
      <c r="G24" s="533"/>
      <c r="H24" s="533"/>
      <c r="I24" s="533"/>
      <c r="J24" s="545"/>
      <c r="K24" s="533"/>
      <c r="L24" s="545"/>
      <c r="M24" s="533"/>
      <c r="O24" s="534"/>
      <c r="P24" s="547"/>
      <c r="T24" s="569" t="e">
        <f>T23/T21</f>
        <v>#REF!</v>
      </c>
    </row>
    <row r="25" spans="1:20">
      <c r="A25" s="531"/>
      <c r="B25" s="515"/>
      <c r="C25" s="561"/>
      <c r="D25" s="515"/>
      <c r="E25" s="533"/>
      <c r="F25" s="533"/>
      <c r="G25" s="533"/>
      <c r="H25" s="533"/>
      <c r="I25" s="533"/>
      <c r="J25" s="515"/>
      <c r="K25" s="533"/>
      <c r="L25" s="515"/>
      <c r="M25" s="533"/>
      <c r="N25" s="515"/>
      <c r="O25" s="534"/>
      <c r="P25" s="547"/>
      <c r="T25" s="536"/>
    </row>
    <row r="26" spans="1:20">
      <c r="A26" s="531"/>
      <c r="B26" s="515"/>
      <c r="C26" s="561"/>
      <c r="D26" s="515"/>
      <c r="E26" s="533"/>
      <c r="F26" s="533"/>
      <c r="G26" s="533"/>
      <c r="H26" s="533"/>
      <c r="I26" s="533"/>
      <c r="J26" s="515"/>
      <c r="K26" s="533"/>
      <c r="L26" s="515"/>
      <c r="M26" s="533"/>
      <c r="N26" s="515"/>
      <c r="O26" s="534"/>
      <c r="P26" s="547"/>
    </row>
    <row r="27" spans="1:20">
      <c r="A27" s="531"/>
      <c r="B27" s="529"/>
      <c r="C27" s="561"/>
      <c r="D27" s="529"/>
      <c r="E27" s="533"/>
      <c r="F27" s="533"/>
      <c r="G27" s="533"/>
      <c r="H27" s="533"/>
      <c r="I27" s="533"/>
      <c r="J27" s="529"/>
      <c r="K27" s="533"/>
      <c r="L27" s="529"/>
      <c r="M27" s="533"/>
      <c r="N27" s="529"/>
      <c r="O27" s="534"/>
      <c r="P27" s="547"/>
    </row>
    <row r="28" spans="1:20">
      <c r="A28" s="531"/>
      <c r="B28" s="523"/>
      <c r="C28" s="561"/>
      <c r="D28" s="523"/>
      <c r="E28" s="533"/>
      <c r="F28" s="533"/>
      <c r="G28" s="533"/>
      <c r="H28" s="533"/>
      <c r="I28" s="533"/>
      <c r="J28" s="523"/>
      <c r="K28" s="533"/>
      <c r="L28" s="523"/>
      <c r="M28" s="533"/>
      <c r="N28" s="523"/>
      <c r="O28" s="534"/>
      <c r="P28" s="547"/>
    </row>
    <row r="29" spans="1:20">
      <c r="A29" s="531"/>
      <c r="B29" s="525"/>
      <c r="C29" s="561"/>
      <c r="D29" s="525"/>
      <c r="E29" s="533"/>
      <c r="F29" s="533"/>
      <c r="G29" s="533"/>
      <c r="H29" s="533"/>
      <c r="I29" s="533"/>
      <c r="J29" s="525"/>
      <c r="K29" s="533"/>
      <c r="L29" s="525"/>
      <c r="M29" s="533"/>
      <c r="N29" s="525"/>
      <c r="O29" s="534"/>
      <c r="P29" s="547"/>
    </row>
    <row r="30" spans="1:20">
      <c r="A30" s="531"/>
      <c r="B30" s="525"/>
      <c r="C30" s="561"/>
      <c r="D30" s="525"/>
      <c r="E30" s="533"/>
      <c r="F30" s="533"/>
      <c r="G30" s="533"/>
      <c r="H30" s="533"/>
      <c r="I30" s="533"/>
      <c r="J30" s="525"/>
      <c r="K30" s="533"/>
      <c r="L30" s="525"/>
      <c r="M30" s="533"/>
      <c r="N30" s="525"/>
      <c r="O30" s="534"/>
      <c r="P30" s="547"/>
    </row>
    <row r="31" spans="1:20">
      <c r="A31" s="531"/>
      <c r="B31" s="525"/>
      <c r="C31" s="561"/>
      <c r="D31" s="525"/>
      <c r="E31" s="533"/>
      <c r="F31" s="533"/>
      <c r="G31" s="533"/>
      <c r="H31" s="533"/>
      <c r="I31" s="533"/>
      <c r="J31" s="525"/>
      <c r="K31" s="533"/>
      <c r="L31" s="525"/>
      <c r="M31" s="533"/>
      <c r="N31" s="525"/>
      <c r="O31" s="534"/>
      <c r="P31" s="547"/>
    </row>
    <row r="32" spans="1:20">
      <c r="A32" s="531"/>
      <c r="B32" s="515"/>
      <c r="C32" s="561"/>
      <c r="D32" s="529"/>
      <c r="E32" s="533"/>
      <c r="F32" s="533"/>
      <c r="G32" s="533"/>
      <c r="H32" s="533"/>
      <c r="I32" s="533"/>
      <c r="J32" s="529"/>
      <c r="K32" s="533"/>
      <c r="L32" s="529"/>
      <c r="M32" s="533"/>
      <c r="N32" s="529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80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O42" s="541"/>
    </row>
    <row r="43" spans="1:16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T62"/>
  <sheetViews>
    <sheetView showGridLines="0" topLeftCell="I1" workbookViewId="0">
      <selection activeCell="R19" sqref="R19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0" style="513" customWidth="1"/>
    <col min="19" max="19" width="5.25" style="513" customWidth="1"/>
    <col min="20" max="20" width="13" style="513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str">
        <f>'16017-170'!R2</f>
        <v>First 68,400</v>
      </c>
      <c r="S2" s="518"/>
      <c r="T2" s="519" t="e">
        <f>'16017-170'!T2</f>
        <v>#REF!</v>
      </c>
    </row>
    <row r="3" spans="1:20">
      <c r="A3" s="513" t="s">
        <v>521</v>
      </c>
      <c r="M3" s="520" t="s">
        <v>526</v>
      </c>
      <c r="R3" s="519" t="str">
        <f>'16017-170'!R3</f>
        <v>Next 31,600</v>
      </c>
      <c r="S3" s="518"/>
      <c r="T3" s="519" t="e">
        <f>'16017-170'!T3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9" t="str">
        <f>'16017-170'!R4</f>
        <v>Over 100,000</v>
      </c>
      <c r="S4" s="518"/>
      <c r="T4" s="519" t="e">
        <f>'16017-170'!T4</f>
        <v>#REF!</v>
      </c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9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9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9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1" si="0">P10*1000</f>
        <v>0</v>
      </c>
      <c r="C10" s="547">
        <v>0</v>
      </c>
      <c r="D10" s="533"/>
      <c r="E10" s="533">
        <f>C10</f>
        <v>0</v>
      </c>
      <c r="F10" s="533"/>
      <c r="G10" s="533">
        <f t="shared" ref="G10:G21" si="1">A10*C10</f>
        <v>0</v>
      </c>
      <c r="H10" s="533"/>
      <c r="I10" s="533">
        <f>G10</f>
        <v>0</v>
      </c>
      <c r="J10" s="533"/>
      <c r="K10" s="533">
        <f t="shared" ref="K10:K21" si="2">$E$21-E10</f>
        <v>11</v>
      </c>
      <c r="L10" s="533"/>
      <c r="M10" s="533">
        <f t="shared" ref="M10:M21" si="3">(A10*K10)+I10</f>
        <v>0</v>
      </c>
      <c r="O10" s="534">
        <f t="shared" ref="O10:O21" si="4">I10/$I$21</f>
        <v>0</v>
      </c>
      <c r="P10" s="532">
        <v>0</v>
      </c>
      <c r="R10" s="535"/>
      <c r="S10" s="513"/>
      <c r="T10" s="536" t="e">
        <f t="shared" ref="T10:T21" si="5">IF(A10&lt;68400,C10*$T$2,IF(A10=68400,C10*$T$2,IF(AND(A10&lt;101000,A10&gt;68400),(C10*$T$2)+((A10-68400)/1000*$T$3*C10),IF(A10&gt;100000,(C10*$T$2)+(31.6*$T$3*C10)+((A10-100000)/1000*$T$4*C10)))))</f>
        <v>#REF!</v>
      </c>
    </row>
    <row r="11" spans="1:20" s="515" customFormat="1">
      <c r="A11" s="552">
        <f t="shared" si="0"/>
        <v>736000</v>
      </c>
      <c r="C11" s="547">
        <v>1</v>
      </c>
      <c r="D11" s="533"/>
      <c r="E11" s="533">
        <f t="shared" ref="E11:E21" si="6">E10+C11</f>
        <v>1</v>
      </c>
      <c r="F11" s="533"/>
      <c r="G11" s="533">
        <f t="shared" si="1"/>
        <v>736000</v>
      </c>
      <c r="H11" s="533"/>
      <c r="I11" s="533">
        <f t="shared" ref="I11:I21" si="7">I10+G11</f>
        <v>736000</v>
      </c>
      <c r="J11" s="533"/>
      <c r="K11" s="533">
        <f t="shared" si="2"/>
        <v>10</v>
      </c>
      <c r="L11" s="533"/>
      <c r="M11" s="533">
        <f t="shared" si="3"/>
        <v>8096000</v>
      </c>
      <c r="O11" s="534">
        <f t="shared" si="4"/>
        <v>4.7591335273197539E-2</v>
      </c>
      <c r="P11" s="532">
        <v>736</v>
      </c>
      <c r="R11" s="535"/>
      <c r="S11" s="513"/>
      <c r="T11" s="536" t="e">
        <f t="shared" si="5"/>
        <v>#REF!</v>
      </c>
    </row>
    <row r="12" spans="1:20">
      <c r="A12" s="552">
        <f t="shared" si="0"/>
        <v>872000</v>
      </c>
      <c r="B12" s="515"/>
      <c r="C12" s="561">
        <v>1</v>
      </c>
      <c r="D12" s="533"/>
      <c r="E12" s="533">
        <f t="shared" si="6"/>
        <v>2</v>
      </c>
      <c r="F12" s="533"/>
      <c r="G12" s="533">
        <f t="shared" si="1"/>
        <v>872000</v>
      </c>
      <c r="H12" s="533"/>
      <c r="I12" s="533">
        <f t="shared" si="7"/>
        <v>1608000</v>
      </c>
      <c r="J12" s="533"/>
      <c r="K12" s="533">
        <f t="shared" si="2"/>
        <v>9</v>
      </c>
      <c r="L12" s="533"/>
      <c r="M12" s="533">
        <f t="shared" si="3"/>
        <v>9456000</v>
      </c>
      <c r="N12" s="515"/>
      <c r="O12" s="534">
        <f t="shared" si="4"/>
        <v>0.10397672162948593</v>
      </c>
      <c r="P12" s="532">
        <v>872</v>
      </c>
      <c r="T12" s="536" t="e">
        <f t="shared" si="5"/>
        <v>#REF!</v>
      </c>
    </row>
    <row r="13" spans="1:20">
      <c r="A13" s="552">
        <f t="shared" si="0"/>
        <v>880000</v>
      </c>
      <c r="B13" s="515"/>
      <c r="C13" s="561">
        <v>1</v>
      </c>
      <c r="D13" s="533"/>
      <c r="E13" s="533">
        <f t="shared" si="6"/>
        <v>3</v>
      </c>
      <c r="F13" s="533"/>
      <c r="G13" s="533">
        <f t="shared" si="1"/>
        <v>880000</v>
      </c>
      <c r="H13" s="533"/>
      <c r="I13" s="533">
        <f t="shared" si="7"/>
        <v>2488000</v>
      </c>
      <c r="J13" s="533"/>
      <c r="K13" s="533">
        <f t="shared" si="2"/>
        <v>8</v>
      </c>
      <c r="L13" s="533"/>
      <c r="M13" s="533">
        <f t="shared" si="3"/>
        <v>9528000</v>
      </c>
      <c r="N13" s="515"/>
      <c r="O13" s="534">
        <f t="shared" si="4"/>
        <v>0.16087940510830909</v>
      </c>
      <c r="P13" s="532">
        <v>880</v>
      </c>
      <c r="T13" s="536" t="e">
        <f t="shared" si="5"/>
        <v>#REF!</v>
      </c>
    </row>
    <row r="14" spans="1:20">
      <c r="A14" s="531">
        <f t="shared" si="0"/>
        <v>911000</v>
      </c>
      <c r="B14" s="515"/>
      <c r="C14" s="561">
        <v>1</v>
      </c>
      <c r="D14" s="533"/>
      <c r="E14" s="533">
        <f t="shared" si="6"/>
        <v>4</v>
      </c>
      <c r="F14" s="533"/>
      <c r="G14" s="533">
        <f t="shared" si="1"/>
        <v>911000</v>
      </c>
      <c r="H14" s="533"/>
      <c r="I14" s="533">
        <f t="shared" si="7"/>
        <v>3399000</v>
      </c>
      <c r="J14" s="533"/>
      <c r="K14" s="533">
        <f t="shared" si="2"/>
        <v>7</v>
      </c>
      <c r="L14" s="533"/>
      <c r="M14" s="533">
        <f t="shared" si="3"/>
        <v>9776000</v>
      </c>
      <c r="N14" s="515"/>
      <c r="O14" s="534">
        <f t="shared" si="4"/>
        <v>0.21978661493695442</v>
      </c>
      <c r="P14" s="532">
        <v>911</v>
      </c>
      <c r="T14" s="536" t="e">
        <f t="shared" si="5"/>
        <v>#REF!</v>
      </c>
    </row>
    <row r="15" spans="1:20">
      <c r="A15" s="531">
        <f t="shared" si="0"/>
        <v>942000</v>
      </c>
      <c r="B15" s="515"/>
      <c r="C15" s="561">
        <v>1</v>
      </c>
      <c r="D15" s="533"/>
      <c r="E15" s="533">
        <f t="shared" si="6"/>
        <v>5</v>
      </c>
      <c r="F15" s="533"/>
      <c r="G15" s="533">
        <f t="shared" si="1"/>
        <v>942000</v>
      </c>
      <c r="H15" s="533"/>
      <c r="I15" s="533">
        <f t="shared" si="7"/>
        <v>4341000</v>
      </c>
      <c r="J15" s="533"/>
      <c r="K15" s="533">
        <f t="shared" si="2"/>
        <v>6</v>
      </c>
      <c r="L15" s="533"/>
      <c r="M15" s="533">
        <f t="shared" si="3"/>
        <v>9993000</v>
      </c>
      <c r="N15" s="515"/>
      <c r="O15" s="534">
        <f t="shared" si="4"/>
        <v>0.28069835111542191</v>
      </c>
      <c r="P15" s="532">
        <v>942</v>
      </c>
      <c r="T15" s="536" t="e">
        <f t="shared" si="5"/>
        <v>#REF!</v>
      </c>
    </row>
    <row r="16" spans="1:20">
      <c r="A16" s="531">
        <f t="shared" si="0"/>
        <v>974000</v>
      </c>
      <c r="B16" s="515"/>
      <c r="C16" s="561">
        <v>1</v>
      </c>
      <c r="D16" s="533"/>
      <c r="E16" s="533">
        <f t="shared" si="6"/>
        <v>6</v>
      </c>
      <c r="F16" s="533"/>
      <c r="G16" s="533">
        <f t="shared" si="1"/>
        <v>974000</v>
      </c>
      <c r="H16" s="533"/>
      <c r="I16" s="533">
        <f t="shared" si="7"/>
        <v>5315000</v>
      </c>
      <c r="J16" s="533"/>
      <c r="K16" s="533">
        <f t="shared" si="2"/>
        <v>5</v>
      </c>
      <c r="L16" s="533"/>
      <c r="M16" s="533">
        <f t="shared" si="3"/>
        <v>10185000</v>
      </c>
      <c r="N16" s="515"/>
      <c r="O16" s="534">
        <f t="shared" si="4"/>
        <v>0.34367927578402846</v>
      </c>
      <c r="P16" s="532">
        <v>974</v>
      </c>
      <c r="T16" s="536" t="e">
        <f t="shared" si="5"/>
        <v>#REF!</v>
      </c>
    </row>
    <row r="17" spans="1:20">
      <c r="A17" s="531">
        <f t="shared" si="0"/>
        <v>1000000</v>
      </c>
      <c r="B17" s="515"/>
      <c r="C17" s="561">
        <v>1</v>
      </c>
      <c r="D17" s="533"/>
      <c r="E17" s="533">
        <f t="shared" si="6"/>
        <v>7</v>
      </c>
      <c r="F17" s="533"/>
      <c r="G17" s="533">
        <f t="shared" si="1"/>
        <v>1000000</v>
      </c>
      <c r="H17" s="533"/>
      <c r="I17" s="533">
        <f t="shared" si="7"/>
        <v>6315000</v>
      </c>
      <c r="J17" s="533"/>
      <c r="K17" s="533">
        <f t="shared" si="2"/>
        <v>4</v>
      </c>
      <c r="L17" s="533"/>
      <c r="M17" s="533">
        <f t="shared" si="3"/>
        <v>10315000</v>
      </c>
      <c r="N17" s="515"/>
      <c r="O17" s="534">
        <f t="shared" si="4"/>
        <v>0.40834141610087293</v>
      </c>
      <c r="P17" s="532">
        <v>1000</v>
      </c>
      <c r="T17" s="536" t="e">
        <f t="shared" si="5"/>
        <v>#REF!</v>
      </c>
    </row>
    <row r="18" spans="1:20">
      <c r="A18" s="531">
        <f t="shared" si="0"/>
        <v>1520000</v>
      </c>
      <c r="B18" s="515"/>
      <c r="C18" s="561">
        <v>1</v>
      </c>
      <c r="D18" s="533"/>
      <c r="E18" s="533">
        <f t="shared" si="6"/>
        <v>8</v>
      </c>
      <c r="F18" s="533"/>
      <c r="G18" s="533">
        <f t="shared" si="1"/>
        <v>1520000</v>
      </c>
      <c r="H18" s="533"/>
      <c r="I18" s="533">
        <f t="shared" si="7"/>
        <v>7835000</v>
      </c>
      <c r="J18" s="533"/>
      <c r="K18" s="533">
        <f t="shared" si="2"/>
        <v>3</v>
      </c>
      <c r="L18" s="533"/>
      <c r="M18" s="533">
        <f t="shared" si="3"/>
        <v>12395000</v>
      </c>
      <c r="N18" s="515"/>
      <c r="O18" s="534">
        <f t="shared" si="4"/>
        <v>0.50662786938247661</v>
      </c>
      <c r="P18" s="532">
        <v>1520</v>
      </c>
      <c r="T18" s="536" t="e">
        <f t="shared" si="5"/>
        <v>#REF!</v>
      </c>
    </row>
    <row r="19" spans="1:20">
      <c r="A19" s="531">
        <f t="shared" si="0"/>
        <v>1830000</v>
      </c>
      <c r="B19" s="515"/>
      <c r="C19" s="561">
        <v>1</v>
      </c>
      <c r="D19" s="533"/>
      <c r="E19" s="533">
        <f t="shared" si="6"/>
        <v>9</v>
      </c>
      <c r="F19" s="533"/>
      <c r="G19" s="533">
        <f t="shared" si="1"/>
        <v>1830000</v>
      </c>
      <c r="H19" s="533"/>
      <c r="I19" s="533">
        <f t="shared" si="7"/>
        <v>9665000</v>
      </c>
      <c r="J19" s="533"/>
      <c r="K19" s="533">
        <f t="shared" si="2"/>
        <v>2</v>
      </c>
      <c r="L19" s="533"/>
      <c r="M19" s="533">
        <f t="shared" si="3"/>
        <v>13325000</v>
      </c>
      <c r="N19" s="515"/>
      <c r="O19" s="534">
        <f t="shared" si="4"/>
        <v>0.62495958616230196</v>
      </c>
      <c r="P19" s="532">
        <v>1830</v>
      </c>
      <c r="T19" s="536" t="e">
        <f t="shared" si="5"/>
        <v>#REF!</v>
      </c>
    </row>
    <row r="20" spans="1:20">
      <c r="A20" s="531">
        <f t="shared" si="0"/>
        <v>2160000</v>
      </c>
      <c r="B20" s="515"/>
      <c r="C20" s="561">
        <v>1</v>
      </c>
      <c r="D20" s="533"/>
      <c r="E20" s="533">
        <f t="shared" si="6"/>
        <v>10</v>
      </c>
      <c r="F20" s="533"/>
      <c r="G20" s="533">
        <f t="shared" si="1"/>
        <v>2160000</v>
      </c>
      <c r="H20" s="533"/>
      <c r="I20" s="533">
        <f t="shared" si="7"/>
        <v>11825000</v>
      </c>
      <c r="J20" s="533"/>
      <c r="K20" s="533">
        <f t="shared" si="2"/>
        <v>1</v>
      </c>
      <c r="L20" s="533"/>
      <c r="M20" s="533">
        <f t="shared" si="3"/>
        <v>13985000</v>
      </c>
      <c r="N20" s="515"/>
      <c r="O20" s="534">
        <f t="shared" si="4"/>
        <v>0.76462980924668611</v>
      </c>
      <c r="P20" s="532">
        <v>2160</v>
      </c>
      <c r="T20" s="536" t="e">
        <f t="shared" si="5"/>
        <v>#REF!</v>
      </c>
    </row>
    <row r="21" spans="1:20">
      <c r="A21" s="531">
        <f t="shared" si="0"/>
        <v>3640000</v>
      </c>
      <c r="B21" s="515"/>
      <c r="C21" s="561">
        <v>1</v>
      </c>
      <c r="D21" s="533"/>
      <c r="E21" s="533">
        <f t="shared" si="6"/>
        <v>11</v>
      </c>
      <c r="F21" s="533"/>
      <c r="G21" s="533">
        <f t="shared" si="1"/>
        <v>3640000</v>
      </c>
      <c r="H21" s="533"/>
      <c r="I21" s="533">
        <f t="shared" si="7"/>
        <v>15465000</v>
      </c>
      <c r="J21" s="533"/>
      <c r="K21" s="533">
        <f t="shared" si="2"/>
        <v>0</v>
      </c>
      <c r="L21" s="533"/>
      <c r="M21" s="533">
        <f t="shared" si="3"/>
        <v>15465000</v>
      </c>
      <c r="N21" s="515"/>
      <c r="O21" s="534">
        <f t="shared" si="4"/>
        <v>1</v>
      </c>
      <c r="P21" s="532">
        <v>3640</v>
      </c>
      <c r="T21" s="536" t="e">
        <f t="shared" si="5"/>
        <v>#REF!</v>
      </c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6"/>
    </row>
    <row r="23" spans="1:20">
      <c r="A23" s="531"/>
      <c r="B23" s="544"/>
      <c r="C23" s="561"/>
      <c r="D23" s="545"/>
      <c r="E23" s="533"/>
      <c r="F23" s="533"/>
      <c r="G23" s="533"/>
      <c r="H23" s="533"/>
      <c r="I23" s="533"/>
      <c r="J23" s="545"/>
      <c r="K23" s="533"/>
      <c r="L23" s="545"/>
      <c r="M23" s="533"/>
      <c r="O23" s="534"/>
      <c r="P23" s="547"/>
      <c r="T23" s="554" t="e">
        <f>SUM(T10:T21)</f>
        <v>#REF!</v>
      </c>
    </row>
    <row r="24" spans="1:20" hidden="1">
      <c r="A24" s="531"/>
      <c r="B24" s="515"/>
      <c r="C24" s="561"/>
      <c r="D24" s="515"/>
      <c r="E24" s="533"/>
      <c r="F24" s="533"/>
      <c r="G24" s="533"/>
      <c r="H24" s="533"/>
      <c r="I24" s="533"/>
      <c r="J24" s="515"/>
      <c r="K24" s="533"/>
      <c r="L24" s="515"/>
      <c r="M24" s="533"/>
      <c r="N24" s="515"/>
      <c r="O24" s="534"/>
      <c r="P24" s="547"/>
      <c r="T24" s="536">
        <v>22004</v>
      </c>
    </row>
    <row r="25" spans="1:20" hidden="1">
      <c r="A25" s="531"/>
      <c r="B25" s="515"/>
      <c r="C25" s="561"/>
      <c r="D25" s="515"/>
      <c r="E25" s="533"/>
      <c r="F25" s="533"/>
      <c r="G25" s="533"/>
      <c r="H25" s="533"/>
      <c r="I25" s="533"/>
      <c r="J25" s="515"/>
      <c r="K25" s="533"/>
      <c r="L25" s="515"/>
      <c r="M25" s="533"/>
      <c r="N25" s="515"/>
      <c r="O25" s="534"/>
      <c r="P25" s="547"/>
      <c r="T25" s="536" t="e">
        <f>T23-T24</f>
        <v>#REF!</v>
      </c>
    </row>
    <row r="26" spans="1:20" hidden="1">
      <c r="A26" s="531"/>
      <c r="B26" s="529"/>
      <c r="C26" s="561"/>
      <c r="D26" s="529"/>
      <c r="E26" s="533"/>
      <c r="F26" s="533"/>
      <c r="G26" s="533"/>
      <c r="H26" s="533"/>
      <c r="I26" s="533"/>
      <c r="J26" s="529"/>
      <c r="K26" s="533"/>
      <c r="L26" s="529"/>
      <c r="M26" s="533"/>
      <c r="N26" s="529"/>
      <c r="O26" s="534"/>
      <c r="P26" s="547"/>
      <c r="T26" s="569" t="e">
        <f>T25/T23</f>
        <v>#REF!</v>
      </c>
    </row>
    <row r="27" spans="1:20">
      <c r="A27" s="531"/>
      <c r="B27" s="523"/>
      <c r="C27" s="561"/>
      <c r="D27" s="523"/>
      <c r="E27" s="533"/>
      <c r="F27" s="533"/>
      <c r="G27" s="533"/>
      <c r="H27" s="533"/>
      <c r="I27" s="533"/>
      <c r="J27" s="523"/>
      <c r="K27" s="533"/>
      <c r="L27" s="523"/>
      <c r="M27" s="533"/>
      <c r="N27" s="523"/>
      <c r="O27" s="534"/>
      <c r="P27" s="547"/>
      <c r="T27" s="536"/>
    </row>
    <row r="28" spans="1:20">
      <c r="A28" s="531"/>
      <c r="B28" s="525"/>
      <c r="C28" s="561"/>
      <c r="D28" s="525"/>
      <c r="E28" s="533"/>
      <c r="F28" s="533"/>
      <c r="G28" s="533"/>
      <c r="H28" s="533"/>
      <c r="I28" s="533"/>
      <c r="J28" s="525"/>
      <c r="K28" s="533"/>
      <c r="L28" s="525"/>
      <c r="M28" s="533"/>
      <c r="N28" s="525"/>
      <c r="O28" s="534"/>
      <c r="P28" s="547"/>
      <c r="T28" s="536"/>
    </row>
    <row r="29" spans="1:20">
      <c r="A29" s="531"/>
      <c r="B29" s="525"/>
      <c r="C29" s="561"/>
      <c r="D29" s="525"/>
      <c r="E29" s="533"/>
      <c r="F29" s="533"/>
      <c r="G29" s="533"/>
      <c r="H29" s="533"/>
      <c r="I29" s="533"/>
      <c r="J29" s="525"/>
      <c r="K29" s="533"/>
      <c r="L29" s="525"/>
      <c r="M29" s="533"/>
      <c r="N29" s="525"/>
      <c r="O29" s="534"/>
      <c r="P29" s="547"/>
      <c r="T29" s="536"/>
    </row>
    <row r="30" spans="1:20">
      <c r="A30" s="531"/>
      <c r="B30" s="525"/>
      <c r="C30" s="561"/>
      <c r="D30" s="525"/>
      <c r="E30" s="533"/>
      <c r="F30" s="533"/>
      <c r="G30" s="533"/>
      <c r="H30" s="533"/>
      <c r="I30" s="533"/>
      <c r="J30" s="525"/>
      <c r="K30" s="533"/>
      <c r="L30" s="525"/>
      <c r="M30" s="533"/>
      <c r="N30" s="525"/>
      <c r="O30" s="534"/>
      <c r="P30" s="547"/>
      <c r="T30" s="536"/>
    </row>
    <row r="31" spans="1:20">
      <c r="A31" s="531"/>
      <c r="B31" s="515"/>
      <c r="C31" s="561"/>
      <c r="D31" s="529"/>
      <c r="E31" s="533"/>
      <c r="F31" s="533"/>
      <c r="G31" s="533"/>
      <c r="H31" s="533"/>
      <c r="I31" s="533"/>
      <c r="J31" s="529"/>
      <c r="K31" s="533"/>
      <c r="L31" s="529"/>
      <c r="M31" s="533"/>
      <c r="N31" s="529"/>
      <c r="O31" s="534"/>
      <c r="P31" s="547"/>
    </row>
    <row r="32" spans="1:20">
      <c r="A32" s="531"/>
      <c r="B32" s="515"/>
      <c r="C32" s="561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15"/>
      <c r="O32" s="534"/>
      <c r="P32" s="547"/>
    </row>
    <row r="33" spans="1:16">
      <c r="A33" s="531"/>
      <c r="B33" s="515"/>
      <c r="C33" s="561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15"/>
      <c r="O33" s="534"/>
      <c r="P33" s="547"/>
    </row>
    <row r="34" spans="1:16">
      <c r="A34" s="531"/>
      <c r="B34" s="515"/>
      <c r="C34" s="561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15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80"/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O41" s="541"/>
    </row>
    <row r="42" spans="1:16">
      <c r="A42" s="580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O42" s="541"/>
    </row>
    <row r="43" spans="1:16">
      <c r="A43" s="580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O43" s="541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"/>
  <sheetViews>
    <sheetView showGridLines="0" topLeftCell="J1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6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#REF!</f>
        <v>#REF!</v>
      </c>
      <c r="S2" s="518"/>
      <c r="T2" s="519" t="e">
        <f>#REF!</f>
        <v>#REF!</v>
      </c>
    </row>
    <row r="3" spans="1:20">
      <c r="A3" s="513" t="s">
        <v>521</v>
      </c>
      <c r="M3" s="520" t="s">
        <v>527</v>
      </c>
      <c r="R3" s="519" t="e">
        <f>#REF!</f>
        <v>#REF!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/>
      <c r="S4" s="518"/>
      <c r="T4" s="519"/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1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1" si="1">A10*C10</f>
        <v>0</v>
      </c>
      <c r="H10" s="533"/>
      <c r="I10" s="533">
        <f>G10</f>
        <v>0</v>
      </c>
      <c r="J10" s="533"/>
      <c r="K10" s="533">
        <f t="shared" ref="K10:K21" si="2">$E$21-E10</f>
        <v>11</v>
      </c>
      <c r="L10" s="533"/>
      <c r="M10" s="533">
        <f t="shared" ref="M10:M21" si="3">(A10*K10)+I10</f>
        <v>0</v>
      </c>
      <c r="O10" s="534">
        <f t="shared" ref="O10:O21" si="4">I10/$I$21</f>
        <v>0</v>
      </c>
      <c r="P10" s="532">
        <v>0</v>
      </c>
      <c r="R10" s="535"/>
      <c r="S10" s="513"/>
      <c r="T10" s="536" t="e">
        <f t="shared" ref="T10:T21" si="5">IF(A10&lt;127500,C10*$T$2,IF(A10=127500,C10*$T$2,IF(A10&gt;127500,(C10*$T$2)+((A10-127500)/1000*$T$3*C10))))</f>
        <v>#REF!</v>
      </c>
    </row>
    <row r="11" spans="1:20" s="515" customFormat="1">
      <c r="A11" s="552">
        <f t="shared" si="0"/>
        <v>74000</v>
      </c>
      <c r="C11" s="532">
        <v>1</v>
      </c>
      <c r="D11" s="533"/>
      <c r="E11" s="533">
        <f t="shared" ref="E11:E21" si="6">E10+C11</f>
        <v>1</v>
      </c>
      <c r="F11" s="533"/>
      <c r="G11" s="533">
        <f t="shared" si="1"/>
        <v>74000</v>
      </c>
      <c r="H11" s="533"/>
      <c r="I11" s="533">
        <f t="shared" ref="I11:I21" si="7">I10+G11</f>
        <v>74000</v>
      </c>
      <c r="J11" s="533"/>
      <c r="K11" s="533">
        <f t="shared" si="2"/>
        <v>10</v>
      </c>
      <c r="L11" s="533"/>
      <c r="M11" s="533">
        <f t="shared" si="3"/>
        <v>814000</v>
      </c>
      <c r="O11" s="534">
        <f t="shared" si="4"/>
        <v>5.0580997949419004E-2</v>
      </c>
      <c r="P11" s="532">
        <v>74</v>
      </c>
      <c r="R11" s="535"/>
      <c r="S11" s="513"/>
      <c r="T11" s="536" t="e">
        <f t="shared" si="5"/>
        <v>#REF!</v>
      </c>
    </row>
    <row r="12" spans="1:20">
      <c r="A12" s="552">
        <f t="shared" si="0"/>
        <v>84000</v>
      </c>
      <c r="B12" s="515"/>
      <c r="C12" s="532">
        <v>1</v>
      </c>
      <c r="D12" s="533"/>
      <c r="E12" s="533">
        <f t="shared" si="6"/>
        <v>2</v>
      </c>
      <c r="F12" s="533"/>
      <c r="G12" s="533">
        <f t="shared" si="1"/>
        <v>84000</v>
      </c>
      <c r="H12" s="533"/>
      <c r="I12" s="533">
        <f t="shared" si="7"/>
        <v>158000</v>
      </c>
      <c r="J12" s="533"/>
      <c r="K12" s="533">
        <f t="shared" si="2"/>
        <v>9</v>
      </c>
      <c r="L12" s="533"/>
      <c r="M12" s="533">
        <f t="shared" si="3"/>
        <v>914000</v>
      </c>
      <c r="N12" s="515"/>
      <c r="O12" s="534">
        <f t="shared" si="4"/>
        <v>0.10799726589200273</v>
      </c>
      <c r="P12" s="532">
        <v>84</v>
      </c>
      <c r="T12" s="536" t="e">
        <f t="shared" si="5"/>
        <v>#REF!</v>
      </c>
    </row>
    <row r="13" spans="1:20">
      <c r="A13" s="552">
        <f t="shared" si="0"/>
        <v>89000</v>
      </c>
      <c r="B13" s="515"/>
      <c r="C13" s="532">
        <v>1</v>
      </c>
      <c r="D13" s="533"/>
      <c r="E13" s="533">
        <f t="shared" si="6"/>
        <v>3</v>
      </c>
      <c r="F13" s="533"/>
      <c r="G13" s="533">
        <f t="shared" si="1"/>
        <v>89000</v>
      </c>
      <c r="H13" s="533"/>
      <c r="I13" s="533">
        <f t="shared" si="7"/>
        <v>247000</v>
      </c>
      <c r="J13" s="533"/>
      <c r="K13" s="533">
        <f t="shared" si="2"/>
        <v>8</v>
      </c>
      <c r="L13" s="533"/>
      <c r="M13" s="533">
        <f t="shared" si="3"/>
        <v>959000</v>
      </c>
      <c r="N13" s="515"/>
      <c r="O13" s="534">
        <f t="shared" si="4"/>
        <v>0.16883116883116883</v>
      </c>
      <c r="P13" s="532">
        <v>89</v>
      </c>
      <c r="T13" s="536" t="e">
        <f t="shared" si="5"/>
        <v>#REF!</v>
      </c>
    </row>
    <row r="14" spans="1:20">
      <c r="A14" s="531">
        <f t="shared" si="0"/>
        <v>105000</v>
      </c>
      <c r="B14" s="515"/>
      <c r="C14" s="532">
        <v>1</v>
      </c>
      <c r="D14" s="533"/>
      <c r="E14" s="533">
        <f t="shared" si="6"/>
        <v>4</v>
      </c>
      <c r="F14" s="533"/>
      <c r="G14" s="533">
        <f t="shared" si="1"/>
        <v>105000</v>
      </c>
      <c r="H14" s="533"/>
      <c r="I14" s="533">
        <f t="shared" si="7"/>
        <v>352000</v>
      </c>
      <c r="J14" s="533"/>
      <c r="K14" s="533">
        <f t="shared" si="2"/>
        <v>7</v>
      </c>
      <c r="L14" s="533"/>
      <c r="M14" s="533">
        <f t="shared" si="3"/>
        <v>1087000</v>
      </c>
      <c r="N14" s="515"/>
      <c r="O14" s="534">
        <f t="shared" si="4"/>
        <v>0.24060150375939848</v>
      </c>
      <c r="P14" s="532">
        <v>105</v>
      </c>
      <c r="T14" s="536" t="e">
        <f t="shared" si="5"/>
        <v>#REF!</v>
      </c>
    </row>
    <row r="15" spans="1:20">
      <c r="A15" s="531">
        <f t="shared" si="0"/>
        <v>113000</v>
      </c>
      <c r="B15" s="515"/>
      <c r="C15" s="532">
        <v>1</v>
      </c>
      <c r="D15" s="533"/>
      <c r="E15" s="533">
        <f t="shared" si="6"/>
        <v>5</v>
      </c>
      <c r="F15" s="533"/>
      <c r="G15" s="533">
        <f t="shared" si="1"/>
        <v>113000</v>
      </c>
      <c r="H15" s="533"/>
      <c r="I15" s="533">
        <f t="shared" si="7"/>
        <v>465000</v>
      </c>
      <c r="J15" s="533"/>
      <c r="K15" s="533">
        <f t="shared" si="2"/>
        <v>6</v>
      </c>
      <c r="L15" s="533"/>
      <c r="M15" s="533">
        <f t="shared" si="3"/>
        <v>1143000</v>
      </c>
      <c r="N15" s="515"/>
      <c r="O15" s="534">
        <f t="shared" si="4"/>
        <v>0.31784005468215992</v>
      </c>
      <c r="P15" s="532">
        <v>113</v>
      </c>
      <c r="T15" s="536" t="e">
        <f t="shared" si="5"/>
        <v>#REF!</v>
      </c>
    </row>
    <row r="16" spans="1:20">
      <c r="A16" s="531">
        <f t="shared" si="0"/>
        <v>120000</v>
      </c>
      <c r="B16" s="515"/>
      <c r="C16" s="532">
        <v>1</v>
      </c>
      <c r="D16" s="533"/>
      <c r="E16" s="533">
        <f t="shared" si="6"/>
        <v>6</v>
      </c>
      <c r="F16" s="533"/>
      <c r="G16" s="533">
        <f t="shared" si="1"/>
        <v>120000</v>
      </c>
      <c r="H16" s="533"/>
      <c r="I16" s="533">
        <f t="shared" si="7"/>
        <v>585000</v>
      </c>
      <c r="J16" s="533"/>
      <c r="K16" s="533">
        <f t="shared" si="2"/>
        <v>5</v>
      </c>
      <c r="L16" s="533"/>
      <c r="M16" s="533">
        <f t="shared" si="3"/>
        <v>1185000</v>
      </c>
      <c r="N16" s="515"/>
      <c r="O16" s="534">
        <f t="shared" si="4"/>
        <v>0.3998632946001367</v>
      </c>
      <c r="P16" s="532">
        <v>120</v>
      </c>
      <c r="T16" s="536" t="e">
        <f t="shared" si="5"/>
        <v>#REF!</v>
      </c>
    </row>
    <row r="17" spans="1:20">
      <c r="A17" s="531">
        <f t="shared" si="0"/>
        <v>124000</v>
      </c>
      <c r="B17" s="515"/>
      <c r="C17" s="532">
        <v>1</v>
      </c>
      <c r="D17" s="533"/>
      <c r="E17" s="533">
        <f t="shared" si="6"/>
        <v>7</v>
      </c>
      <c r="F17" s="533"/>
      <c r="G17" s="533">
        <f t="shared" si="1"/>
        <v>124000</v>
      </c>
      <c r="H17" s="533"/>
      <c r="I17" s="533">
        <f t="shared" si="7"/>
        <v>709000</v>
      </c>
      <c r="J17" s="533"/>
      <c r="K17" s="533">
        <f t="shared" si="2"/>
        <v>4</v>
      </c>
      <c r="L17" s="533"/>
      <c r="M17" s="533">
        <f t="shared" si="3"/>
        <v>1205000</v>
      </c>
      <c r="N17" s="515"/>
      <c r="O17" s="534">
        <f t="shared" si="4"/>
        <v>0.48462064251537934</v>
      </c>
      <c r="P17" s="532">
        <v>124</v>
      </c>
      <c r="T17" s="536" t="e">
        <f t="shared" si="5"/>
        <v>#REF!</v>
      </c>
    </row>
    <row r="18" spans="1:20">
      <c r="A18" s="531">
        <f t="shared" si="0"/>
        <v>126000</v>
      </c>
      <c r="B18" s="515"/>
      <c r="C18" s="532">
        <v>1</v>
      </c>
      <c r="D18" s="533"/>
      <c r="E18" s="533">
        <f t="shared" si="6"/>
        <v>8</v>
      </c>
      <c r="F18" s="533"/>
      <c r="G18" s="533">
        <f t="shared" si="1"/>
        <v>126000</v>
      </c>
      <c r="H18" s="533"/>
      <c r="I18" s="533">
        <f t="shared" si="7"/>
        <v>835000</v>
      </c>
      <c r="J18" s="533"/>
      <c r="K18" s="533">
        <f t="shared" si="2"/>
        <v>3</v>
      </c>
      <c r="L18" s="533"/>
      <c r="M18" s="533">
        <f t="shared" si="3"/>
        <v>1213000</v>
      </c>
      <c r="N18" s="515"/>
      <c r="O18" s="534">
        <f t="shared" si="4"/>
        <v>0.570745044429255</v>
      </c>
      <c r="P18" s="532">
        <v>126</v>
      </c>
      <c r="T18" s="536" t="e">
        <f t="shared" si="5"/>
        <v>#REF!</v>
      </c>
    </row>
    <row r="19" spans="1:20">
      <c r="A19" s="531">
        <f t="shared" si="0"/>
        <v>146000</v>
      </c>
      <c r="B19" s="515"/>
      <c r="C19" s="532">
        <v>1</v>
      </c>
      <c r="D19" s="533"/>
      <c r="E19" s="533">
        <f t="shared" si="6"/>
        <v>9</v>
      </c>
      <c r="F19" s="533"/>
      <c r="G19" s="533">
        <f t="shared" si="1"/>
        <v>146000</v>
      </c>
      <c r="H19" s="533"/>
      <c r="I19" s="533">
        <f t="shared" si="7"/>
        <v>981000</v>
      </c>
      <c r="J19" s="533"/>
      <c r="K19" s="533">
        <f t="shared" si="2"/>
        <v>2</v>
      </c>
      <c r="L19" s="533"/>
      <c r="M19" s="533">
        <f t="shared" si="3"/>
        <v>1273000</v>
      </c>
      <c r="N19" s="515"/>
      <c r="O19" s="534">
        <f t="shared" si="4"/>
        <v>0.67053998632945999</v>
      </c>
      <c r="P19" s="532">
        <v>146</v>
      </c>
      <c r="T19" s="536" t="e">
        <f t="shared" si="5"/>
        <v>#REF!</v>
      </c>
    </row>
    <row r="20" spans="1:20">
      <c r="A20" s="531">
        <f t="shared" si="0"/>
        <v>178000</v>
      </c>
      <c r="B20" s="515"/>
      <c r="C20" s="532">
        <v>1</v>
      </c>
      <c r="D20" s="533"/>
      <c r="E20" s="533">
        <f t="shared" si="6"/>
        <v>10</v>
      </c>
      <c r="F20" s="533"/>
      <c r="G20" s="533">
        <f t="shared" si="1"/>
        <v>178000</v>
      </c>
      <c r="H20" s="533"/>
      <c r="I20" s="533">
        <f t="shared" si="7"/>
        <v>1159000</v>
      </c>
      <c r="J20" s="533"/>
      <c r="K20" s="533">
        <f t="shared" si="2"/>
        <v>1</v>
      </c>
      <c r="L20" s="533"/>
      <c r="M20" s="533">
        <f t="shared" si="3"/>
        <v>1337000</v>
      </c>
      <c r="N20" s="515"/>
      <c r="O20" s="534">
        <f t="shared" si="4"/>
        <v>0.79220779220779225</v>
      </c>
      <c r="P20" s="532">
        <v>178</v>
      </c>
      <c r="T20" s="536" t="e">
        <f t="shared" si="5"/>
        <v>#REF!</v>
      </c>
    </row>
    <row r="21" spans="1:20">
      <c r="A21" s="531">
        <f t="shared" si="0"/>
        <v>304000</v>
      </c>
      <c r="B21" s="515"/>
      <c r="C21" s="532">
        <v>1</v>
      </c>
      <c r="D21" s="533"/>
      <c r="E21" s="533">
        <f t="shared" si="6"/>
        <v>11</v>
      </c>
      <c r="F21" s="533"/>
      <c r="G21" s="533">
        <f t="shared" si="1"/>
        <v>304000</v>
      </c>
      <c r="H21" s="533"/>
      <c r="I21" s="533">
        <f t="shared" si="7"/>
        <v>1463000</v>
      </c>
      <c r="J21" s="533"/>
      <c r="K21" s="533">
        <f t="shared" si="2"/>
        <v>0</v>
      </c>
      <c r="L21" s="533"/>
      <c r="M21" s="533">
        <f t="shared" si="3"/>
        <v>1463000</v>
      </c>
      <c r="N21" s="515"/>
      <c r="O21" s="534">
        <f t="shared" si="4"/>
        <v>1</v>
      </c>
      <c r="P21" s="532">
        <v>304</v>
      </c>
      <c r="T21" s="536" t="e">
        <f t="shared" si="5"/>
        <v>#REF!</v>
      </c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  <c r="T22" s="539" t="e">
        <f>SUM(T10:T21)</f>
        <v>#REF!</v>
      </c>
    </row>
    <row r="23" spans="1:20" hidden="1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13">
        <v>3606</v>
      </c>
    </row>
    <row r="24" spans="1:20" hidden="1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T24" s="540" t="e">
        <f>T22-T23</f>
        <v>#REF!</v>
      </c>
    </row>
    <row r="25" spans="1:20" hidden="1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T25" s="555" t="e">
        <f>T24/T22</f>
        <v>#REF!</v>
      </c>
    </row>
    <row r="26" spans="1:20">
      <c r="A26" s="531"/>
      <c r="B26" s="544"/>
      <c r="C26" s="561"/>
      <c r="D26" s="545"/>
      <c r="E26" s="533"/>
      <c r="F26" s="533"/>
      <c r="G26" s="533"/>
      <c r="H26" s="533"/>
      <c r="I26" s="533"/>
      <c r="J26" s="545"/>
      <c r="K26" s="533"/>
      <c r="L26" s="545"/>
      <c r="M26" s="533"/>
      <c r="O26" s="534"/>
      <c r="P26" s="547"/>
    </row>
    <row r="27" spans="1:20">
      <c r="A27" s="531"/>
      <c r="B27" s="515"/>
      <c r="C27" s="561"/>
      <c r="D27" s="515"/>
      <c r="E27" s="533"/>
      <c r="F27" s="533"/>
      <c r="G27" s="533"/>
      <c r="H27" s="533"/>
      <c r="I27" s="533"/>
      <c r="J27" s="515"/>
      <c r="K27" s="533"/>
      <c r="L27" s="515"/>
      <c r="M27" s="533"/>
      <c r="N27" s="515"/>
      <c r="O27" s="534"/>
      <c r="P27" s="547"/>
    </row>
    <row r="28" spans="1:20">
      <c r="A28" s="531"/>
      <c r="B28" s="515"/>
      <c r="C28" s="561"/>
      <c r="D28" s="515"/>
      <c r="E28" s="533"/>
      <c r="F28" s="533"/>
      <c r="G28" s="533"/>
      <c r="H28" s="533"/>
      <c r="I28" s="533"/>
      <c r="J28" s="515"/>
      <c r="K28" s="533"/>
      <c r="L28" s="515"/>
      <c r="M28" s="533"/>
      <c r="N28" s="515"/>
      <c r="O28" s="534"/>
      <c r="P28" s="547"/>
    </row>
    <row r="29" spans="1:20">
      <c r="A29" s="531"/>
      <c r="B29" s="529"/>
      <c r="C29" s="561"/>
      <c r="D29" s="529"/>
      <c r="E29" s="533"/>
      <c r="F29" s="533"/>
      <c r="G29" s="533"/>
      <c r="H29" s="533"/>
      <c r="I29" s="533"/>
      <c r="J29" s="529"/>
      <c r="K29" s="533"/>
      <c r="L29" s="529"/>
      <c r="M29" s="533"/>
      <c r="N29" s="529"/>
      <c r="O29" s="534"/>
      <c r="P29" s="547"/>
    </row>
    <row r="30" spans="1:20">
      <c r="A30" s="531"/>
      <c r="B30" s="523"/>
      <c r="C30" s="561"/>
      <c r="D30" s="523"/>
      <c r="E30" s="533"/>
      <c r="F30" s="533"/>
      <c r="G30" s="533"/>
      <c r="H30" s="533"/>
      <c r="I30" s="533"/>
      <c r="J30" s="523"/>
      <c r="K30" s="533"/>
      <c r="L30" s="523"/>
      <c r="M30" s="533"/>
      <c r="N30" s="523"/>
      <c r="O30" s="534"/>
      <c r="P30" s="547"/>
    </row>
    <row r="31" spans="1:20">
      <c r="A31" s="531"/>
      <c r="B31" s="525"/>
      <c r="C31" s="561"/>
      <c r="D31" s="525"/>
      <c r="E31" s="533"/>
      <c r="F31" s="533"/>
      <c r="G31" s="533"/>
      <c r="H31" s="533"/>
      <c r="I31" s="533"/>
      <c r="J31" s="525"/>
      <c r="K31" s="533"/>
      <c r="L31" s="525"/>
      <c r="M31" s="533"/>
      <c r="N31" s="525"/>
      <c r="O31" s="534"/>
      <c r="P31" s="547"/>
    </row>
    <row r="32" spans="1:20">
      <c r="A32" s="531"/>
      <c r="B32" s="525"/>
      <c r="C32" s="561"/>
      <c r="D32" s="525"/>
      <c r="E32" s="533"/>
      <c r="F32" s="533"/>
      <c r="G32" s="533"/>
      <c r="H32" s="533"/>
      <c r="I32" s="533"/>
      <c r="J32" s="525"/>
      <c r="K32" s="533"/>
      <c r="L32" s="525"/>
      <c r="M32" s="533"/>
      <c r="N32" s="525"/>
      <c r="O32" s="534"/>
      <c r="P32" s="547"/>
    </row>
    <row r="33" spans="1:16">
      <c r="A33" s="531"/>
      <c r="B33" s="525"/>
      <c r="C33" s="561"/>
      <c r="D33" s="525"/>
      <c r="E33" s="533"/>
      <c r="F33" s="533"/>
      <c r="G33" s="533"/>
      <c r="H33" s="533"/>
      <c r="I33" s="533"/>
      <c r="J33" s="525"/>
      <c r="K33" s="533"/>
      <c r="L33" s="525"/>
      <c r="M33" s="533"/>
      <c r="N33" s="525"/>
      <c r="O33" s="534"/>
      <c r="P33" s="547"/>
    </row>
    <row r="34" spans="1:16">
      <c r="A34" s="531"/>
      <c r="B34" s="515"/>
      <c r="C34" s="561"/>
      <c r="D34" s="529"/>
      <c r="E34" s="533"/>
      <c r="F34" s="533"/>
      <c r="G34" s="533"/>
      <c r="H34" s="533"/>
      <c r="I34" s="533"/>
      <c r="J34" s="529"/>
      <c r="K34" s="533"/>
      <c r="L34" s="529"/>
      <c r="M34" s="533"/>
      <c r="N34" s="529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5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3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  <pageSetUpPr fitToPage="1"/>
  </sheetPr>
  <dimension ref="A1:T65"/>
  <sheetViews>
    <sheetView showGridLines="0" topLeftCell="P1" workbookViewId="0">
      <selection activeCell="J23" sqref="A23:IV25"/>
    </sheetView>
  </sheetViews>
  <sheetFormatPr defaultColWidth="12.5" defaultRowHeight="13.5"/>
  <cols>
    <col min="1" max="1" width="16.125" style="513" customWidth="1"/>
    <col min="2" max="2" width="2" style="513" customWidth="1"/>
    <col min="3" max="3" width="12.5" style="513" customWidth="1"/>
    <col min="4" max="4" width="2.375" style="513" customWidth="1"/>
    <col min="5" max="5" width="12.5" style="513" customWidth="1"/>
    <col min="6" max="6" width="2.5" style="513" customWidth="1"/>
    <col min="7" max="7" width="13.5" style="513" customWidth="1"/>
    <col min="8" max="8" width="2.125" style="513" customWidth="1"/>
    <col min="9" max="9" width="12.875" style="513" customWidth="1"/>
    <col min="10" max="10" width="2.375" style="513" customWidth="1"/>
    <col min="11" max="11" width="12.5" style="513" customWidth="1"/>
    <col min="12" max="12" width="2.625" style="513" customWidth="1"/>
    <col min="13" max="13" width="12.875" style="513" customWidth="1"/>
    <col min="14" max="14" width="2.125" style="513" customWidth="1"/>
    <col min="15" max="15" width="13.875" style="513" customWidth="1"/>
    <col min="16" max="16" width="12.5" style="515" customWidth="1"/>
    <col min="17" max="17" width="9.375" style="513" customWidth="1"/>
    <col min="18" max="18" width="16.375" style="513" bestFit="1" customWidth="1"/>
    <col min="19" max="19" width="5.625" style="513" customWidth="1"/>
    <col min="20" max="20" width="11.75" style="513" bestFit="1" customWidth="1"/>
    <col min="21" max="16384" width="12.5" style="513"/>
  </cols>
  <sheetData>
    <row r="1" spans="1:20" ht="15">
      <c r="O1" s="514"/>
      <c r="R1" s="516" t="s">
        <v>65</v>
      </c>
      <c r="S1" s="516"/>
      <c r="T1" s="517" t="s">
        <v>271</v>
      </c>
    </row>
    <row r="2" spans="1:20">
      <c r="O2" s="514"/>
      <c r="R2" s="519" t="e">
        <f>#REF!</f>
        <v>#REF!</v>
      </c>
      <c r="S2" s="518"/>
      <c r="T2" s="519" t="e">
        <f>#REF!</f>
        <v>#REF!</v>
      </c>
    </row>
    <row r="3" spans="1:20">
      <c r="A3" s="513" t="s">
        <v>521</v>
      </c>
      <c r="M3" s="520" t="s">
        <v>528</v>
      </c>
      <c r="R3" s="519" t="e">
        <f>#REF!</f>
        <v>#REF!</v>
      </c>
      <c r="S3" s="518"/>
      <c r="T3" s="519" t="e">
        <f>#REF!</f>
        <v>#REF!</v>
      </c>
    </row>
    <row r="4" spans="1:20" ht="14.25" thickBot="1">
      <c r="A4" s="521"/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R4" s="518"/>
      <c r="S4" s="518"/>
      <c r="T4" s="519"/>
    </row>
    <row r="5" spans="1:20">
      <c r="A5" s="522" t="s">
        <v>276</v>
      </c>
      <c r="B5" s="523"/>
      <c r="C5" s="523">
        <v>-2</v>
      </c>
      <c r="D5" s="523"/>
      <c r="E5" s="523">
        <v>-3</v>
      </c>
      <c r="F5" s="523"/>
      <c r="G5" s="523">
        <v>-4</v>
      </c>
      <c r="H5" s="523"/>
      <c r="I5" s="523">
        <v>-5</v>
      </c>
      <c r="J5" s="523"/>
      <c r="K5" s="523">
        <v>-6</v>
      </c>
      <c r="L5" s="523"/>
      <c r="M5" s="523">
        <v>-7</v>
      </c>
      <c r="N5" s="523"/>
      <c r="O5" s="523">
        <v>-8</v>
      </c>
      <c r="R5" s="518"/>
      <c r="S5" s="518"/>
      <c r="T5" s="519"/>
    </row>
    <row r="6" spans="1:20">
      <c r="A6" s="524"/>
      <c r="B6" s="525"/>
      <c r="C6" s="525"/>
      <c r="D6" s="525"/>
      <c r="E6" s="525"/>
      <c r="F6" s="525"/>
      <c r="G6" s="525" t="s">
        <v>278</v>
      </c>
      <c r="H6" s="525"/>
      <c r="I6" s="525"/>
      <c r="J6" s="525"/>
      <c r="K6" s="525"/>
      <c r="L6" s="525"/>
      <c r="M6" s="525" t="s">
        <v>279</v>
      </c>
      <c r="N6" s="525"/>
      <c r="O6" s="525"/>
      <c r="R6" s="518"/>
      <c r="S6" s="518"/>
      <c r="T6" s="519"/>
    </row>
    <row r="7" spans="1:20">
      <c r="A7" s="524" t="s">
        <v>281</v>
      </c>
      <c r="B7" s="525"/>
      <c r="C7" s="525" t="s">
        <v>282</v>
      </c>
      <c r="D7" s="525"/>
      <c r="E7" s="525" t="s">
        <v>283</v>
      </c>
      <c r="F7" s="525"/>
      <c r="G7" s="525" t="s">
        <v>284</v>
      </c>
      <c r="H7" s="525"/>
      <c r="I7" s="525" t="s">
        <v>283</v>
      </c>
      <c r="J7" s="525"/>
      <c r="K7" s="525" t="s">
        <v>285</v>
      </c>
      <c r="L7" s="525"/>
      <c r="M7" s="525" t="s">
        <v>286</v>
      </c>
      <c r="N7" s="525"/>
      <c r="O7" s="525" t="s">
        <v>402</v>
      </c>
      <c r="R7" s="518"/>
      <c r="S7" s="518"/>
      <c r="T7" s="519"/>
    </row>
    <row r="8" spans="1:20">
      <c r="A8" s="526" t="s">
        <v>288</v>
      </c>
      <c r="B8" s="525"/>
      <c r="C8" s="527" t="s">
        <v>289</v>
      </c>
      <c r="D8" s="525"/>
      <c r="E8" s="527" t="s">
        <v>290</v>
      </c>
      <c r="F8" s="525"/>
      <c r="G8" s="527" t="s">
        <v>291</v>
      </c>
      <c r="H8" s="525"/>
      <c r="I8" s="527" t="s">
        <v>278</v>
      </c>
      <c r="J8" s="525"/>
      <c r="K8" s="527" t="s">
        <v>290</v>
      </c>
      <c r="L8" s="525"/>
      <c r="M8" s="527" t="s">
        <v>292</v>
      </c>
      <c r="N8" s="525"/>
      <c r="O8" s="527" t="s">
        <v>293</v>
      </c>
    </row>
    <row r="9" spans="1:20">
      <c r="A9" s="528"/>
      <c r="B9" s="515"/>
      <c r="C9" s="529"/>
      <c r="D9" s="529"/>
      <c r="E9" s="515"/>
      <c r="F9" s="529"/>
      <c r="G9" s="515"/>
      <c r="H9" s="529"/>
      <c r="I9" s="515"/>
      <c r="J9" s="529"/>
      <c r="K9" s="515"/>
      <c r="L9" s="529"/>
      <c r="M9" s="515"/>
      <c r="N9" s="529"/>
      <c r="O9" s="515"/>
      <c r="T9" s="530"/>
    </row>
    <row r="10" spans="1:20" s="515" customFormat="1">
      <c r="A10" s="552">
        <f t="shared" ref="A10:A21" si="0">P10*1000</f>
        <v>0</v>
      </c>
      <c r="C10" s="532">
        <v>0</v>
      </c>
      <c r="D10" s="533"/>
      <c r="E10" s="533">
        <f>C10</f>
        <v>0</v>
      </c>
      <c r="F10" s="533"/>
      <c r="G10" s="533">
        <f t="shared" ref="G10:G21" si="1">A10*C10</f>
        <v>0</v>
      </c>
      <c r="H10" s="533"/>
      <c r="I10" s="533">
        <f>G10</f>
        <v>0</v>
      </c>
      <c r="J10" s="533"/>
      <c r="K10" s="533">
        <f t="shared" ref="K10:K21" si="2">$E$21-E10</f>
        <v>11</v>
      </c>
      <c r="L10" s="533"/>
      <c r="M10" s="533">
        <f t="shared" ref="M10:M21" si="3">(A10*K10)+I10</f>
        <v>0</v>
      </c>
      <c r="O10" s="534">
        <f t="shared" ref="O10:O21" si="4">I10/$I$21</f>
        <v>0</v>
      </c>
      <c r="P10" s="532">
        <v>0</v>
      </c>
      <c r="R10" s="535"/>
      <c r="S10" s="513"/>
      <c r="T10" s="536" t="e">
        <f t="shared" ref="T10:T21" si="5">IF(A10&lt;281500,C10*$T$2,IF(A10=281500,C10*$T$2,IF(A10&gt;281500,(C10*$T$2)+((A10-281500)/1000*$T$3*C10))))</f>
        <v>#REF!</v>
      </c>
    </row>
    <row r="11" spans="1:20" s="515" customFormat="1">
      <c r="A11" s="552">
        <f t="shared" si="0"/>
        <v>560000</v>
      </c>
      <c r="C11" s="532">
        <v>1</v>
      </c>
      <c r="D11" s="533"/>
      <c r="E11" s="533">
        <f t="shared" ref="E11:E21" si="6">E10+C11</f>
        <v>1</v>
      </c>
      <c r="F11" s="533"/>
      <c r="G11" s="533">
        <f t="shared" si="1"/>
        <v>560000</v>
      </c>
      <c r="H11" s="533"/>
      <c r="I11" s="533">
        <f t="shared" ref="I11:I21" si="7">I10+G11</f>
        <v>560000</v>
      </c>
      <c r="J11" s="533"/>
      <c r="K11" s="533">
        <f t="shared" si="2"/>
        <v>10</v>
      </c>
      <c r="L11" s="533"/>
      <c r="M11" s="533">
        <f t="shared" si="3"/>
        <v>6160000</v>
      </c>
      <c r="O11" s="534">
        <f t="shared" si="4"/>
        <v>7.2783987522744995E-2</v>
      </c>
      <c r="P11" s="532">
        <v>560</v>
      </c>
      <c r="R11" s="535"/>
      <c r="S11" s="513"/>
      <c r="T11" s="536" t="e">
        <f t="shared" si="5"/>
        <v>#REF!</v>
      </c>
    </row>
    <row r="12" spans="1:20">
      <c r="A12" s="552">
        <f t="shared" si="0"/>
        <v>600000</v>
      </c>
      <c r="B12" s="515"/>
      <c r="C12" s="532">
        <v>1</v>
      </c>
      <c r="D12" s="533"/>
      <c r="E12" s="533">
        <f t="shared" si="6"/>
        <v>2</v>
      </c>
      <c r="F12" s="533"/>
      <c r="G12" s="533">
        <f t="shared" si="1"/>
        <v>600000</v>
      </c>
      <c r="H12" s="533"/>
      <c r="I12" s="533">
        <f t="shared" si="7"/>
        <v>1160000</v>
      </c>
      <c r="J12" s="533"/>
      <c r="K12" s="533">
        <f t="shared" si="2"/>
        <v>9</v>
      </c>
      <c r="L12" s="533"/>
      <c r="M12" s="533">
        <f t="shared" si="3"/>
        <v>6560000</v>
      </c>
      <c r="N12" s="515"/>
      <c r="O12" s="534">
        <f t="shared" si="4"/>
        <v>0.15076683129711463</v>
      </c>
      <c r="P12" s="532">
        <v>600</v>
      </c>
      <c r="T12" s="536" t="e">
        <f t="shared" si="5"/>
        <v>#REF!</v>
      </c>
    </row>
    <row r="13" spans="1:20">
      <c r="A13" s="552">
        <f t="shared" si="0"/>
        <v>685000</v>
      </c>
      <c r="B13" s="515"/>
      <c r="C13" s="532">
        <v>1</v>
      </c>
      <c r="D13" s="533"/>
      <c r="E13" s="533">
        <f t="shared" si="6"/>
        <v>3</v>
      </c>
      <c r="F13" s="533"/>
      <c r="G13" s="533">
        <f t="shared" si="1"/>
        <v>685000</v>
      </c>
      <c r="H13" s="533"/>
      <c r="I13" s="533">
        <f t="shared" si="7"/>
        <v>1845000</v>
      </c>
      <c r="J13" s="533"/>
      <c r="K13" s="533">
        <f t="shared" si="2"/>
        <v>8</v>
      </c>
      <c r="L13" s="533"/>
      <c r="M13" s="533">
        <f t="shared" si="3"/>
        <v>7325000</v>
      </c>
      <c r="N13" s="515"/>
      <c r="O13" s="534">
        <f t="shared" si="4"/>
        <v>0.23979724460618665</v>
      </c>
      <c r="P13" s="532">
        <v>685</v>
      </c>
      <c r="T13" s="536" t="e">
        <f t="shared" si="5"/>
        <v>#REF!</v>
      </c>
    </row>
    <row r="14" spans="1:20">
      <c r="A14" s="531">
        <f t="shared" si="0"/>
        <v>897000</v>
      </c>
      <c r="B14" s="515"/>
      <c r="C14" s="532">
        <v>1</v>
      </c>
      <c r="D14" s="533"/>
      <c r="E14" s="533">
        <f t="shared" si="6"/>
        <v>4</v>
      </c>
      <c r="F14" s="533"/>
      <c r="G14" s="533">
        <f t="shared" si="1"/>
        <v>897000</v>
      </c>
      <c r="H14" s="533"/>
      <c r="I14" s="533">
        <f t="shared" si="7"/>
        <v>2742000</v>
      </c>
      <c r="J14" s="533"/>
      <c r="K14" s="533">
        <f t="shared" si="2"/>
        <v>7</v>
      </c>
      <c r="L14" s="533"/>
      <c r="M14" s="533">
        <f t="shared" si="3"/>
        <v>9021000</v>
      </c>
      <c r="N14" s="515"/>
      <c r="O14" s="534">
        <f t="shared" si="4"/>
        <v>0.35638159604886926</v>
      </c>
      <c r="P14" s="532">
        <v>897</v>
      </c>
      <c r="T14" s="536" t="e">
        <f t="shared" si="5"/>
        <v>#REF!</v>
      </c>
    </row>
    <row r="15" spans="1:20">
      <c r="A15" s="531">
        <f t="shared" si="0"/>
        <v>977000</v>
      </c>
      <c r="B15" s="515"/>
      <c r="C15" s="532">
        <v>1</v>
      </c>
      <c r="D15" s="533"/>
      <c r="E15" s="533">
        <f t="shared" si="6"/>
        <v>5</v>
      </c>
      <c r="F15" s="533"/>
      <c r="G15" s="533">
        <f t="shared" si="1"/>
        <v>977000</v>
      </c>
      <c r="H15" s="533"/>
      <c r="I15" s="533">
        <f t="shared" si="7"/>
        <v>3719000</v>
      </c>
      <c r="J15" s="533"/>
      <c r="K15" s="533">
        <f t="shared" si="2"/>
        <v>6</v>
      </c>
      <c r="L15" s="533"/>
      <c r="M15" s="533">
        <f t="shared" si="3"/>
        <v>9581000</v>
      </c>
      <c r="N15" s="515"/>
      <c r="O15" s="534">
        <f t="shared" si="4"/>
        <v>0.48336365999480113</v>
      </c>
      <c r="P15" s="532">
        <v>977</v>
      </c>
      <c r="T15" s="536" t="e">
        <f t="shared" si="5"/>
        <v>#REF!</v>
      </c>
    </row>
    <row r="16" spans="1:20">
      <c r="A16" s="531">
        <f t="shared" si="0"/>
        <v>472000</v>
      </c>
      <c r="B16" s="515"/>
      <c r="C16" s="532">
        <v>1</v>
      </c>
      <c r="D16" s="533"/>
      <c r="E16" s="533">
        <f t="shared" si="6"/>
        <v>6</v>
      </c>
      <c r="F16" s="533"/>
      <c r="G16" s="533">
        <f t="shared" si="1"/>
        <v>472000</v>
      </c>
      <c r="H16" s="533"/>
      <c r="I16" s="533">
        <f t="shared" si="7"/>
        <v>4191000</v>
      </c>
      <c r="J16" s="533"/>
      <c r="K16" s="533">
        <f t="shared" si="2"/>
        <v>5</v>
      </c>
      <c r="L16" s="533"/>
      <c r="M16" s="533">
        <f t="shared" si="3"/>
        <v>6551000</v>
      </c>
      <c r="N16" s="515"/>
      <c r="O16" s="534">
        <f t="shared" si="4"/>
        <v>0.54471016376397197</v>
      </c>
      <c r="P16" s="532">
        <v>472</v>
      </c>
      <c r="T16" s="536" t="e">
        <f t="shared" si="5"/>
        <v>#REF!</v>
      </c>
    </row>
    <row r="17" spans="1:20">
      <c r="A17" s="531">
        <f t="shared" si="0"/>
        <v>579000</v>
      </c>
      <c r="B17" s="515"/>
      <c r="C17" s="532">
        <v>1</v>
      </c>
      <c r="D17" s="533"/>
      <c r="E17" s="533">
        <f t="shared" si="6"/>
        <v>7</v>
      </c>
      <c r="F17" s="533"/>
      <c r="G17" s="533">
        <f t="shared" si="1"/>
        <v>579000</v>
      </c>
      <c r="H17" s="533"/>
      <c r="I17" s="533">
        <f t="shared" si="7"/>
        <v>4770000</v>
      </c>
      <c r="J17" s="533"/>
      <c r="K17" s="533">
        <f t="shared" si="2"/>
        <v>4</v>
      </c>
      <c r="L17" s="533"/>
      <c r="M17" s="533">
        <f t="shared" si="3"/>
        <v>7086000</v>
      </c>
      <c r="N17" s="515"/>
      <c r="O17" s="534">
        <f t="shared" si="4"/>
        <v>0.61996360800623862</v>
      </c>
      <c r="P17" s="532">
        <v>579</v>
      </c>
      <c r="T17" s="536" t="e">
        <f t="shared" si="5"/>
        <v>#REF!</v>
      </c>
    </row>
    <row r="18" spans="1:20">
      <c r="A18" s="531">
        <f t="shared" si="0"/>
        <v>733000</v>
      </c>
      <c r="B18" s="515"/>
      <c r="C18" s="532">
        <v>1</v>
      </c>
      <c r="D18" s="533"/>
      <c r="E18" s="533">
        <f t="shared" si="6"/>
        <v>8</v>
      </c>
      <c r="F18" s="533"/>
      <c r="G18" s="533">
        <f t="shared" si="1"/>
        <v>733000</v>
      </c>
      <c r="H18" s="533"/>
      <c r="I18" s="533">
        <f t="shared" si="7"/>
        <v>5503000</v>
      </c>
      <c r="J18" s="533"/>
      <c r="K18" s="533">
        <f t="shared" si="2"/>
        <v>3</v>
      </c>
      <c r="L18" s="533"/>
      <c r="M18" s="533">
        <f t="shared" si="3"/>
        <v>7702000</v>
      </c>
      <c r="N18" s="515"/>
      <c r="O18" s="534">
        <f t="shared" si="4"/>
        <v>0.71523264881726023</v>
      </c>
      <c r="P18" s="532">
        <v>733</v>
      </c>
      <c r="T18" s="536" t="e">
        <f t="shared" si="5"/>
        <v>#REF!</v>
      </c>
    </row>
    <row r="19" spans="1:20">
      <c r="A19" s="531">
        <f t="shared" si="0"/>
        <v>744000</v>
      </c>
      <c r="B19" s="515"/>
      <c r="C19" s="532">
        <v>1</v>
      </c>
      <c r="D19" s="533"/>
      <c r="E19" s="533">
        <f t="shared" si="6"/>
        <v>9</v>
      </c>
      <c r="F19" s="533"/>
      <c r="G19" s="533">
        <f t="shared" si="1"/>
        <v>744000</v>
      </c>
      <c r="H19" s="533"/>
      <c r="I19" s="533">
        <f t="shared" si="7"/>
        <v>6247000</v>
      </c>
      <c r="J19" s="533"/>
      <c r="K19" s="533">
        <f t="shared" si="2"/>
        <v>2</v>
      </c>
      <c r="L19" s="533"/>
      <c r="M19" s="533">
        <f t="shared" si="3"/>
        <v>7735000</v>
      </c>
      <c r="N19" s="515"/>
      <c r="O19" s="534">
        <f t="shared" si="4"/>
        <v>0.81193137509747859</v>
      </c>
      <c r="P19" s="532">
        <v>744</v>
      </c>
      <c r="T19" s="536" t="e">
        <f t="shared" si="5"/>
        <v>#REF!</v>
      </c>
    </row>
    <row r="20" spans="1:20">
      <c r="A20" s="531">
        <f t="shared" si="0"/>
        <v>940000</v>
      </c>
      <c r="B20" s="515"/>
      <c r="C20" s="532">
        <v>1</v>
      </c>
      <c r="D20" s="533"/>
      <c r="E20" s="533">
        <f t="shared" si="6"/>
        <v>10</v>
      </c>
      <c r="F20" s="533"/>
      <c r="G20" s="533">
        <f t="shared" si="1"/>
        <v>940000</v>
      </c>
      <c r="H20" s="533"/>
      <c r="I20" s="533">
        <f t="shared" si="7"/>
        <v>7187000</v>
      </c>
      <c r="J20" s="533"/>
      <c r="K20" s="533">
        <f t="shared" si="2"/>
        <v>1</v>
      </c>
      <c r="L20" s="533"/>
      <c r="M20" s="533">
        <f t="shared" si="3"/>
        <v>8127000</v>
      </c>
      <c r="N20" s="515"/>
      <c r="O20" s="534">
        <f t="shared" si="4"/>
        <v>0.93410449701065768</v>
      </c>
      <c r="P20" s="532">
        <v>940</v>
      </c>
      <c r="T20" s="536" t="e">
        <f t="shared" si="5"/>
        <v>#REF!</v>
      </c>
    </row>
    <row r="21" spans="1:20">
      <c r="A21" s="531">
        <f t="shared" si="0"/>
        <v>507000</v>
      </c>
      <c r="B21" s="515"/>
      <c r="C21" s="532">
        <v>1</v>
      </c>
      <c r="D21" s="533"/>
      <c r="E21" s="533">
        <f t="shared" si="6"/>
        <v>11</v>
      </c>
      <c r="F21" s="533"/>
      <c r="G21" s="533">
        <f t="shared" si="1"/>
        <v>507000</v>
      </c>
      <c r="H21" s="533"/>
      <c r="I21" s="533">
        <f t="shared" si="7"/>
        <v>7694000</v>
      </c>
      <c r="J21" s="533"/>
      <c r="K21" s="533">
        <f t="shared" si="2"/>
        <v>0</v>
      </c>
      <c r="L21" s="533"/>
      <c r="M21" s="533">
        <f t="shared" si="3"/>
        <v>7694000</v>
      </c>
      <c r="N21" s="515"/>
      <c r="O21" s="534">
        <f t="shared" si="4"/>
        <v>1</v>
      </c>
      <c r="P21" s="532">
        <v>507</v>
      </c>
      <c r="T21" s="536" t="e">
        <f t="shared" si="5"/>
        <v>#REF!</v>
      </c>
    </row>
    <row r="22" spans="1:20">
      <c r="A22" s="531"/>
      <c r="B22" s="515"/>
      <c r="C22" s="561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15"/>
      <c r="O22" s="534"/>
      <c r="P22" s="547"/>
    </row>
    <row r="23" spans="1:20">
      <c r="A23" s="531"/>
      <c r="B23" s="515"/>
      <c r="C23" s="561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15"/>
      <c r="O23" s="534"/>
      <c r="P23" s="547"/>
      <c r="T23" s="539" t="e">
        <f>SUM(T10:T21)</f>
        <v>#REF!</v>
      </c>
    </row>
    <row r="24" spans="1:20" hidden="1">
      <c r="A24" s="531"/>
      <c r="B24" s="515"/>
      <c r="C24" s="561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15"/>
      <c r="O24" s="534"/>
      <c r="P24" s="547"/>
      <c r="T24" s="513">
        <v>49774</v>
      </c>
    </row>
    <row r="25" spans="1:20" hidden="1">
      <c r="A25" s="531"/>
      <c r="B25" s="515"/>
      <c r="C25" s="561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15"/>
      <c r="O25" s="534"/>
      <c r="P25" s="547"/>
      <c r="T25" s="540" t="e">
        <f>T23-T24</f>
        <v>#REF!</v>
      </c>
    </row>
    <row r="26" spans="1:20" hidden="1">
      <c r="A26" s="531"/>
      <c r="B26" s="544"/>
      <c r="C26" s="561"/>
      <c r="D26" s="545"/>
      <c r="E26" s="533"/>
      <c r="F26" s="533"/>
      <c r="G26" s="533"/>
      <c r="H26" s="533"/>
      <c r="I26" s="533"/>
      <c r="J26" s="545"/>
      <c r="K26" s="533"/>
      <c r="L26" s="545"/>
      <c r="M26" s="533"/>
      <c r="O26" s="534"/>
      <c r="P26" s="547"/>
      <c r="T26" s="555" t="e">
        <f>T25/T23</f>
        <v>#REF!</v>
      </c>
    </row>
    <row r="27" spans="1:20">
      <c r="A27" s="531"/>
      <c r="B27" s="515"/>
      <c r="C27" s="561"/>
      <c r="D27" s="515"/>
      <c r="E27" s="533"/>
      <c r="F27" s="533"/>
      <c r="G27" s="533"/>
      <c r="H27" s="533"/>
      <c r="I27" s="533"/>
      <c r="J27" s="515"/>
      <c r="K27" s="533"/>
      <c r="L27" s="515"/>
      <c r="M27" s="533"/>
      <c r="N27" s="515"/>
      <c r="O27" s="534"/>
      <c r="P27" s="547"/>
    </row>
    <row r="28" spans="1:20">
      <c r="A28" s="531"/>
      <c r="B28" s="515"/>
      <c r="C28" s="561"/>
      <c r="D28" s="515"/>
      <c r="E28" s="533"/>
      <c r="F28" s="533"/>
      <c r="G28" s="533"/>
      <c r="H28" s="533"/>
      <c r="I28" s="533"/>
      <c r="J28" s="515"/>
      <c r="K28" s="533"/>
      <c r="L28" s="515"/>
      <c r="M28" s="533"/>
      <c r="N28" s="515"/>
      <c r="O28" s="534"/>
      <c r="P28" s="547"/>
    </row>
    <row r="29" spans="1:20">
      <c r="A29" s="531"/>
      <c r="B29" s="529"/>
      <c r="C29" s="561"/>
      <c r="D29" s="529"/>
      <c r="E29" s="533"/>
      <c r="F29" s="533"/>
      <c r="G29" s="533"/>
      <c r="H29" s="533"/>
      <c r="I29" s="533"/>
      <c r="J29" s="529"/>
      <c r="K29" s="533"/>
      <c r="L29" s="529"/>
      <c r="M29" s="533"/>
      <c r="N29" s="529"/>
      <c r="O29" s="534"/>
      <c r="P29" s="547"/>
    </row>
    <row r="30" spans="1:20">
      <c r="A30" s="531"/>
      <c r="B30" s="523"/>
      <c r="C30" s="561"/>
      <c r="D30" s="523"/>
      <c r="E30" s="533"/>
      <c r="F30" s="533"/>
      <c r="G30" s="533"/>
      <c r="H30" s="533"/>
      <c r="I30" s="533"/>
      <c r="J30" s="523"/>
      <c r="K30" s="533"/>
      <c r="L30" s="523"/>
      <c r="M30" s="533"/>
      <c r="N30" s="523"/>
      <c r="O30" s="534"/>
      <c r="P30" s="547"/>
    </row>
    <row r="31" spans="1:20">
      <c r="A31" s="531"/>
      <c r="B31" s="525"/>
      <c r="C31" s="561"/>
      <c r="D31" s="525"/>
      <c r="E31" s="533"/>
      <c r="F31" s="533"/>
      <c r="G31" s="533"/>
      <c r="H31" s="533"/>
      <c r="I31" s="533"/>
      <c r="J31" s="525"/>
      <c r="K31" s="533"/>
      <c r="L31" s="525"/>
      <c r="M31" s="533"/>
      <c r="N31" s="525"/>
      <c r="O31" s="534"/>
      <c r="P31" s="547"/>
    </row>
    <row r="32" spans="1:20">
      <c r="A32" s="531"/>
      <c r="B32" s="525"/>
      <c r="C32" s="561"/>
      <c r="D32" s="525"/>
      <c r="E32" s="533"/>
      <c r="F32" s="533"/>
      <c r="G32" s="533"/>
      <c r="H32" s="533"/>
      <c r="I32" s="533"/>
      <c r="J32" s="525"/>
      <c r="K32" s="533"/>
      <c r="L32" s="525"/>
      <c r="M32" s="533"/>
      <c r="N32" s="525"/>
      <c r="O32" s="534"/>
      <c r="P32" s="547"/>
    </row>
    <row r="33" spans="1:16">
      <c r="A33" s="531"/>
      <c r="B33" s="525"/>
      <c r="C33" s="561"/>
      <c r="D33" s="525"/>
      <c r="E33" s="533"/>
      <c r="F33" s="533"/>
      <c r="G33" s="533"/>
      <c r="H33" s="533"/>
      <c r="I33" s="533"/>
      <c r="J33" s="525"/>
      <c r="K33" s="533"/>
      <c r="L33" s="525"/>
      <c r="M33" s="533"/>
      <c r="N33" s="525"/>
      <c r="O33" s="534"/>
      <c r="P33" s="547"/>
    </row>
    <row r="34" spans="1:16">
      <c r="A34" s="531"/>
      <c r="B34" s="515"/>
      <c r="C34" s="561"/>
      <c r="D34" s="529"/>
      <c r="E34" s="533"/>
      <c r="F34" s="533"/>
      <c r="G34" s="533"/>
      <c r="H34" s="533"/>
      <c r="I34" s="533"/>
      <c r="J34" s="529"/>
      <c r="K34" s="533"/>
      <c r="L34" s="529"/>
      <c r="M34" s="533"/>
      <c r="N34" s="529"/>
      <c r="O34" s="534"/>
      <c r="P34" s="547"/>
    </row>
    <row r="35" spans="1:16">
      <c r="A35" s="531"/>
      <c r="B35" s="515"/>
      <c r="C35" s="561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15"/>
      <c r="O35" s="534"/>
      <c r="P35" s="547"/>
    </row>
    <row r="36" spans="1:16">
      <c r="A36" s="531"/>
      <c r="B36" s="515"/>
      <c r="C36" s="561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15"/>
      <c r="O36" s="534"/>
      <c r="P36" s="547"/>
    </row>
    <row r="37" spans="1:16">
      <c r="A37" s="531"/>
      <c r="B37" s="515"/>
      <c r="C37" s="561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15"/>
      <c r="O37" s="534"/>
      <c r="P37" s="547"/>
    </row>
    <row r="38" spans="1:16">
      <c r="A38" s="531"/>
      <c r="B38" s="515"/>
      <c r="C38" s="561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15"/>
      <c r="O38" s="534"/>
      <c r="P38" s="547"/>
    </row>
    <row r="39" spans="1:16">
      <c r="A39" s="531"/>
      <c r="B39" s="515"/>
      <c r="C39" s="561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15"/>
      <c r="O39" s="534"/>
      <c r="P39" s="547"/>
    </row>
    <row r="40" spans="1:16">
      <c r="A40" s="531"/>
      <c r="B40" s="515"/>
      <c r="C40" s="561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15"/>
      <c r="O40" s="534"/>
      <c r="P40" s="547"/>
    </row>
    <row r="41" spans="1:16">
      <c r="A41" s="531"/>
      <c r="B41" s="515"/>
      <c r="C41" s="561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15"/>
      <c r="O41" s="534"/>
      <c r="P41" s="547"/>
    </row>
    <row r="42" spans="1:16">
      <c r="A42" s="531"/>
      <c r="B42" s="515"/>
      <c r="C42" s="561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15"/>
      <c r="O42" s="534"/>
      <c r="P42" s="547"/>
    </row>
    <row r="43" spans="1:16">
      <c r="A43" s="531"/>
      <c r="B43" s="515"/>
      <c r="C43" s="561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15"/>
      <c r="O43" s="534"/>
      <c r="P43" s="547"/>
    </row>
    <row r="44" spans="1:16">
      <c r="A44" s="580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O44" s="541"/>
    </row>
    <row r="45" spans="1:16">
      <c r="A45" s="580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O45" s="541"/>
    </row>
    <row r="46" spans="1:16">
      <c r="A46" s="580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O46" s="541"/>
    </row>
    <row r="47" spans="1:16">
      <c r="A47" s="580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O47" s="541"/>
    </row>
    <row r="48" spans="1:16">
      <c r="A48" s="580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O48" s="541"/>
    </row>
    <row r="49" spans="1:15">
      <c r="A49" s="580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O49" s="541"/>
    </row>
    <row r="50" spans="1:15">
      <c r="A50" s="580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O50" s="541"/>
    </row>
    <row r="51" spans="1:15">
      <c r="A51" s="580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O51" s="541"/>
    </row>
    <row r="52" spans="1:15">
      <c r="A52" s="580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O52" s="541"/>
    </row>
    <row r="53" spans="1:15">
      <c r="A53" s="580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O53" s="541"/>
    </row>
    <row r="54" spans="1:15">
      <c r="A54" s="580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O54" s="541"/>
    </row>
    <row r="55" spans="1:15">
      <c r="A55" s="580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O55" s="541"/>
    </row>
    <row r="56" spans="1:15">
      <c r="A56" s="580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O56" s="541"/>
    </row>
    <row r="57" spans="1:15">
      <c r="A57" s="580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O57" s="541"/>
    </row>
    <row r="58" spans="1:15">
      <c r="A58" s="580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O58" s="541"/>
    </row>
    <row r="59" spans="1:15">
      <c r="A59" s="580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O59" s="541"/>
    </row>
    <row r="60" spans="1:15">
      <c r="A60" s="580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O60" s="541"/>
    </row>
    <row r="61" spans="1:15">
      <c r="A61" s="580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O61" s="541"/>
    </row>
    <row r="62" spans="1:15">
      <c r="A62" s="580"/>
      <c r="C62" s="545"/>
      <c r="D62" s="545"/>
      <c r="E62" s="545"/>
      <c r="F62" s="545"/>
      <c r="G62" s="545"/>
      <c r="H62" s="545"/>
      <c r="I62" s="545"/>
      <c r="J62" s="545"/>
      <c r="K62" s="545"/>
      <c r="L62" s="545"/>
      <c r="M62" s="545"/>
      <c r="O62" s="541"/>
    </row>
    <row r="63" spans="1:15">
      <c r="A63" s="580"/>
      <c r="C63" s="545"/>
      <c r="D63" s="545"/>
      <c r="E63" s="545"/>
      <c r="F63" s="545"/>
      <c r="G63" s="545"/>
      <c r="H63" s="545"/>
      <c r="I63" s="545"/>
      <c r="J63" s="545"/>
      <c r="K63" s="545"/>
      <c r="L63" s="545"/>
      <c r="M63" s="545"/>
      <c r="O63" s="541"/>
    </row>
    <row r="64" spans="1:15">
      <c r="A64" s="580"/>
      <c r="C64" s="545"/>
      <c r="D64" s="545"/>
      <c r="E64" s="545"/>
      <c r="F64" s="545"/>
      <c r="G64" s="545"/>
      <c r="H64" s="545"/>
      <c r="I64" s="545"/>
      <c r="J64" s="545"/>
      <c r="K64" s="545"/>
      <c r="L64" s="545"/>
      <c r="M64" s="545"/>
      <c r="O64" s="541"/>
    </row>
    <row r="65" spans="1:13">
      <c r="A65" s="580"/>
      <c r="C65" s="545"/>
      <c r="D65" s="545"/>
      <c r="E65" s="545"/>
      <c r="F65" s="545"/>
      <c r="G65" s="545"/>
      <c r="H65" s="545"/>
      <c r="I65" s="545"/>
      <c r="J65" s="545"/>
      <c r="K65" s="545"/>
      <c r="L65" s="545"/>
      <c r="M65" s="545"/>
    </row>
  </sheetData>
  <phoneticPr fontId="54" type="noConversion"/>
  <printOptions horizontalCentered="1"/>
  <pageMargins left="0" right="0" top="0.89999999999999991" bottom="0.5" header="0.25" footer="0.25"/>
  <pageSetup scale="78" orientation="portrait" r:id="rId1"/>
  <headerFooter alignWithMargins="0">
    <oddHeader xml:space="preserve">&amp;LBilling Analysis Schedules
Company: Utilities, Inc. Of Pennbrooke
Docket No.:
Test Year Ended: December 31, 2005
&amp;RFlorida Public Service Commission
Schedule: E-14
Page &amp;P of &amp;N
</oddHeader>
    <oddFooter>&amp;C&amp;A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175</vt:i4>
      </vt:variant>
      <vt:variant>
        <vt:lpstr>Named Ranges</vt:lpstr>
      </vt:variant>
      <vt:variant>
        <vt:i4>241</vt:i4>
      </vt:variant>
    </vt:vector>
  </HeadingPairs>
  <TitlesOfParts>
    <vt:vector size="416" baseType="lpstr">
      <vt:lpstr>COPY ELECTRONIC TB HERE</vt:lpstr>
      <vt:lpstr>Input Schedule</vt:lpstr>
      <vt:lpstr>Linked TB</vt:lpstr>
      <vt:lpstr>Sch.A-B.S</vt:lpstr>
      <vt:lpstr>Sch.B-I.S</vt:lpstr>
      <vt:lpstr>Sch.C-R.B</vt:lpstr>
      <vt:lpstr>wp-p-restate(audit)</vt:lpstr>
      <vt:lpstr>Exhibit 9</vt:lpstr>
      <vt:lpstr>wp.h-cap.struc</vt:lpstr>
      <vt:lpstr>Schedule D</vt:lpstr>
      <vt:lpstr>xxxRate-Rev Comp</vt:lpstr>
      <vt:lpstr>Sch.E ORM </vt:lpstr>
      <vt:lpstr>Revenue Requirement</vt:lpstr>
      <vt:lpstr>wp-appendix</vt:lpstr>
      <vt:lpstr>wp.a-uncoll</vt:lpstr>
      <vt:lpstr>Wp b - salary</vt:lpstr>
      <vt:lpstr>wp b1</vt:lpstr>
      <vt:lpstr>Wp b2 - Captime</vt:lpstr>
      <vt:lpstr>wp b3 - CSR</vt:lpstr>
      <vt:lpstr>Wp b4 - WSC</vt:lpstr>
      <vt:lpstr>wp-d-rc.exp</vt:lpstr>
      <vt:lpstr>wp-e-toi</vt:lpstr>
      <vt:lpstr>wp-f-depr</vt:lpstr>
      <vt:lpstr>wp(g)-inc.tx</vt:lpstr>
      <vt:lpstr>wp-i-wc</vt:lpstr>
      <vt:lpstr>wp-o-restate-acq</vt:lpstr>
      <vt:lpstr>wp-p2 Allocation of Vehicles</vt:lpstr>
      <vt:lpstr>wp-p2a Allocation of Trans Exp</vt:lpstr>
      <vt:lpstr>wp-p3-alloc of State computers</vt:lpstr>
      <vt:lpstr>wp-p4-alloc of WSC computers</vt:lpstr>
      <vt:lpstr>wp-p5 Recon Summary</vt:lpstr>
      <vt:lpstr>wp-p5a-restatement (audit)</vt:lpstr>
      <vt:lpstr>wp-q City of Clinton</vt:lpstr>
      <vt:lpstr>wp-q(2) salary allocation</vt:lpstr>
      <vt:lpstr>wp-q(3) Clinton salary revised</vt:lpstr>
      <vt:lpstr>wp-q(4) Clinton trans exp</vt:lpstr>
      <vt:lpstr>CPI</vt:lpstr>
      <vt:lpstr>plnt category</vt:lpstr>
      <vt:lpstr>wp c2</vt:lpstr>
      <vt:lpstr>wp c3</vt:lpstr>
      <vt:lpstr>Rate Base Reallocation wp-$ </vt:lpstr>
      <vt:lpstr>16003-170</vt:lpstr>
      <vt:lpstr>16003-171</vt:lpstr>
      <vt:lpstr>16003-172</vt:lpstr>
      <vt:lpstr>16011-170</vt:lpstr>
      <vt:lpstr>16011-171</vt:lpstr>
      <vt:lpstr>16011-172</vt:lpstr>
      <vt:lpstr>16011-173</vt:lpstr>
      <vt:lpstr>16012-171</vt:lpstr>
      <vt:lpstr>16013-171</vt:lpstr>
      <vt:lpstr>16013-172</vt:lpstr>
      <vt:lpstr>16015-172</vt:lpstr>
      <vt:lpstr>16015-173</vt:lpstr>
      <vt:lpstr>16016-172</vt:lpstr>
      <vt:lpstr>16017-170</vt:lpstr>
      <vt:lpstr>16017-172</vt:lpstr>
      <vt:lpstr>16031-170</vt:lpstr>
      <vt:lpstr>16031-172</vt:lpstr>
      <vt:lpstr>16031-173</vt:lpstr>
      <vt:lpstr>16033-170</vt:lpstr>
      <vt:lpstr>16037-170</vt:lpstr>
      <vt:lpstr>16037-171</vt:lpstr>
      <vt:lpstr>16037-172</vt:lpstr>
      <vt:lpstr>16037-173</vt:lpstr>
      <vt:lpstr>16039-171</vt:lpstr>
      <vt:lpstr>16040-171</vt:lpstr>
      <vt:lpstr>16040-173</vt:lpstr>
      <vt:lpstr>16041-172</vt:lpstr>
      <vt:lpstr>16041-173</vt:lpstr>
      <vt:lpstr>16043-170</vt:lpstr>
      <vt:lpstr>16045-173</vt:lpstr>
      <vt:lpstr>16050-173</vt:lpstr>
      <vt:lpstr>16056-171</vt:lpstr>
      <vt:lpstr>16056-173</vt:lpstr>
      <vt:lpstr>16058-172</vt:lpstr>
      <vt:lpstr>16059-171</vt:lpstr>
      <vt:lpstr>16059-172</vt:lpstr>
      <vt:lpstr>16059-173</vt:lpstr>
      <vt:lpstr>16060-173</vt:lpstr>
      <vt:lpstr>16068-170</vt:lpstr>
      <vt:lpstr>16068-171</vt:lpstr>
      <vt:lpstr>16068-172</vt:lpstr>
      <vt:lpstr>16068-173</vt:lpstr>
      <vt:lpstr>16069-170</vt:lpstr>
      <vt:lpstr>16069-171</vt:lpstr>
      <vt:lpstr>16069-172</vt:lpstr>
      <vt:lpstr>16069-173</vt:lpstr>
      <vt:lpstr>16070-172</vt:lpstr>
      <vt:lpstr>16071-170</vt:lpstr>
      <vt:lpstr>16071-171</vt:lpstr>
      <vt:lpstr>16071-173</vt:lpstr>
      <vt:lpstr>16073-170</vt:lpstr>
      <vt:lpstr>16075-170</vt:lpstr>
      <vt:lpstr>16075-171</vt:lpstr>
      <vt:lpstr>16076-170</vt:lpstr>
      <vt:lpstr>16076-171</vt:lpstr>
      <vt:lpstr>16077-171</vt:lpstr>
      <vt:lpstr>16078-170</vt:lpstr>
      <vt:lpstr>16079-171</vt:lpstr>
      <vt:lpstr>16081-170</vt:lpstr>
      <vt:lpstr>16081-171</vt:lpstr>
      <vt:lpstr>16081-172</vt:lpstr>
      <vt:lpstr>16081-173</vt:lpstr>
      <vt:lpstr>16082-170</vt:lpstr>
      <vt:lpstr>16082-171</vt:lpstr>
      <vt:lpstr>16082-172</vt:lpstr>
      <vt:lpstr>16082-173</vt:lpstr>
      <vt:lpstr>16083-171</vt:lpstr>
      <vt:lpstr>16083-172</vt:lpstr>
      <vt:lpstr>16088-170</vt:lpstr>
      <vt:lpstr>16089-171</vt:lpstr>
      <vt:lpstr>16090-172</vt:lpstr>
      <vt:lpstr>16091-170</vt:lpstr>
      <vt:lpstr>16091-171</vt:lpstr>
      <vt:lpstr>16091-172</vt:lpstr>
      <vt:lpstr>16091-173</vt:lpstr>
      <vt:lpstr>16092-170</vt:lpstr>
      <vt:lpstr>16093-170</vt:lpstr>
      <vt:lpstr>16093-172</vt:lpstr>
      <vt:lpstr>16093-173</vt:lpstr>
      <vt:lpstr>16094-170</vt:lpstr>
      <vt:lpstr>16094-171</vt:lpstr>
      <vt:lpstr>16094-172</vt:lpstr>
      <vt:lpstr>16094-173</vt:lpstr>
      <vt:lpstr>16095-170</vt:lpstr>
      <vt:lpstr>16095-172</vt:lpstr>
      <vt:lpstr>16096-170</vt:lpstr>
      <vt:lpstr>16098-170</vt:lpstr>
      <vt:lpstr>16204</vt:lpstr>
      <vt:lpstr>16205</vt:lpstr>
      <vt:lpstr>16206</vt:lpstr>
      <vt:lpstr>16208</vt:lpstr>
      <vt:lpstr>16214</vt:lpstr>
      <vt:lpstr>16230</vt:lpstr>
      <vt:lpstr>16234</vt:lpstr>
      <vt:lpstr>16235</vt:lpstr>
      <vt:lpstr>16236</vt:lpstr>
      <vt:lpstr>16238</vt:lpstr>
      <vt:lpstr>16242</vt:lpstr>
      <vt:lpstr>16244</vt:lpstr>
      <vt:lpstr>16246</vt:lpstr>
      <vt:lpstr>16247</vt:lpstr>
      <vt:lpstr>16248</vt:lpstr>
      <vt:lpstr>16252</vt:lpstr>
      <vt:lpstr>16254</vt:lpstr>
      <vt:lpstr>16257</vt:lpstr>
      <vt:lpstr>16262</vt:lpstr>
      <vt:lpstr>16263</vt:lpstr>
      <vt:lpstr>16264</vt:lpstr>
      <vt:lpstr>16265</vt:lpstr>
      <vt:lpstr>16272</vt:lpstr>
      <vt:lpstr>16275</vt:lpstr>
      <vt:lpstr>16276</vt:lpstr>
      <vt:lpstr>16278</vt:lpstr>
      <vt:lpstr>16279</vt:lpstr>
      <vt:lpstr>16280</vt:lpstr>
      <vt:lpstr>16285</vt:lpstr>
      <vt:lpstr>16286</vt:lpstr>
      <vt:lpstr>16287</vt:lpstr>
      <vt:lpstr>16290</vt:lpstr>
      <vt:lpstr>16291</vt:lpstr>
      <vt:lpstr>16292</vt:lpstr>
      <vt:lpstr>16293</vt:lpstr>
      <vt:lpstr>16294</vt:lpstr>
      <vt:lpstr>16295</vt:lpstr>
      <vt:lpstr>16296</vt:lpstr>
      <vt:lpstr>Sch.D&amp;E-REV</vt:lpstr>
      <vt:lpstr>Expense Reallocation Wp-$</vt:lpstr>
      <vt:lpstr>wp-l-gl plant additions</vt:lpstr>
      <vt:lpstr>wp-j-pf.plant</vt:lpstr>
      <vt:lpstr>wp-k-retirements</vt:lpstr>
      <vt:lpstr>w.p-b2</vt:lpstr>
      <vt:lpstr>wp-r Expense Reports</vt:lpstr>
      <vt:lpstr>Allocation Calc</vt:lpstr>
      <vt:lpstr>Operators allocation</vt:lpstr>
      <vt:lpstr>_WORLDOX</vt:lpstr>
      <vt:lpstr>ALLOCATION_TABLE</vt:lpstr>
      <vt:lpstr>'16011-170'!Print_Area</vt:lpstr>
      <vt:lpstr>'16011-171'!Print_Area</vt:lpstr>
      <vt:lpstr>'16011-172'!Print_Area</vt:lpstr>
      <vt:lpstr>'16011-173'!Print_Area</vt:lpstr>
      <vt:lpstr>'16012-171'!Print_Area</vt:lpstr>
      <vt:lpstr>'16013-171'!Print_Area</vt:lpstr>
      <vt:lpstr>'16013-172'!Print_Area</vt:lpstr>
      <vt:lpstr>'16015-172'!Print_Area</vt:lpstr>
      <vt:lpstr>'16015-173'!Print_Area</vt:lpstr>
      <vt:lpstr>'16016-172'!Print_Area</vt:lpstr>
      <vt:lpstr>'16017-170'!Print_Area</vt:lpstr>
      <vt:lpstr>'16017-172'!Print_Area</vt:lpstr>
      <vt:lpstr>'16031-170'!Print_Area</vt:lpstr>
      <vt:lpstr>'16031-172'!Print_Area</vt:lpstr>
      <vt:lpstr>'16031-173'!Print_Area</vt:lpstr>
      <vt:lpstr>'16033-170'!Print_Area</vt:lpstr>
      <vt:lpstr>'16037-170'!Print_Area</vt:lpstr>
      <vt:lpstr>'16037-171'!Print_Area</vt:lpstr>
      <vt:lpstr>'16037-172'!Print_Area</vt:lpstr>
      <vt:lpstr>'16037-173'!Print_Area</vt:lpstr>
      <vt:lpstr>'16039-171'!Print_Area</vt:lpstr>
      <vt:lpstr>'16040-171'!Print_Area</vt:lpstr>
      <vt:lpstr>'16040-173'!Print_Area</vt:lpstr>
      <vt:lpstr>'16041-172'!Print_Area</vt:lpstr>
      <vt:lpstr>'16041-173'!Print_Area</vt:lpstr>
      <vt:lpstr>'16043-170'!Print_Area</vt:lpstr>
      <vt:lpstr>'16045-173'!Print_Area</vt:lpstr>
      <vt:lpstr>'16050-173'!Print_Area</vt:lpstr>
      <vt:lpstr>'16056-171'!Print_Area</vt:lpstr>
      <vt:lpstr>'16056-173'!Print_Area</vt:lpstr>
      <vt:lpstr>'16058-172'!Print_Area</vt:lpstr>
      <vt:lpstr>'16060-173'!Print_Area</vt:lpstr>
      <vt:lpstr>'16070-172'!Print_Area</vt:lpstr>
      <vt:lpstr>'16071-170'!Print_Area</vt:lpstr>
      <vt:lpstr>'16071-171'!Print_Area</vt:lpstr>
      <vt:lpstr>'16071-173'!Print_Area</vt:lpstr>
      <vt:lpstr>'16073-170'!Print_Area</vt:lpstr>
      <vt:lpstr>'16075-170'!Print_Area</vt:lpstr>
      <vt:lpstr>'16075-171'!Print_Area</vt:lpstr>
      <vt:lpstr>'16076-170'!Print_Area</vt:lpstr>
      <vt:lpstr>'16076-171'!Print_Area</vt:lpstr>
      <vt:lpstr>'16077-171'!Print_Area</vt:lpstr>
      <vt:lpstr>'16078-170'!Print_Area</vt:lpstr>
      <vt:lpstr>'16079-171'!Print_Area</vt:lpstr>
      <vt:lpstr>'16081-170'!Print_Area</vt:lpstr>
      <vt:lpstr>'16081-171'!Print_Area</vt:lpstr>
      <vt:lpstr>'16081-172'!Print_Area</vt:lpstr>
      <vt:lpstr>'16081-173'!Print_Area</vt:lpstr>
      <vt:lpstr>'16082-170'!Print_Area</vt:lpstr>
      <vt:lpstr>'16082-171'!Print_Area</vt:lpstr>
      <vt:lpstr>'16082-172'!Print_Area</vt:lpstr>
      <vt:lpstr>'16082-173'!Print_Area</vt:lpstr>
      <vt:lpstr>'16083-171'!Print_Area</vt:lpstr>
      <vt:lpstr>'16083-172'!Print_Area</vt:lpstr>
      <vt:lpstr>'16088-170'!Print_Area</vt:lpstr>
      <vt:lpstr>'16089-171'!Print_Area</vt:lpstr>
      <vt:lpstr>'16090-172'!Print_Area</vt:lpstr>
      <vt:lpstr>'16091-170'!Print_Area</vt:lpstr>
      <vt:lpstr>'16091-171'!Print_Area</vt:lpstr>
      <vt:lpstr>'16091-172'!Print_Area</vt:lpstr>
      <vt:lpstr>'16091-173'!Print_Area</vt:lpstr>
      <vt:lpstr>'16092-170'!Print_Area</vt:lpstr>
      <vt:lpstr>'16093-170'!Print_Area</vt:lpstr>
      <vt:lpstr>'16093-172'!Print_Area</vt:lpstr>
      <vt:lpstr>'16093-173'!Print_Area</vt:lpstr>
      <vt:lpstr>'16094-170'!Print_Area</vt:lpstr>
      <vt:lpstr>'16094-171'!Print_Area</vt:lpstr>
      <vt:lpstr>'16094-172'!Print_Area</vt:lpstr>
      <vt:lpstr>'16094-173'!Print_Area</vt:lpstr>
      <vt:lpstr>'16095-170'!Print_Area</vt:lpstr>
      <vt:lpstr>'16095-172'!Print_Area</vt:lpstr>
      <vt:lpstr>'16096-170'!Print_Area</vt:lpstr>
      <vt:lpstr>'16098-170'!Print_Area</vt:lpstr>
      <vt:lpstr>'16204'!Print_Area</vt:lpstr>
      <vt:lpstr>'16205'!Print_Area</vt:lpstr>
      <vt:lpstr>'16206'!Print_Area</vt:lpstr>
      <vt:lpstr>'16208'!Print_Area</vt:lpstr>
      <vt:lpstr>'16214'!Print_Area</vt:lpstr>
      <vt:lpstr>'16230'!Print_Area</vt:lpstr>
      <vt:lpstr>'16234'!Print_Area</vt:lpstr>
      <vt:lpstr>'16235'!Print_Area</vt:lpstr>
      <vt:lpstr>'16236'!Print_Area</vt:lpstr>
      <vt:lpstr>'16238'!Print_Area</vt:lpstr>
      <vt:lpstr>'16242'!Print_Area</vt:lpstr>
      <vt:lpstr>'16244'!Print_Area</vt:lpstr>
      <vt:lpstr>'16246'!Print_Area</vt:lpstr>
      <vt:lpstr>'16247'!Print_Area</vt:lpstr>
      <vt:lpstr>'16248'!Print_Area</vt:lpstr>
      <vt:lpstr>'16254'!Print_Area</vt:lpstr>
      <vt:lpstr>'16257'!Print_Area</vt:lpstr>
      <vt:lpstr>'16263'!Print_Area</vt:lpstr>
      <vt:lpstr>'16264'!Print_Area</vt:lpstr>
      <vt:lpstr>'16265'!Print_Area</vt:lpstr>
      <vt:lpstr>'16272'!Print_Area</vt:lpstr>
      <vt:lpstr>'16285'!Print_Area</vt:lpstr>
      <vt:lpstr>'16286'!Print_Area</vt:lpstr>
      <vt:lpstr>'Input Schedule'!Print_Area</vt:lpstr>
      <vt:lpstr>'plnt category'!Print_Area</vt:lpstr>
      <vt:lpstr>'Sch.A-B.S'!Print_Area</vt:lpstr>
      <vt:lpstr>'Sch.B-I.S'!Print_Area</vt:lpstr>
      <vt:lpstr>'Sch.C-R.B'!Print_Area</vt:lpstr>
      <vt:lpstr>'Sch.D&amp;E-REV'!Print_Area</vt:lpstr>
      <vt:lpstr>'Sch.E ORM '!Print_Area</vt:lpstr>
      <vt:lpstr>'Schedule D'!Print_Area</vt:lpstr>
      <vt:lpstr>'w.p-b2'!Print_Area</vt:lpstr>
      <vt:lpstr>'Wp b - salary'!Print_Area</vt:lpstr>
      <vt:lpstr>'Wp b2 - Captime'!Print_Area</vt:lpstr>
      <vt:lpstr>'wp b3 - CSR'!Print_Area</vt:lpstr>
      <vt:lpstr>'Wp b4 - WSC'!Print_Area</vt:lpstr>
      <vt:lpstr>'wp(g)-inc.tx'!Print_Area</vt:lpstr>
      <vt:lpstr>'wp.a-uncoll'!Print_Area</vt:lpstr>
      <vt:lpstr>'wp.h-cap.struc'!Print_Area</vt:lpstr>
      <vt:lpstr>'wp-appendix'!Print_Area</vt:lpstr>
      <vt:lpstr>'wp-d-rc.exp'!Print_Area</vt:lpstr>
      <vt:lpstr>'wp-e-toi'!Print_Area</vt:lpstr>
      <vt:lpstr>'wp-f-depr'!Print_Area</vt:lpstr>
      <vt:lpstr>'wp-i-wc'!Print_Area</vt:lpstr>
      <vt:lpstr>'wp-j-pf.plant'!Print_Area</vt:lpstr>
      <vt:lpstr>'wp-o-restate-acq'!Print_Area</vt:lpstr>
      <vt:lpstr>'wp-p2 Allocation of Vehicles'!Print_Area</vt:lpstr>
      <vt:lpstr>'wp-p3-alloc of State computers'!Print_Area</vt:lpstr>
      <vt:lpstr>'wp-p4-alloc of WSC computers'!Print_Area</vt:lpstr>
      <vt:lpstr>'wp-p5 Recon Summary'!Print_Area</vt:lpstr>
      <vt:lpstr>'wp-p5a-restatement (audit)'!Print_Area</vt:lpstr>
      <vt:lpstr>'wp-p-restate(audit)'!Print_Area</vt:lpstr>
      <vt:lpstr>'wp-q City of Clinton'!Print_Area</vt:lpstr>
      <vt:lpstr>'wp-q(2) salary allocation'!Print_Area</vt:lpstr>
      <vt:lpstr>'wp-q(3) Clinton salary revised'!Print_Area</vt:lpstr>
      <vt:lpstr>'wp-q(4) Clinton trans exp'!Print_Area</vt:lpstr>
      <vt:lpstr>'xxxRate-Rev Comp'!Print_Area</vt:lpstr>
      <vt:lpstr>'16011-170'!Print_Titles</vt:lpstr>
      <vt:lpstr>'16011-171'!Print_Titles</vt:lpstr>
      <vt:lpstr>'16011-172'!Print_Titles</vt:lpstr>
      <vt:lpstr>'16011-173'!Print_Titles</vt:lpstr>
      <vt:lpstr>'16012-171'!Print_Titles</vt:lpstr>
      <vt:lpstr>'16013-171'!Print_Titles</vt:lpstr>
      <vt:lpstr>'16013-172'!Print_Titles</vt:lpstr>
      <vt:lpstr>'16015-172'!Print_Titles</vt:lpstr>
      <vt:lpstr>'16015-173'!Print_Titles</vt:lpstr>
      <vt:lpstr>'16016-172'!Print_Titles</vt:lpstr>
      <vt:lpstr>'16017-170'!Print_Titles</vt:lpstr>
      <vt:lpstr>'16017-172'!Print_Titles</vt:lpstr>
      <vt:lpstr>'16031-170'!Print_Titles</vt:lpstr>
      <vt:lpstr>'16031-172'!Print_Titles</vt:lpstr>
      <vt:lpstr>'16031-173'!Print_Titles</vt:lpstr>
      <vt:lpstr>'16033-170'!Print_Titles</vt:lpstr>
      <vt:lpstr>'16037-170'!Print_Titles</vt:lpstr>
      <vt:lpstr>'16037-171'!Print_Titles</vt:lpstr>
      <vt:lpstr>'16037-172'!Print_Titles</vt:lpstr>
      <vt:lpstr>'16037-173'!Print_Titles</vt:lpstr>
      <vt:lpstr>'16039-171'!Print_Titles</vt:lpstr>
      <vt:lpstr>'16040-171'!Print_Titles</vt:lpstr>
      <vt:lpstr>'16040-173'!Print_Titles</vt:lpstr>
      <vt:lpstr>'16041-172'!Print_Titles</vt:lpstr>
      <vt:lpstr>'16041-173'!Print_Titles</vt:lpstr>
      <vt:lpstr>'16043-170'!Print_Titles</vt:lpstr>
      <vt:lpstr>'16045-173'!Print_Titles</vt:lpstr>
      <vt:lpstr>'16050-173'!Print_Titles</vt:lpstr>
      <vt:lpstr>'16056-171'!Print_Titles</vt:lpstr>
      <vt:lpstr>'16056-173'!Print_Titles</vt:lpstr>
      <vt:lpstr>'16058-172'!Print_Titles</vt:lpstr>
      <vt:lpstr>'16060-173'!Print_Titles</vt:lpstr>
      <vt:lpstr>'16070-172'!Print_Titles</vt:lpstr>
      <vt:lpstr>'16071-170'!Print_Titles</vt:lpstr>
      <vt:lpstr>'16071-171'!Print_Titles</vt:lpstr>
      <vt:lpstr>'16071-173'!Print_Titles</vt:lpstr>
      <vt:lpstr>'16073-170'!Print_Titles</vt:lpstr>
      <vt:lpstr>'16075-170'!Print_Titles</vt:lpstr>
      <vt:lpstr>'16075-171'!Print_Titles</vt:lpstr>
      <vt:lpstr>'16076-170'!Print_Titles</vt:lpstr>
      <vt:lpstr>'16076-171'!Print_Titles</vt:lpstr>
      <vt:lpstr>'16077-171'!Print_Titles</vt:lpstr>
      <vt:lpstr>'16078-170'!Print_Titles</vt:lpstr>
      <vt:lpstr>'16079-171'!Print_Titles</vt:lpstr>
      <vt:lpstr>'16081-170'!Print_Titles</vt:lpstr>
      <vt:lpstr>'16081-171'!Print_Titles</vt:lpstr>
      <vt:lpstr>'16081-172'!Print_Titles</vt:lpstr>
      <vt:lpstr>'16081-173'!Print_Titles</vt:lpstr>
      <vt:lpstr>'16082-170'!Print_Titles</vt:lpstr>
      <vt:lpstr>'16082-171'!Print_Titles</vt:lpstr>
      <vt:lpstr>'16082-172'!Print_Titles</vt:lpstr>
      <vt:lpstr>'16082-173'!Print_Titles</vt:lpstr>
      <vt:lpstr>'16083-171'!Print_Titles</vt:lpstr>
      <vt:lpstr>'16083-172'!Print_Titles</vt:lpstr>
      <vt:lpstr>'16088-170'!Print_Titles</vt:lpstr>
      <vt:lpstr>'16089-171'!Print_Titles</vt:lpstr>
      <vt:lpstr>'16090-172'!Print_Titles</vt:lpstr>
      <vt:lpstr>'16091-170'!Print_Titles</vt:lpstr>
      <vt:lpstr>'16091-171'!Print_Titles</vt:lpstr>
      <vt:lpstr>'16091-172'!Print_Titles</vt:lpstr>
      <vt:lpstr>'16091-173'!Print_Titles</vt:lpstr>
      <vt:lpstr>'16092-170'!Print_Titles</vt:lpstr>
      <vt:lpstr>'16093-170'!Print_Titles</vt:lpstr>
      <vt:lpstr>'16093-172'!Print_Titles</vt:lpstr>
      <vt:lpstr>'16093-173'!Print_Titles</vt:lpstr>
      <vt:lpstr>'16094-170'!Print_Titles</vt:lpstr>
      <vt:lpstr>'16094-171'!Print_Titles</vt:lpstr>
      <vt:lpstr>'16094-172'!Print_Titles</vt:lpstr>
      <vt:lpstr>'16094-173'!Print_Titles</vt:lpstr>
      <vt:lpstr>'16095-170'!Print_Titles</vt:lpstr>
      <vt:lpstr>'16095-172'!Print_Titles</vt:lpstr>
      <vt:lpstr>'16096-170'!Print_Titles</vt:lpstr>
      <vt:lpstr>'16098-170'!Print_Titles</vt:lpstr>
      <vt:lpstr>'16204'!Print_Titles</vt:lpstr>
      <vt:lpstr>'16205'!Print_Titles</vt:lpstr>
      <vt:lpstr>'16206'!Print_Titles</vt:lpstr>
      <vt:lpstr>'16208'!Print_Titles</vt:lpstr>
      <vt:lpstr>'16214'!Print_Titles</vt:lpstr>
      <vt:lpstr>'16230'!Print_Titles</vt:lpstr>
      <vt:lpstr>'16234'!Print_Titles</vt:lpstr>
      <vt:lpstr>'16235'!Print_Titles</vt:lpstr>
      <vt:lpstr>'16236'!Print_Titles</vt:lpstr>
      <vt:lpstr>'16238'!Print_Titles</vt:lpstr>
      <vt:lpstr>'16242'!Print_Titles</vt:lpstr>
      <vt:lpstr>'16244'!Print_Titles</vt:lpstr>
      <vt:lpstr>'16246'!Print_Titles</vt:lpstr>
      <vt:lpstr>'16247'!Print_Titles</vt:lpstr>
      <vt:lpstr>'16248'!Print_Titles</vt:lpstr>
      <vt:lpstr>'16254'!Print_Titles</vt:lpstr>
      <vt:lpstr>'16257'!Print_Titles</vt:lpstr>
      <vt:lpstr>'16263'!Print_Titles</vt:lpstr>
      <vt:lpstr>'16264'!Print_Titles</vt:lpstr>
      <vt:lpstr>'16265'!Print_Titles</vt:lpstr>
      <vt:lpstr>'16272'!Print_Titles</vt:lpstr>
      <vt:lpstr>'16285'!Print_Titles</vt:lpstr>
      <vt:lpstr>'16286'!Print_Titles</vt:lpstr>
      <vt:lpstr>'Schedule D'!Print_Titles</vt:lpstr>
      <vt:lpstr>'Wp b - salary'!Print_Titles</vt:lpstr>
      <vt:lpstr>'Wp b2 - Captime'!Print_Titles</vt:lpstr>
      <vt:lpstr>'wp-o-restate-acq'!Print_Titles</vt:lpstr>
      <vt:lpstr>'wp-p2 Allocation of Vehicles'!Print_Titles</vt:lpstr>
      <vt:lpstr>'wp-p2a Allocation of Trans Exp'!Print_Titles</vt:lpstr>
      <vt:lpstr>'wp-p3-alloc of State computers'!Print_Titles</vt:lpstr>
      <vt:lpstr>'wp-p4-alloc of WSC computers'!Print_Titles</vt:lpstr>
      <vt:lpstr>'wp-p5 Recon Summary'!Print_Titles</vt:lpstr>
      <vt:lpstr>'wp-p5a-restatement (audit)'!Print_Titles</vt:lpstr>
      <vt:lpstr>'wp-p-restate(audit)'!Print_Titles</vt:lpstr>
      <vt:lpstr>'wp-q(3) Clinton salary revised'!Print_Titles</vt:lpstr>
      <vt:lpstr>'xxxRate-Rev Comp'!Print_Titles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Utilities, Inc</dc:creator>
  <cp:lastModifiedBy>Mary Myers</cp:lastModifiedBy>
  <cp:lastPrinted>2013-10-22T20:49:57Z</cp:lastPrinted>
  <dcterms:created xsi:type="dcterms:W3CDTF">2001-02-13T21:01:04Z</dcterms:created>
  <dcterms:modified xsi:type="dcterms:W3CDTF">2013-10-22T20:50:00Z</dcterms:modified>
</cp:coreProperties>
</file>