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15" windowHeight="9870" activeTab="0"/>
  </bookViews>
  <sheets>
    <sheet name="Exh. JDG-1" sheetId="1" r:id="rId1"/>
    <sheet name="Exh. JDG-2" sheetId="2" r:id="rId2"/>
    <sheet name="Exh. JDG-3 " sheetId="3" r:id="rId3"/>
    <sheet name="Exh. JDG-4" sheetId="4" r:id="rId4"/>
    <sheet name="Exh. JDG-5" sheetId="5" r:id="rId5"/>
    <sheet name="Exh. JDG-6" sheetId="6" r:id="rId6"/>
  </sheets>
  <definedNames>
    <definedName name="_xlnm.Print_Area" localSheetId="0">'Exh. JDG-1'!$A$1:$J$61</definedName>
    <definedName name="_xlnm.Print_Area" localSheetId="1">'Exh. JDG-2'!$A$9:$G$65</definedName>
    <definedName name="_xlnm.Print_Area" localSheetId="2">'Exh. JDG-3 '!$A$12:$N$111</definedName>
    <definedName name="_xlnm.Print_Area" localSheetId="3">'Exh. JDG-4'!$A$11:$J$129</definedName>
    <definedName name="_xlnm.Print_Area" localSheetId="4">'Exh. JDG-5'!$A$1:$E$15</definedName>
    <definedName name="_xlnm.Print_Titles" localSheetId="1">'Exh. JDG-2'!$1:$8</definedName>
    <definedName name="_xlnm.Print_Titles" localSheetId="2">'Exh. JDG-3 '!$1:$11</definedName>
    <definedName name="_xlnm.Print_Titles" localSheetId="3">'Exh. JDG-4'!$1:$10</definedName>
  </definedNames>
  <calcPr fullCalcOnLoad="1"/>
</workbook>
</file>

<file path=xl/sharedStrings.xml><?xml version="1.0" encoding="utf-8"?>
<sst xmlns="http://schemas.openxmlformats.org/spreadsheetml/2006/main" count="513" uniqueCount="200">
  <si>
    <t>Item</t>
  </si>
  <si>
    <t>kW</t>
  </si>
  <si>
    <t>kWh</t>
  </si>
  <si>
    <t>Units</t>
  </si>
  <si>
    <t>Present</t>
  </si>
  <si>
    <t>Rate</t>
  </si>
  <si>
    <t>Amount</t>
  </si>
  <si>
    <t>Proposed</t>
  </si>
  <si>
    <t>Difference</t>
  </si>
  <si>
    <t>Total</t>
  </si>
  <si>
    <t>Revenue</t>
  </si>
  <si>
    <t>a</t>
  </si>
  <si>
    <t>b</t>
  </si>
  <si>
    <t>c</t>
  </si>
  <si>
    <t>d</t>
  </si>
  <si>
    <t>e</t>
  </si>
  <si>
    <t>f</t>
  </si>
  <si>
    <t>g</t>
  </si>
  <si>
    <t>Adjusted</t>
  </si>
  <si>
    <t>÷</t>
  </si>
  <si>
    <t>x</t>
  </si>
  <si>
    <t xml:space="preserve">       Allocated to Own Use</t>
  </si>
  <si>
    <t>Pass Through Amount</t>
  </si>
  <si>
    <t>Rev. / Con</t>
  </si>
  <si>
    <t>Ln.</t>
  </si>
  <si>
    <t>AVG. NO.</t>
  </si>
  <si>
    <t>KWH</t>
  </si>
  <si>
    <t>Increase</t>
  </si>
  <si>
    <t>No.</t>
  </si>
  <si>
    <t>RATE CLASS</t>
  </si>
  <si>
    <t>BILLED</t>
  </si>
  <si>
    <t>per Con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</si>
  <si>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</si>
  <si>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</si>
  <si>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</si>
  <si>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</si>
  <si>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</si>
  <si>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</si>
  <si>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</si>
  <si>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</si>
  <si>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</si>
  <si>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</si>
  <si>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 xml:space="preserve">       Unit Cost ($/kWh Sold)</t>
  </si>
  <si>
    <t xml:space="preserve">        Own Use kWh</t>
  </si>
  <si>
    <t>PROPOSED CHANGES TO TARIFF RATES</t>
  </si>
  <si>
    <t>Rates</t>
  </si>
  <si>
    <t>per month</t>
  </si>
  <si>
    <t xml:space="preserve">  All KW During Month</t>
  </si>
  <si>
    <t>Adjusted Sales Revenue</t>
  </si>
  <si>
    <t>-</t>
  </si>
  <si>
    <t>Less: Own Use &lt;1&gt;</t>
  </si>
  <si>
    <t xml:space="preserve"> Customer Charge per Delivery Point</t>
  </si>
  <si>
    <t>175 Watt Unmetered</t>
  </si>
  <si>
    <t>400 Watt Unmetered</t>
  </si>
  <si>
    <t>400 Watt Unmetered - Flood</t>
  </si>
  <si>
    <t>175 Watt Metered</t>
  </si>
  <si>
    <t>400 Watt Metered</t>
  </si>
  <si>
    <t>400 Watt Metered - Flood</t>
  </si>
  <si>
    <t>Pole Rental</t>
  </si>
  <si>
    <t>400 Watt</t>
  </si>
  <si>
    <t>175 Watt</t>
  </si>
  <si>
    <t>Multiplier</t>
  </si>
  <si>
    <t>MEADE COUNTY RECC</t>
  </si>
  <si>
    <t>Change</t>
  </si>
  <si>
    <t>Percent</t>
  </si>
  <si>
    <t>per kWh</t>
  </si>
  <si>
    <t>per kW</t>
  </si>
  <si>
    <t>Rate Tariff</t>
  </si>
  <si>
    <t>&lt;1&gt; Increase In Power Cost</t>
  </si>
  <si>
    <t>Meade County RECC</t>
  </si>
  <si>
    <t>Energy Charge</t>
  </si>
  <si>
    <t>Subtotal</t>
  </si>
  <si>
    <t>Description</t>
  </si>
  <si>
    <t>Demand Charge</t>
  </si>
  <si>
    <t>Rate Schedule 1 - Residential, Farm, and Non-Farm. Schools, and Churches</t>
  </si>
  <si>
    <t>Rate Schedule 2 - Commercial</t>
  </si>
  <si>
    <t>Rate Schedule 3 - General Service 0-999 KVA</t>
  </si>
  <si>
    <t>Rate Schedule 3A - Optional Time-of-Day (TOD) Rate</t>
  </si>
  <si>
    <t>Rate Schedule 5 - Outdoor Lighting Service</t>
  </si>
  <si>
    <t>Rate Schedule 6 - Street Lighting Service</t>
  </si>
  <si>
    <t>Schedule 1</t>
  </si>
  <si>
    <t>Schedule 2</t>
  </si>
  <si>
    <t>Schedule 3</t>
  </si>
  <si>
    <t>Schedule 5</t>
  </si>
  <si>
    <t>Schedule 6</t>
  </si>
  <si>
    <t>CONSUMPTION ANALYSIS DATA AND REVENUE PROOF</t>
  </si>
  <si>
    <t>Rate Schedule 4 - Optional Time-of-Day (TOD) Rate</t>
  </si>
  <si>
    <t xml:space="preserve">    if Equipment Provided by Seller</t>
  </si>
  <si>
    <t xml:space="preserve">    if Equipment Provided by Customer</t>
  </si>
  <si>
    <t xml:space="preserve"> Energy Charge per kWh</t>
  </si>
  <si>
    <t xml:space="preserve"> All KW During Month</t>
  </si>
  <si>
    <t xml:space="preserve"> Energy Charges:</t>
  </si>
  <si>
    <t xml:space="preserve">   First 300 kWh per kW, per kWh</t>
  </si>
  <si>
    <t xml:space="preserve">   Over 300 kWh per kW, per kWh</t>
  </si>
  <si>
    <t>RENEWABLE RESOURCE ENERGY SERVICE TARIFF RIDER</t>
  </si>
  <si>
    <t>DETERMINATION OF KWH ADDER</t>
  </si>
  <si>
    <t>Charge from Big Rivers for Renewable Energy</t>
  </si>
  <si>
    <t>Less: Big Rivers Standard Energy rate</t>
  </si>
  <si>
    <t>kWh Adder</t>
  </si>
  <si>
    <t>Determination of Flow Through Multiplier</t>
  </si>
  <si>
    <t>Schedule 3A</t>
  </si>
  <si>
    <t>Schedule 4</t>
  </si>
  <si>
    <t>Base rate</t>
  </si>
  <si>
    <t>ES</t>
  </si>
  <si>
    <t>FAC</t>
  </si>
  <si>
    <t>US</t>
  </si>
  <si>
    <t xml:space="preserve"> Subtotal</t>
  </si>
  <si>
    <t>Test Year Sales Base Rate Sales Revenue</t>
  </si>
  <si>
    <t>NA</t>
  </si>
  <si>
    <t>Non-FAC PPA</t>
  </si>
  <si>
    <t>kWh Sales</t>
  </si>
  <si>
    <t xml:space="preserve"> Customer Charge per Delivery Point per Day</t>
  </si>
  <si>
    <t>per day</t>
  </si>
  <si>
    <t xml:space="preserve"> Customer Charge per Delivery Point:</t>
  </si>
  <si>
    <t>Monthly 0-100 KVA</t>
  </si>
  <si>
    <t>Daily 0-100 KVA</t>
  </si>
  <si>
    <t>Daily 1010-1000 KVA</t>
  </si>
  <si>
    <t>Daily Over 1000 KVA</t>
  </si>
  <si>
    <t>Test Year Rev.</t>
  </si>
  <si>
    <t>EMF of MRSM</t>
  </si>
  <si>
    <t>Retail EMF Factor</t>
  </si>
  <si>
    <t>Based on 12 Month Test Year Ending November 30, 2012</t>
  </si>
  <si>
    <t>SUMMARY OF REVENUE - TEST YEAR ENDING NOVEMBER 2012</t>
  </si>
  <si>
    <t>ADJUSTED</t>
  </si>
  <si>
    <t>Adj. Test Year</t>
  </si>
  <si>
    <t>Growth</t>
  </si>
  <si>
    <t>Subtotal - Growth</t>
  </si>
  <si>
    <t>Correction Factor</t>
  </si>
  <si>
    <t>Total Revenue</t>
  </si>
  <si>
    <t>Unbilled Revenue</t>
  </si>
  <si>
    <t>Grand Total</t>
  </si>
  <si>
    <t>Demand - Actual</t>
  </si>
  <si>
    <t>Energy - Actual</t>
  </si>
  <si>
    <t xml:space="preserve">        kWh - Sold </t>
  </si>
  <si>
    <t xml:space="preserve">        Net Unbilled kWh</t>
  </si>
  <si>
    <t xml:space="preserve">        Modified Loss Percentage</t>
  </si>
  <si>
    <t>Customer Charges:</t>
  </si>
  <si>
    <t>Daily 101-1000 KVA</t>
  </si>
  <si>
    <t>TEST YEAR ENDING NOVEMBER 30, 2012</t>
  </si>
  <si>
    <t>Energy Charges:</t>
  </si>
  <si>
    <t>Subtotal - Energy Growth</t>
  </si>
  <si>
    <t>Subtotal - Customer Charges</t>
  </si>
  <si>
    <t>Customer Charge per Day</t>
  </si>
  <si>
    <t>Customer Charge Per Day:</t>
  </si>
  <si>
    <t>Subtotal - Energy</t>
  </si>
  <si>
    <t>Test Year</t>
  </si>
  <si>
    <t>Minimums - Impact</t>
  </si>
  <si>
    <t>Adjustments to GL</t>
  </si>
  <si>
    <t>Customer Charge:</t>
  </si>
  <si>
    <t>Subtotal - Customer Charge</t>
  </si>
  <si>
    <t>Demand Charge:</t>
  </si>
  <si>
    <t>Subtotal - Demand</t>
  </si>
  <si>
    <t xml:space="preserve">      First 300 kWh per kW</t>
  </si>
  <si>
    <t xml:space="preserve">      Over 300 kWh per kW</t>
  </si>
  <si>
    <t xml:space="preserve">   Dec. 2011 - Oct. 2012</t>
  </si>
  <si>
    <t xml:space="preserve">   Nov. 2012</t>
  </si>
  <si>
    <t xml:space="preserve">   Nov. 2012:</t>
  </si>
  <si>
    <t>Customer-Days</t>
  </si>
  <si>
    <t>Rate/Day</t>
  </si>
  <si>
    <t>Rate/Month</t>
  </si>
  <si>
    <t>Normalized</t>
  </si>
  <si>
    <t>Flow Through</t>
  </si>
  <si>
    <t>h</t>
  </si>
  <si>
    <t>i</t>
  </si>
  <si>
    <t>Total Base Rate</t>
  </si>
  <si>
    <t>(h) - (g)</t>
  </si>
  <si>
    <r>
      <t xml:space="preserve">(i) </t>
    </r>
    <r>
      <rPr>
        <b/>
        <sz val="12"/>
        <rFont val="Calibri"/>
        <family val="2"/>
      </rPr>
      <t>÷</t>
    </r>
    <r>
      <rPr>
        <b/>
        <sz val="12"/>
        <rFont val="Arial"/>
        <family val="2"/>
      </rPr>
      <t xml:space="preserve"> (g)</t>
    </r>
  </si>
  <si>
    <r>
      <t xml:space="preserve">(p) </t>
    </r>
    <r>
      <rPr>
        <b/>
        <sz val="12"/>
        <rFont val="Calibri"/>
        <family val="2"/>
      </rPr>
      <t>÷</t>
    </r>
    <r>
      <rPr>
        <b/>
        <sz val="12"/>
        <rFont val="Arial"/>
        <family val="2"/>
      </rPr>
      <t xml:space="preserve"> (o)</t>
    </r>
  </si>
  <si>
    <t xml:space="preserve">        Adjusted kWh - Purchased</t>
  </si>
  <si>
    <t xml:space="preserve">        Normalized kWh Sold plus Own Use Without Growth</t>
  </si>
  <si>
    <t>Demand - Growth &lt;2&gt;</t>
  </si>
  <si>
    <t>Energy - Growth &lt;3&gt;</t>
  </si>
  <si>
    <t>&lt;3&gt; Test Year Losses</t>
  </si>
  <si>
    <t>&lt;2&gt; Demand from Growth</t>
  </si>
  <si>
    <t xml:space="preserve">       Test Year kWh Purchased</t>
  </si>
  <si>
    <t xml:space="preserve">       Test Year kW Purchased</t>
  </si>
  <si>
    <t xml:space="preserve">       Ratio</t>
  </si>
  <si>
    <t xml:space="preserve">       Demand From Growth</t>
  </si>
  <si>
    <t xml:space="preserve">       Purchased kWh Growth</t>
  </si>
  <si>
    <t xml:space="preserve">        kWh Sales Growth</t>
  </si>
  <si>
    <t>Net From Growth</t>
  </si>
  <si>
    <t>Flow Thru</t>
  </si>
  <si>
    <t>CUST.</t>
  </si>
  <si>
    <t>PROPOSED CHANGES TO SCHEDULE 24</t>
  </si>
  <si>
    <t>Per Unit</t>
  </si>
  <si>
    <t>MRSM - Section 1</t>
  </si>
  <si>
    <t>MRSM - Section 3</t>
  </si>
  <si>
    <t xml:space="preserve">1 Minus Line Loss of 5.6067% </t>
  </si>
  <si>
    <t>(k)</t>
  </si>
  <si>
    <t>(l)</t>
  </si>
  <si>
    <t>(m)</t>
  </si>
  <si>
    <t>To Pass Through the BREC Wholeasale Rate Increase Filed in Case No. 2013-00199</t>
  </si>
  <si>
    <r>
      <t xml:space="preserve">Flow Through Multiplier (1 + (Ln. 7 </t>
    </r>
    <r>
      <rPr>
        <sz val="11"/>
        <color indexed="8"/>
        <rFont val="Calibri"/>
        <family val="2"/>
      </rPr>
      <t>÷ Ln. 10))</t>
    </r>
  </si>
  <si>
    <r>
      <t>Proposed Schedule MRSM Section 3 Discount Factor (1 -(1</t>
    </r>
    <r>
      <rPr>
        <sz val="11"/>
        <color indexed="8"/>
        <rFont val="Calibri"/>
        <family val="2"/>
      </rPr>
      <t>÷ the Flow Through Multiplier))</t>
    </r>
  </si>
  <si>
    <t>Nov. 2013 BREC 2013 PPA Rate</t>
  </si>
  <si>
    <t>Total Without MRSM Section 3</t>
  </si>
  <si>
    <t>FAC and Environmental Surcharge Factors</t>
  </si>
  <si>
    <t>For the 12 Months Ending November 2013</t>
  </si>
  <si>
    <t>Month</t>
  </si>
  <si>
    <t>Average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</si>
</sst>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00_);_(&quot;$&quot;* \(#,##0.000\);_(&quot;$&quot;* &quot;-&quot;??_);_(@_)"/>
    <numFmt numFmtId="167" formatCode="_(&quot;$&quot;* #,##0.0000_);_(&quot;$&quot;* \(#,##0.0000\);_(&quot;$&quot;* &quot;-&quot;??_);_(@_)"/>
    <numFmt numFmtId="168" formatCode="_(&quot;$&quot;* #,##0.00000_);_(&quot;$&quot;* \(#,##0.00000\);_(&quot;$&quot;* &quot;-&quot;??_);_(@_)"/>
    <numFmt numFmtId="169" formatCode="_(&quot;$&quot;* #,##0.000000_);_(&quot;$&quot;* \(#,##0.000000\);_(&quot;$&quot;* &quot;-&quot;??_);_(@_)"/>
    <numFmt numFmtId="170" formatCode="_(* #,##0.0000000_);_(* \(#,##0.0000000\);_(* &quot;-&quot;??_);_(@_)"/>
    <numFmt numFmtId="171" formatCode="_(* #,##0.000000_);_(* \(#,##0.000000\);_(* &quot;-&quot;??_);_(@_)"/>
    <numFmt numFmtId="172" formatCode="_(* #,##0.00000_);_(* \(#,##0.00000\);_(* &quot;-&quot;??_);_(@_)"/>
    <numFmt numFmtId="173" formatCode="0.0%"/>
    <numFmt numFmtId="174" formatCode="_(&quot;$&quot;* #,##0.000000_);_(&quot;$&quot;* \(#,##0.000000\);_(&quot;$&quot;* &quot;-&quot;??????_);_(@_)"/>
    <numFmt numFmtId="175" formatCode="_(&quot;$&quot;* #,##0.00000_);_(&quot;$&quot;* \(#,##0.00000\);_(&quot;$&quot;* &quot;-&quot;?????_);_(@_)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???_);_(@_)"/>
    <numFmt numFmtId="179" formatCode="_(&quot;$&quot;* #,##0.0000000_);_(&quot;$&quot;* \(#,##0.0000000\);_(&quot;$&quot;* &quot;-&quot;??_);_(@_)"/>
    <numFmt numFmtId="180" formatCode="_(* #,##0.0_);_(* \(#,##0.0\);_(* &quot;-&quot;??_);_(@_)"/>
    <numFmt numFmtId="181" formatCode="0.000%"/>
    <numFmt numFmtId="182" formatCode="_(* #,##0.0000000_);_(* \(#,##0.0000000\);_(* &quot;-&quot;???????_);_(@_)"/>
    <numFmt numFmtId="183" formatCode="_(* #,##0.0000_);_(* \(#,##0.0000\);_(* &quot;-&quot;????_);_(@_)"/>
    <numFmt numFmtId="184" formatCode="_(* #,##0.000000_);_(* \(#,##0.000000\);_(* &quot;-&quot;??????_);_(@_)"/>
    <numFmt numFmtId="185" formatCode="_(&quot;$&quot;* #,##0.0_);_(&quot;$&quot;* \(#,##0.0\);_(&quot;$&quot;* &quot;-&quot;??_);_(@_)"/>
    <numFmt numFmtId="186" formatCode="0.0000%"/>
    <numFmt numFmtId="187" formatCode="#,##0.00000_);\(#,##0.00000\)"/>
    <numFmt numFmtId="188" formatCode="0.00000%"/>
    <numFmt numFmtId="189" formatCode="0.000000"/>
    <numFmt numFmtId="190" formatCode="_(* #,##0.0_);_(* \(#,##0.0\);_(* &quot;-&quot;?_);_(@_)"/>
    <numFmt numFmtId="191" formatCode="_(* #,##0.000_);_(* \(#,##0.000\);_(* &quot;-&quot;???_);_(@_)"/>
    <numFmt numFmtId="192" formatCode="_(&quot;$&quot;* #,##0.000_);_(&quot;$&quot;* \(#,##0.000\);_(&quot;$&quot;* &quot;-&quot;???_);_(@_)"/>
    <numFmt numFmtId="193" formatCode="_(&quot;$&quot;* #,##0.0000_);_(&quot;$&quot;* \(#,##0.0000\);_(&quot;$&quot;* &quot;-&quot;????_);_(@_)"/>
    <numFmt numFmtId="194" formatCode="_(&quot;$&quot;* #,##0.0_);_(&quot;$&quot;* \(#,##0.0\);_(&quot;$&quot;* &quot;-&quot;?_);_(@_)"/>
    <numFmt numFmtId="195" formatCode="[$-409]mmm\-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u val="singleAccounting"/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Accounting"/>
      <sz val="12"/>
      <name val="Arial"/>
      <family val="2"/>
    </font>
    <font>
      <u val="single"/>
      <sz val="11"/>
      <color indexed="8"/>
      <name val="Arial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Accounting"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164" fontId="0" fillId="0" borderId="0" xfId="42" applyNumberFormat="1" applyFont="1" applyAlignment="1">
      <alignment/>
    </xf>
    <xf numFmtId="0" fontId="0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44" fontId="0" fillId="0" borderId="0" xfId="44" applyFont="1" applyAlignment="1">
      <alignment/>
    </xf>
    <xf numFmtId="165" fontId="0" fillId="0" borderId="0" xfId="44" applyNumberFormat="1" applyFont="1" applyAlignment="1">
      <alignment/>
    </xf>
    <xf numFmtId="166" fontId="0" fillId="0" borderId="0" xfId="44" applyNumberFormat="1" applyFont="1" applyAlignment="1">
      <alignment/>
    </xf>
    <xf numFmtId="165" fontId="0" fillId="0" borderId="0" xfId="0" applyNumberFormat="1" applyAlignment="1">
      <alignment/>
    </xf>
    <xf numFmtId="165" fontId="3" fillId="0" borderId="0" xfId="44" applyNumberFormat="1" applyFont="1" applyAlignment="1">
      <alignment/>
    </xf>
    <xf numFmtId="165" fontId="3" fillId="0" borderId="0" xfId="0" applyNumberFormat="1" applyFont="1" applyAlignment="1">
      <alignment/>
    </xf>
    <xf numFmtId="164" fontId="3" fillId="0" borderId="0" xfId="42" applyNumberFormat="1" applyFont="1" applyAlignment="1">
      <alignment/>
    </xf>
    <xf numFmtId="169" fontId="0" fillId="0" borderId="0" xfId="44" applyNumberFormat="1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164" fontId="3" fillId="0" borderId="0" xfId="0" applyNumberFormat="1" applyFont="1" applyAlignment="1">
      <alignment/>
    </xf>
    <xf numFmtId="10" fontId="0" fillId="0" borderId="0" xfId="58" applyNumberFormat="1" applyFont="1" applyAlignment="1" applyProtection="1">
      <alignment/>
      <protection locked="0"/>
    </xf>
    <xf numFmtId="164" fontId="0" fillId="0" borderId="0" xfId="0" applyNumberFormat="1" applyAlignment="1">
      <alignment/>
    </xf>
    <xf numFmtId="44" fontId="0" fillId="0" borderId="0" xfId="0" applyNumberFormat="1" applyAlignment="1">
      <alignment/>
    </xf>
    <xf numFmtId="170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169" fontId="5" fillId="0" borderId="10" xfId="44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44" fontId="5" fillId="0" borderId="0" xfId="44" applyNumberFormat="1" applyFont="1" applyAlignment="1">
      <alignment/>
    </xf>
    <xf numFmtId="44" fontId="4" fillId="0" borderId="0" xfId="44" applyNumberFormat="1" applyFont="1" applyAlignment="1">
      <alignment/>
    </xf>
    <xf numFmtId="164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168" fontId="0" fillId="0" borderId="0" xfId="0" applyNumberFormat="1" applyAlignment="1">
      <alignment/>
    </xf>
    <xf numFmtId="43" fontId="0" fillId="0" borderId="0" xfId="42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3" fontId="0" fillId="0" borderId="0" xfId="42" applyFont="1" applyAlignment="1">
      <alignment horizontal="center"/>
    </xf>
    <xf numFmtId="165" fontId="1" fillId="0" borderId="0" xfId="44" applyNumberFormat="1" applyFont="1" applyAlignment="1">
      <alignment/>
    </xf>
    <xf numFmtId="0" fontId="0" fillId="0" borderId="0" xfId="0" applyAlignment="1">
      <alignment horizontal="right"/>
    </xf>
    <xf numFmtId="171" fontId="1" fillId="0" borderId="0" xfId="42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NumberFormat="1" applyAlignment="1" applyProtection="1">
      <alignment horizontal="center"/>
      <protection locked="0"/>
    </xf>
    <xf numFmtId="164" fontId="0" fillId="0" borderId="0" xfId="42" applyNumberFormat="1" applyFont="1" applyFill="1" applyAlignment="1">
      <alignment/>
    </xf>
    <xf numFmtId="165" fontId="43" fillId="0" borderId="0" xfId="44" applyNumberFormat="1" applyFont="1" applyAlignment="1">
      <alignment/>
    </xf>
    <xf numFmtId="172" fontId="43" fillId="0" borderId="0" xfId="42" applyNumberFormat="1" applyFont="1" applyAlignment="1">
      <alignment/>
    </xf>
    <xf numFmtId="43" fontId="0" fillId="0" borderId="0" xfId="0" applyNumberFormat="1" applyAlignment="1">
      <alignment/>
    </xf>
    <xf numFmtId="0" fontId="4" fillId="0" borderId="0" xfId="0" applyFont="1" applyAlignment="1">
      <alignment horizontal="centerContinuous"/>
    </xf>
    <xf numFmtId="0" fontId="41" fillId="0" borderId="0" xfId="0" applyFont="1" applyAlignment="1">
      <alignment/>
    </xf>
    <xf numFmtId="0" fontId="0" fillId="0" borderId="0" xfId="0" applyNumberFormat="1" applyAlignment="1" applyProtection="1">
      <alignment horizontal="centerContinuous"/>
      <protection locked="0"/>
    </xf>
    <xf numFmtId="0" fontId="0" fillId="0" borderId="0" xfId="0" applyNumberFormat="1" applyFont="1" applyAlignment="1" applyProtection="1">
      <alignment horizontal="centerContinuous"/>
      <protection locked="0"/>
    </xf>
    <xf numFmtId="173" fontId="5" fillId="0" borderId="0" xfId="58" applyNumberFormat="1" applyFont="1" applyAlignment="1">
      <alignment/>
    </xf>
    <xf numFmtId="173" fontId="5" fillId="0" borderId="0" xfId="0" applyNumberFormat="1" applyFont="1" applyAlignment="1">
      <alignment/>
    </xf>
    <xf numFmtId="173" fontId="7" fillId="0" borderId="0" xfId="58" applyNumberFormat="1" applyFont="1" applyAlignment="1">
      <alignment/>
    </xf>
    <xf numFmtId="173" fontId="4" fillId="0" borderId="0" xfId="0" applyNumberFormat="1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168" fontId="0" fillId="0" borderId="0" xfId="44" applyNumberFormat="1" applyFont="1" applyAlignment="1">
      <alignment/>
    </xf>
    <xf numFmtId="169" fontId="0" fillId="0" borderId="0" xfId="44" applyNumberFormat="1" applyFont="1" applyAlignment="1">
      <alignment/>
    </xf>
    <xf numFmtId="169" fontId="43" fillId="0" borderId="0" xfId="44" applyNumberFormat="1" applyFont="1" applyAlignment="1">
      <alignment/>
    </xf>
    <xf numFmtId="171" fontId="0" fillId="0" borderId="0" xfId="0" applyNumberFormat="1" applyAlignment="1">
      <alignment/>
    </xf>
    <xf numFmtId="172" fontId="44" fillId="0" borderId="0" xfId="0" applyNumberFormat="1" applyFont="1" applyAlignment="1">
      <alignment/>
    </xf>
    <xf numFmtId="171" fontId="0" fillId="0" borderId="0" xfId="42" applyNumberFormat="1" applyFont="1" applyAlignment="1">
      <alignment/>
    </xf>
    <xf numFmtId="171" fontId="0" fillId="0" borderId="0" xfId="44" applyNumberFormat="1" applyFont="1" applyAlignment="1">
      <alignment/>
    </xf>
    <xf numFmtId="171" fontId="0" fillId="0" borderId="0" xfId="0" applyNumberFormat="1" applyFont="1" applyAlignment="1">
      <alignment horizontal="left"/>
    </xf>
    <xf numFmtId="44" fontId="7" fillId="0" borderId="0" xfId="44" applyNumberFormat="1" applyFont="1" applyAlignment="1">
      <alignment/>
    </xf>
    <xf numFmtId="164" fontId="5" fillId="0" borderId="0" xfId="42" applyNumberFormat="1" applyFont="1" applyAlignment="1">
      <alignment/>
    </xf>
    <xf numFmtId="176" fontId="0" fillId="0" borderId="0" xfId="42" applyNumberFormat="1" applyFont="1" applyFill="1" applyAlignment="1">
      <alignment/>
    </xf>
    <xf numFmtId="181" fontId="0" fillId="0" borderId="0" xfId="58" applyNumberFormat="1" applyFont="1" applyAlignment="1">
      <alignment/>
    </xf>
    <xf numFmtId="164" fontId="43" fillId="0" borderId="0" xfId="42" applyNumberFormat="1" applyFont="1" applyAlignment="1">
      <alignment/>
    </xf>
    <xf numFmtId="165" fontId="0" fillId="0" borderId="0" xfId="44" applyNumberFormat="1" applyFont="1" applyAlignment="1">
      <alignment/>
    </xf>
    <xf numFmtId="169" fontId="0" fillId="0" borderId="0" xfId="44" applyNumberFormat="1" applyFont="1" applyAlignment="1">
      <alignment/>
    </xf>
    <xf numFmtId="186" fontId="0" fillId="0" borderId="0" xfId="58" applyNumberFormat="1" applyFont="1" applyAlignment="1">
      <alignment/>
    </xf>
    <xf numFmtId="165" fontId="0" fillId="0" borderId="0" xfId="44" applyNumberFormat="1" applyFont="1" applyAlignment="1">
      <alignment/>
    </xf>
    <xf numFmtId="165" fontId="0" fillId="0" borderId="0" xfId="44" applyNumberFormat="1" applyFont="1" applyAlignment="1">
      <alignment/>
    </xf>
    <xf numFmtId="165" fontId="43" fillId="0" borderId="0" xfId="0" applyNumberFormat="1" applyFont="1" applyAlignment="1">
      <alignment/>
    </xf>
    <xf numFmtId="165" fontId="5" fillId="0" borderId="0" xfId="44" applyNumberFormat="1" applyFont="1" applyAlignment="1">
      <alignment/>
    </xf>
    <xf numFmtId="165" fontId="7" fillId="0" borderId="0" xfId="44" applyNumberFormat="1" applyFont="1" applyAlignment="1">
      <alignment/>
    </xf>
    <xf numFmtId="164" fontId="0" fillId="0" borderId="0" xfId="42" applyNumberFormat="1" applyFont="1" applyAlignment="1">
      <alignment/>
    </xf>
    <xf numFmtId="188" fontId="0" fillId="0" borderId="0" xfId="58" applyNumberFormat="1" applyFont="1" applyAlignment="1">
      <alignment/>
    </xf>
    <xf numFmtId="44" fontId="0" fillId="0" borderId="0" xfId="44" applyFont="1" applyAlignment="1">
      <alignment/>
    </xf>
    <xf numFmtId="164" fontId="43" fillId="0" borderId="0" xfId="42" applyNumberFormat="1" applyFont="1" applyFill="1" applyAlignment="1">
      <alignment/>
    </xf>
    <xf numFmtId="167" fontId="5" fillId="0" borderId="0" xfId="0" applyNumberFormat="1" applyFont="1" applyAlignment="1">
      <alignment/>
    </xf>
    <xf numFmtId="44" fontId="0" fillId="0" borderId="0" xfId="44" applyFont="1" applyAlignment="1">
      <alignment/>
    </xf>
    <xf numFmtId="165" fontId="0" fillId="0" borderId="0" xfId="44" applyNumberFormat="1" applyFont="1" applyAlignment="1">
      <alignment/>
    </xf>
    <xf numFmtId="169" fontId="0" fillId="0" borderId="0" xfId="44" applyNumberFormat="1" applyFont="1" applyAlignment="1">
      <alignment/>
    </xf>
    <xf numFmtId="189" fontId="0" fillId="0" borderId="0" xfId="0" applyNumberFormat="1" applyAlignment="1">
      <alignment/>
    </xf>
    <xf numFmtId="164" fontId="1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164" fontId="1" fillId="0" borderId="0" xfId="42" applyNumberFormat="1" applyFont="1" applyAlignment="1">
      <alignment/>
    </xf>
    <xf numFmtId="169" fontId="0" fillId="0" borderId="0" xfId="44" applyNumberFormat="1" applyFont="1" applyAlignment="1">
      <alignment/>
    </xf>
    <xf numFmtId="180" fontId="0" fillId="0" borderId="0" xfId="42" applyNumberFormat="1" applyFont="1" applyFill="1" applyAlignment="1">
      <alignment/>
    </xf>
    <xf numFmtId="180" fontId="43" fillId="0" borderId="0" xfId="42" applyNumberFormat="1" applyFont="1" applyFill="1" applyAlignment="1">
      <alignment/>
    </xf>
    <xf numFmtId="180" fontId="0" fillId="0" borderId="0" xfId="42" applyNumberFormat="1" applyFont="1" applyAlignment="1">
      <alignment/>
    </xf>
    <xf numFmtId="164" fontId="45" fillId="0" borderId="0" xfId="42" applyNumberFormat="1" applyFont="1" applyFill="1" applyAlignment="1">
      <alignment/>
    </xf>
    <xf numFmtId="44" fontId="45" fillId="0" borderId="0" xfId="44" applyFont="1" applyAlignment="1">
      <alignment/>
    </xf>
    <xf numFmtId="165" fontId="0" fillId="0" borderId="0" xfId="44" applyNumberFormat="1" applyFont="1" applyAlignment="1">
      <alignment/>
    </xf>
    <xf numFmtId="164" fontId="43" fillId="0" borderId="0" xfId="0" applyNumberFormat="1" applyFont="1" applyAlignment="1">
      <alignment/>
    </xf>
    <xf numFmtId="165" fontId="0" fillId="0" borderId="0" xfId="44" applyNumberFormat="1" applyFont="1" applyAlignment="1">
      <alignment/>
    </xf>
    <xf numFmtId="0" fontId="0" fillId="0" borderId="0" xfId="0" applyFont="1" applyAlignment="1">
      <alignment horizontal="right"/>
    </xf>
    <xf numFmtId="179" fontId="43" fillId="0" borderId="0" xfId="44" applyNumberFormat="1" applyFont="1" applyAlignment="1">
      <alignment/>
    </xf>
    <xf numFmtId="179" fontId="0" fillId="0" borderId="0" xfId="44" applyNumberFormat="1" applyFont="1" applyAlignment="1">
      <alignment/>
    </xf>
    <xf numFmtId="164" fontId="0" fillId="0" borderId="0" xfId="0" applyNumberFormat="1" applyFont="1" applyAlignment="1">
      <alignment/>
    </xf>
    <xf numFmtId="172" fontId="0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165" fontId="0" fillId="0" borderId="0" xfId="44" applyNumberFormat="1" applyFont="1" applyAlignment="1">
      <alignment/>
    </xf>
    <xf numFmtId="166" fontId="0" fillId="0" borderId="0" xfId="0" applyNumberFormat="1" applyAlignment="1">
      <alignment/>
    </xf>
    <xf numFmtId="171" fontId="5" fillId="0" borderId="0" xfId="42" applyNumberFormat="1" applyFont="1" applyAlignment="1">
      <alignment/>
    </xf>
    <xf numFmtId="0" fontId="41" fillId="0" borderId="0" xfId="0" applyFont="1" applyAlignment="1">
      <alignment horizontal="center"/>
    </xf>
    <xf numFmtId="177" fontId="0" fillId="0" borderId="0" xfId="42" applyNumberFormat="1" applyFont="1" applyFill="1" applyAlignment="1">
      <alignment/>
    </xf>
    <xf numFmtId="177" fontId="5" fillId="0" borderId="0" xfId="0" applyNumberFormat="1" applyFont="1" applyAlignment="1">
      <alignment/>
    </xf>
    <xf numFmtId="166" fontId="0" fillId="0" borderId="0" xfId="44" applyNumberFormat="1" applyFont="1" applyAlignment="1">
      <alignment/>
    </xf>
    <xf numFmtId="173" fontId="5" fillId="0" borderId="0" xfId="58" applyNumberFormat="1" applyFont="1" applyAlignment="1">
      <alignment horizontal="right"/>
    </xf>
    <xf numFmtId="186" fontId="0" fillId="0" borderId="0" xfId="58" applyNumberFormat="1" applyFont="1" applyAlignment="1">
      <alignment/>
    </xf>
    <xf numFmtId="169" fontId="0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169" fontId="0" fillId="0" borderId="0" xfId="46" applyNumberFormat="1" applyFont="1" applyAlignment="1">
      <alignment/>
    </xf>
    <xf numFmtId="44" fontId="43" fillId="0" borderId="0" xfId="0" applyNumberFormat="1" applyFont="1" applyAlignment="1">
      <alignment/>
    </xf>
    <xf numFmtId="10" fontId="0" fillId="0" borderId="0" xfId="58" applyNumberFormat="1" applyFont="1" applyAlignment="1">
      <alignment/>
    </xf>
    <xf numFmtId="195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28125" style="0" customWidth="1"/>
    <col min="2" max="2" width="19.7109375" style="0" customWidth="1"/>
    <col min="3" max="3" width="15.7109375" style="0" customWidth="1"/>
    <col min="4" max="4" width="11.421875" style="0" customWidth="1"/>
    <col min="5" max="5" width="2.7109375" style="0" customWidth="1"/>
    <col min="6" max="6" width="13.00390625" style="0" customWidth="1"/>
    <col min="7" max="7" width="14.00390625" style="0" customWidth="1"/>
    <col min="8" max="8" width="12.28125" style="0" customWidth="1"/>
    <col min="9" max="9" width="14.140625" style="0" customWidth="1"/>
    <col min="10" max="10" width="13.28125" style="0" customWidth="1"/>
    <col min="11" max="12" width="14.8515625" style="0" customWidth="1"/>
    <col min="13" max="13" width="11.7109375" style="0" bestFit="1" customWidth="1"/>
    <col min="16" max="16" width="10.7109375" style="0" bestFit="1" customWidth="1"/>
  </cols>
  <sheetData>
    <row r="1" spans="1:10" ht="15">
      <c r="A1" s="57" t="s">
        <v>69</v>
      </c>
      <c r="B1" s="58"/>
      <c r="C1" s="49"/>
      <c r="D1" s="49"/>
      <c r="E1" s="49"/>
      <c r="F1" s="49"/>
      <c r="G1" s="49"/>
      <c r="H1" s="49"/>
      <c r="I1" s="49"/>
      <c r="J1" s="49"/>
    </row>
    <row r="2" spans="1:10" ht="15">
      <c r="A2" s="57" t="s">
        <v>99</v>
      </c>
      <c r="B2" s="58"/>
      <c r="C2" s="49"/>
      <c r="D2" s="49"/>
      <c r="E2" s="49"/>
      <c r="F2" s="49"/>
      <c r="G2" s="49"/>
      <c r="H2" s="49"/>
      <c r="I2" s="49"/>
      <c r="J2" s="49"/>
    </row>
    <row r="3" spans="1:10" ht="15">
      <c r="A3" s="57" t="s">
        <v>191</v>
      </c>
      <c r="B3" s="58"/>
      <c r="C3" s="49"/>
      <c r="D3" s="49"/>
      <c r="E3" s="49"/>
      <c r="F3" s="49"/>
      <c r="G3" s="49"/>
      <c r="H3" s="49"/>
      <c r="I3" s="49"/>
      <c r="J3" s="49"/>
    </row>
    <row r="4" spans="1:10" ht="15">
      <c r="A4" s="58"/>
      <c r="B4" s="58"/>
      <c r="C4" s="49"/>
      <c r="D4" s="49"/>
      <c r="E4" s="49"/>
      <c r="F4" s="49"/>
      <c r="G4" s="49"/>
      <c r="H4" s="49"/>
      <c r="I4" s="49"/>
      <c r="J4" s="49"/>
    </row>
    <row r="5" spans="1:10" ht="15">
      <c r="A5" s="57" t="s">
        <v>121</v>
      </c>
      <c r="B5" s="58"/>
      <c r="C5" s="49"/>
      <c r="D5" s="49"/>
      <c r="E5" s="49"/>
      <c r="F5" s="49"/>
      <c r="G5" s="49"/>
      <c r="H5" s="49"/>
      <c r="I5" s="49"/>
      <c r="J5" s="49"/>
    </row>
    <row r="6" spans="1:2" ht="15">
      <c r="A6" s="2"/>
      <c r="B6" s="2"/>
    </row>
    <row r="7" spans="1:12" ht="15">
      <c r="A7" s="2"/>
      <c r="B7" s="4"/>
      <c r="C7" s="5" t="s">
        <v>18</v>
      </c>
      <c r="D7" s="5"/>
      <c r="E7" s="5"/>
      <c r="F7" s="5" t="s">
        <v>4</v>
      </c>
      <c r="G7" s="5" t="s">
        <v>160</v>
      </c>
      <c r="H7" s="5" t="s">
        <v>7</v>
      </c>
      <c r="I7" s="5" t="s">
        <v>7</v>
      </c>
      <c r="K7" s="5"/>
      <c r="L7" s="5"/>
    </row>
    <row r="8" spans="1:12" ht="15">
      <c r="A8" s="2"/>
      <c r="B8" s="6" t="s">
        <v>0</v>
      </c>
      <c r="C8" s="7" t="s">
        <v>3</v>
      </c>
      <c r="D8" s="7"/>
      <c r="E8" s="7"/>
      <c r="F8" s="7" t="s">
        <v>5</v>
      </c>
      <c r="G8" s="6" t="s">
        <v>6</v>
      </c>
      <c r="H8" s="7" t="s">
        <v>5</v>
      </c>
      <c r="I8" s="6" t="s">
        <v>6</v>
      </c>
      <c r="J8" s="7" t="s">
        <v>8</v>
      </c>
      <c r="K8" s="6"/>
      <c r="L8" s="6"/>
    </row>
    <row r="9" spans="1:11" ht="15">
      <c r="A9" s="2"/>
      <c r="B9" s="50" t="s">
        <v>11</v>
      </c>
      <c r="C9" s="5" t="s">
        <v>12</v>
      </c>
      <c r="F9" s="5" t="s">
        <v>13</v>
      </c>
      <c r="G9" s="5" t="s">
        <v>14</v>
      </c>
      <c r="H9" s="5" t="s">
        <v>15</v>
      </c>
      <c r="I9" s="5" t="s">
        <v>16</v>
      </c>
      <c r="J9" s="5" t="s">
        <v>17</v>
      </c>
      <c r="K9" s="5"/>
    </row>
    <row r="10" spans="1:2" ht="15">
      <c r="A10" s="1"/>
      <c r="B10" s="2"/>
    </row>
    <row r="11" spans="1:2" ht="15">
      <c r="A11" s="2"/>
      <c r="B11" s="2"/>
    </row>
    <row r="12" spans="1:16" ht="15">
      <c r="A12" s="4">
        <v>1</v>
      </c>
      <c r="B12" s="1" t="s">
        <v>131</v>
      </c>
      <c r="C12" s="3">
        <v>1038434</v>
      </c>
      <c r="D12" s="1" t="s">
        <v>1</v>
      </c>
      <c r="E12" s="1"/>
      <c r="F12" s="10">
        <v>12.914</v>
      </c>
      <c r="G12" s="9">
        <f>+F12*$C12</f>
        <v>13410336.675999999</v>
      </c>
      <c r="H12" s="10">
        <v>24.742</v>
      </c>
      <c r="I12" s="82">
        <f>+H12*$C12</f>
        <v>25692934.028</v>
      </c>
      <c r="J12" s="11">
        <f>+I12-G12</f>
        <v>12282597.352000002</v>
      </c>
      <c r="K12" s="9"/>
      <c r="L12" s="9"/>
      <c r="M12" s="1"/>
      <c r="P12" s="11"/>
    </row>
    <row r="13" spans="1:13" ht="15">
      <c r="A13" s="4">
        <v>2</v>
      </c>
      <c r="B13" s="1" t="s">
        <v>170</v>
      </c>
      <c r="C13" s="96">
        <f>+G52</f>
        <v>8657</v>
      </c>
      <c r="D13" s="1" t="s">
        <v>1</v>
      </c>
      <c r="E13" s="1"/>
      <c r="F13" s="10">
        <v>12.914</v>
      </c>
      <c r="G13" s="82">
        <f>+F13*$C13</f>
        <v>111796.49799999999</v>
      </c>
      <c r="H13" s="119">
        <v>24.742</v>
      </c>
      <c r="I13" s="9">
        <f>+H13*$C13</f>
        <v>214191.494</v>
      </c>
      <c r="J13" s="11">
        <f>+I13-G13</f>
        <v>102394.99600000001</v>
      </c>
      <c r="K13" s="76"/>
      <c r="L13" s="9"/>
      <c r="M13" s="2"/>
    </row>
    <row r="14" spans="1:13" ht="15">
      <c r="A14" s="4"/>
      <c r="B14" s="1"/>
      <c r="C14" s="96"/>
      <c r="D14" s="1"/>
      <c r="E14" s="1"/>
      <c r="F14" s="10"/>
      <c r="G14" s="104"/>
      <c r="H14" s="10"/>
      <c r="I14" s="104"/>
      <c r="J14" s="11"/>
      <c r="K14" s="76"/>
      <c r="L14" s="104"/>
      <c r="M14" s="2"/>
    </row>
    <row r="15" spans="1:16" ht="15">
      <c r="A15" s="4">
        <v>3</v>
      </c>
      <c r="B15" s="1" t="s">
        <v>132</v>
      </c>
      <c r="C15" s="3">
        <v>466663920</v>
      </c>
      <c r="D15" s="1" t="s">
        <v>2</v>
      </c>
      <c r="E15" s="1"/>
      <c r="F15" s="79">
        <v>0.035</v>
      </c>
      <c r="G15" s="82">
        <f>+F15*$C15</f>
        <v>16333237.200000001</v>
      </c>
      <c r="H15" s="79">
        <v>0.035</v>
      </c>
      <c r="I15" s="82">
        <f>+H15*$C15</f>
        <v>16333237.200000001</v>
      </c>
      <c r="J15" s="11">
        <f>+I15-G15</f>
        <v>0</v>
      </c>
      <c r="K15" s="76"/>
      <c r="L15" s="82"/>
      <c r="M15" s="2"/>
      <c r="P15" s="40"/>
    </row>
    <row r="16" spans="1:13" ht="17.25">
      <c r="A16" s="4">
        <v>4</v>
      </c>
      <c r="B16" s="1" t="s">
        <v>171</v>
      </c>
      <c r="C16" s="77">
        <f>+G61</f>
        <v>3890426</v>
      </c>
      <c r="D16" s="1" t="s">
        <v>2</v>
      </c>
      <c r="E16" s="1"/>
      <c r="F16" s="79">
        <v>0.035</v>
      </c>
      <c r="G16" s="12">
        <f>+F16*$C16</f>
        <v>136164.91</v>
      </c>
      <c r="H16" s="15">
        <v>0.035</v>
      </c>
      <c r="I16" s="12">
        <f>+H16*$C16</f>
        <v>136164.91</v>
      </c>
      <c r="J16" s="13">
        <f>+I16-G16</f>
        <v>0</v>
      </c>
      <c r="K16" s="9"/>
      <c r="L16" s="9"/>
      <c r="M16" s="19"/>
    </row>
    <row r="17" ht="15">
      <c r="A17" s="5"/>
    </row>
    <row r="18" spans="1:16" ht="15">
      <c r="A18" s="5">
        <v>5</v>
      </c>
      <c r="B18" t="s">
        <v>9</v>
      </c>
      <c r="C18" s="20">
        <f>+C15+C16</f>
        <v>470554346</v>
      </c>
      <c r="G18" s="11">
        <f>SUM(G12:G16)</f>
        <v>29991535.283999998</v>
      </c>
      <c r="H18" s="16"/>
      <c r="I18" s="11">
        <f>SUM(I12:I16)</f>
        <v>42376527.632</v>
      </c>
      <c r="J18" s="11">
        <f>SUM(J12:J16)</f>
        <v>12384992.348000001</v>
      </c>
      <c r="K18" s="80"/>
      <c r="L18" s="11"/>
      <c r="M18" s="23"/>
      <c r="P18" s="11"/>
    </row>
    <row r="19" spans="1:10" ht="17.25">
      <c r="A19" s="5">
        <v>6</v>
      </c>
      <c r="B19" s="1" t="s">
        <v>50</v>
      </c>
      <c r="C19" s="21"/>
      <c r="G19" s="83"/>
      <c r="J19" s="12">
        <f>-G45</f>
        <v>-21827.17945653912</v>
      </c>
    </row>
    <row r="20" spans="1:12" ht="15">
      <c r="A20" s="5">
        <v>7</v>
      </c>
      <c r="B20" s="1" t="s">
        <v>22</v>
      </c>
      <c r="C20" s="22"/>
      <c r="G20" s="11"/>
      <c r="J20" s="11">
        <f>+J18+J19</f>
        <v>12363165.168543462</v>
      </c>
      <c r="K20">
        <v>12363165.168543462</v>
      </c>
      <c r="L20" s="11"/>
    </row>
    <row r="21" ht="15">
      <c r="J21" s="54"/>
    </row>
    <row r="22" ht="15">
      <c r="J22" s="54"/>
    </row>
    <row r="23" spans="1:10" ht="15">
      <c r="A23" s="5">
        <v>8</v>
      </c>
      <c r="B23" t="s">
        <v>107</v>
      </c>
      <c r="J23" s="9">
        <f>+'Exh. JDG-3 '!H104</f>
        <v>45238038.20214214</v>
      </c>
    </row>
    <row r="24" spans="1:10" ht="17.25">
      <c r="A24" s="5">
        <v>9</v>
      </c>
      <c r="B24" t="s">
        <v>108</v>
      </c>
      <c r="I24" s="46" t="s">
        <v>49</v>
      </c>
      <c r="J24" s="12">
        <v>0</v>
      </c>
    </row>
    <row r="25" spans="1:10" ht="15">
      <c r="A25" s="5">
        <v>10</v>
      </c>
      <c r="B25" t="s">
        <v>48</v>
      </c>
      <c r="I25" s="23"/>
      <c r="J25" s="45">
        <f>+J23-J24</f>
        <v>45238038.20214214</v>
      </c>
    </row>
    <row r="26" ht="15">
      <c r="A26" s="5"/>
    </row>
    <row r="27" spans="1:10" ht="15">
      <c r="A27" s="5">
        <v>11</v>
      </c>
      <c r="B27" t="s">
        <v>192</v>
      </c>
      <c r="I27" s="23"/>
      <c r="J27" s="47">
        <f>ROUND(1+J20/J25,6)</f>
        <v>1.273291</v>
      </c>
    </row>
    <row r="29" spans="1:10" ht="15">
      <c r="A29" s="5">
        <v>12</v>
      </c>
      <c r="B29" t="s">
        <v>193</v>
      </c>
      <c r="F29" s="68"/>
      <c r="J29" s="87">
        <f>1-(1/J27)</f>
        <v>0.21463357551415974</v>
      </c>
    </row>
    <row r="31" spans="1:12" ht="15">
      <c r="A31" s="5">
        <v>13</v>
      </c>
      <c r="B31" t="s">
        <v>119</v>
      </c>
      <c r="C31" s="3">
        <f>+C16+C15</f>
        <v>470554346</v>
      </c>
      <c r="D31" s="1" t="s">
        <v>2</v>
      </c>
      <c r="E31" s="1"/>
      <c r="F31" s="79"/>
      <c r="G31" s="78"/>
      <c r="H31" s="79">
        <f>0.007-0.010212</f>
        <v>-0.0032120000000000004</v>
      </c>
      <c r="I31" s="78">
        <f>+H31*$C31</f>
        <v>-1511420.5593520002</v>
      </c>
      <c r="J31" s="11"/>
      <c r="L31" s="11"/>
    </row>
    <row r="32" spans="1:9" ht="17.25">
      <c r="A32" s="5">
        <v>14</v>
      </c>
      <c r="B32" t="s">
        <v>110</v>
      </c>
      <c r="G32" s="81"/>
      <c r="H32" s="107" t="s">
        <v>19</v>
      </c>
      <c r="I32" s="77">
        <f>+'Exh. JDG-3 '!F$104</f>
        <v>443342641.63085073</v>
      </c>
    </row>
    <row r="33" spans="1:9" ht="15">
      <c r="A33" s="5">
        <v>15</v>
      </c>
      <c r="B33" t="s">
        <v>120</v>
      </c>
      <c r="G33" s="81"/>
      <c r="I33" s="22">
        <f>+I31/I32</f>
        <v>-0.003409147727798502</v>
      </c>
    </row>
    <row r="34" ht="15">
      <c r="G34" s="81"/>
    </row>
    <row r="35" spans="1:9" ht="15">
      <c r="A35" s="5">
        <v>16</v>
      </c>
      <c r="B35" t="s">
        <v>109</v>
      </c>
      <c r="C35" s="112">
        <f>+C31</f>
        <v>470554346</v>
      </c>
      <c r="D35" s="1" t="s">
        <v>2</v>
      </c>
      <c r="E35" s="122" t="s">
        <v>194</v>
      </c>
      <c r="F35" s="123"/>
      <c r="H35" s="124">
        <v>-0.000389</v>
      </c>
      <c r="I35" s="106">
        <f>+H35*C35</f>
        <v>-183045.640594</v>
      </c>
    </row>
    <row r="36" spans="1:9" ht="17.25">
      <c r="A36" s="5">
        <v>17</v>
      </c>
      <c r="B36" t="s">
        <v>110</v>
      </c>
      <c r="G36" s="106"/>
      <c r="H36" s="107" t="s">
        <v>19</v>
      </c>
      <c r="I36" s="77">
        <f>+'Exh. JDG-3 '!F$104</f>
        <v>443342641.63085073</v>
      </c>
    </row>
    <row r="37" spans="1:9" ht="15">
      <c r="A37" s="5">
        <v>18</v>
      </c>
      <c r="I37" s="109">
        <f>+I35/I36</f>
        <v>-0.00041287623478008</v>
      </c>
    </row>
    <row r="38" spans="1:9" ht="17.25">
      <c r="A38" s="5"/>
      <c r="I38" s="108"/>
    </row>
    <row r="39" spans="1:9" ht="15">
      <c r="A39" s="5"/>
      <c r="I39" s="11"/>
    </row>
    <row r="40" ht="15">
      <c r="A40" s="5"/>
    </row>
    <row r="41" spans="2:7" ht="15">
      <c r="B41" t="s">
        <v>68</v>
      </c>
      <c r="G41" s="3">
        <f>+J18</f>
        <v>12384992.348000001</v>
      </c>
    </row>
    <row r="42" spans="2:7" ht="17.25">
      <c r="B42" t="s">
        <v>168</v>
      </c>
      <c r="F42" s="17" t="s">
        <v>19</v>
      </c>
      <c r="G42" s="18">
        <f>+C18</f>
        <v>470554346</v>
      </c>
    </row>
    <row r="43" spans="2:7" ht="15">
      <c r="B43" t="s">
        <v>42</v>
      </c>
      <c r="G43" s="15">
        <f>+G41/G42</f>
        <v>0.02632000416802016</v>
      </c>
    </row>
    <row r="44" spans="2:7" ht="17.25">
      <c r="B44" t="s">
        <v>43</v>
      </c>
      <c r="F44" s="17" t="s">
        <v>20</v>
      </c>
      <c r="G44" s="14">
        <v>829300</v>
      </c>
    </row>
    <row r="45" spans="2:7" ht="15">
      <c r="B45" t="s">
        <v>21</v>
      </c>
      <c r="G45" s="9">
        <f>+G44*G43</f>
        <v>21827.17945653912</v>
      </c>
    </row>
    <row r="47" ht="15">
      <c r="B47" t="s">
        <v>173</v>
      </c>
    </row>
    <row r="48" spans="2:7" ht="15">
      <c r="B48" t="s">
        <v>175</v>
      </c>
      <c r="G48" s="20">
        <f>+C12</f>
        <v>1038434</v>
      </c>
    </row>
    <row r="49" spans="2:7" ht="17.25">
      <c r="B49" t="s">
        <v>174</v>
      </c>
      <c r="G49" s="105">
        <f>+C15</f>
        <v>466663920</v>
      </c>
    </row>
    <row r="50" spans="2:7" ht="15">
      <c r="B50" t="s">
        <v>176</v>
      </c>
      <c r="G50" s="22">
        <f>+G48/G49</f>
        <v>0.002225228811346718</v>
      </c>
    </row>
    <row r="51" spans="2:7" ht="17.25">
      <c r="B51" t="s">
        <v>178</v>
      </c>
      <c r="G51" s="77">
        <f>+C16</f>
        <v>3890426</v>
      </c>
    </row>
    <row r="52" spans="2:7" ht="15">
      <c r="B52" t="s">
        <v>177</v>
      </c>
      <c r="G52" s="20">
        <f>ROUND(G50*G51,0)</f>
        <v>8657</v>
      </c>
    </row>
    <row r="54" spans="2:7" ht="15">
      <c r="B54" t="s">
        <v>172</v>
      </c>
      <c r="G54" s="21"/>
    </row>
    <row r="55" spans="2:7" ht="15">
      <c r="B55" t="s">
        <v>133</v>
      </c>
      <c r="G55" s="86">
        <f>+'Exh. JDG-3 '!E84</f>
        <v>438982745</v>
      </c>
    </row>
    <row r="56" spans="2:7" ht="15">
      <c r="B56" t="s">
        <v>134</v>
      </c>
      <c r="G56" s="96">
        <f>+'Exh. JDG-3 '!F94</f>
        <v>687594</v>
      </c>
    </row>
    <row r="57" spans="2:7" ht="17.25">
      <c r="B57" t="s">
        <v>43</v>
      </c>
      <c r="G57" s="105">
        <f>+G44</f>
        <v>829300</v>
      </c>
    </row>
    <row r="58" spans="2:7" ht="17.25">
      <c r="B58" t="s">
        <v>169</v>
      </c>
      <c r="G58" s="105">
        <f>SUM(G55:G57)</f>
        <v>440499639</v>
      </c>
    </row>
    <row r="59" spans="2:7" ht="15">
      <c r="B59" t="s">
        <v>135</v>
      </c>
      <c r="G59" s="87">
        <f>1-G58/C15</f>
        <v>0.056066646420833255</v>
      </c>
    </row>
    <row r="60" spans="2:7" ht="17.25">
      <c r="B60" t="s">
        <v>179</v>
      </c>
      <c r="G60" s="77">
        <f>+'Exh. JDG-3 '!F84-'Exh. JDG-3 '!E84</f>
        <v>3672302.6308507323</v>
      </c>
    </row>
    <row r="61" spans="2:7" ht="15">
      <c r="B61" t="s">
        <v>178</v>
      </c>
      <c r="D61" s="20">
        <f>+G60</f>
        <v>3672302.6308507323</v>
      </c>
      <c r="E61" s="110" t="s">
        <v>19</v>
      </c>
      <c r="F61" s="111">
        <f>1-G59</f>
        <v>0.9439333535791667</v>
      </c>
      <c r="G61" s="20">
        <f>ROUND(D61/F61,0)</f>
        <v>3890426</v>
      </c>
    </row>
  </sheetData>
  <sheetProtection/>
  <printOptions horizontalCentered="1"/>
  <pageMargins left="0.45" right="0.45" top="0.5" bottom="0.5" header="0.3" footer="0.3"/>
  <pageSetup fitToHeight="1" fitToWidth="1" horizontalDpi="300" verticalDpi="300" orientation="portrait" scale="78" r:id="rId1"/>
  <headerFooter>
    <oddHeader>&amp;RExhibit  JDG-1
&amp;P
Witness: Jack Gaines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69"/>
  <sheetViews>
    <sheetView zoomScalePageLayoutView="0" workbookViewId="0" topLeftCell="A1">
      <selection activeCell="D5" sqref="D5"/>
    </sheetView>
  </sheetViews>
  <sheetFormatPr defaultColWidth="13.28125" defaultRowHeight="15"/>
  <cols>
    <col min="1" max="1" width="5.421875" style="0" bestFit="1" customWidth="1"/>
    <col min="2" max="2" width="44.28125" style="0" customWidth="1"/>
    <col min="3" max="3" width="8.28125" style="0" customWidth="1"/>
    <col min="4" max="4" width="13.421875" style="0" bestFit="1" customWidth="1"/>
    <col min="5" max="9" width="10.8515625" style="0" customWidth="1"/>
    <col min="10" max="11" width="10.57421875" style="0" bestFit="1" customWidth="1"/>
    <col min="12" max="13" width="9.140625" style="0" customWidth="1"/>
    <col min="14" max="14" width="11.57421875" style="0" bestFit="1" customWidth="1"/>
    <col min="15" max="247" width="9.140625" style="0" customWidth="1"/>
    <col min="248" max="248" width="5.28125" style="0" bestFit="1" customWidth="1"/>
    <col min="249" max="249" width="44.28125" style="0" customWidth="1"/>
    <col min="250" max="250" width="11.28125" style="0" customWidth="1"/>
    <col min="251" max="251" width="12.00390625" style="0" customWidth="1"/>
    <col min="252" max="252" width="10.421875" style="0" bestFit="1" customWidth="1"/>
    <col min="253" max="253" width="10.421875" style="0" customWidth="1"/>
    <col min="254" max="254" width="13.28125" style="0" bestFit="1" customWidth="1"/>
  </cols>
  <sheetData>
    <row r="1" spans="1:7" ht="15">
      <c r="A1" s="49" t="s">
        <v>62</v>
      </c>
      <c r="B1" s="49"/>
      <c r="C1" s="49"/>
      <c r="D1" s="49"/>
      <c r="E1" s="49"/>
      <c r="F1" s="49"/>
      <c r="G1" s="49"/>
    </row>
    <row r="2" spans="1:9" ht="15">
      <c r="A2" s="49" t="s">
        <v>44</v>
      </c>
      <c r="B2" s="49"/>
      <c r="C2" s="49"/>
      <c r="D2" s="49"/>
      <c r="E2" s="49"/>
      <c r="F2" s="49"/>
      <c r="G2" s="49"/>
      <c r="H2" s="48"/>
      <c r="I2" s="48"/>
    </row>
    <row r="3" spans="8:9" ht="15">
      <c r="H3" s="48"/>
      <c r="I3" s="48"/>
    </row>
    <row r="4" ht="15">
      <c r="F4" s="5" t="s">
        <v>7</v>
      </c>
    </row>
    <row r="5" spans="4:6" ht="15">
      <c r="D5" s="43" t="s">
        <v>4</v>
      </c>
      <c r="E5" s="5"/>
      <c r="F5" s="5" t="s">
        <v>181</v>
      </c>
    </row>
    <row r="6" spans="1:6" ht="15">
      <c r="A6" s="5"/>
      <c r="B6" s="7" t="s">
        <v>67</v>
      </c>
      <c r="D6" s="7" t="s">
        <v>45</v>
      </c>
      <c r="E6" s="7" t="s">
        <v>61</v>
      </c>
      <c r="F6" s="7" t="s">
        <v>45</v>
      </c>
    </row>
    <row r="7" spans="1:6" ht="15">
      <c r="A7" s="5"/>
      <c r="B7" s="5" t="s">
        <v>11</v>
      </c>
      <c r="C7" s="5"/>
      <c r="D7" s="5" t="s">
        <v>12</v>
      </c>
      <c r="E7" s="5" t="s">
        <v>13</v>
      </c>
      <c r="F7" s="5" t="s">
        <v>14</v>
      </c>
    </row>
    <row r="8" ht="15">
      <c r="A8" s="5"/>
    </row>
    <row r="9" spans="1:7" ht="15">
      <c r="A9" s="5">
        <v>1</v>
      </c>
      <c r="B9" s="56" t="s">
        <v>74</v>
      </c>
      <c r="G9" s="21"/>
    </row>
    <row r="10" ht="15">
      <c r="A10" s="5">
        <v>2</v>
      </c>
    </row>
    <row r="11" spans="1:9" ht="15">
      <c r="A11" s="5">
        <v>4</v>
      </c>
      <c r="B11" t="s">
        <v>111</v>
      </c>
      <c r="D11" s="114">
        <v>0.509</v>
      </c>
      <c r="E11" s="70">
        <f>+'Exh. JDG-1'!J$27</f>
        <v>1.273291</v>
      </c>
      <c r="F11" s="114">
        <f>ROUND(+E11*D11,3)</f>
        <v>0.648</v>
      </c>
      <c r="G11" t="s">
        <v>112</v>
      </c>
      <c r="I11" s="119">
        <f>0.509-F11</f>
        <v>-0.139</v>
      </c>
    </row>
    <row r="12" spans="1:14" ht="15">
      <c r="A12" s="5">
        <v>5</v>
      </c>
      <c r="B12" t="s">
        <v>89</v>
      </c>
      <c r="D12" s="23">
        <v>0.086858</v>
      </c>
      <c r="E12" s="70">
        <f>+'Exh. JDG-1'!J$27</f>
        <v>1.273291</v>
      </c>
      <c r="F12" s="23">
        <f>ROUND(+E12*D12,6)</f>
        <v>0.110596</v>
      </c>
      <c r="G12" t="s">
        <v>65</v>
      </c>
      <c r="I12" s="119"/>
      <c r="N12" s="40"/>
    </row>
    <row r="13" spans="1:9" ht="15">
      <c r="A13" s="5">
        <v>6</v>
      </c>
      <c r="E13" s="71"/>
      <c r="F13" s="15"/>
      <c r="I13" s="119"/>
    </row>
    <row r="14" spans="1:9" ht="15">
      <c r="A14" s="5">
        <v>7</v>
      </c>
      <c r="E14" s="71"/>
      <c r="F14" s="15"/>
      <c r="I14" s="119"/>
    </row>
    <row r="15" spans="1:9" ht="15">
      <c r="A15" s="5">
        <v>8</v>
      </c>
      <c r="B15" s="56" t="s">
        <v>75</v>
      </c>
      <c r="E15" s="71"/>
      <c r="F15" s="15"/>
      <c r="I15" s="119"/>
    </row>
    <row r="16" spans="1:9" ht="15">
      <c r="A16" s="5">
        <v>9</v>
      </c>
      <c r="E16" s="71"/>
      <c r="F16" s="15"/>
      <c r="I16" s="119"/>
    </row>
    <row r="17" spans="1:14" ht="15">
      <c r="A17" s="5">
        <v>11</v>
      </c>
      <c r="B17" t="s">
        <v>111</v>
      </c>
      <c r="D17" s="114">
        <v>0.726</v>
      </c>
      <c r="E17" s="70">
        <f>+'Exh. JDG-1'!J$27</f>
        <v>1.273291</v>
      </c>
      <c r="F17" s="114">
        <f>ROUND(+E17*D17,3)</f>
        <v>0.924</v>
      </c>
      <c r="G17" t="s">
        <v>112</v>
      </c>
      <c r="I17" s="119">
        <f>0.726-F17</f>
        <v>-0.19800000000000006</v>
      </c>
      <c r="N17" s="21"/>
    </row>
    <row r="18" spans="1:14" ht="15">
      <c r="A18" s="5">
        <v>12</v>
      </c>
      <c r="B18" t="s">
        <v>89</v>
      </c>
      <c r="D18" s="23">
        <v>0.092655</v>
      </c>
      <c r="E18" s="70">
        <f>+'Exh. JDG-1'!J$27</f>
        <v>1.273291</v>
      </c>
      <c r="F18" s="23">
        <f>ROUND(+E18*D18,6)</f>
        <v>0.117977</v>
      </c>
      <c r="G18" t="s">
        <v>65</v>
      </c>
      <c r="I18" s="119"/>
      <c r="N18" s="40"/>
    </row>
    <row r="19" spans="1:9" ht="15">
      <c r="A19" s="5">
        <v>13</v>
      </c>
      <c r="E19" s="71"/>
      <c r="F19" s="15"/>
      <c r="I19" s="119"/>
    </row>
    <row r="20" spans="1:9" ht="15">
      <c r="A20" s="5">
        <v>14</v>
      </c>
      <c r="E20" s="71"/>
      <c r="F20" s="15"/>
      <c r="I20" s="119"/>
    </row>
    <row r="21" spans="1:9" ht="15">
      <c r="A21" s="5">
        <v>15</v>
      </c>
      <c r="B21" s="56" t="s">
        <v>76</v>
      </c>
      <c r="E21" s="71"/>
      <c r="F21" s="15"/>
      <c r="I21" s="119"/>
    </row>
    <row r="22" spans="1:9" ht="15">
      <c r="A22" s="5">
        <v>16</v>
      </c>
      <c r="B22" s="56"/>
      <c r="E22" s="71"/>
      <c r="F22" s="79"/>
      <c r="I22" s="119"/>
    </row>
    <row r="23" spans="1:9" ht="15">
      <c r="A23" s="5">
        <v>17</v>
      </c>
      <c r="B23" t="s">
        <v>113</v>
      </c>
      <c r="E23" s="71"/>
      <c r="F23" s="15"/>
      <c r="I23" s="119"/>
    </row>
    <row r="24" spans="1:14" ht="15">
      <c r="A24" s="5">
        <v>19</v>
      </c>
      <c r="B24" t="s">
        <v>115</v>
      </c>
      <c r="D24" s="114">
        <v>1.588</v>
      </c>
      <c r="E24" s="70">
        <f>+'Exh. JDG-1'!J$27</f>
        <v>1.273291</v>
      </c>
      <c r="F24" s="114">
        <f>ROUND(+E24*D24,3)</f>
        <v>2.022</v>
      </c>
      <c r="G24" t="s">
        <v>112</v>
      </c>
      <c r="I24" s="119"/>
      <c r="J24" s="21"/>
      <c r="K24" s="21"/>
      <c r="N24" s="21"/>
    </row>
    <row r="25" spans="1:14" ht="15">
      <c r="A25" s="5">
        <v>21</v>
      </c>
      <c r="B25" t="s">
        <v>116</v>
      </c>
      <c r="D25" s="114">
        <v>2.773</v>
      </c>
      <c r="E25" s="70">
        <f>+'Exh. JDG-1'!J$27</f>
        <v>1.273291</v>
      </c>
      <c r="F25" s="114">
        <f>ROUND(+E25*D25,3)</f>
        <v>3.531</v>
      </c>
      <c r="G25" t="s">
        <v>112</v>
      </c>
      <c r="I25" s="119"/>
      <c r="N25" s="21"/>
    </row>
    <row r="26" spans="1:14" ht="15">
      <c r="A26" s="5">
        <v>23</v>
      </c>
      <c r="B26" t="s">
        <v>117</v>
      </c>
      <c r="D26" s="114">
        <v>3.958</v>
      </c>
      <c r="E26" s="70">
        <f>+'Exh. JDG-1'!J$27</f>
        <v>1.273291</v>
      </c>
      <c r="F26" s="114">
        <f>ROUND(+E26*D26,3)</f>
        <v>5.04</v>
      </c>
      <c r="G26" t="s">
        <v>112</v>
      </c>
      <c r="I26" s="119"/>
      <c r="N26" s="21"/>
    </row>
    <row r="27" spans="1:14" ht="15">
      <c r="A27" s="5">
        <v>24</v>
      </c>
      <c r="D27" s="21"/>
      <c r="E27" s="70"/>
      <c r="F27" s="21"/>
      <c r="I27" s="119"/>
      <c r="N27" s="21"/>
    </row>
    <row r="28" spans="1:14" ht="15">
      <c r="A28" s="5">
        <v>25</v>
      </c>
      <c r="B28" t="s">
        <v>90</v>
      </c>
      <c r="D28" s="21">
        <v>9.78</v>
      </c>
      <c r="E28" s="70">
        <f>+'Exh. JDG-1'!J$27</f>
        <v>1.273291</v>
      </c>
      <c r="F28" s="21">
        <f>ROUND(+E28*D28,2)</f>
        <v>12.45</v>
      </c>
      <c r="G28" t="s">
        <v>66</v>
      </c>
      <c r="I28" s="119"/>
      <c r="N28" s="21"/>
    </row>
    <row r="29" spans="1:14" ht="15">
      <c r="A29" s="5">
        <v>26</v>
      </c>
      <c r="B29" t="s">
        <v>89</v>
      </c>
      <c r="D29" s="23">
        <v>0.058514</v>
      </c>
      <c r="E29" s="70">
        <f>+'Exh. JDG-1'!J$27</f>
        <v>1.273291</v>
      </c>
      <c r="F29" s="23">
        <f>ROUND(+E29*D29,6)</f>
        <v>0.074505</v>
      </c>
      <c r="G29" t="s">
        <v>65</v>
      </c>
      <c r="I29" s="119"/>
      <c r="N29" s="40"/>
    </row>
    <row r="30" spans="1:9" ht="15">
      <c r="A30" s="5">
        <v>27</v>
      </c>
      <c r="E30" s="71"/>
      <c r="F30" s="15"/>
      <c r="I30" s="119"/>
    </row>
    <row r="31" spans="1:9" ht="15">
      <c r="A31" s="5">
        <v>28</v>
      </c>
      <c r="E31" s="71"/>
      <c r="F31" s="15"/>
      <c r="I31" s="119"/>
    </row>
    <row r="32" spans="1:9" ht="15">
      <c r="A32" s="5">
        <v>29</v>
      </c>
      <c r="B32" s="56" t="s">
        <v>77</v>
      </c>
      <c r="E32" s="71"/>
      <c r="F32" s="15"/>
      <c r="I32" s="119"/>
    </row>
    <row r="33" spans="1:9" ht="15">
      <c r="A33" s="5">
        <v>30</v>
      </c>
      <c r="E33" s="71"/>
      <c r="F33" s="15"/>
      <c r="I33" s="119"/>
    </row>
    <row r="34" spans="1:14" ht="15">
      <c r="A34" s="5">
        <v>32</v>
      </c>
      <c r="B34" t="s">
        <v>111</v>
      </c>
      <c r="D34" s="114">
        <v>2.349</v>
      </c>
      <c r="E34" s="70">
        <f>+'Exh. JDG-1'!J$27</f>
        <v>1.273291</v>
      </c>
      <c r="F34" s="114">
        <f>ROUND(+E34*D34,3)</f>
        <v>2.991</v>
      </c>
      <c r="G34" t="s">
        <v>112</v>
      </c>
      <c r="I34" s="119">
        <f>2.349-F34</f>
        <v>-0.6419999999999999</v>
      </c>
      <c r="N34" s="21"/>
    </row>
    <row r="35" spans="1:14" ht="15">
      <c r="A35" s="5">
        <v>33</v>
      </c>
      <c r="B35" t="s">
        <v>90</v>
      </c>
      <c r="D35" s="21">
        <v>9.78</v>
      </c>
      <c r="E35" s="70">
        <f>+'Exh. JDG-1'!J$27</f>
        <v>1.273291</v>
      </c>
      <c r="F35" s="21">
        <f>ROUND(+E35*D35,2)</f>
        <v>12.45</v>
      </c>
      <c r="G35" t="s">
        <v>66</v>
      </c>
      <c r="I35" s="119"/>
      <c r="N35" s="21"/>
    </row>
    <row r="36" spans="1:14" ht="15">
      <c r="A36" s="5">
        <v>34</v>
      </c>
      <c r="B36" t="s">
        <v>89</v>
      </c>
      <c r="D36" s="23">
        <v>0.058514</v>
      </c>
      <c r="E36" s="70">
        <f>+'Exh. JDG-1'!J$27</f>
        <v>1.273291</v>
      </c>
      <c r="F36" s="23">
        <f>ROUND(+E36*D36,6)</f>
        <v>0.074505</v>
      </c>
      <c r="G36" t="s">
        <v>65</v>
      </c>
      <c r="I36" s="119"/>
      <c r="N36" s="40"/>
    </row>
    <row r="37" spans="1:14" ht="15">
      <c r="A37" s="5">
        <v>35</v>
      </c>
      <c r="D37" s="40"/>
      <c r="E37" s="71"/>
      <c r="F37" s="15"/>
      <c r="I37" s="119"/>
      <c r="N37" s="40"/>
    </row>
    <row r="38" spans="1:9" ht="15">
      <c r="A38" s="5">
        <v>36</v>
      </c>
      <c r="E38" s="68"/>
      <c r="I38" s="119"/>
    </row>
    <row r="39" spans="1:9" ht="15">
      <c r="A39" s="5">
        <v>37</v>
      </c>
      <c r="B39" s="56" t="s">
        <v>86</v>
      </c>
      <c r="E39" s="71"/>
      <c r="F39" s="15"/>
      <c r="I39" s="119"/>
    </row>
    <row r="40" spans="1:9" ht="15">
      <c r="A40" s="5">
        <v>38</v>
      </c>
      <c r="E40" s="71"/>
      <c r="F40" s="15"/>
      <c r="I40" s="119"/>
    </row>
    <row r="41" spans="1:9" ht="15">
      <c r="A41" s="5">
        <v>39</v>
      </c>
      <c r="B41" t="s">
        <v>51</v>
      </c>
      <c r="E41" s="68"/>
      <c r="I41" s="119"/>
    </row>
    <row r="42" spans="1:14" ht="15">
      <c r="A42" s="5">
        <v>40</v>
      </c>
      <c r="B42" t="s">
        <v>87</v>
      </c>
      <c r="D42" s="21">
        <v>716.75</v>
      </c>
      <c r="E42" s="70">
        <f>+'Exh. JDG-1'!J$27</f>
        <v>1.273291</v>
      </c>
      <c r="F42" s="21">
        <f>ROUND(+E42*D42,2)</f>
        <v>912.63</v>
      </c>
      <c r="G42" t="s">
        <v>46</v>
      </c>
      <c r="I42" s="119"/>
      <c r="N42" s="21"/>
    </row>
    <row r="43" spans="1:9" ht="15">
      <c r="A43" s="5">
        <v>41</v>
      </c>
      <c r="B43" t="s">
        <v>51</v>
      </c>
      <c r="E43" s="68"/>
      <c r="I43" s="119"/>
    </row>
    <row r="44" spans="1:14" ht="15">
      <c r="A44" s="5">
        <v>42</v>
      </c>
      <c r="B44" t="s">
        <v>88</v>
      </c>
      <c r="D44" s="21">
        <v>126.49</v>
      </c>
      <c r="E44" s="70">
        <f>+'Exh. JDG-1'!J$27</f>
        <v>1.273291</v>
      </c>
      <c r="F44" s="21">
        <f>ROUND(+E44*D44,2)</f>
        <v>161.06</v>
      </c>
      <c r="G44" t="s">
        <v>46</v>
      </c>
      <c r="N44" s="21"/>
    </row>
    <row r="45" spans="1:14" ht="15">
      <c r="A45" s="5">
        <v>43</v>
      </c>
      <c r="B45" t="s">
        <v>47</v>
      </c>
      <c r="D45" s="21">
        <v>9.34</v>
      </c>
      <c r="E45" s="70">
        <f>+'Exh. JDG-1'!J$27</f>
        <v>1.273291</v>
      </c>
      <c r="F45" s="21">
        <f>ROUND(+E45*D45,2)</f>
        <v>11.89</v>
      </c>
      <c r="G45" t="s">
        <v>66</v>
      </c>
      <c r="N45" s="21"/>
    </row>
    <row r="46" spans="1:14" ht="15">
      <c r="A46" s="5">
        <v>44</v>
      </c>
      <c r="B46" t="s">
        <v>91</v>
      </c>
      <c r="D46" s="40"/>
      <c r="E46" s="70"/>
      <c r="F46" s="40"/>
      <c r="N46" s="40"/>
    </row>
    <row r="47" spans="1:14" ht="15">
      <c r="A47" s="5">
        <v>45</v>
      </c>
      <c r="B47" t="s">
        <v>92</v>
      </c>
      <c r="D47" s="23">
        <v>0.053853</v>
      </c>
      <c r="E47" s="70">
        <f>+'Exh. JDG-1'!J$27</f>
        <v>1.273291</v>
      </c>
      <c r="F47" s="23">
        <f>ROUND(+E47*D47,6)</f>
        <v>0.068571</v>
      </c>
      <c r="G47" t="s">
        <v>65</v>
      </c>
      <c r="N47" s="40"/>
    </row>
    <row r="48" spans="1:14" ht="15">
      <c r="A48" s="5">
        <v>46</v>
      </c>
      <c r="B48" t="s">
        <v>93</v>
      </c>
      <c r="D48" s="23">
        <v>0.046362</v>
      </c>
      <c r="E48" s="70">
        <f>+'Exh. JDG-1'!J$27</f>
        <v>1.273291</v>
      </c>
      <c r="F48" s="23">
        <f>ROUND(+E48*D48,6)</f>
        <v>0.059032</v>
      </c>
      <c r="G48" t="s">
        <v>65</v>
      </c>
      <c r="N48" s="40"/>
    </row>
    <row r="49" spans="1:5" ht="15">
      <c r="A49" s="5">
        <v>47</v>
      </c>
      <c r="E49" s="68"/>
    </row>
    <row r="50" spans="1:5" ht="15">
      <c r="A50" s="5">
        <v>48</v>
      </c>
      <c r="E50" s="68"/>
    </row>
    <row r="51" spans="1:5" ht="15">
      <c r="A51" s="5">
        <v>49</v>
      </c>
      <c r="B51" s="56" t="s">
        <v>78</v>
      </c>
      <c r="E51" s="68"/>
    </row>
    <row r="52" spans="1:14" ht="15">
      <c r="A52" s="5">
        <v>50</v>
      </c>
      <c r="B52" s="128"/>
      <c r="C52" s="128"/>
      <c r="D52" s="7"/>
      <c r="E52" s="72"/>
      <c r="F52" s="42"/>
      <c r="G52" s="42"/>
      <c r="H52" s="42"/>
      <c r="I52" s="42"/>
      <c r="N52" s="7"/>
    </row>
    <row r="53" spans="1:14" ht="15">
      <c r="A53" s="5">
        <v>51</v>
      </c>
      <c r="B53" t="s">
        <v>52</v>
      </c>
      <c r="D53" s="21">
        <v>9.72</v>
      </c>
      <c r="E53" s="70">
        <f>+'Exh. JDG-1'!J$27</f>
        <v>1.273291</v>
      </c>
      <c r="F53" s="21">
        <f aca="true" t="shared" si="0" ref="F53:F59">ROUND(+E53*D53,2)</f>
        <v>12.38</v>
      </c>
      <c r="G53" t="s">
        <v>46</v>
      </c>
      <c r="H53" s="41"/>
      <c r="I53">
        <v>91</v>
      </c>
      <c r="J53" s="21">
        <f>+I53*D53</f>
        <v>884.5200000000001</v>
      </c>
      <c r="K53" s="21" t="e">
        <f>+I53*#REF!</f>
        <v>#REF!</v>
      </c>
      <c r="N53" s="21"/>
    </row>
    <row r="54" spans="1:14" ht="15">
      <c r="A54" s="5">
        <v>52</v>
      </c>
      <c r="B54" t="s">
        <v>53</v>
      </c>
      <c r="D54" s="21">
        <v>14.6</v>
      </c>
      <c r="E54" s="70">
        <f>+'Exh. JDG-1'!J$27</f>
        <v>1.273291</v>
      </c>
      <c r="F54" s="21">
        <f t="shared" si="0"/>
        <v>18.59</v>
      </c>
      <c r="G54" t="s">
        <v>46</v>
      </c>
      <c r="H54" s="41"/>
      <c r="I54">
        <v>36</v>
      </c>
      <c r="J54" s="21">
        <f>+I54*D54</f>
        <v>525.6</v>
      </c>
      <c r="K54" s="21" t="e">
        <f>+I54*#REF!</f>
        <v>#REF!</v>
      </c>
      <c r="N54" s="21"/>
    </row>
    <row r="55" spans="1:14" ht="15">
      <c r="A55" s="5">
        <v>53</v>
      </c>
      <c r="B55" t="s">
        <v>54</v>
      </c>
      <c r="D55" s="21">
        <v>14.6</v>
      </c>
      <c r="E55" s="70">
        <f>+'Exh. JDG-1'!J$27</f>
        <v>1.273291</v>
      </c>
      <c r="F55" s="21">
        <f t="shared" si="0"/>
        <v>18.59</v>
      </c>
      <c r="G55" t="s">
        <v>46</v>
      </c>
      <c r="H55" s="41"/>
      <c r="J55" s="21">
        <f>+J54+J53</f>
        <v>1410.1200000000001</v>
      </c>
      <c r="K55" s="21" t="e">
        <f>+K54+K53</f>
        <v>#REF!</v>
      </c>
      <c r="L55" s="21" t="e">
        <f>+K55-J55</f>
        <v>#REF!</v>
      </c>
      <c r="N55" s="21"/>
    </row>
    <row r="56" spans="1:14" ht="15">
      <c r="A56" s="5">
        <v>54</v>
      </c>
      <c r="B56" t="s">
        <v>55</v>
      </c>
      <c r="D56" s="21">
        <v>4.24</v>
      </c>
      <c r="E56" s="70">
        <f>+'Exh. JDG-1'!J$27</f>
        <v>1.273291</v>
      </c>
      <c r="F56" s="21">
        <f t="shared" si="0"/>
        <v>5.4</v>
      </c>
      <c r="G56" t="s">
        <v>46</v>
      </c>
      <c r="H56" s="44"/>
      <c r="I56" s="5"/>
      <c r="N56" s="21"/>
    </row>
    <row r="57" spans="1:14" ht="15">
      <c r="A57" s="5">
        <v>55</v>
      </c>
      <c r="B57" t="s">
        <v>56</v>
      </c>
      <c r="D57" s="21">
        <v>4.24</v>
      </c>
      <c r="E57" s="70">
        <f>+'Exh. JDG-1'!J$27</f>
        <v>1.273291</v>
      </c>
      <c r="F57" s="21">
        <f t="shared" si="0"/>
        <v>5.4</v>
      </c>
      <c r="G57" t="s">
        <v>46</v>
      </c>
      <c r="H57" s="44"/>
      <c r="I57" s="5"/>
      <c r="N57" s="21"/>
    </row>
    <row r="58" spans="1:14" ht="15">
      <c r="A58" s="5">
        <v>56</v>
      </c>
      <c r="B58" t="s">
        <v>57</v>
      </c>
      <c r="D58" s="21">
        <v>4.24</v>
      </c>
      <c r="E58" s="70">
        <f>+'Exh. JDG-1'!J$27</f>
        <v>1.273291</v>
      </c>
      <c r="F58" s="21">
        <f t="shared" si="0"/>
        <v>5.4</v>
      </c>
      <c r="G58" t="s">
        <v>46</v>
      </c>
      <c r="H58" s="41"/>
      <c r="I58" s="21"/>
      <c r="N58" s="21"/>
    </row>
    <row r="59" spans="1:14" ht="15">
      <c r="A59" s="5">
        <v>57</v>
      </c>
      <c r="B59" t="s">
        <v>58</v>
      </c>
      <c r="D59" s="21">
        <v>0.5</v>
      </c>
      <c r="E59" s="70">
        <f>+'Exh. JDG-1'!J$27</f>
        <v>1.273291</v>
      </c>
      <c r="F59" s="21">
        <f t="shared" si="0"/>
        <v>0.64</v>
      </c>
      <c r="G59" t="s">
        <v>46</v>
      </c>
      <c r="I59" s="21"/>
      <c r="N59" s="21"/>
    </row>
    <row r="60" spans="1:5" ht="15">
      <c r="A60" s="5">
        <v>58</v>
      </c>
      <c r="E60" s="68"/>
    </row>
    <row r="61" spans="1:5" ht="15">
      <c r="A61" s="5">
        <v>59</v>
      </c>
      <c r="E61" s="68"/>
    </row>
    <row r="62" spans="1:5" ht="15">
      <c r="A62" s="5">
        <v>60</v>
      </c>
      <c r="B62" s="56" t="s">
        <v>79</v>
      </c>
      <c r="E62" s="68"/>
    </row>
    <row r="63" spans="1:5" ht="15">
      <c r="A63" s="5">
        <v>61</v>
      </c>
      <c r="B63" s="128"/>
      <c r="C63" s="128"/>
      <c r="E63" s="68"/>
    </row>
    <row r="64" spans="1:14" ht="15">
      <c r="A64" s="5">
        <v>62</v>
      </c>
      <c r="B64" t="s">
        <v>60</v>
      </c>
      <c r="D64" s="21">
        <v>8.88</v>
      </c>
      <c r="E64" s="70">
        <f>+'Exh. JDG-1'!J$27</f>
        <v>1.273291</v>
      </c>
      <c r="F64" s="21">
        <f>ROUND(+E64*D64,2)</f>
        <v>11.31</v>
      </c>
      <c r="G64" t="s">
        <v>46</v>
      </c>
      <c r="I64">
        <v>46</v>
      </c>
      <c r="J64" s="21">
        <f>+I64*D64</f>
        <v>408.48</v>
      </c>
      <c r="K64" s="21" t="e">
        <f>+I64*#REF!</f>
        <v>#REF!</v>
      </c>
      <c r="N64" s="21"/>
    </row>
    <row r="65" spans="1:14" ht="15">
      <c r="A65" s="5">
        <v>63</v>
      </c>
      <c r="B65" t="s">
        <v>59</v>
      </c>
      <c r="D65" s="21">
        <v>13.98</v>
      </c>
      <c r="E65" s="70">
        <f>+'Exh. JDG-1'!J$27</f>
        <v>1.273291</v>
      </c>
      <c r="F65" s="21">
        <f>ROUND(+E65*D65,2)</f>
        <v>17.8</v>
      </c>
      <c r="G65" t="s">
        <v>46</v>
      </c>
      <c r="I65">
        <v>243</v>
      </c>
      <c r="J65" s="21">
        <f>+I65*D65</f>
        <v>3397.1400000000003</v>
      </c>
      <c r="K65" s="21" t="e">
        <f>+I65*#REF!</f>
        <v>#REF!</v>
      </c>
      <c r="N65" s="8"/>
    </row>
    <row r="66" spans="10:12" ht="15">
      <c r="J66" s="21">
        <f>+J65+J64</f>
        <v>3805.6200000000003</v>
      </c>
      <c r="K66" s="21" t="e">
        <f>+K65+K64</f>
        <v>#REF!</v>
      </c>
      <c r="L66" s="21" t="e">
        <f>+K66-J66</f>
        <v>#REF!</v>
      </c>
    </row>
    <row r="67" ht="15">
      <c r="D67" s="21"/>
    </row>
    <row r="69" ht="15">
      <c r="D69" s="21"/>
    </row>
  </sheetData>
  <sheetProtection/>
  <mergeCells count="2">
    <mergeCell ref="B63:C63"/>
    <mergeCell ref="B52:C52"/>
  </mergeCells>
  <printOptions horizontalCentered="1"/>
  <pageMargins left="0.7" right="0.7" top="0.75" bottom="0.75" header="0.3" footer="0.3"/>
  <pageSetup horizontalDpi="300" verticalDpi="300" orientation="landscape" scale="78" r:id="rId1"/>
  <headerFooter>
    <oddHeader>&amp;RExhibit  JDG-2
&amp;P
Witness: Jack Gaines</oddHeader>
  </headerFooter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N154"/>
  <sheetViews>
    <sheetView zoomScale="76" zoomScaleNormal="76" zoomScalePageLayoutView="0" workbookViewId="0" topLeftCell="D81">
      <selection activeCell="M106" sqref="M106"/>
    </sheetView>
  </sheetViews>
  <sheetFormatPr defaultColWidth="9.140625" defaultRowHeight="15"/>
  <cols>
    <col min="1" max="1" width="6.140625" style="0" customWidth="1"/>
    <col min="2" max="2" width="18.00390625" style="0" customWidth="1"/>
    <col min="3" max="3" width="13.7109375" style="0" customWidth="1"/>
    <col min="4" max="4" width="13.140625" style="0" customWidth="1"/>
    <col min="5" max="5" width="16.7109375" style="0" customWidth="1"/>
    <col min="6" max="6" width="16.28125" style="0" customWidth="1"/>
    <col min="7" max="8" width="17.57421875" style="0" customWidth="1"/>
    <col min="9" max="9" width="17.8515625" style="0" customWidth="1"/>
    <col min="10" max="10" width="16.7109375" style="0" bestFit="1" customWidth="1"/>
    <col min="11" max="11" width="13.140625" style="0" customWidth="1"/>
    <col min="12" max="12" width="14.7109375" style="0" customWidth="1"/>
    <col min="13" max="13" width="13.7109375" style="0" customWidth="1"/>
    <col min="14" max="14" width="11.421875" style="0" customWidth="1"/>
  </cols>
  <sheetData>
    <row r="3" spans="1:14" ht="15.75">
      <c r="A3" s="24" t="s">
        <v>62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55"/>
      <c r="M3" s="55"/>
      <c r="N3" s="55"/>
    </row>
    <row r="4" spans="1:14" ht="15.75">
      <c r="A4" s="24" t="s">
        <v>122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55"/>
      <c r="M4" s="55"/>
      <c r="N4" s="55"/>
    </row>
    <row r="5" spans="1:14" ht="15.7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5"/>
      <c r="M5" s="25"/>
      <c r="N5" s="25"/>
    </row>
    <row r="6" spans="1:14" ht="15.7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ht="15.75">
      <c r="A7" s="27"/>
      <c r="B7" s="27"/>
      <c r="C7" s="26"/>
      <c r="D7" s="26" t="s">
        <v>123</v>
      </c>
      <c r="E7" s="26"/>
      <c r="F7" s="26" t="s">
        <v>123</v>
      </c>
      <c r="G7" s="26" t="s">
        <v>118</v>
      </c>
      <c r="H7" s="26" t="s">
        <v>124</v>
      </c>
      <c r="I7" s="26" t="s">
        <v>7</v>
      </c>
      <c r="J7" s="27"/>
      <c r="K7" s="27"/>
      <c r="L7" s="26" t="s">
        <v>23</v>
      </c>
      <c r="M7" s="26" t="s">
        <v>7</v>
      </c>
      <c r="N7" s="27"/>
    </row>
    <row r="8" spans="1:14" ht="15.75">
      <c r="A8" s="26" t="s">
        <v>24</v>
      </c>
      <c r="B8" s="27"/>
      <c r="C8" s="26" t="s">
        <v>25</v>
      </c>
      <c r="D8" s="26" t="s">
        <v>25</v>
      </c>
      <c r="E8" s="26" t="s">
        <v>26</v>
      </c>
      <c r="F8" s="26" t="s">
        <v>26</v>
      </c>
      <c r="G8" s="26" t="s">
        <v>4</v>
      </c>
      <c r="H8" s="26" t="s">
        <v>4</v>
      </c>
      <c r="I8" s="26" t="s">
        <v>161</v>
      </c>
      <c r="J8" s="26" t="s">
        <v>10</v>
      </c>
      <c r="K8" s="26" t="s">
        <v>64</v>
      </c>
      <c r="L8" s="26" t="s">
        <v>4</v>
      </c>
      <c r="M8" s="26" t="s">
        <v>27</v>
      </c>
      <c r="N8" s="26" t="s">
        <v>64</v>
      </c>
    </row>
    <row r="9" spans="1:14" ht="15.75">
      <c r="A9" s="28" t="s">
        <v>28</v>
      </c>
      <c r="B9" s="29" t="s">
        <v>29</v>
      </c>
      <c r="C9" s="29" t="s">
        <v>182</v>
      </c>
      <c r="D9" s="29" t="s">
        <v>182</v>
      </c>
      <c r="E9" s="29" t="s">
        <v>30</v>
      </c>
      <c r="F9" s="29" t="s">
        <v>30</v>
      </c>
      <c r="G9" s="29" t="s">
        <v>45</v>
      </c>
      <c r="H9" s="29" t="s">
        <v>45</v>
      </c>
      <c r="I9" s="30" t="s">
        <v>10</v>
      </c>
      <c r="J9" s="29" t="s">
        <v>63</v>
      </c>
      <c r="K9" s="29" t="s">
        <v>63</v>
      </c>
      <c r="L9" s="29" t="s">
        <v>45</v>
      </c>
      <c r="M9" s="29" t="s">
        <v>31</v>
      </c>
      <c r="N9" s="29" t="s">
        <v>63</v>
      </c>
    </row>
    <row r="10" spans="1:14" ht="15.75">
      <c r="A10" s="27"/>
      <c r="B10" s="31" t="s">
        <v>32</v>
      </c>
      <c r="C10" s="26" t="s">
        <v>33</v>
      </c>
      <c r="D10" s="32" t="s">
        <v>34</v>
      </c>
      <c r="E10" s="26" t="s">
        <v>35</v>
      </c>
      <c r="F10" s="26" t="s">
        <v>36</v>
      </c>
      <c r="G10" s="26" t="s">
        <v>37</v>
      </c>
      <c r="H10" s="26" t="s">
        <v>38</v>
      </c>
      <c r="I10" s="26" t="s">
        <v>39</v>
      </c>
      <c r="J10" s="26" t="s">
        <v>40</v>
      </c>
      <c r="K10" s="26" t="s">
        <v>41</v>
      </c>
      <c r="L10" s="26" t="s">
        <v>188</v>
      </c>
      <c r="M10" s="26" t="s">
        <v>189</v>
      </c>
      <c r="N10" s="26" t="s">
        <v>190</v>
      </c>
    </row>
    <row r="11" spans="1:14" ht="15.75">
      <c r="A11" s="27"/>
      <c r="B11" s="27"/>
      <c r="C11" s="27"/>
      <c r="D11" s="27"/>
      <c r="E11" s="27"/>
      <c r="F11" s="27"/>
      <c r="G11" s="27"/>
      <c r="H11" s="27"/>
      <c r="I11" s="27"/>
      <c r="J11" s="26" t="s">
        <v>165</v>
      </c>
      <c r="K11" s="26" t="s">
        <v>166</v>
      </c>
      <c r="L11" s="25"/>
      <c r="M11" s="25"/>
      <c r="N11" s="26" t="s">
        <v>167</v>
      </c>
    </row>
    <row r="12" spans="1:2" ht="15.75">
      <c r="A12" s="26">
        <v>1</v>
      </c>
      <c r="B12" s="33" t="s">
        <v>80</v>
      </c>
    </row>
    <row r="13" spans="1:14" ht="15.75">
      <c r="A13" s="26">
        <v>2</v>
      </c>
      <c r="B13" s="33" t="s">
        <v>102</v>
      </c>
      <c r="C13" s="34">
        <v>26473</v>
      </c>
      <c r="D13" s="34">
        <f>('Exh. JDG-4'!C13+'Exh. JDG-4'!F20)/365</f>
        <v>26531</v>
      </c>
      <c r="E13" s="34">
        <f>'Exh. JDG-4'!C14</f>
        <v>328551229</v>
      </c>
      <c r="F13" s="34">
        <f>+'Exh. JDG-4'!C14+'Exh. JDG-4'!F21</f>
        <v>331194784.34007686</v>
      </c>
      <c r="G13" s="35">
        <f>28265667+2</f>
        <v>28265669</v>
      </c>
      <c r="H13" s="35">
        <f>'Exh. JDG-4'!H24</f>
        <v>33628278.07119489</v>
      </c>
      <c r="I13" s="35">
        <f>'Exh. JDG-4'!J24</f>
        <v>42817729.971641675</v>
      </c>
      <c r="J13" s="35">
        <f aca="true" t="shared" si="0" ref="J13:J19">+I13-H13</f>
        <v>9189451.900446787</v>
      </c>
      <c r="K13" s="59">
        <f>+J13/H13</f>
        <v>0.2732656094074063</v>
      </c>
      <c r="L13" s="36">
        <f>+H13/D13/12</f>
        <v>105.62573992434915</v>
      </c>
      <c r="M13" s="36">
        <f>+J13/D13/12</f>
        <v>28.863882189535474</v>
      </c>
      <c r="N13" s="59">
        <f>+M13/L13</f>
        <v>0.2732656094074063</v>
      </c>
    </row>
    <row r="14" spans="1:14" ht="15.75">
      <c r="A14" s="26">
        <v>3</v>
      </c>
      <c r="B14" s="33" t="s">
        <v>103</v>
      </c>
      <c r="C14" s="34"/>
      <c r="D14" s="34"/>
      <c r="E14" s="34"/>
      <c r="F14" s="34"/>
      <c r="G14" s="35">
        <f>687518+85209+9714</f>
        <v>782441</v>
      </c>
      <c r="H14" s="35">
        <f>+F13*'Exh. JDG-6'!$C$21</f>
        <v>1128380.6302466418</v>
      </c>
      <c r="I14" s="35">
        <f>+F13*'Exh. JDG-6'!$C$21</f>
        <v>1128380.6302466418</v>
      </c>
      <c r="J14" s="35">
        <f t="shared" si="0"/>
        <v>0</v>
      </c>
      <c r="K14" s="59">
        <f aca="true" t="shared" si="1" ref="K14:K20">+J14/H14</f>
        <v>0</v>
      </c>
      <c r="L14" s="36">
        <f>+H14/D13/12</f>
        <v>3.5442206922927952</v>
      </c>
      <c r="M14" s="36">
        <f>+J14/D13/12</f>
        <v>0</v>
      </c>
      <c r="N14" s="59">
        <f aca="true" t="shared" si="2" ref="N14:N20">+M14/L14</f>
        <v>0</v>
      </c>
    </row>
    <row r="15" spans="1:14" ht="15.75">
      <c r="A15" s="26">
        <v>4</v>
      </c>
      <c r="B15" s="33" t="s">
        <v>104</v>
      </c>
      <c r="C15" s="34"/>
      <c r="D15" s="34"/>
      <c r="E15" s="34"/>
      <c r="F15" s="34"/>
      <c r="G15" s="35">
        <f>724957+92912+10626</f>
        <v>828495</v>
      </c>
      <c r="H15" s="35">
        <f>+F13*'Exh. JDG-6'!$D$21</f>
        <v>1033658.9219253799</v>
      </c>
      <c r="I15" s="35">
        <f>+F13*'Exh. JDG-6'!$D$21</f>
        <v>1033658.9219253799</v>
      </c>
      <c r="J15" s="35">
        <f t="shared" si="0"/>
        <v>0</v>
      </c>
      <c r="K15" s="59">
        <f t="shared" si="1"/>
        <v>0</v>
      </c>
      <c r="L15" s="36">
        <f>+H15/D13/12</f>
        <v>3.246701726048082</v>
      </c>
      <c r="M15" s="36">
        <f>+J15/D13/12</f>
        <v>0</v>
      </c>
      <c r="N15" s="59">
        <f t="shared" si="2"/>
        <v>0</v>
      </c>
    </row>
    <row r="16" spans="1:14" ht="15.75">
      <c r="A16" s="26">
        <v>5</v>
      </c>
      <c r="B16" s="33" t="s">
        <v>105</v>
      </c>
      <c r="C16" s="34"/>
      <c r="D16" s="34"/>
      <c r="E16" s="34"/>
      <c r="F16" s="34"/>
      <c r="G16" s="35">
        <f>-1244245-155834-17887</f>
        <v>-1417966</v>
      </c>
      <c r="H16" s="35">
        <v>0</v>
      </c>
      <c r="I16" s="35">
        <v>0</v>
      </c>
      <c r="J16" s="35">
        <f t="shared" si="0"/>
        <v>0</v>
      </c>
      <c r="K16" s="120" t="s">
        <v>108</v>
      </c>
      <c r="L16" s="120" t="s">
        <v>108</v>
      </c>
      <c r="M16" s="36">
        <f>+J16/D13/12</f>
        <v>0</v>
      </c>
      <c r="N16" s="120" t="s">
        <v>108</v>
      </c>
    </row>
    <row r="17" spans="1:14" ht="15.75">
      <c r="A17" s="26">
        <v>6</v>
      </c>
      <c r="B17" s="33" t="s">
        <v>185</v>
      </c>
      <c r="C17" s="33"/>
      <c r="D17" s="34"/>
      <c r="E17" s="34"/>
      <c r="F17" s="35"/>
      <c r="G17" s="35">
        <f>-1856978-232315-26792</f>
        <v>-2116085</v>
      </c>
      <c r="H17" s="35">
        <f>$F13*'Exh. JDG-1'!$I$33-SUM('Exh. JDG-3 '!H14:H16)</f>
        <v>-3291131.49866371</v>
      </c>
      <c r="I17" s="35">
        <f>$F13*'Exh. JDG-1'!$I$33-SUM('Exh. JDG-3 '!I14:I16)</f>
        <v>-3291131.49866371</v>
      </c>
      <c r="J17" s="35">
        <f t="shared" si="0"/>
        <v>0</v>
      </c>
      <c r="K17" s="59">
        <f t="shared" si="1"/>
        <v>0</v>
      </c>
      <c r="L17" s="36">
        <f>+H17/D13/12</f>
        <v>-10.337377340544112</v>
      </c>
      <c r="M17" s="36">
        <f>+J17/D13/12</f>
        <v>0</v>
      </c>
      <c r="N17" s="59">
        <v>0</v>
      </c>
    </row>
    <row r="18" spans="1:14" ht="15.75">
      <c r="A18" s="26">
        <v>7</v>
      </c>
      <c r="B18" s="33" t="s">
        <v>186</v>
      </c>
      <c r="C18" s="33"/>
      <c r="D18" s="34"/>
      <c r="E18" s="34"/>
      <c r="F18" s="35"/>
      <c r="G18" s="35"/>
      <c r="H18" s="35"/>
      <c r="I18" s="35">
        <f>-J13</f>
        <v>-9189451.900446787</v>
      </c>
      <c r="J18" s="35">
        <f t="shared" si="0"/>
        <v>-9189451.900446787</v>
      </c>
      <c r="K18" s="120" t="s">
        <v>108</v>
      </c>
      <c r="L18" s="120" t="s">
        <v>108</v>
      </c>
      <c r="M18" s="36">
        <f>+J18/D13/12</f>
        <v>-28.863882189535474</v>
      </c>
      <c r="N18" s="120" t="s">
        <v>108</v>
      </c>
    </row>
    <row r="19" spans="1:14" ht="20.25">
      <c r="A19" s="26">
        <v>8</v>
      </c>
      <c r="B19" s="33" t="s">
        <v>109</v>
      </c>
      <c r="C19" s="33"/>
      <c r="D19" s="27"/>
      <c r="E19" s="27"/>
      <c r="F19" s="39"/>
      <c r="G19" s="39">
        <f>-331289-41153-4684</f>
        <v>-377126</v>
      </c>
      <c r="H19" s="39">
        <f>+$F13*'Exh. JDG-1'!$I$37</f>
        <v>-136742.45553713152</v>
      </c>
      <c r="I19" s="39">
        <f>+$F13*'Exh. JDG-1'!$I$37</f>
        <v>-136742.45553713152</v>
      </c>
      <c r="J19" s="39">
        <f t="shared" si="0"/>
        <v>0</v>
      </c>
      <c r="K19" s="61">
        <f t="shared" si="1"/>
        <v>0</v>
      </c>
      <c r="L19" s="73">
        <f>+H19/D13/12</f>
        <v>-0.4295052816740528</v>
      </c>
      <c r="M19" s="73">
        <f>+J19/D13/12</f>
        <v>0</v>
      </c>
      <c r="N19" s="61">
        <f t="shared" si="2"/>
        <v>0</v>
      </c>
    </row>
    <row r="20" spans="1:14" ht="15.75">
      <c r="A20" s="26">
        <v>9</v>
      </c>
      <c r="B20" s="33" t="s">
        <v>106</v>
      </c>
      <c r="C20" s="27"/>
      <c r="D20" s="27"/>
      <c r="E20" s="27"/>
      <c r="F20" s="27"/>
      <c r="G20" s="35">
        <f>SUM(G13:G19)</f>
        <v>25965428</v>
      </c>
      <c r="H20" s="35">
        <f>SUM(H13:H19)</f>
        <v>32362443.669166066</v>
      </c>
      <c r="I20" s="35">
        <f>SUM(I13:I19)</f>
        <v>32362443.669166066</v>
      </c>
      <c r="J20" s="35">
        <f>SUM(J13:J19)</f>
        <v>0</v>
      </c>
      <c r="K20" s="59">
        <f t="shared" si="1"/>
        <v>0</v>
      </c>
      <c r="L20" s="36">
        <f>SUM(L13:L19)</f>
        <v>101.64977972047187</v>
      </c>
      <c r="M20" s="36">
        <f>SUM(M13:M19)</f>
        <v>0</v>
      </c>
      <c r="N20" s="59">
        <f t="shared" si="2"/>
        <v>0</v>
      </c>
    </row>
    <row r="21" spans="1:14" ht="15.75">
      <c r="A21" s="26">
        <v>10</v>
      </c>
      <c r="B21" s="33"/>
      <c r="C21" s="27"/>
      <c r="D21" s="27"/>
      <c r="E21" s="27"/>
      <c r="F21" s="27"/>
      <c r="G21" s="27"/>
      <c r="H21" s="27"/>
      <c r="I21" s="27"/>
      <c r="J21" s="27"/>
      <c r="K21" s="60"/>
      <c r="L21" s="37"/>
      <c r="M21" s="37"/>
      <c r="N21" s="62"/>
    </row>
    <row r="22" spans="1:2" ht="15.75">
      <c r="A22" s="26">
        <v>11</v>
      </c>
      <c r="B22" s="33" t="s">
        <v>81</v>
      </c>
    </row>
    <row r="23" spans="1:14" ht="15.75">
      <c r="A23" s="26">
        <v>12</v>
      </c>
      <c r="B23" s="33" t="s">
        <v>102</v>
      </c>
      <c r="C23" s="34">
        <v>1745</v>
      </c>
      <c r="D23" s="34">
        <f>('Exh. JDG-4'!C28+'Exh. JDG-4'!F35)/365</f>
        <v>1737</v>
      </c>
      <c r="E23" s="34">
        <f>'Exh. JDG-4'!C29</f>
        <v>26805601</v>
      </c>
      <c r="F23" s="34">
        <f>+'Exh. JDG-4'!C29+'Exh. JDG-4'!F36</f>
        <v>26478918.870669197</v>
      </c>
      <c r="G23" s="35">
        <v>2502904</v>
      </c>
      <c r="H23" s="35">
        <f>'Exh. JDG-4'!H39</f>
        <v>2901876.6917430004</v>
      </c>
      <c r="I23" s="35">
        <f>'Exh. JDG-4'!J39</f>
        <v>3694680.9151066327</v>
      </c>
      <c r="J23" s="35">
        <f aca="true" t="shared" si="3" ref="J23:J29">+I23-H23</f>
        <v>792804.2233636323</v>
      </c>
      <c r="K23" s="59">
        <f aca="true" t="shared" si="4" ref="K23:K30">+J23/H23</f>
        <v>0.2732039668051635</v>
      </c>
      <c r="L23" s="36">
        <f>+H23/D23/12</f>
        <v>139.21880117746116</v>
      </c>
      <c r="M23" s="36">
        <f>+J23/D23/12</f>
        <v>38.035128735541754</v>
      </c>
      <c r="N23" s="59">
        <f>+M23/L23</f>
        <v>0.2732039668051635</v>
      </c>
    </row>
    <row r="24" spans="1:14" ht="15.75">
      <c r="A24" s="26">
        <v>13</v>
      </c>
      <c r="B24" s="33" t="s">
        <v>103</v>
      </c>
      <c r="C24" s="34"/>
      <c r="D24" s="34"/>
      <c r="E24" s="34"/>
      <c r="F24" s="34"/>
      <c r="G24" s="35">
        <v>63933</v>
      </c>
      <c r="H24" s="35">
        <f>+F23*'Exh. JDG-6'!$C$21</f>
        <v>90213.67659236996</v>
      </c>
      <c r="I24" s="35">
        <f>+F23*'Exh. JDG-6'!$C$21</f>
        <v>90213.67659236996</v>
      </c>
      <c r="J24" s="35">
        <f t="shared" si="3"/>
        <v>0</v>
      </c>
      <c r="K24" s="59">
        <f t="shared" si="4"/>
        <v>0</v>
      </c>
      <c r="L24" s="36">
        <f>+H24/D23/12</f>
        <v>4.328040519687678</v>
      </c>
      <c r="M24" s="36">
        <f>+J24/D23/12</f>
        <v>0</v>
      </c>
      <c r="N24" s="59">
        <f>+M24/L24</f>
        <v>0</v>
      </c>
    </row>
    <row r="25" spans="1:14" ht="15.75">
      <c r="A25" s="26">
        <v>14</v>
      </c>
      <c r="B25" s="33" t="s">
        <v>104</v>
      </c>
      <c r="C25" s="34"/>
      <c r="D25" s="34"/>
      <c r="E25" s="34"/>
      <c r="F25" s="34"/>
      <c r="G25" s="35">
        <v>72623</v>
      </c>
      <c r="H25" s="35">
        <f>+F23*'Exh. JDG-6'!$D$21</f>
        <v>82640.70579535856</v>
      </c>
      <c r="I25" s="35">
        <f>+F23*'Exh. JDG-6'!$D$21</f>
        <v>82640.70579535856</v>
      </c>
      <c r="J25" s="35">
        <f t="shared" si="3"/>
        <v>0</v>
      </c>
      <c r="K25" s="59">
        <f t="shared" si="4"/>
        <v>0</v>
      </c>
      <c r="L25" s="36">
        <f>+H25/D23/12</f>
        <v>3.9647239395201765</v>
      </c>
      <c r="M25" s="36">
        <f>+J25/D23/12</f>
        <v>0</v>
      </c>
      <c r="N25" s="59">
        <f>+M25/L25</f>
        <v>0</v>
      </c>
    </row>
    <row r="26" spans="1:14" ht="15.75">
      <c r="A26" s="26">
        <v>15</v>
      </c>
      <c r="B26" s="33" t="s">
        <v>105</v>
      </c>
      <c r="C26" s="34"/>
      <c r="D26" s="34"/>
      <c r="E26" s="115"/>
      <c r="F26" s="34"/>
      <c r="G26" s="35">
        <v>-118287</v>
      </c>
      <c r="H26" s="35">
        <v>0</v>
      </c>
      <c r="I26" s="35">
        <v>0</v>
      </c>
      <c r="J26" s="35">
        <f t="shared" si="3"/>
        <v>0</v>
      </c>
      <c r="K26" s="120" t="s">
        <v>108</v>
      </c>
      <c r="L26" s="120" t="s">
        <v>108</v>
      </c>
      <c r="M26" s="36">
        <f>+J26/D23/12</f>
        <v>0</v>
      </c>
      <c r="N26" s="120" t="s">
        <v>108</v>
      </c>
    </row>
    <row r="27" spans="1:14" ht="15.75">
      <c r="A27" s="26">
        <v>16</v>
      </c>
      <c r="B27" s="33" t="s">
        <v>185</v>
      </c>
      <c r="C27" s="34"/>
      <c r="D27" s="34"/>
      <c r="E27" s="34"/>
      <c r="F27" s="35"/>
      <c r="G27" s="35">
        <v>-176374</v>
      </c>
      <c r="H27" s="35">
        <f>$F23*'Exh. JDG-1'!$I$33-SUM('Exh. JDG-3 '!H24:H26)</f>
        <v>-263124.9284902313</v>
      </c>
      <c r="I27" s="35">
        <f>$F23*'Exh. JDG-1'!$I$33-SUM('Exh. JDG-3 '!I24:I26)</f>
        <v>-263124.9284902313</v>
      </c>
      <c r="J27" s="35">
        <f t="shared" si="3"/>
        <v>0</v>
      </c>
      <c r="K27" s="59">
        <f t="shared" si="4"/>
        <v>0</v>
      </c>
      <c r="L27" s="36">
        <f>+H27/D23/12</f>
        <v>-12.623533318472044</v>
      </c>
      <c r="M27" s="36">
        <f>+J27/D23/12</f>
        <v>0</v>
      </c>
      <c r="N27" s="59">
        <v>0</v>
      </c>
    </row>
    <row r="28" spans="1:14" ht="15.75">
      <c r="A28" s="26">
        <v>17</v>
      </c>
      <c r="B28" s="33" t="s">
        <v>186</v>
      </c>
      <c r="C28" s="34"/>
      <c r="D28" s="34"/>
      <c r="E28" s="34"/>
      <c r="F28" s="35"/>
      <c r="G28" s="35"/>
      <c r="H28" s="35"/>
      <c r="I28" s="35">
        <f>-J23</f>
        <v>-792804.2233636323</v>
      </c>
      <c r="J28" s="35">
        <f t="shared" si="3"/>
        <v>-792804.2233636323</v>
      </c>
      <c r="K28" s="120" t="s">
        <v>108</v>
      </c>
      <c r="L28" s="120" t="s">
        <v>108</v>
      </c>
      <c r="M28" s="36">
        <f>+J28/D23/12</f>
        <v>-38.035128735541754</v>
      </c>
      <c r="N28" s="120" t="s">
        <v>108</v>
      </c>
    </row>
    <row r="29" spans="1:14" ht="20.25">
      <c r="A29" s="26">
        <v>18</v>
      </c>
      <c r="B29" s="33" t="s">
        <v>109</v>
      </c>
      <c r="C29" s="34"/>
      <c r="D29" s="34"/>
      <c r="E29" s="34"/>
      <c r="F29" s="39"/>
      <c r="G29" s="39">
        <v>-31175</v>
      </c>
      <c r="H29" s="39">
        <f>+$F23*'Exh. JDG-1'!$I$37</f>
        <v>-10932.516324369106</v>
      </c>
      <c r="I29" s="39">
        <f>+$F23*'Exh. JDG-1'!$I$37</f>
        <v>-10932.516324369106</v>
      </c>
      <c r="J29" s="39">
        <f t="shared" si="3"/>
        <v>0</v>
      </c>
      <c r="K29" s="61">
        <f t="shared" si="4"/>
        <v>0</v>
      </c>
      <c r="L29" s="73">
        <f>+H29/D23/12</f>
        <v>-0.5244922435410241</v>
      </c>
      <c r="M29" s="73">
        <f>+J29/D23/12</f>
        <v>0</v>
      </c>
      <c r="N29" s="61">
        <f>+M29/L29</f>
        <v>0</v>
      </c>
    </row>
    <row r="30" spans="1:14" ht="15.75">
      <c r="A30" s="26">
        <v>19</v>
      </c>
      <c r="B30" s="33" t="s">
        <v>106</v>
      </c>
      <c r="C30" s="34"/>
      <c r="D30" s="34"/>
      <c r="E30" s="34"/>
      <c r="F30" s="34"/>
      <c r="G30" s="35">
        <f>SUM(G23:G29)</f>
        <v>2313624</v>
      </c>
      <c r="H30" s="35">
        <f>SUM(H23:H29)</f>
        <v>2800673.6293161283</v>
      </c>
      <c r="I30" s="35">
        <f>SUM(I23:I29)</f>
        <v>2800673.6293161283</v>
      </c>
      <c r="J30" s="35">
        <f>SUM(J23:J29)</f>
        <v>0</v>
      </c>
      <c r="K30" s="59">
        <f t="shared" si="4"/>
        <v>0</v>
      </c>
      <c r="L30" s="36">
        <f>SUM(L23:L29)</f>
        <v>134.36354007465593</v>
      </c>
      <c r="M30" s="36">
        <f>+J30/D23/12</f>
        <v>0</v>
      </c>
      <c r="N30" s="59">
        <f>+M30/L30</f>
        <v>0</v>
      </c>
    </row>
    <row r="31" spans="1:14" ht="15.75">
      <c r="A31" s="26">
        <v>20</v>
      </c>
      <c r="B31" s="33"/>
      <c r="C31" s="34"/>
      <c r="D31" s="34"/>
      <c r="E31" s="34"/>
      <c r="F31" s="34"/>
      <c r="G31" s="35"/>
      <c r="H31" s="35"/>
      <c r="I31" s="35"/>
      <c r="J31" s="35"/>
      <c r="K31" s="59"/>
      <c r="L31" s="37"/>
      <c r="M31" s="37"/>
      <c r="N31" s="62"/>
    </row>
    <row r="32" spans="1:2" ht="15.75">
      <c r="A32" s="26">
        <v>21</v>
      </c>
      <c r="B32" s="33" t="s">
        <v>82</v>
      </c>
    </row>
    <row r="33" spans="1:14" ht="15.75">
      <c r="A33" s="26">
        <v>22</v>
      </c>
      <c r="B33" s="33" t="s">
        <v>102</v>
      </c>
      <c r="C33" s="34">
        <v>342</v>
      </c>
      <c r="D33" s="34">
        <f>('Exh. JDG-4'!C45+'Exh. JDG-4'!C46+'Exh. JDG-4'!C47+'Exh. JDG-4'!F64+'Exh. JDG-4'!F65+'Exh. JDG-4'!F66)/365</f>
        <v>352.05753424657536</v>
      </c>
      <c r="E33" s="34">
        <f>'Exh. JDG-4'!C60</f>
        <v>70162619</v>
      </c>
      <c r="F33" s="34">
        <f>+'Exh. JDG-4'!F76</f>
        <v>71518048.42010468</v>
      </c>
      <c r="G33" s="35">
        <v>5893685</v>
      </c>
      <c r="H33" s="35">
        <f>'Exh. JDG-4'!H76</f>
        <v>6955986.546414256</v>
      </c>
      <c r="I33" s="35">
        <f>'Exh. JDG-4'!J76</f>
        <v>8855542.958510771</v>
      </c>
      <c r="J33" s="35">
        <f aca="true" t="shared" si="5" ref="J33:J39">+I33-H33</f>
        <v>1899556.4120965153</v>
      </c>
      <c r="K33" s="59">
        <f aca="true" t="shared" si="6" ref="K33:K40">+J33/H33</f>
        <v>0.2730822435353499</v>
      </c>
      <c r="L33" s="36">
        <f>+H33/D33/12</f>
        <v>1646.5079969813487</v>
      </c>
      <c r="M33" s="36">
        <f>+J33/D33/12</f>
        <v>449.6320978145618</v>
      </c>
      <c r="N33" s="59">
        <f>+M33/L33</f>
        <v>0.2730822435353499</v>
      </c>
    </row>
    <row r="34" spans="1:14" ht="15.75">
      <c r="A34" s="26">
        <v>23</v>
      </c>
      <c r="B34" s="33" t="s">
        <v>103</v>
      </c>
      <c r="C34" s="34"/>
      <c r="D34" s="34"/>
      <c r="E34" s="34"/>
      <c r="F34" s="34"/>
      <c r="G34" s="35">
        <v>169771</v>
      </c>
      <c r="H34" s="35">
        <f>+F33*'Exh. JDG-6'!$C$21</f>
        <v>243661.99096729665</v>
      </c>
      <c r="I34" s="35">
        <f>+F33*'Exh. JDG-6'!$C$21</f>
        <v>243661.99096729665</v>
      </c>
      <c r="J34" s="35">
        <f t="shared" si="5"/>
        <v>0</v>
      </c>
      <c r="K34" s="59">
        <f t="shared" si="6"/>
        <v>0</v>
      </c>
      <c r="L34" s="36">
        <f>+H34/D33/12</f>
        <v>57.67570336875671</v>
      </c>
      <c r="M34" s="36">
        <f>+J34/D33/12</f>
        <v>0</v>
      </c>
      <c r="N34" s="59">
        <f>+M34/L34</f>
        <v>0</v>
      </c>
    </row>
    <row r="35" spans="1:14" ht="15.75">
      <c r="A35" s="26">
        <v>24</v>
      </c>
      <c r="B35" s="33" t="s">
        <v>104</v>
      </c>
      <c r="C35" s="34"/>
      <c r="D35" s="34"/>
      <c r="E35" s="34"/>
      <c r="F35" s="34"/>
      <c r="G35" s="35">
        <v>195161</v>
      </c>
      <c r="H35" s="35">
        <f>+F33*'Exh. JDG-6'!$D$21</f>
        <v>223207.8291191467</v>
      </c>
      <c r="I35" s="35">
        <f>+F33*'Exh. JDG-6'!$D$21</f>
        <v>223207.8291191467</v>
      </c>
      <c r="J35" s="35">
        <f t="shared" si="5"/>
        <v>0</v>
      </c>
      <c r="K35" s="59">
        <f t="shared" si="6"/>
        <v>0</v>
      </c>
      <c r="L35" s="36">
        <f>+H35/D33/12</f>
        <v>52.834126860548785</v>
      </c>
      <c r="M35" s="36">
        <f>+J35/D33/12</f>
        <v>0</v>
      </c>
      <c r="N35" s="59">
        <f>+M35/L35</f>
        <v>0</v>
      </c>
    </row>
    <row r="36" spans="1:14" ht="15.75">
      <c r="A36" s="26">
        <v>25</v>
      </c>
      <c r="B36" s="33" t="s">
        <v>105</v>
      </c>
      <c r="C36" s="34"/>
      <c r="D36" s="34"/>
      <c r="E36" s="34"/>
      <c r="F36" s="34"/>
      <c r="G36" s="35">
        <v>-314328</v>
      </c>
      <c r="H36" s="35">
        <v>0</v>
      </c>
      <c r="I36" s="35">
        <v>0</v>
      </c>
      <c r="J36" s="35">
        <f t="shared" si="5"/>
        <v>0</v>
      </c>
      <c r="K36" s="120" t="s">
        <v>108</v>
      </c>
      <c r="L36" s="120" t="s">
        <v>108</v>
      </c>
      <c r="M36" s="36">
        <f>+J36/D33/12</f>
        <v>0</v>
      </c>
      <c r="N36" s="120" t="s">
        <v>108</v>
      </c>
    </row>
    <row r="37" spans="1:14" ht="15.75">
      <c r="A37" s="26">
        <v>26</v>
      </c>
      <c r="B37" s="33" t="s">
        <v>185</v>
      </c>
      <c r="C37" s="34"/>
      <c r="D37" s="34"/>
      <c r="E37" s="34"/>
      <c r="F37" s="35"/>
      <c r="G37" s="35">
        <v>-464624</v>
      </c>
      <c r="H37" s="35">
        <f>$F33*'Exh. JDG-1'!$I$33-SUM('Exh. JDG-3 '!H34:H36)</f>
        <v>-710685.4123544265</v>
      </c>
      <c r="I37" s="35">
        <f>$F33*'Exh. JDG-1'!$I$33-SUM('Exh. JDG-3 '!I34:I36)</f>
        <v>-710685.4123544265</v>
      </c>
      <c r="J37" s="35">
        <f t="shared" si="5"/>
        <v>0</v>
      </c>
      <c r="K37" s="59">
        <f t="shared" si="6"/>
        <v>0</v>
      </c>
      <c r="L37" s="36">
        <f>+H37/D33/12</f>
        <v>-168.221891599654</v>
      </c>
      <c r="M37" s="36">
        <f>+J37/D33/12</f>
        <v>0</v>
      </c>
      <c r="N37" s="59">
        <v>0</v>
      </c>
    </row>
    <row r="38" spans="1:14" ht="15.75">
      <c r="A38" s="26">
        <v>27</v>
      </c>
      <c r="B38" s="33" t="s">
        <v>186</v>
      </c>
      <c r="C38" s="34"/>
      <c r="D38" s="34"/>
      <c r="E38" s="34"/>
      <c r="F38" s="35"/>
      <c r="G38" s="35"/>
      <c r="H38" s="35"/>
      <c r="I38" s="35">
        <f>-J33</f>
        <v>-1899556.4120965153</v>
      </c>
      <c r="J38" s="35">
        <f t="shared" si="5"/>
        <v>-1899556.4120965153</v>
      </c>
      <c r="K38" s="120" t="s">
        <v>108</v>
      </c>
      <c r="L38" s="120" t="s">
        <v>108</v>
      </c>
      <c r="M38" s="36">
        <f>+J38/D33/12</f>
        <v>-449.6320978145618</v>
      </c>
      <c r="N38" s="120" t="s">
        <v>108</v>
      </c>
    </row>
    <row r="39" spans="1:14" ht="20.25">
      <c r="A39" s="26">
        <v>28</v>
      </c>
      <c r="B39" s="33" t="s">
        <v>109</v>
      </c>
      <c r="C39" s="34"/>
      <c r="D39" s="34"/>
      <c r="E39" s="34"/>
      <c r="F39" s="39"/>
      <c r="G39" s="39">
        <v>-83187</v>
      </c>
      <c r="H39" s="39">
        <f>+$F33*'Exh. JDG-1'!$I$37</f>
        <v>-29528.10255051227</v>
      </c>
      <c r="I39" s="39">
        <f>+$F33*'Exh. JDG-1'!$I$37</f>
        <v>-29528.10255051227</v>
      </c>
      <c r="J39" s="39">
        <f t="shared" si="5"/>
        <v>0</v>
      </c>
      <c r="K39" s="61">
        <f t="shared" si="6"/>
        <v>0</v>
      </c>
      <c r="L39" s="73">
        <f>+H39/D33/12</f>
        <v>-6.989412164715305</v>
      </c>
      <c r="M39" s="73">
        <f>+J39/D33/12</f>
        <v>0</v>
      </c>
      <c r="N39" s="61">
        <f>+M39/L39</f>
        <v>0</v>
      </c>
    </row>
    <row r="40" spans="1:14" ht="15.75">
      <c r="A40" s="26">
        <v>29</v>
      </c>
      <c r="B40" s="33" t="s">
        <v>106</v>
      </c>
      <c r="C40" s="34"/>
      <c r="D40" s="34"/>
      <c r="E40" s="34"/>
      <c r="F40" s="34"/>
      <c r="G40" s="35">
        <f>SUM(G33:G39)</f>
        <v>5396478</v>
      </c>
      <c r="H40" s="35">
        <f>SUM(H33:H39)</f>
        <v>6682642.851595761</v>
      </c>
      <c r="I40" s="35">
        <f>SUM(I33:I39)</f>
        <v>6682642.851595759</v>
      </c>
      <c r="J40" s="35">
        <f>SUM(J33:J39)</f>
        <v>0</v>
      </c>
      <c r="K40" s="59">
        <f t="shared" si="6"/>
        <v>0</v>
      </c>
      <c r="L40" s="36">
        <f>SUM(L33:L39)</f>
        <v>1581.8065234462852</v>
      </c>
      <c r="M40" s="36">
        <f>+J40/D33/12</f>
        <v>0</v>
      </c>
      <c r="N40" s="59">
        <f>+M40/L40</f>
        <v>0</v>
      </c>
    </row>
    <row r="41" spans="1:14" ht="15.75">
      <c r="A41" s="26">
        <v>30</v>
      </c>
      <c r="B41" s="27"/>
      <c r="C41" s="34"/>
      <c r="D41" s="34"/>
      <c r="E41" s="34"/>
      <c r="F41" s="34"/>
      <c r="G41" s="35"/>
      <c r="H41" s="90"/>
      <c r="I41" s="35"/>
      <c r="J41" s="35"/>
      <c r="K41" s="59"/>
      <c r="L41" s="37"/>
      <c r="M41" s="37"/>
      <c r="N41" s="62"/>
    </row>
    <row r="42" spans="1:14" ht="15.75">
      <c r="A42" s="26">
        <v>31</v>
      </c>
      <c r="B42" s="33" t="s">
        <v>100</v>
      </c>
      <c r="C42" s="34"/>
      <c r="D42" s="34"/>
      <c r="E42" s="34"/>
      <c r="F42" s="34"/>
      <c r="G42" s="35"/>
      <c r="H42" s="35"/>
      <c r="I42" s="35"/>
      <c r="J42" s="35"/>
      <c r="K42" s="59"/>
      <c r="L42" s="36"/>
      <c r="M42" s="36"/>
      <c r="N42" s="59"/>
    </row>
    <row r="43" spans="1:14" ht="15.75">
      <c r="A43" s="26">
        <v>32</v>
      </c>
      <c r="B43" s="33" t="s">
        <v>102</v>
      </c>
      <c r="C43" s="34">
        <v>1</v>
      </c>
      <c r="D43" s="34">
        <f>+C43</f>
        <v>1</v>
      </c>
      <c r="E43" s="34">
        <f>'Exh. JDG-4'!C82</f>
        <v>4907</v>
      </c>
      <c r="F43" s="34">
        <f>+'Exh. JDG-4'!C82</f>
        <v>4907</v>
      </c>
      <c r="G43" s="35">
        <v>2105</v>
      </c>
      <c r="H43" s="35">
        <f>'Exh. JDG-4'!H86</f>
        <v>2467.2538179999997</v>
      </c>
      <c r="I43" s="35">
        <f>'Exh. JDG-4'!J86</f>
        <v>3140.8090349999998</v>
      </c>
      <c r="J43" s="35">
        <f aca="true" t="shared" si="7" ref="J43:J49">+I43-H43</f>
        <v>673.5552170000001</v>
      </c>
      <c r="K43" s="59">
        <f aca="true" t="shared" si="8" ref="K43:K50">+J43/H43</f>
        <v>0.27299794292992363</v>
      </c>
      <c r="L43" s="36">
        <f>+H43/D43/12</f>
        <v>205.60448483333332</v>
      </c>
      <c r="M43" s="36">
        <f>+J43/D43/12</f>
        <v>56.129601416666674</v>
      </c>
      <c r="N43" s="59">
        <f>+M43/L43</f>
        <v>0.27299794292992363</v>
      </c>
    </row>
    <row r="44" spans="1:14" ht="15.75">
      <c r="A44" s="26">
        <v>33</v>
      </c>
      <c r="B44" s="33" t="s">
        <v>103</v>
      </c>
      <c r="C44" s="34"/>
      <c r="D44" s="34"/>
      <c r="E44" s="34"/>
      <c r="F44" s="34"/>
      <c r="G44" s="35">
        <v>11</v>
      </c>
      <c r="H44" s="35">
        <f>+F43*'Exh. JDG-6'!$C$21</f>
        <v>16.718149</v>
      </c>
      <c r="I44" s="35">
        <f>+F43*'Exh. JDG-6'!$C$21</f>
        <v>16.718149</v>
      </c>
      <c r="J44" s="35">
        <f t="shared" si="7"/>
        <v>0</v>
      </c>
      <c r="K44" s="59">
        <f t="shared" si="8"/>
        <v>0</v>
      </c>
      <c r="L44" s="36">
        <f>+H44/D43/12</f>
        <v>1.3931790833333333</v>
      </c>
      <c r="M44" s="36">
        <f>+J44/D43/12</f>
        <v>0</v>
      </c>
      <c r="N44" s="59">
        <f>+M44/L44</f>
        <v>0</v>
      </c>
    </row>
    <row r="45" spans="1:14" ht="15.75">
      <c r="A45" s="26">
        <v>34</v>
      </c>
      <c r="B45" s="33" t="s">
        <v>104</v>
      </c>
      <c r="C45" s="34"/>
      <c r="D45" s="34"/>
      <c r="E45" s="34"/>
      <c r="F45" s="34"/>
      <c r="G45" s="35">
        <v>15</v>
      </c>
      <c r="H45" s="35">
        <f>+F43*'Exh. JDG-6'!$D$21</f>
        <v>15.314747</v>
      </c>
      <c r="I45" s="35">
        <f>+F43*'Exh. JDG-6'!$D$21</f>
        <v>15.314747</v>
      </c>
      <c r="J45" s="35">
        <f t="shared" si="7"/>
        <v>0</v>
      </c>
      <c r="K45" s="59">
        <f t="shared" si="8"/>
        <v>0</v>
      </c>
      <c r="L45" s="36">
        <f>+H45/D43/12</f>
        <v>1.2762289166666667</v>
      </c>
      <c r="M45" s="36">
        <f>+J45/D43/12</f>
        <v>0</v>
      </c>
      <c r="N45" s="59">
        <f>+M45/L45</f>
        <v>0</v>
      </c>
    </row>
    <row r="46" spans="1:14" ht="15.75">
      <c r="A46" s="26">
        <v>35</v>
      </c>
      <c r="B46" s="33" t="s">
        <v>105</v>
      </c>
      <c r="C46" s="34"/>
      <c r="D46" s="34"/>
      <c r="E46" s="34"/>
      <c r="F46" s="118"/>
      <c r="G46" s="35">
        <v>-21</v>
      </c>
      <c r="H46" s="35">
        <v>0</v>
      </c>
      <c r="I46" s="35">
        <v>0</v>
      </c>
      <c r="J46" s="35">
        <f t="shared" si="7"/>
        <v>0</v>
      </c>
      <c r="K46" s="120" t="s">
        <v>108</v>
      </c>
      <c r="L46" s="120" t="s">
        <v>108</v>
      </c>
      <c r="M46" s="36">
        <f>+J46/D43/12</f>
        <v>0</v>
      </c>
      <c r="N46" s="120" t="s">
        <v>108</v>
      </c>
    </row>
    <row r="47" spans="1:14" ht="15.75">
      <c r="A47" s="26">
        <v>36</v>
      </c>
      <c r="B47" s="33" t="s">
        <v>185</v>
      </c>
      <c r="C47" s="34"/>
      <c r="D47" s="34"/>
      <c r="E47" s="34"/>
      <c r="F47" s="35"/>
      <c r="G47" s="35">
        <v>-32</v>
      </c>
      <c r="H47" s="35">
        <f>$F43*'Exh. JDG-1'!$I$33-SUM('Exh. JDG-3 '!H44:H46)</f>
        <v>-48.76158390030725</v>
      </c>
      <c r="I47" s="35">
        <f>$F43*'Exh. JDG-1'!$I$33-SUM('Exh. JDG-3 '!I44:I46)</f>
        <v>-48.76158390030725</v>
      </c>
      <c r="J47" s="35">
        <f t="shared" si="7"/>
        <v>0</v>
      </c>
      <c r="K47" s="59">
        <f t="shared" si="8"/>
        <v>0</v>
      </c>
      <c r="L47" s="36">
        <f>+H47/D43/12</f>
        <v>-4.0634653250256045</v>
      </c>
      <c r="M47" s="36">
        <f>+J47/D43/12</f>
        <v>0</v>
      </c>
      <c r="N47" s="59">
        <v>0</v>
      </c>
    </row>
    <row r="48" spans="1:14" ht="15.75">
      <c r="A48" s="26">
        <v>37</v>
      </c>
      <c r="B48" s="33" t="s">
        <v>186</v>
      </c>
      <c r="C48" s="34"/>
      <c r="D48" s="34"/>
      <c r="E48" s="34"/>
      <c r="F48" s="35"/>
      <c r="G48" s="35"/>
      <c r="H48" s="35"/>
      <c r="I48" s="35">
        <f>-J43</f>
        <v>-673.5552170000001</v>
      </c>
      <c r="J48" s="35">
        <f t="shared" si="7"/>
        <v>-673.5552170000001</v>
      </c>
      <c r="K48" s="120" t="s">
        <v>108</v>
      </c>
      <c r="L48" s="120" t="s">
        <v>108</v>
      </c>
      <c r="M48" s="36">
        <f>+J48/D43/12</f>
        <v>-56.129601416666674</v>
      </c>
      <c r="N48" s="120" t="s">
        <v>108</v>
      </c>
    </row>
    <row r="49" spans="1:14" ht="20.25">
      <c r="A49" s="26">
        <v>38</v>
      </c>
      <c r="B49" s="33" t="s">
        <v>109</v>
      </c>
      <c r="C49" s="34"/>
      <c r="D49" s="34"/>
      <c r="E49" s="34"/>
      <c r="F49" s="39"/>
      <c r="G49" s="39">
        <v>-5</v>
      </c>
      <c r="H49" s="39">
        <f>+$F43*'Exh. JDG-1'!$I$37</f>
        <v>-2.0259836840658525</v>
      </c>
      <c r="I49" s="39">
        <f>+$F43*'Exh. JDG-1'!$I$37</f>
        <v>-2.0259836840658525</v>
      </c>
      <c r="J49" s="39">
        <f t="shared" si="7"/>
        <v>0</v>
      </c>
      <c r="K49" s="61">
        <f t="shared" si="8"/>
        <v>0</v>
      </c>
      <c r="L49" s="73">
        <f>+H49/D43/12</f>
        <v>-0.16883197367215438</v>
      </c>
      <c r="M49" s="73">
        <f>+J49/D43/12</f>
        <v>0</v>
      </c>
      <c r="N49" s="61">
        <f>+M49/L49</f>
        <v>0</v>
      </c>
    </row>
    <row r="50" spans="1:14" ht="15.75">
      <c r="A50" s="26">
        <v>39</v>
      </c>
      <c r="B50" s="33" t="s">
        <v>106</v>
      </c>
      <c r="C50" s="34"/>
      <c r="D50" s="34"/>
      <c r="E50" s="34"/>
      <c r="F50" s="34"/>
      <c r="G50" s="35">
        <f>SUM(G43:G49)</f>
        <v>2073</v>
      </c>
      <c r="H50" s="35">
        <f>SUM(H43:H49)</f>
        <v>2448.499146415626</v>
      </c>
      <c r="I50" s="35">
        <f>SUM(I43:I49)</f>
        <v>2448.499146415626</v>
      </c>
      <c r="J50" s="35">
        <f>SUM(J43:J49)</f>
        <v>0</v>
      </c>
      <c r="K50" s="59">
        <f t="shared" si="8"/>
        <v>0</v>
      </c>
      <c r="L50" s="36">
        <f>SUM(L43:L49)</f>
        <v>204.04159553463555</v>
      </c>
      <c r="M50" s="36">
        <f>+J50/D43/12</f>
        <v>0</v>
      </c>
      <c r="N50" s="59">
        <f>+M50/L50</f>
        <v>0</v>
      </c>
    </row>
    <row r="51" spans="1:14" ht="15.75">
      <c r="A51" s="26">
        <v>40</v>
      </c>
      <c r="B51" s="33"/>
      <c r="C51" s="34"/>
      <c r="D51" s="34"/>
      <c r="E51" s="34"/>
      <c r="F51" s="34"/>
      <c r="G51" s="35"/>
      <c r="H51" s="35"/>
      <c r="I51" s="35"/>
      <c r="J51" s="35"/>
      <c r="K51" s="59"/>
      <c r="L51" s="36"/>
      <c r="M51" s="36"/>
      <c r="N51" s="59"/>
    </row>
    <row r="52" spans="1:14" ht="15.75">
      <c r="A52" s="26">
        <v>41</v>
      </c>
      <c r="B52" s="33" t="s">
        <v>101</v>
      </c>
      <c r="C52" s="34"/>
      <c r="D52" s="34"/>
      <c r="E52" s="34"/>
      <c r="F52" s="34"/>
      <c r="G52" s="35"/>
      <c r="H52" s="35"/>
      <c r="I52" s="35"/>
      <c r="J52" s="35"/>
      <c r="K52" s="59"/>
      <c r="L52" s="36"/>
      <c r="M52" s="36"/>
      <c r="N52" s="59"/>
    </row>
    <row r="53" spans="1:14" ht="15.75">
      <c r="A53" s="26">
        <v>42</v>
      </c>
      <c r="B53" s="33" t="s">
        <v>102</v>
      </c>
      <c r="C53" s="34">
        <v>1</v>
      </c>
      <c r="D53" s="34">
        <f>+C53</f>
        <v>1</v>
      </c>
      <c r="E53" s="34">
        <f>'Exh. JDG-4'!C105</f>
        <v>2781900</v>
      </c>
      <c r="F53" s="34">
        <f>'Exh. JDG-4'!C105</f>
        <v>2781900</v>
      </c>
      <c r="G53" s="35">
        <v>263552.39</v>
      </c>
      <c r="H53" s="35">
        <f>'Exh. JDG-4'!H107</f>
        <v>293849.65958</v>
      </c>
      <c r="I53" s="35">
        <f>'Exh. JDG-4'!J107</f>
        <v>374120.57642</v>
      </c>
      <c r="J53" s="35">
        <f aca="true" t="shared" si="9" ref="J53:J59">+I53-H53</f>
        <v>80270.91684000002</v>
      </c>
      <c r="K53" s="59">
        <f aca="true" t="shared" si="10" ref="K53:K60">+J53/H53</f>
        <v>0.27317001814714176</v>
      </c>
      <c r="L53" s="36">
        <f>+H53/D53/12</f>
        <v>24487.471631666664</v>
      </c>
      <c r="M53" s="36">
        <f>+J53/D53/12</f>
        <v>6689.243070000001</v>
      </c>
      <c r="N53" s="59">
        <f>+M53/L53</f>
        <v>0.27317001814714176</v>
      </c>
    </row>
    <row r="54" spans="1:14" ht="15.75">
      <c r="A54" s="26">
        <v>43</v>
      </c>
      <c r="B54" s="33" t="s">
        <v>103</v>
      </c>
      <c r="C54" s="34"/>
      <c r="D54" s="34"/>
      <c r="E54" s="34"/>
      <c r="F54" s="34"/>
      <c r="G54" s="35">
        <v>6794</v>
      </c>
      <c r="H54" s="35">
        <f>+F53*'Exh. JDG-6'!$C$21</f>
        <v>9477.933299999999</v>
      </c>
      <c r="I54" s="35">
        <f>+F53*'Exh. JDG-6'!$C$21</f>
        <v>9477.933299999999</v>
      </c>
      <c r="J54" s="35">
        <f t="shared" si="9"/>
        <v>0</v>
      </c>
      <c r="K54" s="59">
        <f t="shared" si="10"/>
        <v>0</v>
      </c>
      <c r="L54" s="36">
        <f>+H54/D53/12</f>
        <v>789.8277749999999</v>
      </c>
      <c r="M54" s="36">
        <f>+J54/D53/12</f>
        <v>0</v>
      </c>
      <c r="N54" s="59">
        <f>+M54/L54</f>
        <v>0</v>
      </c>
    </row>
    <row r="55" spans="1:14" ht="15.75">
      <c r="A55" s="26">
        <v>44</v>
      </c>
      <c r="B55" s="33" t="s">
        <v>104</v>
      </c>
      <c r="C55" s="34"/>
      <c r="D55" s="34"/>
      <c r="E55" s="34"/>
      <c r="F55" s="34"/>
      <c r="G55" s="35">
        <v>8008</v>
      </c>
      <c r="H55" s="35">
        <f>+F53*'Exh. JDG-6'!$D$21</f>
        <v>8682.3099</v>
      </c>
      <c r="I55" s="35">
        <f>+F53*'Exh. JDG-6'!$D$21</f>
        <v>8682.3099</v>
      </c>
      <c r="J55" s="35">
        <f t="shared" si="9"/>
        <v>0</v>
      </c>
      <c r="K55" s="59">
        <f t="shared" si="10"/>
        <v>0</v>
      </c>
      <c r="L55" s="36">
        <f>+H55/D53/12</f>
        <v>723.525825</v>
      </c>
      <c r="M55" s="36">
        <f>+J55/D53/12</f>
        <v>0</v>
      </c>
      <c r="N55" s="59">
        <f>+M55/L55</f>
        <v>0</v>
      </c>
    </row>
    <row r="56" spans="1:14" ht="15.75">
      <c r="A56" s="26">
        <v>45</v>
      </c>
      <c r="B56" s="33" t="s">
        <v>105</v>
      </c>
      <c r="C56" s="34"/>
      <c r="D56" s="34"/>
      <c r="E56" s="34"/>
      <c r="F56" s="34"/>
      <c r="G56" s="35">
        <v>-12595</v>
      </c>
      <c r="H56" s="35">
        <v>0</v>
      </c>
      <c r="I56" s="35">
        <v>0</v>
      </c>
      <c r="J56" s="35">
        <f t="shared" si="9"/>
        <v>0</v>
      </c>
      <c r="K56" s="120" t="s">
        <v>108</v>
      </c>
      <c r="L56" s="120" t="s">
        <v>108</v>
      </c>
      <c r="M56" s="36">
        <f>+J56/D53/12</f>
        <v>0</v>
      </c>
      <c r="N56" s="120" t="s">
        <v>108</v>
      </c>
    </row>
    <row r="57" spans="1:14" ht="15.75">
      <c r="A57" s="26">
        <v>46</v>
      </c>
      <c r="B57" s="33" t="s">
        <v>185</v>
      </c>
      <c r="C57" s="34"/>
      <c r="D57" s="34"/>
      <c r="E57" s="34"/>
      <c r="F57" s="35"/>
      <c r="G57" s="35">
        <v>-18926</v>
      </c>
      <c r="H57" s="35">
        <f>$F53*'Exh. JDG-1'!$I$33-SUM('Exh. JDG-3 '!H54:H56)</f>
        <v>-27644.15126396265</v>
      </c>
      <c r="I57" s="35">
        <f>$F53*'Exh. JDG-1'!$I$33-SUM('Exh. JDG-3 '!I54:I56)</f>
        <v>-27644.15126396265</v>
      </c>
      <c r="J57" s="35">
        <f t="shared" si="9"/>
        <v>0</v>
      </c>
      <c r="K57" s="59">
        <f t="shared" si="10"/>
        <v>0</v>
      </c>
      <c r="L57" s="36">
        <f>+H57/D53/12</f>
        <v>-2303.6792719968876</v>
      </c>
      <c r="M57" s="36">
        <f>+J57/D53/12</f>
        <v>0</v>
      </c>
      <c r="N57" s="59">
        <v>0</v>
      </c>
    </row>
    <row r="58" spans="1:14" ht="15.75">
      <c r="A58" s="26">
        <v>47</v>
      </c>
      <c r="B58" s="33" t="s">
        <v>186</v>
      </c>
      <c r="C58" s="34"/>
      <c r="D58" s="34"/>
      <c r="E58" s="34"/>
      <c r="F58" s="35"/>
      <c r="G58" s="35"/>
      <c r="H58" s="35"/>
      <c r="I58" s="35">
        <f>-J53</f>
        <v>-80270.91684000002</v>
      </c>
      <c r="J58" s="35">
        <f t="shared" si="9"/>
        <v>-80270.91684000002</v>
      </c>
      <c r="K58" s="120" t="s">
        <v>108</v>
      </c>
      <c r="L58" s="120" t="s">
        <v>108</v>
      </c>
      <c r="M58" s="36">
        <f>+J58/D53/12</f>
        <v>-6689.243070000001</v>
      </c>
      <c r="N58" s="120" t="s">
        <v>108</v>
      </c>
    </row>
    <row r="59" spans="1:14" ht="20.25">
      <c r="A59" s="26">
        <v>48</v>
      </c>
      <c r="B59" s="33" t="s">
        <v>109</v>
      </c>
      <c r="C59" s="34"/>
      <c r="D59" s="34"/>
      <c r="E59" s="34"/>
      <c r="F59" s="39"/>
      <c r="G59" s="39">
        <v>-3349</v>
      </c>
      <c r="H59" s="39">
        <f>+$F53*'Exh. JDG-1'!$I$37</f>
        <v>-1148.5803975347046</v>
      </c>
      <c r="I59" s="39">
        <f>+$F53*'Exh. JDG-1'!$I$37</f>
        <v>-1148.5803975347046</v>
      </c>
      <c r="J59" s="39">
        <f t="shared" si="9"/>
        <v>0</v>
      </c>
      <c r="K59" s="61">
        <f t="shared" si="10"/>
        <v>0</v>
      </c>
      <c r="L59" s="73">
        <f>+H59/D53/12</f>
        <v>-95.71503312789206</v>
      </c>
      <c r="M59" s="73">
        <f>+J59/D53/12</f>
        <v>0</v>
      </c>
      <c r="N59" s="61">
        <f>+M59/L59</f>
        <v>0</v>
      </c>
    </row>
    <row r="60" spans="1:14" ht="15.75">
      <c r="A60" s="26">
        <v>49</v>
      </c>
      <c r="B60" s="33" t="s">
        <v>106</v>
      </c>
      <c r="C60" s="34"/>
      <c r="D60" s="34"/>
      <c r="E60" s="34"/>
      <c r="F60" s="34"/>
      <c r="G60" s="35">
        <f>SUM(G53:G59)</f>
        <v>243484.39</v>
      </c>
      <c r="H60" s="35">
        <f>SUM(H53:H59)</f>
        <v>283217.17111850256</v>
      </c>
      <c r="I60" s="35">
        <f>SUM(I53:I59)</f>
        <v>283217.17111850256</v>
      </c>
      <c r="J60" s="35">
        <f>SUM(J53:J59)</f>
        <v>0</v>
      </c>
      <c r="K60" s="59">
        <f t="shared" si="10"/>
        <v>0</v>
      </c>
      <c r="L60" s="36">
        <f>SUM(L53:L59)</f>
        <v>23601.430926541885</v>
      </c>
      <c r="M60" s="36">
        <f>+J60/D53/12</f>
        <v>0</v>
      </c>
      <c r="N60" s="59">
        <f>+M60/L60</f>
        <v>0</v>
      </c>
    </row>
    <row r="61" spans="1:14" ht="15.75">
      <c r="A61" s="26">
        <v>50</v>
      </c>
      <c r="B61" s="27"/>
      <c r="C61" s="34"/>
      <c r="D61" s="34"/>
      <c r="E61" s="34"/>
      <c r="F61" s="34"/>
      <c r="G61" s="35"/>
      <c r="H61" s="35"/>
      <c r="I61" s="35"/>
      <c r="J61" s="35"/>
      <c r="K61" s="59"/>
      <c r="L61" s="37"/>
      <c r="M61" s="37"/>
      <c r="N61" s="62"/>
    </row>
    <row r="62" spans="1:13" ht="15.75">
      <c r="A62" s="26">
        <v>51</v>
      </c>
      <c r="B62" s="33" t="s">
        <v>83</v>
      </c>
      <c r="L62" s="116" t="s">
        <v>184</v>
      </c>
      <c r="M62" s="116" t="s">
        <v>184</v>
      </c>
    </row>
    <row r="63" spans="1:14" ht="15.75">
      <c r="A63" s="26">
        <v>52</v>
      </c>
      <c r="B63" s="33" t="s">
        <v>102</v>
      </c>
      <c r="C63" s="34">
        <v>0</v>
      </c>
      <c r="D63" s="34">
        <v>0</v>
      </c>
      <c r="E63" s="34">
        <v>9628490</v>
      </c>
      <c r="F63" s="34">
        <f>+E63</f>
        <v>9628490</v>
      </c>
      <c r="G63" s="35">
        <v>1047248</v>
      </c>
      <c r="H63" s="35">
        <f>'Exh. JDG-4'!H120</f>
        <v>1270685.4787487984</v>
      </c>
      <c r="I63" s="35">
        <f>'Exh. JDG-4'!J120</f>
        <v>1618459.0703021295</v>
      </c>
      <c r="J63" s="35">
        <f aca="true" t="shared" si="11" ref="J63:J69">+I63-H63</f>
        <v>347773.5915533311</v>
      </c>
      <c r="K63" s="59">
        <f aca="true" t="shared" si="12" ref="K63:K70">+J63/H63</f>
        <v>0.27368975042964383</v>
      </c>
      <c r="L63" s="36">
        <f>+H63/'Exh. JDG-4'!$F$120/12</f>
        <v>8.065386287028705</v>
      </c>
      <c r="M63" s="36">
        <f>J63/'Exh. JDG-4'!$F$120/12</f>
        <v>2.2074135600155578</v>
      </c>
      <c r="N63" s="59">
        <f>+M63/L63</f>
        <v>0.27368975042964383</v>
      </c>
    </row>
    <row r="64" spans="1:14" ht="15.75">
      <c r="A64" s="26">
        <v>53</v>
      </c>
      <c r="B64" s="33" t="s">
        <v>103</v>
      </c>
      <c r="C64" s="34"/>
      <c r="D64" s="34"/>
      <c r="E64" s="34"/>
      <c r="F64" s="34"/>
      <c r="G64" s="35">
        <v>23388</v>
      </c>
      <c r="H64" s="35">
        <f>+F63*'Exh. JDG-6'!$C$21</f>
        <v>32804.26543</v>
      </c>
      <c r="I64" s="35">
        <f>+F63*'Exh. JDG-6'!$C$21</f>
        <v>32804.26543</v>
      </c>
      <c r="J64" s="35">
        <f t="shared" si="11"/>
        <v>0</v>
      </c>
      <c r="K64" s="59">
        <f t="shared" si="12"/>
        <v>0</v>
      </c>
      <c r="L64" s="36">
        <f>+H64/'Exh. JDG-4'!$F$120/12</f>
        <v>0.20821759355878844</v>
      </c>
      <c r="M64" s="36">
        <f>J64/'Exh. JDG-4'!$F$120/12</f>
        <v>0</v>
      </c>
      <c r="N64" s="59">
        <f>+M64/L64</f>
        <v>0</v>
      </c>
    </row>
    <row r="65" spans="1:14" ht="15.75">
      <c r="A65" s="26">
        <v>54</v>
      </c>
      <c r="B65" s="33" t="s">
        <v>104</v>
      </c>
      <c r="C65" s="34"/>
      <c r="D65" s="34"/>
      <c r="E65" s="34"/>
      <c r="F65" s="34"/>
      <c r="G65" s="35">
        <v>26542</v>
      </c>
      <c r="H65" s="35">
        <f>+F63*'Exh. JDG-6'!$D$21</f>
        <v>30050.51729</v>
      </c>
      <c r="I65" s="35">
        <f>+F63*'Exh. JDG-6'!$D$21</f>
        <v>30050.51729</v>
      </c>
      <c r="J65" s="35">
        <f t="shared" si="11"/>
        <v>0</v>
      </c>
      <c r="K65" s="59">
        <f t="shared" si="12"/>
        <v>0</v>
      </c>
      <c r="L65" s="36">
        <f>+H65/'Exh. JDG-4'!$F$120/12</f>
        <v>0.19073880525300224</v>
      </c>
      <c r="M65" s="36">
        <f>J65/'Exh. JDG-4'!$F$120/12</f>
        <v>0</v>
      </c>
      <c r="N65" s="59">
        <f>+M65/L65</f>
        <v>0</v>
      </c>
    </row>
    <row r="66" spans="1:14" ht="15.75">
      <c r="A66" s="26">
        <v>55</v>
      </c>
      <c r="B66" s="33" t="s">
        <v>105</v>
      </c>
      <c r="C66" s="34"/>
      <c r="D66" s="34"/>
      <c r="E66" s="34"/>
      <c r="F66" s="34"/>
      <c r="G66" s="35">
        <v>-43252</v>
      </c>
      <c r="H66" s="35">
        <v>0</v>
      </c>
      <c r="I66" s="35">
        <v>0</v>
      </c>
      <c r="J66" s="35">
        <f t="shared" si="11"/>
        <v>0</v>
      </c>
      <c r="K66" s="120" t="s">
        <v>108</v>
      </c>
      <c r="L66" s="120" t="s">
        <v>108</v>
      </c>
      <c r="M66" s="120" t="s">
        <v>108</v>
      </c>
      <c r="N66" s="120" t="s">
        <v>108</v>
      </c>
    </row>
    <row r="67" spans="1:14" ht="15.75">
      <c r="A67" s="26">
        <v>56</v>
      </c>
      <c r="B67" s="33" t="s">
        <v>185</v>
      </c>
      <c r="C67" s="34"/>
      <c r="D67" s="34"/>
      <c r="E67" s="34"/>
      <c r="F67" s="35"/>
      <c r="G67" s="35">
        <v>-64261</v>
      </c>
      <c r="H67" s="35">
        <f>$F63*'Exh. JDG-1'!$I$33-SUM('Exh. JDG-3 '!H64:H66)</f>
        <v>-95679.7275256306</v>
      </c>
      <c r="I67" s="35">
        <f>$F63*'Exh. JDG-1'!$I$33-SUM('Exh. JDG-3 '!I64:I66)</f>
        <v>-95679.7275256306</v>
      </c>
      <c r="J67" s="35">
        <f t="shared" si="11"/>
        <v>0</v>
      </c>
      <c r="K67" s="59">
        <f t="shared" si="12"/>
        <v>0</v>
      </c>
      <c r="L67" s="36">
        <f>+H67/'Exh. JDG-4'!$F$120/12</f>
        <v>-0.6073052499913081</v>
      </c>
      <c r="M67" s="36">
        <f>J67/'Exh. JDG-4'!$F$120/12</f>
        <v>0</v>
      </c>
      <c r="N67" s="59">
        <v>0</v>
      </c>
    </row>
    <row r="68" spans="1:14" ht="15.75">
      <c r="A68" s="26">
        <v>57</v>
      </c>
      <c r="B68" s="33" t="s">
        <v>186</v>
      </c>
      <c r="C68" s="34"/>
      <c r="D68" s="34"/>
      <c r="E68" s="34"/>
      <c r="F68" s="35"/>
      <c r="G68" s="35"/>
      <c r="H68" s="35"/>
      <c r="I68" s="35">
        <f>-J63</f>
        <v>-347773.5915533311</v>
      </c>
      <c r="J68" s="35">
        <f t="shared" si="11"/>
        <v>-347773.5915533311</v>
      </c>
      <c r="K68" s="120" t="s">
        <v>108</v>
      </c>
      <c r="L68" s="120" t="s">
        <v>108</v>
      </c>
      <c r="M68" s="36">
        <f>J68/'Exh. JDG-4'!$F$120/12</f>
        <v>-2.2074135600155578</v>
      </c>
      <c r="N68" s="120" t="s">
        <v>108</v>
      </c>
    </row>
    <row r="69" spans="1:14" ht="20.25">
      <c r="A69" s="26">
        <v>58</v>
      </c>
      <c r="B69" s="33" t="s">
        <v>109</v>
      </c>
      <c r="C69" s="34"/>
      <c r="D69" s="34"/>
      <c r="E69" s="34"/>
      <c r="F69" s="39"/>
      <c r="G69" s="39">
        <v>-11458</v>
      </c>
      <c r="H69" s="39">
        <f>+$F63*'Exh. JDG-1'!$I$37</f>
        <v>-3975.3746978176523</v>
      </c>
      <c r="I69" s="39">
        <f>+$F63*'Exh. JDG-1'!$I$37</f>
        <v>-3975.3746978176523</v>
      </c>
      <c r="J69" s="39">
        <f t="shared" si="11"/>
        <v>0</v>
      </c>
      <c r="K69" s="61">
        <f t="shared" si="12"/>
        <v>0</v>
      </c>
      <c r="L69" s="73">
        <f>+H69/'Exh. JDG-4'!$F$120/12</f>
        <v>-0.02523278428045835</v>
      </c>
      <c r="M69" s="73">
        <f>J69/'Exh. JDG-4'!$F$120/12</f>
        <v>0</v>
      </c>
      <c r="N69" s="61">
        <f>+M69/L69</f>
        <v>0</v>
      </c>
    </row>
    <row r="70" spans="1:14" ht="15.75">
      <c r="A70" s="26">
        <v>59</v>
      </c>
      <c r="B70" s="33" t="s">
        <v>106</v>
      </c>
      <c r="C70" s="34"/>
      <c r="D70" s="34"/>
      <c r="E70" s="34"/>
      <c r="F70" s="34"/>
      <c r="G70" s="35">
        <f>SUM(G63:G69)</f>
        <v>978207</v>
      </c>
      <c r="H70" s="35">
        <f>SUM(H63:H69)</f>
        <v>1233885.1592453502</v>
      </c>
      <c r="I70" s="35">
        <f>SUM(I63:I69)</f>
        <v>1233885.1592453502</v>
      </c>
      <c r="J70" s="35">
        <f>SUM(J63:J69)</f>
        <v>0</v>
      </c>
      <c r="K70" s="59">
        <f t="shared" si="12"/>
        <v>0</v>
      </c>
      <c r="L70" s="36">
        <f>SUM(L63:L69)</f>
        <v>7.83180465156873</v>
      </c>
      <c r="M70" s="36">
        <f>J70/'Exh. JDG-4'!$F$120/12</f>
        <v>0</v>
      </c>
      <c r="N70" s="59">
        <f>+M70/L70</f>
        <v>0</v>
      </c>
    </row>
    <row r="71" spans="1:14" ht="15.75">
      <c r="A71" s="26">
        <v>60</v>
      </c>
      <c r="B71" s="33"/>
      <c r="C71" s="34"/>
      <c r="D71" s="34"/>
      <c r="E71" s="34"/>
      <c r="F71" s="34"/>
      <c r="G71" s="35"/>
      <c r="H71" s="35"/>
      <c r="I71" s="35"/>
      <c r="J71" s="35"/>
      <c r="K71" s="59"/>
      <c r="L71" s="36"/>
      <c r="M71" s="36"/>
      <c r="N71" s="59"/>
    </row>
    <row r="72" spans="1:14" ht="15.75">
      <c r="A72" s="26">
        <v>61</v>
      </c>
      <c r="B72" s="27"/>
      <c r="C72" s="34"/>
      <c r="D72" s="34"/>
      <c r="E72" s="34"/>
      <c r="F72" s="34"/>
      <c r="G72" s="35"/>
      <c r="H72" s="35"/>
      <c r="I72" s="35"/>
      <c r="J72" s="35"/>
      <c r="K72" s="59"/>
      <c r="L72" s="25"/>
      <c r="M72" s="25"/>
      <c r="N72" s="62"/>
    </row>
    <row r="73" spans="1:14" ht="15.75">
      <c r="A73" s="26">
        <v>62</v>
      </c>
      <c r="B73" s="33" t="s">
        <v>84</v>
      </c>
      <c r="N73" s="59"/>
    </row>
    <row r="74" spans="1:14" ht="15.75">
      <c r="A74" s="26">
        <v>63</v>
      </c>
      <c r="B74" s="33" t="s">
        <v>102</v>
      </c>
      <c r="C74" s="34">
        <v>6</v>
      </c>
      <c r="D74" s="34">
        <f>+C74</f>
        <v>6</v>
      </c>
      <c r="E74" s="34">
        <v>1047999</v>
      </c>
      <c r="F74" s="34">
        <f>+E74</f>
        <v>1047999</v>
      </c>
      <c r="G74" s="35">
        <v>85250</v>
      </c>
      <c r="H74" s="35">
        <f>'Exh. JDG-4'!H129</f>
        <v>106145.30940469395</v>
      </c>
      <c r="I74" s="35">
        <f>'Exh. JDG-4'!J129</f>
        <v>135166.41344614935</v>
      </c>
      <c r="J74" s="35">
        <f aca="true" t="shared" si="13" ref="J74:J80">+I74-H74</f>
        <v>29021.1040414554</v>
      </c>
      <c r="K74" s="59">
        <f aca="true" t="shared" si="14" ref="K74:K81">+J74/H74</f>
        <v>0.27340919918381273</v>
      </c>
      <c r="L74" s="36">
        <f>+H74/D74/12</f>
        <v>1474.2404083985273</v>
      </c>
      <c r="M74" s="36">
        <f>+J74/D74/12</f>
        <v>403.07088946465836</v>
      </c>
      <c r="N74" s="59">
        <f>+M74/L74</f>
        <v>0.27340919918381273</v>
      </c>
    </row>
    <row r="75" spans="1:14" ht="20.25">
      <c r="A75" s="26">
        <v>64</v>
      </c>
      <c r="B75" s="33" t="s">
        <v>103</v>
      </c>
      <c r="C75" s="38"/>
      <c r="D75" s="38"/>
      <c r="E75" s="38"/>
      <c r="F75" s="38"/>
      <c r="G75" s="35">
        <v>2546</v>
      </c>
      <c r="H75" s="35">
        <f>+F74*'Exh. JDG-6'!$C$21</f>
        <v>3570.532593</v>
      </c>
      <c r="I75" s="35">
        <f>+F74*'Exh. JDG-6'!$C$21</f>
        <v>3570.532593</v>
      </c>
      <c r="J75" s="35">
        <f t="shared" si="13"/>
        <v>0</v>
      </c>
      <c r="K75" s="59">
        <f t="shared" si="14"/>
        <v>0</v>
      </c>
      <c r="L75" s="36">
        <f>+H75/D74/12</f>
        <v>49.59073045833333</v>
      </c>
      <c r="M75" s="36">
        <f>+J75/D74/12</f>
        <v>0</v>
      </c>
      <c r="N75" s="59">
        <f>+M75/L75</f>
        <v>0</v>
      </c>
    </row>
    <row r="76" spans="1:14" ht="20.25">
      <c r="A76" s="26">
        <v>65</v>
      </c>
      <c r="B76" s="33" t="s">
        <v>104</v>
      </c>
      <c r="C76" s="38"/>
      <c r="D76" s="38"/>
      <c r="E76" s="38"/>
      <c r="F76" s="38"/>
      <c r="G76" s="35">
        <v>2886</v>
      </c>
      <c r="H76" s="35">
        <f>+F74*'Exh. JDG-6'!$D$21</f>
        <v>3270.8048790000003</v>
      </c>
      <c r="I76" s="35">
        <f>+F74*'Exh. JDG-6'!$D$21</f>
        <v>3270.8048790000003</v>
      </c>
      <c r="J76" s="35">
        <f t="shared" si="13"/>
        <v>0</v>
      </c>
      <c r="K76" s="59">
        <f t="shared" si="14"/>
        <v>0</v>
      </c>
      <c r="L76" s="36">
        <f>+H76/D74/12</f>
        <v>45.42784554166667</v>
      </c>
      <c r="M76" s="36">
        <f>+J76/D74/12</f>
        <v>0</v>
      </c>
      <c r="N76" s="59">
        <f>+M76/L76</f>
        <v>0</v>
      </c>
    </row>
    <row r="77" spans="1:14" ht="20.25">
      <c r="A77" s="26">
        <v>66</v>
      </c>
      <c r="B77" s="33" t="s">
        <v>105</v>
      </c>
      <c r="C77" s="38"/>
      <c r="D77" s="38"/>
      <c r="E77" s="38"/>
      <c r="F77" s="38"/>
      <c r="G77" s="35">
        <v>-4707</v>
      </c>
      <c r="H77" s="35">
        <v>0</v>
      </c>
      <c r="I77" s="35">
        <v>0</v>
      </c>
      <c r="J77" s="35">
        <f t="shared" si="13"/>
        <v>0</v>
      </c>
      <c r="K77" s="120" t="s">
        <v>108</v>
      </c>
      <c r="L77" s="120" t="s">
        <v>108</v>
      </c>
      <c r="M77" s="36">
        <f>+J77/D74/12</f>
        <v>0</v>
      </c>
      <c r="N77" s="120" t="s">
        <v>108</v>
      </c>
    </row>
    <row r="78" spans="1:14" ht="15.75">
      <c r="A78" s="26">
        <v>67</v>
      </c>
      <c r="B78" s="33" t="s">
        <v>185</v>
      </c>
      <c r="C78" s="34"/>
      <c r="D78" s="34"/>
      <c r="E78" s="34"/>
      <c r="F78" s="35"/>
      <c r="G78" s="35">
        <v>-6992</v>
      </c>
      <c r="H78" s="35">
        <f>$F74*'Exh. JDG-1'!$I$33-SUM('Exh. JDG-3 '!H75:H77)</f>
        <v>-10414.120881585102</v>
      </c>
      <c r="I78" s="35">
        <f>$F74*'Exh. JDG-1'!$I$33-SUM('Exh. JDG-3 '!I75:I77)</f>
        <v>-10414.120881585102</v>
      </c>
      <c r="J78" s="35">
        <f t="shared" si="13"/>
        <v>0</v>
      </c>
      <c r="K78" s="59">
        <f t="shared" si="14"/>
        <v>0</v>
      </c>
      <c r="L78" s="36">
        <f>+H78/D74/12</f>
        <v>-144.6405677997931</v>
      </c>
      <c r="M78" s="36">
        <f>+J78/D74/12</f>
        <v>0</v>
      </c>
      <c r="N78" s="59">
        <v>0</v>
      </c>
    </row>
    <row r="79" spans="1:14" ht="15.75">
      <c r="A79" s="26">
        <v>68</v>
      </c>
      <c r="B79" s="33" t="s">
        <v>186</v>
      </c>
      <c r="C79" s="34"/>
      <c r="D79" s="34"/>
      <c r="E79" s="34"/>
      <c r="F79" s="35"/>
      <c r="G79" s="35"/>
      <c r="H79" s="35"/>
      <c r="I79" s="35">
        <f>-J74</f>
        <v>-29021.1040414554</v>
      </c>
      <c r="J79" s="35">
        <f t="shared" si="13"/>
        <v>-29021.1040414554</v>
      </c>
      <c r="K79" s="120" t="s">
        <v>108</v>
      </c>
      <c r="L79" s="120" t="s">
        <v>108</v>
      </c>
      <c r="M79" s="36">
        <f>+J79/D74/12</f>
        <v>-403.07088946465836</v>
      </c>
      <c r="N79" s="120" t="s">
        <v>108</v>
      </c>
    </row>
    <row r="80" spans="1:14" ht="20.25">
      <c r="A80" s="26">
        <v>69</v>
      </c>
      <c r="B80" s="33" t="s">
        <v>109</v>
      </c>
      <c r="C80" s="38"/>
      <c r="D80" s="38"/>
      <c r="E80" s="38"/>
      <c r="F80" s="39"/>
      <c r="G80" s="39">
        <v>-1247</v>
      </c>
      <c r="H80" s="39">
        <f>+$F74*'Exh. JDG-1'!$I$37</f>
        <v>-432.69388117328907</v>
      </c>
      <c r="I80" s="39">
        <f>+$F74*'Exh. JDG-1'!$I$37</f>
        <v>-432.69388117328907</v>
      </c>
      <c r="J80" s="39">
        <f t="shared" si="13"/>
        <v>0</v>
      </c>
      <c r="K80" s="61">
        <f t="shared" si="14"/>
        <v>0</v>
      </c>
      <c r="L80" s="73">
        <f>+H80/D74/12</f>
        <v>-6.009637238517904</v>
      </c>
      <c r="M80" s="73">
        <f>+J80/D74/12</f>
        <v>0</v>
      </c>
      <c r="N80" s="61">
        <f>+M80/L80</f>
        <v>0</v>
      </c>
    </row>
    <row r="81" spans="1:14" ht="20.25">
      <c r="A81" s="26">
        <v>70</v>
      </c>
      <c r="B81" s="33" t="s">
        <v>106</v>
      </c>
      <c r="C81" s="38"/>
      <c r="D81" s="38"/>
      <c r="E81" s="38"/>
      <c r="F81" s="38"/>
      <c r="G81" s="35">
        <f>SUM(G74:G80)</f>
        <v>77736</v>
      </c>
      <c r="H81" s="35">
        <f>SUM(H74:H80)</f>
        <v>102139.83211393557</v>
      </c>
      <c r="I81" s="35">
        <f>SUM(I74:I80)</f>
        <v>102139.83211393557</v>
      </c>
      <c r="J81" s="35">
        <f>SUM(J74:J80)</f>
        <v>0</v>
      </c>
      <c r="K81" s="59">
        <f t="shared" si="14"/>
        <v>0</v>
      </c>
      <c r="L81" s="36">
        <f>SUM(L74:L80)</f>
        <v>1418.6087793602164</v>
      </c>
      <c r="M81" s="36">
        <f>+J81/D74/12</f>
        <v>0</v>
      </c>
      <c r="N81" s="59">
        <f>+M81/L81</f>
        <v>0</v>
      </c>
    </row>
    <row r="82" spans="1:14" ht="15.75">
      <c r="A82" s="26">
        <v>71</v>
      </c>
      <c r="B82" s="27"/>
      <c r="C82" s="34"/>
      <c r="D82" s="34"/>
      <c r="E82" s="34"/>
      <c r="F82" s="34"/>
      <c r="G82" s="35"/>
      <c r="H82" s="35"/>
      <c r="I82" s="35"/>
      <c r="J82" s="35"/>
      <c r="K82" s="59"/>
      <c r="L82" s="25"/>
      <c r="M82" s="25"/>
      <c r="N82" s="25"/>
    </row>
    <row r="83" spans="1:14" ht="15.75">
      <c r="A83" s="26">
        <v>72</v>
      </c>
      <c r="B83" s="27" t="s">
        <v>9</v>
      </c>
      <c r="L83" s="25"/>
      <c r="M83" s="25"/>
      <c r="N83" s="25"/>
    </row>
    <row r="84" spans="1:14" ht="15.75">
      <c r="A84" s="26">
        <v>73</v>
      </c>
      <c r="B84" s="33" t="s">
        <v>102</v>
      </c>
      <c r="C84" s="74">
        <f>+C13+C23+C33+C53+C63+C74+C43</f>
        <v>28568</v>
      </c>
      <c r="D84" s="74">
        <f>+D13+D23+D33+D53+D63+D74+D43</f>
        <v>28628.057534246575</v>
      </c>
      <c r="E84" s="74">
        <f>+E13+E23+E33+E53+E63+E74+E43</f>
        <v>438982745</v>
      </c>
      <c r="F84" s="74">
        <f>+F13+F23+F33+F53+F63+F74+F43</f>
        <v>442655047.63085073</v>
      </c>
      <c r="G84" s="35">
        <f aca="true" t="shared" si="15" ref="G84:I88">+G13+G23+G33+G43+G53+G63+G74</f>
        <v>38060413.39</v>
      </c>
      <c r="H84" s="35">
        <f t="shared" si="15"/>
        <v>45159289.010903634</v>
      </c>
      <c r="I84" s="35">
        <f t="shared" si="15"/>
        <v>57498840.71446236</v>
      </c>
      <c r="J84" s="35">
        <f aca="true" t="shared" si="16" ref="J84:J90">+I84-H84</f>
        <v>12339551.703558728</v>
      </c>
      <c r="K84" s="59">
        <f aca="true" t="shared" si="17" ref="K84:K91">+J84/H84</f>
        <v>0.2732450393667483</v>
      </c>
      <c r="L84" s="36"/>
      <c r="M84" s="36"/>
      <c r="N84" s="59"/>
    </row>
    <row r="85" spans="1:14" ht="15.75">
      <c r="A85" s="26">
        <v>74</v>
      </c>
      <c r="B85" s="33" t="s">
        <v>103</v>
      </c>
      <c r="F85" s="20"/>
      <c r="G85" s="35">
        <f t="shared" si="15"/>
        <v>1048884</v>
      </c>
      <c r="H85" s="35">
        <f t="shared" si="15"/>
        <v>1508125.7472783085</v>
      </c>
      <c r="I85" s="35">
        <f t="shared" si="15"/>
        <v>1508125.7472783085</v>
      </c>
      <c r="J85" s="35">
        <f t="shared" si="16"/>
        <v>0</v>
      </c>
      <c r="K85" s="59">
        <f t="shared" si="17"/>
        <v>0</v>
      </c>
      <c r="L85" s="36"/>
      <c r="M85" s="36"/>
      <c r="N85" s="59"/>
    </row>
    <row r="86" spans="1:14" ht="15.75">
      <c r="A86" s="26">
        <v>75</v>
      </c>
      <c r="B86" s="33" t="s">
        <v>104</v>
      </c>
      <c r="G86" s="35">
        <f t="shared" si="15"/>
        <v>1133730</v>
      </c>
      <c r="H86" s="35">
        <f t="shared" si="15"/>
        <v>1381526.4036558855</v>
      </c>
      <c r="I86" s="35">
        <f t="shared" si="15"/>
        <v>1381526.4036558855</v>
      </c>
      <c r="J86" s="35">
        <f t="shared" si="16"/>
        <v>0</v>
      </c>
      <c r="K86" s="59">
        <f t="shared" si="17"/>
        <v>0</v>
      </c>
      <c r="L86" s="36"/>
      <c r="M86" s="36"/>
      <c r="N86" s="59"/>
    </row>
    <row r="87" spans="1:14" ht="15.75">
      <c r="A87" s="26">
        <v>76</v>
      </c>
      <c r="B87" s="33" t="s">
        <v>105</v>
      </c>
      <c r="G87" s="35">
        <f t="shared" si="15"/>
        <v>-1911156</v>
      </c>
      <c r="H87" s="35">
        <f t="shared" si="15"/>
        <v>0</v>
      </c>
      <c r="I87" s="35">
        <f t="shared" si="15"/>
        <v>0</v>
      </c>
      <c r="J87" s="35">
        <f t="shared" si="16"/>
        <v>0</v>
      </c>
      <c r="K87" s="120" t="s">
        <v>108</v>
      </c>
      <c r="L87" s="36"/>
      <c r="M87" s="36"/>
      <c r="N87" s="59"/>
    </row>
    <row r="88" spans="1:14" ht="15.75">
      <c r="A88" s="26">
        <v>77</v>
      </c>
      <c r="B88" s="33" t="s">
        <v>185</v>
      </c>
      <c r="C88" s="34"/>
      <c r="D88" s="34"/>
      <c r="E88" s="34"/>
      <c r="F88" s="34"/>
      <c r="G88" s="35">
        <f t="shared" si="15"/>
        <v>-2847294</v>
      </c>
      <c r="H88" s="35">
        <f t="shared" si="15"/>
        <v>-4398728.600763447</v>
      </c>
      <c r="I88" s="35">
        <f t="shared" si="15"/>
        <v>-4398728.600763447</v>
      </c>
      <c r="J88" s="35">
        <f t="shared" si="16"/>
        <v>0</v>
      </c>
      <c r="K88" s="59">
        <f t="shared" si="17"/>
        <v>0</v>
      </c>
      <c r="L88" s="36"/>
      <c r="M88" s="36"/>
      <c r="N88" s="59"/>
    </row>
    <row r="89" spans="1:14" ht="15.75">
      <c r="A89" s="26">
        <v>78</v>
      </c>
      <c r="B89" s="33" t="s">
        <v>186</v>
      </c>
      <c r="C89" s="34"/>
      <c r="D89" s="34"/>
      <c r="E89" s="34"/>
      <c r="F89" s="34"/>
      <c r="G89" s="35"/>
      <c r="H89" s="35"/>
      <c r="I89" s="35">
        <f>+I18+I28+I38+I48+I58+I68+I79</f>
        <v>-12339551.70355872</v>
      </c>
      <c r="J89" s="35">
        <f>+I89-H89</f>
        <v>-12339551.70355872</v>
      </c>
      <c r="K89" s="120" t="s">
        <v>108</v>
      </c>
      <c r="L89" s="120"/>
      <c r="M89" s="36"/>
      <c r="N89" s="120"/>
    </row>
    <row r="90" spans="1:14" ht="20.25">
      <c r="A90" s="26">
        <v>79</v>
      </c>
      <c r="B90" s="33" t="s">
        <v>109</v>
      </c>
      <c r="G90" s="39">
        <f>+G19+G29+G39+G49+G59+G69+G80</f>
        <v>-507547</v>
      </c>
      <c r="H90" s="39">
        <f>+H19+H29+H39+H49+H59+H69+H80</f>
        <v>-182761.74937222264</v>
      </c>
      <c r="I90" s="39">
        <f>+I19+I29+I39+I49+I59+I69+I80</f>
        <v>-182761.74937222264</v>
      </c>
      <c r="J90" s="39">
        <f t="shared" si="16"/>
        <v>0</v>
      </c>
      <c r="K90" s="61">
        <f t="shared" si="17"/>
        <v>0</v>
      </c>
      <c r="L90" s="73"/>
      <c r="M90" s="73"/>
      <c r="N90" s="61"/>
    </row>
    <row r="91" spans="1:14" ht="15.75">
      <c r="A91" s="26">
        <v>80</v>
      </c>
      <c r="B91" s="33" t="s">
        <v>106</v>
      </c>
      <c r="G91" s="35">
        <f>SUM(G84:G90)</f>
        <v>34977030.39</v>
      </c>
      <c r="H91" s="35">
        <f>SUM(H84:H90)</f>
        <v>43467450.81170216</v>
      </c>
      <c r="I91" s="35">
        <f>SUM(I84:I90)</f>
        <v>43467450.81170217</v>
      </c>
      <c r="J91" s="35">
        <f>SUM(J84:J90)</f>
        <v>7.450580596923828E-09</v>
      </c>
      <c r="K91" s="59">
        <f t="shared" si="17"/>
        <v>1.7140597062383993E-16</v>
      </c>
      <c r="L91" s="36"/>
      <c r="N91" s="59"/>
    </row>
    <row r="92" spans="1:8" ht="15.75">
      <c r="A92" s="26">
        <v>81</v>
      </c>
      <c r="G92" s="23"/>
      <c r="H92" s="23"/>
    </row>
    <row r="93" spans="1:10" ht="15.75">
      <c r="A93" s="26">
        <v>82</v>
      </c>
      <c r="B93" s="33" t="s">
        <v>129</v>
      </c>
      <c r="E93" s="68"/>
      <c r="F93" s="68"/>
      <c r="G93" s="23"/>
      <c r="H93" s="23"/>
      <c r="J93" s="78"/>
    </row>
    <row r="94" spans="1:11" ht="15.75">
      <c r="A94" s="26">
        <v>83</v>
      </c>
      <c r="B94" s="33" t="s">
        <v>102</v>
      </c>
      <c r="C94" s="74">
        <v>0</v>
      </c>
      <c r="E94" s="74">
        <v>5762971</v>
      </c>
      <c r="F94" s="74">
        <v>687594</v>
      </c>
      <c r="G94" s="35">
        <v>499785</v>
      </c>
      <c r="H94" s="35">
        <v>78749.19123850444</v>
      </c>
      <c r="I94" s="35">
        <f>+H94*(1+K84)</f>
        <v>100267.01709856918</v>
      </c>
      <c r="J94" s="35">
        <f aca="true" t="shared" si="18" ref="J94:J100">+I94-H94</f>
        <v>21517.82586006474</v>
      </c>
      <c r="K94" s="59">
        <f aca="true" t="shared" si="19" ref="K94:K101">+J94/H94</f>
        <v>0.2732450393667483</v>
      </c>
    </row>
    <row r="95" spans="1:11" ht="15.75">
      <c r="A95" s="26">
        <v>84</v>
      </c>
      <c r="B95" s="33" t="s">
        <v>103</v>
      </c>
      <c r="G95" s="35">
        <v>18532</v>
      </c>
      <c r="H95" s="35">
        <v>5137</v>
      </c>
      <c r="I95" s="35">
        <v>5137</v>
      </c>
      <c r="J95" s="35">
        <f t="shared" si="18"/>
        <v>0</v>
      </c>
      <c r="K95" s="59">
        <f t="shared" si="19"/>
        <v>0</v>
      </c>
    </row>
    <row r="96" spans="1:11" ht="15.75">
      <c r="A96" s="26">
        <v>85</v>
      </c>
      <c r="B96" s="33" t="s">
        <v>104</v>
      </c>
      <c r="G96" s="35">
        <v>21430</v>
      </c>
      <c r="H96" s="35">
        <v>16642</v>
      </c>
      <c r="I96" s="35">
        <v>16642</v>
      </c>
      <c r="J96" s="35">
        <f t="shared" si="18"/>
        <v>0</v>
      </c>
      <c r="K96" s="59">
        <f t="shared" si="19"/>
        <v>0</v>
      </c>
    </row>
    <row r="97" spans="1:11" ht="15.75">
      <c r="A97" s="26">
        <v>86</v>
      </c>
      <c r="B97" s="33" t="s">
        <v>105</v>
      </c>
      <c r="G97" s="35">
        <v>-27071</v>
      </c>
      <c r="H97" s="35">
        <v>-7623</v>
      </c>
      <c r="I97" s="35">
        <v>-7623</v>
      </c>
      <c r="J97" s="35">
        <f t="shared" si="18"/>
        <v>0</v>
      </c>
      <c r="K97" s="59">
        <f t="shared" si="19"/>
        <v>0</v>
      </c>
    </row>
    <row r="98" spans="1:11" ht="15.75">
      <c r="A98" s="26">
        <v>87</v>
      </c>
      <c r="B98" s="33" t="s">
        <v>185</v>
      </c>
      <c r="G98" s="35">
        <v>-40108</v>
      </c>
      <c r="H98" s="35">
        <f>$F94*'Exh. JDG-1'!$I$33-SUM('Exh. JDG-3 '!H95:H97)</f>
        <v>-16500.109522747884</v>
      </c>
      <c r="I98" s="35">
        <f>$F94*'Exh. JDG-1'!$I$33-SUM('Exh. JDG-3 '!I95:I97)</f>
        <v>-16500.109522747884</v>
      </c>
      <c r="J98" s="35">
        <f t="shared" si="18"/>
        <v>0</v>
      </c>
      <c r="K98" s="59">
        <f t="shared" si="19"/>
        <v>0</v>
      </c>
    </row>
    <row r="99" spans="1:11" ht="15.75">
      <c r="A99" s="26">
        <v>88</v>
      </c>
      <c r="B99" s="33" t="s">
        <v>186</v>
      </c>
      <c r="G99" s="35"/>
      <c r="H99" s="35"/>
      <c r="I99" s="35">
        <f>-J94</f>
        <v>-21517.82586006474</v>
      </c>
      <c r="J99" s="35">
        <f t="shared" si="18"/>
        <v>-21517.82586006474</v>
      </c>
      <c r="K99" s="120" t="s">
        <v>108</v>
      </c>
    </row>
    <row r="100" spans="1:11" ht="20.25">
      <c r="A100" s="26">
        <v>89</v>
      </c>
      <c r="B100" s="33" t="s">
        <v>109</v>
      </c>
      <c r="G100" s="39">
        <v>-8748</v>
      </c>
      <c r="H100" s="39">
        <f>+$F94*'Exh. JDG-1'!$I$37</f>
        <v>-283.8912217773743</v>
      </c>
      <c r="I100" s="39">
        <f>+$F94*'Exh. JDG-1'!$I$37</f>
        <v>-283.8912217773743</v>
      </c>
      <c r="J100" s="39">
        <f t="shared" si="18"/>
        <v>0</v>
      </c>
      <c r="K100" s="61">
        <f t="shared" si="19"/>
        <v>0</v>
      </c>
    </row>
    <row r="101" spans="1:11" ht="15.75">
      <c r="A101" s="26">
        <v>90</v>
      </c>
      <c r="B101" s="33" t="s">
        <v>106</v>
      </c>
      <c r="G101" s="35">
        <f>SUM(G94:G100)</f>
        <v>463820</v>
      </c>
      <c r="H101" s="35">
        <f>SUM(H94:H100)</f>
        <v>76121.19049397919</v>
      </c>
      <c r="I101" s="35">
        <f>SUM(I94:I100)</f>
        <v>76121.19049397919</v>
      </c>
      <c r="J101" s="35">
        <f>SUM(J94:J100)</f>
        <v>0</v>
      </c>
      <c r="K101" s="59">
        <f t="shared" si="19"/>
        <v>0</v>
      </c>
    </row>
    <row r="102" ht="15.75">
      <c r="A102" s="26">
        <v>91</v>
      </c>
    </row>
    <row r="103" spans="1:2" ht="15.75">
      <c r="A103" s="26">
        <v>92</v>
      </c>
      <c r="B103" s="33" t="s">
        <v>130</v>
      </c>
    </row>
    <row r="104" spans="1:11" ht="15.75">
      <c r="A104" s="26">
        <v>93</v>
      </c>
      <c r="B104" s="33" t="s">
        <v>102</v>
      </c>
      <c r="C104" s="74">
        <f aca="true" t="shared" si="20" ref="C104:J104">C94+C84</f>
        <v>28568</v>
      </c>
      <c r="D104" s="74">
        <f t="shared" si="20"/>
        <v>28628.057534246575</v>
      </c>
      <c r="E104" s="74">
        <f t="shared" si="20"/>
        <v>444745716</v>
      </c>
      <c r="F104" s="74">
        <f t="shared" si="20"/>
        <v>443342641.63085073</v>
      </c>
      <c r="G104" s="84">
        <f t="shared" si="20"/>
        <v>38560198.39</v>
      </c>
      <c r="H104" s="84">
        <f t="shared" si="20"/>
        <v>45238038.20214214</v>
      </c>
      <c r="I104" s="84">
        <f t="shared" si="20"/>
        <v>57599107.73156093</v>
      </c>
      <c r="J104" s="84">
        <f t="shared" si="20"/>
        <v>12361069.529418793</v>
      </c>
      <c r="K104" s="59">
        <f aca="true" t="shared" si="21" ref="K104:K111">+J104/H104</f>
        <v>0.27324503936674827</v>
      </c>
    </row>
    <row r="105" spans="1:11" ht="15.75">
      <c r="A105" s="26">
        <v>94</v>
      </c>
      <c r="B105" s="33" t="s">
        <v>103</v>
      </c>
      <c r="G105" s="84">
        <f aca="true" t="shared" si="22" ref="G105:J108">G95+G85</f>
        <v>1067416</v>
      </c>
      <c r="H105" s="84">
        <f t="shared" si="22"/>
        <v>1513262.7472783085</v>
      </c>
      <c r="I105" s="84">
        <f t="shared" si="22"/>
        <v>1513262.7472783085</v>
      </c>
      <c r="J105" s="84">
        <f t="shared" si="22"/>
        <v>0</v>
      </c>
      <c r="K105" s="59">
        <f t="shared" si="21"/>
        <v>0</v>
      </c>
    </row>
    <row r="106" spans="1:11" ht="15.75">
      <c r="A106" s="26">
        <v>95</v>
      </c>
      <c r="B106" s="33" t="s">
        <v>104</v>
      </c>
      <c r="G106" s="84">
        <f t="shared" si="22"/>
        <v>1155160</v>
      </c>
      <c r="H106" s="84">
        <f t="shared" si="22"/>
        <v>1398168.4036558855</v>
      </c>
      <c r="I106" s="84">
        <f t="shared" si="22"/>
        <v>1398168.4036558855</v>
      </c>
      <c r="J106" s="84">
        <f t="shared" si="22"/>
        <v>0</v>
      </c>
      <c r="K106" s="59">
        <f t="shared" si="21"/>
        <v>0</v>
      </c>
    </row>
    <row r="107" spans="1:11" ht="15.75">
      <c r="A107" s="26">
        <v>96</v>
      </c>
      <c r="B107" s="33" t="s">
        <v>105</v>
      </c>
      <c r="G107" s="84">
        <f t="shared" si="22"/>
        <v>-1938227</v>
      </c>
      <c r="H107" s="84">
        <f t="shared" si="22"/>
        <v>-7623</v>
      </c>
      <c r="I107" s="84">
        <f t="shared" si="22"/>
        <v>-7623</v>
      </c>
      <c r="J107" s="84">
        <f t="shared" si="22"/>
        <v>0</v>
      </c>
      <c r="K107" s="59">
        <f t="shared" si="21"/>
        <v>0</v>
      </c>
    </row>
    <row r="108" spans="1:11" ht="15.75">
      <c r="A108" s="26">
        <v>97</v>
      </c>
      <c r="B108" s="33" t="s">
        <v>185</v>
      </c>
      <c r="G108" s="84">
        <f t="shared" si="22"/>
        <v>-2887402</v>
      </c>
      <c r="H108" s="84">
        <f t="shared" si="22"/>
        <v>-4415228.710286194</v>
      </c>
      <c r="I108" s="84">
        <f t="shared" si="22"/>
        <v>-4415228.710286194</v>
      </c>
      <c r="J108" s="84">
        <f t="shared" si="22"/>
        <v>0</v>
      </c>
      <c r="K108" s="59">
        <f t="shared" si="21"/>
        <v>0</v>
      </c>
    </row>
    <row r="109" spans="1:11" ht="15.75">
      <c r="A109" s="26">
        <v>98</v>
      </c>
      <c r="B109" s="33" t="s">
        <v>186</v>
      </c>
      <c r="G109" s="84"/>
      <c r="H109" s="84"/>
      <c r="I109" s="84">
        <f>I99+I89</f>
        <v>-12361069.529418785</v>
      </c>
      <c r="J109" s="84">
        <f>J99+J89</f>
        <v>-12361069.529418785</v>
      </c>
      <c r="K109" s="120" t="s">
        <v>108</v>
      </c>
    </row>
    <row r="110" spans="1:11" ht="20.25">
      <c r="A110" s="26">
        <v>99</v>
      </c>
      <c r="B110" s="33" t="s">
        <v>109</v>
      </c>
      <c r="G110" s="85">
        <f>G100+G90</f>
        <v>-516295</v>
      </c>
      <c r="H110" s="85">
        <f>H100+H90</f>
        <v>-183045.640594</v>
      </c>
      <c r="I110" s="85">
        <f>I100+I90</f>
        <v>-183045.640594</v>
      </c>
      <c r="J110" s="85">
        <f>J100+J90</f>
        <v>0</v>
      </c>
      <c r="K110" s="61">
        <f t="shared" si="21"/>
        <v>0</v>
      </c>
    </row>
    <row r="111" spans="1:11" ht="15.75">
      <c r="A111" s="26">
        <v>100</v>
      </c>
      <c r="B111" s="33" t="s">
        <v>9</v>
      </c>
      <c r="G111" s="35">
        <f>SUM(G104:G110)</f>
        <v>35440850.39</v>
      </c>
      <c r="H111" s="35">
        <f>SUM(H104:H110)</f>
        <v>43543572.00219615</v>
      </c>
      <c r="I111" s="35">
        <f>SUM(I104:I110)</f>
        <v>43543572.002196155</v>
      </c>
      <c r="J111" s="35">
        <f>SUM(J104:J110)</f>
        <v>7.450580596923828E-09</v>
      </c>
      <c r="K111" s="59">
        <f t="shared" si="21"/>
        <v>1.7110632532737676E-16</v>
      </c>
    </row>
    <row r="114" spans="8:9" ht="15">
      <c r="H114" s="11">
        <f>SUM(H105:H108)</f>
        <v>-1511420.5593520002</v>
      </c>
      <c r="I114" s="11">
        <f>SUM(I105:I108)</f>
        <v>-1511420.5593520002</v>
      </c>
    </row>
    <row r="115" spans="5:10" ht="15">
      <c r="E115" s="20">
        <f>+E84+F94</f>
        <v>439670339</v>
      </c>
      <c r="H115" s="11">
        <f>+H114+H110</f>
        <v>-1694466.1999460002</v>
      </c>
      <c r="J115" s="11">
        <f>+J104-'Exh. JDG-1'!J20</f>
        <v>-2095.6391246691346</v>
      </c>
    </row>
    <row r="116" spans="5:8" ht="15">
      <c r="E116">
        <f>+'Exh. JDG-1'!C15</f>
        <v>466663920</v>
      </c>
      <c r="H116" s="11"/>
    </row>
    <row r="117" spans="5:6" ht="15">
      <c r="E117" s="20">
        <f>+E116-E115</f>
        <v>26993581</v>
      </c>
      <c r="F117" s="20">
        <f>+F84-E84</f>
        <v>3672302.6308507323</v>
      </c>
    </row>
    <row r="118" ht="15">
      <c r="E118">
        <f>+E117/E116</f>
        <v>0.057843728308800905</v>
      </c>
    </row>
    <row r="121" spans="2:7" ht="15.75">
      <c r="B121" s="33" t="s">
        <v>80</v>
      </c>
      <c r="G121" s="11"/>
    </row>
    <row r="122" spans="2:14" ht="15.75">
      <c r="B122" s="33" t="s">
        <v>195</v>
      </c>
      <c r="H122" s="11">
        <f>SUM(H13:H17)+H19</f>
        <v>32362443.669166066</v>
      </c>
      <c r="I122" s="11">
        <f>SUM(I13:I17)+I19</f>
        <v>41551895.56961285</v>
      </c>
      <c r="J122" s="11">
        <f>SUM(J13:J17)+J19</f>
        <v>9189451.900446787</v>
      </c>
      <c r="L122" s="21">
        <f>SUM(L13:L17)+L19</f>
        <v>101.64977972047187</v>
      </c>
      <c r="M122" s="21">
        <f>M20-M18</f>
        <v>28.863882189535474</v>
      </c>
      <c r="N122" s="126">
        <f>+M122/L122</f>
        <v>0.28395420303820296</v>
      </c>
    </row>
    <row r="123" spans="2:14" ht="18">
      <c r="B123" s="33" t="s">
        <v>186</v>
      </c>
      <c r="H123" s="83">
        <f>+H18</f>
        <v>0</v>
      </c>
      <c r="I123" s="83">
        <f>+I18</f>
        <v>-9189451.900446787</v>
      </c>
      <c r="J123" s="83">
        <f>+J18</f>
        <v>-9189451.900446787</v>
      </c>
      <c r="L123" s="83" t="str">
        <f>+L18</f>
        <v>NA</v>
      </c>
      <c r="M123" s="125">
        <f>+M18</f>
        <v>-28.863882189535474</v>
      </c>
      <c r="N123" s="83" t="str">
        <f>+N18</f>
        <v>NA</v>
      </c>
    </row>
    <row r="124" spans="2:14" ht="15.75">
      <c r="B124" s="33" t="s">
        <v>9</v>
      </c>
      <c r="H124" s="11">
        <f>+H123+H122</f>
        <v>32362443.669166066</v>
      </c>
      <c r="I124" s="11">
        <f>+I123+I122</f>
        <v>32362443.669166066</v>
      </c>
      <c r="J124" s="11">
        <f>+J123+J122</f>
        <v>0</v>
      </c>
      <c r="L124" s="21">
        <f>+L20</f>
        <v>101.64977972047187</v>
      </c>
      <c r="M124" s="21">
        <f>+M20</f>
        <v>0</v>
      </c>
      <c r="N124" s="126">
        <f>+M124/L124</f>
        <v>0</v>
      </c>
    </row>
    <row r="125" ht="15.75">
      <c r="B125" s="33"/>
    </row>
    <row r="126" ht="15.75">
      <c r="B126" s="33" t="s">
        <v>81</v>
      </c>
    </row>
    <row r="127" spans="2:14" ht="15.75">
      <c r="B127" s="33" t="s">
        <v>195</v>
      </c>
      <c r="H127" s="11">
        <f>SUM(H23:H27)+H29</f>
        <v>2800673.6293161283</v>
      </c>
      <c r="I127" s="11">
        <f>SUM(I23:I27)+I29</f>
        <v>3593477.8526797607</v>
      </c>
      <c r="J127" s="11">
        <f>SUM(J23:J27)+J29</f>
        <v>792804.2233636323</v>
      </c>
      <c r="L127" s="21">
        <f>SUM(L23:L27)+L29</f>
        <v>134.36354007465593</v>
      </c>
      <c r="M127" s="21">
        <f>M30-M28</f>
        <v>38.035128735541754</v>
      </c>
      <c r="N127" s="126">
        <f>+M127/L127</f>
        <v>0.2830762624623349</v>
      </c>
    </row>
    <row r="128" spans="2:14" ht="18">
      <c r="B128" s="33" t="s">
        <v>186</v>
      </c>
      <c r="H128" s="83">
        <f>+H28</f>
        <v>0</v>
      </c>
      <c r="I128" s="83">
        <f>+I28</f>
        <v>-792804.2233636323</v>
      </c>
      <c r="J128" s="83">
        <f>+J28</f>
        <v>-792804.2233636323</v>
      </c>
      <c r="L128" s="83" t="str">
        <f>+L28</f>
        <v>NA</v>
      </c>
      <c r="M128" s="125">
        <f>+M28</f>
        <v>-38.035128735541754</v>
      </c>
      <c r="N128" s="83" t="str">
        <f>+N28</f>
        <v>NA</v>
      </c>
    </row>
    <row r="129" spans="2:14" ht="15.75">
      <c r="B129" s="33" t="s">
        <v>9</v>
      </c>
      <c r="D129" s="11"/>
      <c r="E129" s="11"/>
      <c r="F129" s="11"/>
      <c r="H129" s="11">
        <f>+H128+H127</f>
        <v>2800673.6293161283</v>
      </c>
      <c r="I129" s="11">
        <f>+I128+I127</f>
        <v>2800673.6293161283</v>
      </c>
      <c r="J129" s="11">
        <f>+J128+J127</f>
        <v>0</v>
      </c>
      <c r="L129" s="21">
        <f>+L30</f>
        <v>134.36354007465593</v>
      </c>
      <c r="M129" s="21">
        <f>+M30</f>
        <v>0</v>
      </c>
      <c r="N129" s="126">
        <f>+M129/L129</f>
        <v>0</v>
      </c>
    </row>
    <row r="130" spans="2:6" ht="15.75">
      <c r="B130" s="33"/>
      <c r="D130" s="11"/>
      <c r="E130" s="11"/>
      <c r="F130" s="11"/>
    </row>
    <row r="131" spans="2:6" ht="15.75">
      <c r="B131" s="33" t="s">
        <v>82</v>
      </c>
      <c r="D131" s="11"/>
      <c r="E131" s="11"/>
      <c r="F131" s="11"/>
    </row>
    <row r="132" spans="2:14" ht="15.75">
      <c r="B132" s="33" t="s">
        <v>195</v>
      </c>
      <c r="H132" s="11">
        <f>SUM(H33:H37)+H39</f>
        <v>6682642.851595761</v>
      </c>
      <c r="I132" s="11">
        <f>SUM(I33:I37)+I39</f>
        <v>8582199.263692275</v>
      </c>
      <c r="J132" s="11">
        <f>SUM(J33:J37)+J39</f>
        <v>1899556.4120965153</v>
      </c>
      <c r="L132" s="11">
        <f>SUM(L33:L37)+L39</f>
        <v>1581.8065234462852</v>
      </c>
      <c r="M132" s="11">
        <f>SUM(M33:M37)+M39</f>
        <v>449.6320978145618</v>
      </c>
      <c r="N132" s="126">
        <f>+M132/L132</f>
        <v>0.2842522717853935</v>
      </c>
    </row>
    <row r="133" spans="2:14" ht="18">
      <c r="B133" s="33" t="s">
        <v>186</v>
      </c>
      <c r="D133" s="11"/>
      <c r="E133" s="11"/>
      <c r="F133" s="11"/>
      <c r="H133" s="83">
        <f>+H28</f>
        <v>0</v>
      </c>
      <c r="I133" s="83">
        <f>+I28</f>
        <v>-792804.2233636323</v>
      </c>
      <c r="J133" s="83">
        <f>+J28</f>
        <v>-792804.2233636323</v>
      </c>
      <c r="L133" s="83" t="str">
        <f>+L28</f>
        <v>NA</v>
      </c>
      <c r="M133" s="83">
        <f>+M38</f>
        <v>-449.6320978145618</v>
      </c>
      <c r="N133" s="83" t="str">
        <f>+N38</f>
        <v>NA</v>
      </c>
    </row>
    <row r="134" spans="2:14" ht="15.75">
      <c r="B134" s="33" t="s">
        <v>9</v>
      </c>
      <c r="D134" s="11"/>
      <c r="E134" s="11"/>
      <c r="F134" s="11"/>
      <c r="H134" s="11">
        <f>+H133+H132</f>
        <v>6682642.851595761</v>
      </c>
      <c r="I134" s="11">
        <f>+I133+I132</f>
        <v>7789395.040328642</v>
      </c>
      <c r="J134" s="11">
        <f>+J133+J132</f>
        <v>1106752.188732883</v>
      </c>
      <c r="L134" s="11">
        <f>+L40</f>
        <v>1581.8065234462852</v>
      </c>
      <c r="M134" s="11">
        <f>+M133+M132</f>
        <v>0</v>
      </c>
      <c r="N134" s="126">
        <f>+M134/L134</f>
        <v>0</v>
      </c>
    </row>
    <row r="135" spans="2:6" ht="15.75">
      <c r="B135" s="27"/>
      <c r="D135" s="11"/>
      <c r="E135" s="11"/>
      <c r="F135" s="11"/>
    </row>
    <row r="136" ht="15.75">
      <c r="B136" s="33" t="s">
        <v>100</v>
      </c>
    </row>
    <row r="137" spans="2:14" ht="15.75">
      <c r="B137" s="33" t="s">
        <v>195</v>
      </c>
      <c r="D137" s="11"/>
      <c r="E137" s="11"/>
      <c r="F137" s="11"/>
      <c r="H137" s="11">
        <f>SUM(H43:H47)+H49</f>
        <v>2448.499146415626</v>
      </c>
      <c r="I137" s="11">
        <f>SUM(I43:I47)+I49</f>
        <v>3122.054363415626</v>
      </c>
      <c r="J137" s="11">
        <f>SUM(J43:J47)+J49</f>
        <v>673.5552170000001</v>
      </c>
      <c r="L137" s="21">
        <f>SUM(L43:L47)+L49</f>
        <v>204.04159553463555</v>
      </c>
      <c r="M137" s="21">
        <f>M50-M48</f>
        <v>56.129601416666674</v>
      </c>
      <c r="N137" s="126">
        <f>+M137/L137</f>
        <v>0.2750890144217619</v>
      </c>
    </row>
    <row r="138" spans="2:14" ht="18">
      <c r="B138" s="33" t="s">
        <v>186</v>
      </c>
      <c r="D138" s="11"/>
      <c r="E138" s="11"/>
      <c r="F138" s="11"/>
      <c r="H138" s="83">
        <f>+H48</f>
        <v>0</v>
      </c>
      <c r="I138" s="83">
        <f>+I48</f>
        <v>-673.5552170000001</v>
      </c>
      <c r="J138" s="83">
        <f>+J48</f>
        <v>-673.5552170000001</v>
      </c>
      <c r="L138" s="83" t="str">
        <f>+L48</f>
        <v>NA</v>
      </c>
      <c r="M138" s="125">
        <f>+M48</f>
        <v>-56.129601416666674</v>
      </c>
      <c r="N138" s="83" t="str">
        <f>+N48</f>
        <v>NA</v>
      </c>
    </row>
    <row r="139" spans="2:14" ht="15.75">
      <c r="B139" s="33" t="s">
        <v>9</v>
      </c>
      <c r="D139" s="11"/>
      <c r="E139" s="11"/>
      <c r="F139" s="11"/>
      <c r="H139" s="11">
        <f>+H138+H137</f>
        <v>2448.499146415626</v>
      </c>
      <c r="I139" s="11">
        <f>+I138+I137</f>
        <v>2448.499146415626</v>
      </c>
      <c r="J139" s="11">
        <f>+J138+J137</f>
        <v>0</v>
      </c>
      <c r="L139" s="21">
        <f>+L50</f>
        <v>204.04159553463555</v>
      </c>
      <c r="M139" s="21">
        <f>+M50</f>
        <v>0</v>
      </c>
      <c r="N139" s="126">
        <f>+M139/L139</f>
        <v>0</v>
      </c>
    </row>
    <row r="140" ht="15.75">
      <c r="B140" s="33"/>
    </row>
    <row r="141" spans="2:6" ht="15.75">
      <c r="B141" s="33" t="s">
        <v>101</v>
      </c>
      <c r="D141" s="11"/>
      <c r="E141" s="11"/>
      <c r="F141" s="11"/>
    </row>
    <row r="142" spans="2:14" ht="15.75">
      <c r="B142" s="33" t="s">
        <v>195</v>
      </c>
      <c r="D142" s="11"/>
      <c r="E142" s="11"/>
      <c r="F142" s="11"/>
      <c r="H142" s="11">
        <f>SUM(H53:H57)+H59</f>
        <v>283217.17111850256</v>
      </c>
      <c r="I142" s="11">
        <f>SUM(I53:I57)+I59</f>
        <v>363488.0879585026</v>
      </c>
      <c r="J142" s="11">
        <f>SUM(J53:J57)+J59</f>
        <v>80270.91684000002</v>
      </c>
      <c r="L142" s="21">
        <f>SUM(L53:L57)+L59</f>
        <v>23601.430926541885</v>
      </c>
      <c r="M142" s="21">
        <f>M60-M58</f>
        <v>6689.243070000001</v>
      </c>
      <c r="N142" s="126">
        <f>+M142/L142</f>
        <v>0.2834253181859986</v>
      </c>
    </row>
    <row r="143" spans="2:14" ht="18">
      <c r="B143" s="33" t="s">
        <v>186</v>
      </c>
      <c r="D143" s="11"/>
      <c r="E143" s="11"/>
      <c r="F143" s="11"/>
      <c r="H143" s="83">
        <f>+H58</f>
        <v>0</v>
      </c>
      <c r="I143" s="83">
        <f>+I58</f>
        <v>-80270.91684000002</v>
      </c>
      <c r="J143" s="83">
        <f>+J58</f>
        <v>-80270.91684000002</v>
      </c>
      <c r="L143" s="83" t="str">
        <f>+L58</f>
        <v>NA</v>
      </c>
      <c r="M143" s="125">
        <f>+M58</f>
        <v>-6689.243070000001</v>
      </c>
      <c r="N143" s="83" t="str">
        <f>+N58</f>
        <v>NA</v>
      </c>
    </row>
    <row r="144" spans="2:14" ht="15.75">
      <c r="B144" s="33" t="s">
        <v>9</v>
      </c>
      <c r="D144" s="11"/>
      <c r="E144" s="11"/>
      <c r="F144" s="11"/>
      <c r="H144" s="11">
        <f>+H143+H142</f>
        <v>283217.17111850256</v>
      </c>
      <c r="I144" s="11">
        <f>+I143+I142</f>
        <v>283217.17111850256</v>
      </c>
      <c r="J144" s="11">
        <f>+J143+J142</f>
        <v>0</v>
      </c>
      <c r="L144" s="21">
        <f>+L60</f>
        <v>23601.430926541885</v>
      </c>
      <c r="M144" s="21">
        <f>+M60</f>
        <v>0</v>
      </c>
      <c r="N144" s="126">
        <f>+M144/L144</f>
        <v>0</v>
      </c>
    </row>
    <row r="145" spans="2:6" ht="15.75">
      <c r="B145" s="27"/>
      <c r="D145" s="11"/>
      <c r="E145" s="11"/>
      <c r="F145" s="11"/>
    </row>
    <row r="146" spans="2:6" ht="15.75">
      <c r="B146" s="33" t="s">
        <v>83</v>
      </c>
      <c r="D146" s="11"/>
      <c r="E146" s="11"/>
      <c r="F146" s="11"/>
    </row>
    <row r="147" spans="2:14" ht="15.75">
      <c r="B147" s="33" t="s">
        <v>195</v>
      </c>
      <c r="D147" s="11"/>
      <c r="E147" s="11"/>
      <c r="F147" s="11"/>
      <c r="H147" s="11">
        <f>SUM(H63:H67)+H69</f>
        <v>1233885.1592453502</v>
      </c>
      <c r="I147" s="11">
        <f>SUM(I63:I67)+I69</f>
        <v>1581658.7507986813</v>
      </c>
      <c r="J147" s="11">
        <f>SUM(J63:J67)+J69</f>
        <v>347773.5915533311</v>
      </c>
      <c r="L147" s="21">
        <f>SUM(L63:L67)+L69</f>
        <v>7.83180465156873</v>
      </c>
      <c r="M147" s="21">
        <f>M70-M68</f>
        <v>2.2074135600155578</v>
      </c>
      <c r="N147" s="126">
        <f>+M147/L147</f>
        <v>0.28185247950144</v>
      </c>
    </row>
    <row r="148" spans="2:14" ht="18">
      <c r="B148" s="33" t="s">
        <v>186</v>
      </c>
      <c r="D148" s="11"/>
      <c r="E148" s="11"/>
      <c r="F148" s="11"/>
      <c r="H148" s="83">
        <f>+H68</f>
        <v>0</v>
      </c>
      <c r="I148" s="83">
        <f>+I68</f>
        <v>-347773.5915533311</v>
      </c>
      <c r="J148" s="83">
        <f>+J68</f>
        <v>-347773.5915533311</v>
      </c>
      <c r="L148" s="83" t="str">
        <f>+L68</f>
        <v>NA</v>
      </c>
      <c r="M148" s="125">
        <f>+M68</f>
        <v>-2.2074135600155578</v>
      </c>
      <c r="N148" s="83" t="str">
        <f>+N68</f>
        <v>NA</v>
      </c>
    </row>
    <row r="149" spans="2:14" ht="15.75">
      <c r="B149" s="33" t="s">
        <v>9</v>
      </c>
      <c r="D149" s="11"/>
      <c r="E149" s="11"/>
      <c r="F149" s="11"/>
      <c r="H149" s="11">
        <f>+H148+H147</f>
        <v>1233885.1592453502</v>
      </c>
      <c r="I149" s="11">
        <f>+I148+I147</f>
        <v>1233885.1592453502</v>
      </c>
      <c r="J149" s="11">
        <f>+J148+J147</f>
        <v>0</v>
      </c>
      <c r="L149" s="21">
        <f>+L70</f>
        <v>7.83180465156873</v>
      </c>
      <c r="M149" s="21">
        <f>+M70</f>
        <v>0</v>
      </c>
      <c r="N149" s="126">
        <f>+M149/L149</f>
        <v>0</v>
      </c>
    </row>
    <row r="150" spans="2:6" ht="15.75">
      <c r="B150" s="27"/>
      <c r="D150" s="11"/>
      <c r="E150" s="11"/>
      <c r="F150" s="11"/>
    </row>
    <row r="151" spans="2:6" ht="15.75">
      <c r="B151" s="33" t="s">
        <v>84</v>
      </c>
      <c r="D151" s="11"/>
      <c r="E151" s="11"/>
      <c r="F151" s="11"/>
    </row>
    <row r="152" spans="2:14" ht="15.75">
      <c r="B152" s="33" t="s">
        <v>195</v>
      </c>
      <c r="D152" s="11"/>
      <c r="E152" s="11"/>
      <c r="F152" s="11"/>
      <c r="H152" s="11">
        <f>SUM(H74:H78)+H80</f>
        <v>102139.83211393557</v>
      </c>
      <c r="I152" s="11">
        <f>SUM(I74:I78)+I80</f>
        <v>131160.93615539095</v>
      </c>
      <c r="J152" s="11">
        <f>SUM(J74:J78)+J80</f>
        <v>29021.1040414554</v>
      </c>
      <c r="L152" s="21">
        <f>SUM(L74:L78)+L80</f>
        <v>1418.6087793602164</v>
      </c>
      <c r="M152" s="21">
        <f>M81-M79</f>
        <v>403.07088946465836</v>
      </c>
      <c r="N152" s="126">
        <f>+M152/L152</f>
        <v>0.28413111164195726</v>
      </c>
    </row>
    <row r="153" spans="2:14" ht="18">
      <c r="B153" s="33" t="s">
        <v>186</v>
      </c>
      <c r="D153" s="11"/>
      <c r="E153" s="11"/>
      <c r="F153" s="11"/>
      <c r="H153" s="83">
        <f>+H79</f>
        <v>0</v>
      </c>
      <c r="I153" s="83">
        <f>+I79</f>
        <v>-29021.1040414554</v>
      </c>
      <c r="J153" s="83">
        <f>+J79</f>
        <v>-29021.1040414554</v>
      </c>
      <c r="L153" s="83" t="str">
        <f>+L79</f>
        <v>NA</v>
      </c>
      <c r="M153" s="125">
        <f>+M79</f>
        <v>-403.07088946465836</v>
      </c>
      <c r="N153" s="83" t="str">
        <f>+N79</f>
        <v>NA</v>
      </c>
    </row>
    <row r="154" spans="2:14" ht="15.75">
      <c r="B154" s="33" t="s">
        <v>9</v>
      </c>
      <c r="D154" s="11"/>
      <c r="E154" s="11"/>
      <c r="F154" s="11"/>
      <c r="H154" s="11">
        <f>+H153+H152</f>
        <v>102139.83211393557</v>
      </c>
      <c r="I154" s="11">
        <f>+I153+I152</f>
        <v>102139.83211393555</v>
      </c>
      <c r="J154" s="11">
        <f>+J153+J152</f>
        <v>0</v>
      </c>
      <c r="L154" s="21">
        <f>+L81</f>
        <v>1418.6087793602164</v>
      </c>
      <c r="M154" s="21">
        <f>+M81</f>
        <v>0</v>
      </c>
      <c r="N154" s="126">
        <f>+M154/L154</f>
        <v>0</v>
      </c>
    </row>
  </sheetData>
  <sheetProtection/>
  <printOptions horizontalCentered="1"/>
  <pageMargins left="0.45" right="0.45" top="0.75" bottom="0.75" header="0.3" footer="0.3"/>
  <pageSetup fitToHeight="4" horizontalDpi="300" verticalDpi="300" orientation="landscape" scale="43" r:id="rId1"/>
  <headerFooter>
    <oddHeader>&amp;RExhibit JDG-3
&amp;P
Witness: Jack Gaines</oddHeader>
  </headerFooter>
  <rowBreaks count="1" manualBreakCount="1">
    <brk id="72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40"/>
  <sheetViews>
    <sheetView zoomScale="79" zoomScaleNormal="79" zoomScalePageLayoutView="0" workbookViewId="0" topLeftCell="A67">
      <selection activeCell="F121" sqref="F121"/>
    </sheetView>
  </sheetViews>
  <sheetFormatPr defaultColWidth="9.140625" defaultRowHeight="15"/>
  <cols>
    <col min="1" max="1" width="6.8515625" style="0" customWidth="1"/>
    <col min="2" max="2" width="27.00390625" style="0" customWidth="1"/>
    <col min="3" max="3" width="15.28125" style="0" bestFit="1" customWidth="1"/>
    <col min="4" max="4" width="12.57421875" style="0" customWidth="1"/>
    <col min="5" max="5" width="15.28125" style="0" bestFit="1" customWidth="1"/>
    <col min="6" max="8" width="15.28125" style="0" customWidth="1"/>
    <col min="9" max="9" width="15.140625" style="0" customWidth="1"/>
    <col min="10" max="10" width="15.28125" style="0" bestFit="1" customWidth="1"/>
    <col min="12" max="12" width="11.00390625" style="0" bestFit="1" customWidth="1"/>
  </cols>
  <sheetData>
    <row r="1" spans="1:10" ht="15">
      <c r="A1" s="49" t="s">
        <v>62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5">
      <c r="A2" s="49" t="s">
        <v>85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5">
      <c r="A3" s="49" t="s">
        <v>138</v>
      </c>
      <c r="B3" s="49"/>
      <c r="C3" s="49"/>
      <c r="D3" s="49"/>
      <c r="E3" s="49"/>
      <c r="F3" s="49"/>
      <c r="G3" s="49"/>
      <c r="H3" s="49"/>
      <c r="I3" s="49"/>
      <c r="J3" s="49"/>
    </row>
    <row r="6" ht="15">
      <c r="I6" s="5"/>
    </row>
    <row r="7" spans="3:10" ht="15">
      <c r="C7" s="5" t="s">
        <v>145</v>
      </c>
      <c r="D7" s="5" t="s">
        <v>145</v>
      </c>
      <c r="E7" s="5" t="s">
        <v>145</v>
      </c>
      <c r="F7" s="5" t="s">
        <v>4</v>
      </c>
      <c r="G7" s="5" t="s">
        <v>4</v>
      </c>
      <c r="H7" s="5" t="s">
        <v>4</v>
      </c>
      <c r="I7" s="5" t="s">
        <v>161</v>
      </c>
      <c r="J7" s="5" t="s">
        <v>161</v>
      </c>
    </row>
    <row r="8" spans="2:10" ht="15">
      <c r="B8" s="7" t="s">
        <v>72</v>
      </c>
      <c r="C8" s="7" t="s">
        <v>3</v>
      </c>
      <c r="D8" s="7" t="s">
        <v>5</v>
      </c>
      <c r="E8" s="7" t="s">
        <v>10</v>
      </c>
      <c r="F8" s="7" t="s">
        <v>3</v>
      </c>
      <c r="G8" s="7" t="s">
        <v>5</v>
      </c>
      <c r="H8" s="7" t="s">
        <v>10</v>
      </c>
      <c r="I8" s="7" t="s">
        <v>5</v>
      </c>
      <c r="J8" s="7" t="s">
        <v>10</v>
      </c>
    </row>
    <row r="9" spans="2:10" ht="15">
      <c r="B9" s="5" t="s">
        <v>11</v>
      </c>
      <c r="C9" s="5" t="s">
        <v>12</v>
      </c>
      <c r="D9" s="5" t="s">
        <v>13</v>
      </c>
      <c r="E9" s="5" t="s">
        <v>14</v>
      </c>
      <c r="F9" s="5" t="s">
        <v>15</v>
      </c>
      <c r="G9" s="5" t="s">
        <v>16</v>
      </c>
      <c r="H9" s="5" t="s">
        <v>17</v>
      </c>
      <c r="I9" s="5" t="s">
        <v>162</v>
      </c>
      <c r="J9" s="5" t="s">
        <v>163</v>
      </c>
    </row>
    <row r="11" spans="1:8" ht="15.75">
      <c r="A11" s="33" t="s">
        <v>80</v>
      </c>
      <c r="E11" s="23"/>
      <c r="F11" s="23"/>
      <c r="H11" s="113"/>
    </row>
    <row r="12" ht="15">
      <c r="H12" s="11"/>
    </row>
    <row r="13" spans="1:10" ht="15">
      <c r="A13" s="5">
        <v>1</v>
      </c>
      <c r="B13" t="s">
        <v>142</v>
      </c>
      <c r="C13" s="3">
        <v>9606520</v>
      </c>
      <c r="D13" s="21">
        <v>0.38</v>
      </c>
      <c r="E13" s="9">
        <f>+D13*$C13</f>
        <v>3650477.6</v>
      </c>
      <c r="F13" s="86">
        <f>C13</f>
        <v>9606520</v>
      </c>
      <c r="G13" s="114">
        <f>+'Exh. JDG-2'!D11</f>
        <v>0.509</v>
      </c>
      <c r="H13" s="92">
        <f>G13*F13</f>
        <v>4889718.68</v>
      </c>
      <c r="I13" s="114">
        <f>+'Exh. JDG-2'!F11</f>
        <v>0.648</v>
      </c>
      <c r="J13" s="9">
        <f>+I13*$F13</f>
        <v>6225024.96</v>
      </c>
    </row>
    <row r="14" spans="1:10" ht="17.25">
      <c r="A14" s="5">
        <v>2</v>
      </c>
      <c r="B14" t="s">
        <v>70</v>
      </c>
      <c r="C14" s="3">
        <f>288344225+36057522+4149482</f>
        <v>328551229</v>
      </c>
      <c r="D14" s="79">
        <v>0.075095</v>
      </c>
      <c r="E14" s="12">
        <f>+D14*$C14</f>
        <v>24672554.541755</v>
      </c>
      <c r="F14" s="95">
        <f>C14</f>
        <v>328551229</v>
      </c>
      <c r="G14" s="98">
        <f>+'Exh. JDG-2'!D12</f>
        <v>0.086858</v>
      </c>
      <c r="H14" s="52">
        <f>G14*F14</f>
        <v>28537302.648482002</v>
      </c>
      <c r="I14" s="15">
        <f>+'Exh. JDG-2'!F12</f>
        <v>0.110596</v>
      </c>
      <c r="J14" s="12">
        <f>+I14*$F14</f>
        <v>36336451.722484</v>
      </c>
    </row>
    <row r="15" spans="1:10" ht="15">
      <c r="A15" s="5">
        <v>3</v>
      </c>
      <c r="B15" t="s">
        <v>71</v>
      </c>
      <c r="C15" s="3"/>
      <c r="E15" s="11">
        <f>+E14+E13</f>
        <v>28323032.141755</v>
      </c>
      <c r="F15" s="11"/>
      <c r="H15" s="11">
        <f>+H14+H13</f>
        <v>33427021.328482002</v>
      </c>
      <c r="J15" s="11">
        <f>+J14+J13</f>
        <v>42561476.682484</v>
      </c>
    </row>
    <row r="16" spans="1:10" ht="17.25">
      <c r="A16" s="5">
        <v>4</v>
      </c>
      <c r="B16" t="s">
        <v>127</v>
      </c>
      <c r="C16" s="3"/>
      <c r="E16" s="53">
        <f>+'Exh. JDG-3 '!G13/'Exh. JDG-4'!E15</f>
        <v>0.9979746821785217</v>
      </c>
      <c r="F16" s="53"/>
      <c r="H16" s="53">
        <f>E16</f>
        <v>0.9979746821785217</v>
      </c>
      <c r="J16" s="53">
        <f>E16</f>
        <v>0.9979746821785217</v>
      </c>
    </row>
    <row r="17" spans="1:10" ht="15">
      <c r="A17" s="5">
        <v>5</v>
      </c>
      <c r="B17" t="s">
        <v>128</v>
      </c>
      <c r="C17" s="3"/>
      <c r="E17" s="11">
        <f>E16*E15</f>
        <v>28265669</v>
      </c>
      <c r="F17" s="11"/>
      <c r="H17" s="11">
        <f>H16*H15</f>
        <v>33359320.986466493</v>
      </c>
      <c r="J17" s="11">
        <f>J16*J15</f>
        <v>42475276.16525053</v>
      </c>
    </row>
    <row r="18" spans="1:10" ht="15">
      <c r="A18" s="5"/>
      <c r="C18" s="3"/>
      <c r="E18" s="11"/>
      <c r="F18" s="11"/>
      <c r="H18" s="11"/>
      <c r="J18" s="11"/>
    </row>
    <row r="19" spans="1:10" ht="15">
      <c r="A19" s="5"/>
      <c r="B19" s="63" t="s">
        <v>125</v>
      </c>
      <c r="C19" s="3"/>
      <c r="E19" s="11"/>
      <c r="F19" s="11"/>
      <c r="H19" s="11"/>
      <c r="J19" s="11"/>
    </row>
    <row r="20" spans="1:10" ht="15">
      <c r="A20" s="5">
        <v>6</v>
      </c>
      <c r="B20" t="s">
        <v>142</v>
      </c>
      <c r="F20" s="3">
        <f>26531*365-F13</f>
        <v>77295</v>
      </c>
      <c r="G20" s="114">
        <f>G13</f>
        <v>0.509</v>
      </c>
      <c r="H20" s="11">
        <f>G20*F20</f>
        <v>39343.155</v>
      </c>
      <c r="I20" s="114">
        <f>I13</f>
        <v>0.648</v>
      </c>
      <c r="J20" s="11">
        <f>I20*F20</f>
        <v>50087.16</v>
      </c>
    </row>
    <row r="21" spans="1:10" ht="17.25">
      <c r="A21" s="5">
        <v>7</v>
      </c>
      <c r="B21" t="s">
        <v>70</v>
      </c>
      <c r="F21" s="3">
        <f>F14/F13*F20</f>
        <v>2643555.3400768437</v>
      </c>
      <c r="G21" s="23">
        <f>G14</f>
        <v>0.086858</v>
      </c>
      <c r="H21" s="83">
        <f>G21*F21</f>
        <v>229613.92972839452</v>
      </c>
      <c r="I21" s="23">
        <f>I14</f>
        <v>0.110596</v>
      </c>
      <c r="J21" s="83">
        <f>I21*F21</f>
        <v>292366.6463911386</v>
      </c>
    </row>
    <row r="22" spans="1:10" ht="15">
      <c r="A22" s="5">
        <v>8</v>
      </c>
      <c r="B22" t="s">
        <v>126</v>
      </c>
      <c r="H22" s="11">
        <f>SUM(H20:H21)</f>
        <v>268957.0847283945</v>
      </c>
      <c r="J22" s="11">
        <f>SUM(J20:J21)</f>
        <v>342453.8063911386</v>
      </c>
    </row>
    <row r="23" spans="1:10" ht="15">
      <c r="A23" s="5"/>
      <c r="H23" s="11"/>
      <c r="J23" s="11"/>
    </row>
    <row r="24" spans="1:10" ht="15">
      <c r="A24" s="5">
        <v>9</v>
      </c>
      <c r="B24" t="s">
        <v>9</v>
      </c>
      <c r="E24" s="11">
        <f>E17</f>
        <v>28265669</v>
      </c>
      <c r="F24" s="20">
        <f>F21+F14</f>
        <v>331194784.34007686</v>
      </c>
      <c r="H24" s="11">
        <f>H22+H17</f>
        <v>33628278.07119489</v>
      </c>
      <c r="J24" s="11">
        <f>J22+J17</f>
        <v>42817729.971641675</v>
      </c>
    </row>
    <row r="25" spans="1:11" ht="15">
      <c r="A25" s="5"/>
      <c r="E25" s="11"/>
      <c r="F25" s="11"/>
      <c r="G25" s="11"/>
      <c r="H25" s="11"/>
      <c r="J25" s="11"/>
      <c r="K25" s="54"/>
    </row>
    <row r="26" ht="15.75">
      <c r="A26" s="33" t="s">
        <v>81</v>
      </c>
    </row>
    <row r="28" spans="1:10" ht="15">
      <c r="A28" s="5">
        <v>1</v>
      </c>
      <c r="B28" t="s">
        <v>142</v>
      </c>
      <c r="C28" s="3">
        <v>641827</v>
      </c>
      <c r="D28" s="21">
        <v>0.57</v>
      </c>
      <c r="E28" s="82">
        <f>+D28*$C28</f>
        <v>365841.38999999996</v>
      </c>
      <c r="F28" s="86">
        <f>C28</f>
        <v>641827</v>
      </c>
      <c r="G28" s="114">
        <f>+'Exh. JDG-2'!D17</f>
        <v>0.726</v>
      </c>
      <c r="H28" s="92">
        <f>G28*F28</f>
        <v>465966.402</v>
      </c>
      <c r="I28" s="114">
        <f>+'Exh. JDG-2'!F17</f>
        <v>0.924</v>
      </c>
      <c r="J28" s="9">
        <f>+I28*$F28</f>
        <v>593048.148</v>
      </c>
    </row>
    <row r="29" spans="1:10" ht="17.25">
      <c r="A29" s="5">
        <v>2</v>
      </c>
      <c r="B29" t="s">
        <v>70</v>
      </c>
      <c r="C29" s="3">
        <v>26805601</v>
      </c>
      <c r="D29" s="79">
        <v>0.0801</v>
      </c>
      <c r="E29" s="12">
        <f>+D29*$C29</f>
        <v>2147128.6401</v>
      </c>
      <c r="F29" s="95">
        <f>C29</f>
        <v>26805601</v>
      </c>
      <c r="G29" s="98">
        <f>+'Exh. JDG-2'!D18</f>
        <v>0.092655</v>
      </c>
      <c r="H29" s="52">
        <f>G29*F29</f>
        <v>2483672.960655</v>
      </c>
      <c r="I29" s="15">
        <f>+'Exh. JDG-2'!F18</f>
        <v>0.117977</v>
      </c>
      <c r="J29" s="12">
        <f>+I29*$F29</f>
        <v>3162444.389177</v>
      </c>
    </row>
    <row r="30" spans="1:10" ht="15">
      <c r="A30" s="5">
        <v>3</v>
      </c>
      <c r="B30" t="s">
        <v>71</v>
      </c>
      <c r="E30" s="11">
        <f>+E29+E28</f>
        <v>2512970.0301</v>
      </c>
      <c r="F30" s="11"/>
      <c r="H30" s="11">
        <f>+H29+H28</f>
        <v>2949639.362655</v>
      </c>
      <c r="J30" s="11">
        <f>+J29+J28</f>
        <v>3755492.537177</v>
      </c>
    </row>
    <row r="31" spans="1:10" ht="17.25">
      <c r="A31" s="5">
        <v>4</v>
      </c>
      <c r="B31" t="s">
        <v>127</v>
      </c>
      <c r="C31" s="3"/>
      <c r="E31" s="53">
        <f>+'Exh. JDG-3 '!G23/'Exh. JDG-4'!E30</f>
        <v>0.9959943692207107</v>
      </c>
      <c r="F31" s="53"/>
      <c r="H31" s="53">
        <f>E31</f>
        <v>0.9959943692207107</v>
      </c>
      <c r="J31" s="53">
        <f>E31</f>
        <v>0.9959943692207107</v>
      </c>
    </row>
    <row r="32" spans="1:10" ht="15">
      <c r="A32" s="5">
        <v>5</v>
      </c>
      <c r="B32" t="s">
        <v>128</v>
      </c>
      <c r="C32" s="3"/>
      <c r="E32" s="11">
        <f>E31*E30</f>
        <v>2502904</v>
      </c>
      <c r="F32" s="11"/>
      <c r="H32" s="11">
        <f>H31*H30</f>
        <v>2937824.196436146</v>
      </c>
      <c r="J32" s="11">
        <f>J31*J30</f>
        <v>3740449.420678693</v>
      </c>
    </row>
    <row r="34" spans="2:10" ht="15">
      <c r="B34" s="63" t="s">
        <v>125</v>
      </c>
      <c r="C34" s="3"/>
      <c r="E34" s="11"/>
      <c r="F34" s="11"/>
      <c r="H34" s="11"/>
      <c r="J34" s="11"/>
    </row>
    <row r="35" spans="1:10" ht="15">
      <c r="A35" s="5">
        <v>6</v>
      </c>
      <c r="B35" t="s">
        <v>142</v>
      </c>
      <c r="F35" s="3">
        <f>1737*365-F28</f>
        <v>-7822</v>
      </c>
      <c r="G35" s="114">
        <f>G28</f>
        <v>0.726</v>
      </c>
      <c r="H35" s="11">
        <f>G35*F35</f>
        <v>-5678.772</v>
      </c>
      <c r="I35" s="114">
        <f>I28</f>
        <v>0.924</v>
      </c>
      <c r="J35" s="11">
        <f>I35*F35</f>
        <v>-7227.528</v>
      </c>
    </row>
    <row r="36" spans="1:10" ht="17.25">
      <c r="A36" s="5">
        <v>7</v>
      </c>
      <c r="B36" t="s">
        <v>70</v>
      </c>
      <c r="F36" s="3">
        <f>F29/F28*F35</f>
        <v>-326682.129330801</v>
      </c>
      <c r="G36" s="23">
        <f>G29</f>
        <v>0.092655</v>
      </c>
      <c r="H36" s="83">
        <f>G36*F36</f>
        <v>-30268.732693145368</v>
      </c>
      <c r="I36" s="23">
        <f>I29</f>
        <v>0.117977</v>
      </c>
      <c r="J36" s="83">
        <f>I36*F36</f>
        <v>-38540.977572059914</v>
      </c>
    </row>
    <row r="37" spans="1:10" ht="15">
      <c r="A37" s="5">
        <v>8</v>
      </c>
      <c r="B37" t="s">
        <v>126</v>
      </c>
      <c r="H37" s="11">
        <f>SUM(H35:H36)</f>
        <v>-35947.50469314537</v>
      </c>
      <c r="J37" s="11">
        <f>SUM(J35:J36)</f>
        <v>-45768.50557205991</v>
      </c>
    </row>
    <row r="38" spans="1:10" ht="15">
      <c r="A38" s="5"/>
      <c r="E38" s="11"/>
      <c r="F38" s="11"/>
      <c r="G38" s="11"/>
      <c r="H38" s="11"/>
      <c r="J38" s="11"/>
    </row>
    <row r="39" spans="1:10" ht="15">
      <c r="A39" s="5">
        <v>9</v>
      </c>
      <c r="B39" t="s">
        <v>9</v>
      </c>
      <c r="E39" s="11">
        <f>E32</f>
        <v>2502904</v>
      </c>
      <c r="F39" s="96">
        <f>F36+F29</f>
        <v>26478918.870669197</v>
      </c>
      <c r="G39" s="11"/>
      <c r="H39" s="11">
        <f>H37+H32</f>
        <v>2901876.6917430004</v>
      </c>
      <c r="J39" s="11">
        <f>J37+J32</f>
        <v>3694680.9151066327</v>
      </c>
    </row>
    <row r="41" ht="15.75">
      <c r="A41" s="33" t="s">
        <v>82</v>
      </c>
    </row>
    <row r="43" spans="1:3" ht="15">
      <c r="A43" s="5">
        <v>1</v>
      </c>
      <c r="B43" t="s">
        <v>143</v>
      </c>
      <c r="C43" s="3"/>
    </row>
    <row r="44" spans="1:10" ht="15">
      <c r="A44" s="5">
        <v>2</v>
      </c>
      <c r="B44" t="s">
        <v>114</v>
      </c>
      <c r="C44" s="3"/>
      <c r="D44" s="21"/>
      <c r="E44" s="9"/>
      <c r="F44" s="92"/>
      <c r="G44" s="92"/>
      <c r="H44" s="92"/>
      <c r="I44" s="21"/>
      <c r="J44" s="9"/>
    </row>
    <row r="45" spans="1:10" ht="15">
      <c r="A45" s="5">
        <v>3</v>
      </c>
      <c r="B45" t="s">
        <v>115</v>
      </c>
      <c r="C45" s="86">
        <v>78020</v>
      </c>
      <c r="D45" s="21">
        <v>1.37</v>
      </c>
      <c r="E45" s="82">
        <f>+D45*$C45</f>
        <v>106887.40000000001</v>
      </c>
      <c r="F45" s="86">
        <f>C45</f>
        <v>78020</v>
      </c>
      <c r="G45" s="114">
        <f>+'Exh. JDG-2'!D24</f>
        <v>1.588</v>
      </c>
      <c r="H45" s="92">
        <f>G45*F45</f>
        <v>123895.76000000001</v>
      </c>
      <c r="I45" s="114">
        <f>+'Exh. JDG-2'!F24</f>
        <v>2.022</v>
      </c>
      <c r="J45" s="82">
        <f>+I45*$F45</f>
        <v>157756.43999999997</v>
      </c>
    </row>
    <row r="46" spans="1:10" ht="15">
      <c r="A46" s="5">
        <v>5</v>
      </c>
      <c r="B46" t="s">
        <v>137</v>
      </c>
      <c r="C46" s="86">
        <v>44019</v>
      </c>
      <c r="D46" s="21">
        <v>2.4</v>
      </c>
      <c r="E46" s="82">
        <f>+D46*$C46</f>
        <v>105645.59999999999</v>
      </c>
      <c r="F46" s="86">
        <f>C46</f>
        <v>44019</v>
      </c>
      <c r="G46" s="114">
        <f>+'Exh. JDG-2'!D25</f>
        <v>2.773</v>
      </c>
      <c r="H46" s="92">
        <f>G46*F46</f>
        <v>122064.687</v>
      </c>
      <c r="I46" s="114">
        <f>+'Exh. JDG-2'!F25</f>
        <v>3.531</v>
      </c>
      <c r="J46" s="82">
        <f>+I46*$F46</f>
        <v>155431.089</v>
      </c>
    </row>
    <row r="47" spans="1:10" ht="17.25">
      <c r="A47" s="5">
        <v>7</v>
      </c>
      <c r="B47" t="s">
        <v>117</v>
      </c>
      <c r="C47" s="86">
        <v>2941</v>
      </c>
      <c r="D47" s="21">
        <v>3.42</v>
      </c>
      <c r="E47" s="52">
        <f>+D47*$C47</f>
        <v>10058.22</v>
      </c>
      <c r="F47" s="86">
        <f>C47</f>
        <v>2941</v>
      </c>
      <c r="G47" s="114">
        <f>+'Exh. JDG-2'!D26</f>
        <v>3.958</v>
      </c>
      <c r="H47" s="52">
        <f>G47*F47</f>
        <v>11640.478000000001</v>
      </c>
      <c r="I47" s="114">
        <f>+'Exh. JDG-2'!F26</f>
        <v>5.04</v>
      </c>
      <c r="J47" s="52">
        <f>+I47*$F47</f>
        <v>14822.64</v>
      </c>
    </row>
    <row r="48" spans="1:10" ht="15">
      <c r="A48" s="5">
        <v>8</v>
      </c>
      <c r="B48" t="s">
        <v>141</v>
      </c>
      <c r="C48" s="86"/>
      <c r="D48" s="21"/>
      <c r="E48" s="82">
        <f>SUM(E45:E47)</f>
        <v>222591.22</v>
      </c>
      <c r="F48" s="86"/>
      <c r="G48" s="21"/>
      <c r="H48" s="92">
        <f>SUM(H45:H47)</f>
        <v>257600.92500000002</v>
      </c>
      <c r="I48" s="21"/>
      <c r="J48" s="82">
        <f>SUM(J45:J47)</f>
        <v>328010.169</v>
      </c>
    </row>
    <row r="49" spans="1:10" ht="15">
      <c r="A49" s="5"/>
      <c r="C49" s="86"/>
      <c r="D49" s="21"/>
      <c r="E49" s="82"/>
      <c r="F49" s="86"/>
      <c r="G49" s="21"/>
      <c r="H49" s="92"/>
      <c r="I49" s="21"/>
      <c r="J49" s="82"/>
    </row>
    <row r="50" spans="1:10" ht="15">
      <c r="A50" s="5">
        <v>9</v>
      </c>
      <c r="B50" t="s">
        <v>73</v>
      </c>
      <c r="C50" s="51">
        <v>251266</v>
      </c>
      <c r="D50" s="21">
        <v>8.46</v>
      </c>
      <c r="E50" s="45">
        <f>+D50*$C50</f>
        <v>2125710.3600000003</v>
      </c>
      <c r="F50" s="86">
        <f>C50</f>
        <v>251266</v>
      </c>
      <c r="G50" s="21">
        <f>+'Exh. JDG-2'!D28</f>
        <v>9.78</v>
      </c>
      <c r="H50" s="45">
        <f>G50*F50</f>
        <v>2457381.48</v>
      </c>
      <c r="I50" s="21">
        <f>+'Exh. JDG-2'!F28</f>
        <v>12.45</v>
      </c>
      <c r="J50" s="45">
        <f>+I50*$F50</f>
        <v>3128261.6999999997</v>
      </c>
    </row>
    <row r="51" spans="1:10" ht="15">
      <c r="A51" s="5">
        <v>10</v>
      </c>
      <c r="B51" t="s">
        <v>139</v>
      </c>
      <c r="C51" s="86"/>
      <c r="D51" s="40"/>
      <c r="E51" s="45"/>
      <c r="F51" s="97"/>
      <c r="G51" s="21"/>
      <c r="H51" s="45"/>
      <c r="I51" s="21"/>
      <c r="J51" s="45"/>
    </row>
    <row r="52" spans="1:10" ht="15">
      <c r="A52" s="5">
        <v>11</v>
      </c>
      <c r="B52" t="s">
        <v>115</v>
      </c>
      <c r="C52" s="86">
        <f>11720830</f>
        <v>11720830</v>
      </c>
      <c r="D52" s="23">
        <v>0.05059</v>
      </c>
      <c r="E52" s="45">
        <f>D52*C52</f>
        <v>592956.7897000001</v>
      </c>
      <c r="F52" s="86">
        <f>C52</f>
        <v>11720830</v>
      </c>
      <c r="G52" s="23">
        <f>+'Exh. JDG-2'!D29</f>
        <v>0.058514</v>
      </c>
      <c r="H52" s="45">
        <f>G52*F52</f>
        <v>685832.64662</v>
      </c>
      <c r="I52" s="23">
        <f>+'Exh. JDG-2'!F29</f>
        <v>0.074505</v>
      </c>
      <c r="J52" s="45">
        <f>I52*$F52</f>
        <v>873260.43915</v>
      </c>
    </row>
    <row r="53" spans="1:10" ht="15">
      <c r="A53" s="5">
        <v>12</v>
      </c>
      <c r="B53" t="s">
        <v>137</v>
      </c>
      <c r="C53" s="86">
        <f>47367507</f>
        <v>47367507</v>
      </c>
      <c r="D53" s="23">
        <v>0.05059</v>
      </c>
      <c r="E53" s="45">
        <f>D53*C53</f>
        <v>2396322.17913</v>
      </c>
      <c r="F53" s="86">
        <f>C53</f>
        <v>47367507</v>
      </c>
      <c r="G53" s="23">
        <f>G52</f>
        <v>0.058514</v>
      </c>
      <c r="H53" s="45">
        <f>G53*F53</f>
        <v>2771662.304598</v>
      </c>
      <c r="I53" s="23">
        <f>I52</f>
        <v>0.074505</v>
      </c>
      <c r="J53" s="45">
        <f>I53*$F53</f>
        <v>3529116.109035</v>
      </c>
    </row>
    <row r="54" spans="1:10" ht="17.25">
      <c r="A54" s="5">
        <v>13</v>
      </c>
      <c r="B54" t="s">
        <v>117</v>
      </c>
      <c r="C54" s="77">
        <v>11089720</v>
      </c>
      <c r="D54" s="23">
        <v>0.05059</v>
      </c>
      <c r="E54" s="12">
        <f>D54*C54</f>
        <v>561028.9348</v>
      </c>
      <c r="F54" s="77">
        <f>C54</f>
        <v>11089720</v>
      </c>
      <c r="G54" s="23">
        <f>G53</f>
        <v>0.058514</v>
      </c>
      <c r="H54" s="12">
        <f>G54*F54</f>
        <v>648903.87608</v>
      </c>
      <c r="I54" s="23">
        <f>I53</f>
        <v>0.074505</v>
      </c>
      <c r="J54" s="12">
        <f>I54*$F54</f>
        <v>826239.5886</v>
      </c>
    </row>
    <row r="55" spans="1:10" ht="15">
      <c r="A55" s="5">
        <v>14</v>
      </c>
      <c r="B55" t="s">
        <v>144</v>
      </c>
      <c r="C55" s="51">
        <f>SUM(C52:C54)</f>
        <v>70178057</v>
      </c>
      <c r="D55" s="23"/>
      <c r="E55" s="11">
        <f>SUM(E52:E54)</f>
        <v>3550307.90363</v>
      </c>
      <c r="F55" s="51">
        <f>SUM(F52:F54)</f>
        <v>70178057</v>
      </c>
      <c r="G55" s="11"/>
      <c r="H55" s="11">
        <f>SUM(H52:H54)</f>
        <v>4106398.8272979995</v>
      </c>
      <c r="I55" s="11"/>
      <c r="J55" s="11">
        <f>SUM(J52:J54)</f>
        <v>5228616.136785001</v>
      </c>
    </row>
    <row r="56" spans="1:10" ht="15">
      <c r="A56" s="5"/>
      <c r="C56" s="51"/>
      <c r="D56" s="23"/>
      <c r="E56" s="11"/>
      <c r="F56" s="51"/>
      <c r="G56" s="11"/>
      <c r="H56" s="11"/>
      <c r="J56" s="11"/>
    </row>
    <row r="57" spans="1:10" ht="15">
      <c r="A57" s="5">
        <v>15</v>
      </c>
      <c r="B57" t="s">
        <v>164</v>
      </c>
      <c r="C57" s="51"/>
      <c r="D57" s="23"/>
      <c r="E57" s="11">
        <f>+E55+E50+E48</f>
        <v>5898609.483630001</v>
      </c>
      <c r="F57" s="51"/>
      <c r="G57" s="11"/>
      <c r="H57" s="11">
        <f>+H55+H50+H48</f>
        <v>6821381.232297999</v>
      </c>
      <c r="I57" s="21"/>
      <c r="J57" s="11">
        <f>+J55+J50+J48</f>
        <v>8684888.005785</v>
      </c>
    </row>
    <row r="58" spans="1:10" ht="15">
      <c r="A58" s="5">
        <v>16</v>
      </c>
      <c r="B58" t="s">
        <v>146</v>
      </c>
      <c r="C58" s="51"/>
      <c r="E58" s="11">
        <f>1174+2991</f>
        <v>4165</v>
      </c>
      <c r="F58" s="96"/>
      <c r="G58" s="11"/>
      <c r="H58" s="11">
        <v>2646</v>
      </c>
      <c r="J58" s="11">
        <v>2646</v>
      </c>
    </row>
    <row r="59" spans="1:10" ht="17.25">
      <c r="A59" s="5">
        <v>17</v>
      </c>
      <c r="B59" t="s">
        <v>147</v>
      </c>
      <c r="C59" s="89">
        <v>-15438</v>
      </c>
      <c r="E59" s="83">
        <f>+'Exh. JDG-3 '!G33-'Exh. JDG-4'!E57-'Exh. JDG-4'!E58</f>
        <v>-9089.483630000614</v>
      </c>
      <c r="F59" s="77"/>
      <c r="G59" s="83"/>
      <c r="H59" s="83">
        <v>0</v>
      </c>
      <c r="J59" s="83">
        <v>0</v>
      </c>
    </row>
    <row r="60" spans="1:10" ht="15">
      <c r="A60" s="5">
        <v>18</v>
      </c>
      <c r="B60" t="s">
        <v>128</v>
      </c>
      <c r="C60" s="51">
        <f>C59+C55</f>
        <v>70162619</v>
      </c>
      <c r="E60" s="11">
        <f>SUM(E57:E59)</f>
        <v>5893685</v>
      </c>
      <c r="F60" s="96"/>
      <c r="G60" s="11"/>
      <c r="H60" s="11">
        <f>SUM(H57:H59)</f>
        <v>6824027.232297999</v>
      </c>
      <c r="I60" s="11"/>
      <c r="J60" s="11">
        <f>SUM(J57:J59)</f>
        <v>8687534.005785</v>
      </c>
    </row>
    <row r="61" spans="1:6" ht="15">
      <c r="A61" s="5">
        <v>19</v>
      </c>
      <c r="C61" s="117"/>
      <c r="F61" s="96"/>
    </row>
    <row r="62" spans="1:10" ht="15">
      <c r="A62" s="5">
        <v>20</v>
      </c>
      <c r="B62" s="63" t="s">
        <v>125</v>
      </c>
      <c r="F62" s="86"/>
      <c r="H62" s="11"/>
      <c r="J62" s="11"/>
    </row>
    <row r="63" spans="1:10" ht="15">
      <c r="A63" s="5">
        <v>21</v>
      </c>
      <c r="B63" t="s">
        <v>136</v>
      </c>
      <c r="F63" s="86"/>
      <c r="H63" s="11"/>
      <c r="J63" s="11"/>
    </row>
    <row r="64" spans="1:10" ht="15">
      <c r="A64" s="5">
        <v>22</v>
      </c>
      <c r="B64" t="s">
        <v>115</v>
      </c>
      <c r="F64" s="86">
        <f>365*221-F45</f>
        <v>2645</v>
      </c>
      <c r="G64" s="88">
        <f>G45</f>
        <v>1.588</v>
      </c>
      <c r="H64" s="11">
        <f>G64*F64</f>
        <v>4200.26</v>
      </c>
      <c r="I64" s="114">
        <f>I45</f>
        <v>2.022</v>
      </c>
      <c r="J64" s="11">
        <f>I64*$F64</f>
        <v>5348.19</v>
      </c>
    </row>
    <row r="65" spans="1:10" ht="15">
      <c r="A65" s="5">
        <v>23</v>
      </c>
      <c r="B65" t="s">
        <v>137</v>
      </c>
      <c r="F65" s="86">
        <f>123*365-F46</f>
        <v>876</v>
      </c>
      <c r="G65" s="91">
        <f>G46</f>
        <v>2.773</v>
      </c>
      <c r="H65" s="11">
        <f>G65*F65</f>
        <v>2429.148</v>
      </c>
      <c r="I65" s="114">
        <f>I46</f>
        <v>3.531</v>
      </c>
      <c r="J65" s="11">
        <f>I65*$F65</f>
        <v>3093.156</v>
      </c>
    </row>
    <row r="66" spans="1:10" ht="17.25">
      <c r="A66" s="5">
        <v>24</v>
      </c>
      <c r="B66" t="s">
        <v>117</v>
      </c>
      <c r="F66" s="86">
        <v>0</v>
      </c>
      <c r="G66" s="91">
        <f>G47</f>
        <v>3.958</v>
      </c>
      <c r="H66" s="83">
        <f>G66*F66</f>
        <v>0</v>
      </c>
      <c r="I66" s="114">
        <f>I47</f>
        <v>5.04</v>
      </c>
      <c r="J66" s="83">
        <f>I66*$F66</f>
        <v>0</v>
      </c>
    </row>
    <row r="67" spans="1:10" ht="15">
      <c r="A67" s="5">
        <v>25</v>
      </c>
      <c r="B67" t="s">
        <v>141</v>
      </c>
      <c r="F67" s="86"/>
      <c r="G67" s="88"/>
      <c r="H67" s="11">
        <f>SUM(H64:H66)</f>
        <v>6629.408</v>
      </c>
      <c r="I67" s="21"/>
      <c r="J67" s="11">
        <f>SUM(J64:J66)</f>
        <v>8441.346</v>
      </c>
    </row>
    <row r="68" spans="1:10" ht="15">
      <c r="A68" s="5">
        <v>26</v>
      </c>
      <c r="B68" t="s">
        <v>139</v>
      </c>
      <c r="F68" s="86"/>
      <c r="G68" s="88"/>
      <c r="H68" s="11"/>
      <c r="I68" s="21"/>
      <c r="J68" s="11"/>
    </row>
    <row r="69" spans="1:10" ht="15">
      <c r="A69" s="5">
        <v>27</v>
      </c>
      <c r="B69" t="s">
        <v>115</v>
      </c>
      <c r="F69" s="86">
        <f>F52/F45*F64</f>
        <v>397354.4648807998</v>
      </c>
      <c r="G69" s="79">
        <f>(H55+H50)/$F55</f>
        <v>0.09353037955009212</v>
      </c>
      <c r="H69" s="11">
        <f>G69*F69</f>
        <v>37164.71391622496</v>
      </c>
      <c r="I69" s="98">
        <f>(J55+J50)/$F55</f>
        <v>0.1190810659916817</v>
      </c>
      <c r="J69" s="11">
        <f>I69*$F69</f>
        <v>47317.39325455989</v>
      </c>
    </row>
    <row r="70" spans="1:10" ht="15">
      <c r="A70" s="5">
        <v>28</v>
      </c>
      <c r="B70" t="s">
        <v>137</v>
      </c>
      <c r="F70" s="86">
        <f>F53/F46*F65</f>
        <v>942636.9552238806</v>
      </c>
      <c r="G70" s="79">
        <f>G69</f>
        <v>0.09353037955009212</v>
      </c>
      <c r="H70" s="11">
        <f>G70*F70</f>
        <v>88165.19220003275</v>
      </c>
      <c r="I70" s="23">
        <f>I69</f>
        <v>0.1190810659916817</v>
      </c>
      <c r="J70" s="11">
        <f>I70*$F70</f>
        <v>112250.21347121283</v>
      </c>
    </row>
    <row r="71" spans="1:10" ht="17.25">
      <c r="A71" s="5">
        <v>29</v>
      </c>
      <c r="B71" t="s">
        <v>117</v>
      </c>
      <c r="F71" s="77">
        <f>C54/C47*F66</f>
        <v>0</v>
      </c>
      <c r="G71" s="79">
        <f>G70</f>
        <v>0.09353037955009212</v>
      </c>
      <c r="H71" s="83">
        <f>G71*F71</f>
        <v>0</v>
      </c>
      <c r="I71" s="23">
        <f>I70</f>
        <v>0.1190810659916817</v>
      </c>
      <c r="J71" s="83">
        <f>I71*$F71</f>
        <v>0</v>
      </c>
    </row>
    <row r="72" spans="1:10" ht="15">
      <c r="A72" s="5">
        <v>30</v>
      </c>
      <c r="B72" t="s">
        <v>140</v>
      </c>
      <c r="F72" s="86">
        <f>SUM(F69:F71)</f>
        <v>1339991.4201046804</v>
      </c>
      <c r="G72" s="88"/>
      <c r="H72" s="11">
        <f>SUM(H69:H71)</f>
        <v>125329.90611625771</v>
      </c>
      <c r="I72" s="21"/>
      <c r="J72" s="11">
        <f>SUM(J69:J71)</f>
        <v>159567.60672577273</v>
      </c>
    </row>
    <row r="73" spans="1:10" ht="15">
      <c r="A73" s="5">
        <v>31</v>
      </c>
      <c r="F73" s="86"/>
      <c r="G73" s="88"/>
      <c r="H73" s="11"/>
      <c r="I73" s="21"/>
      <c r="J73" s="11"/>
    </row>
    <row r="74" spans="1:10" ht="15">
      <c r="A74" s="5">
        <v>32</v>
      </c>
      <c r="B74" t="s">
        <v>126</v>
      </c>
      <c r="H74" s="11">
        <f>H67+H72</f>
        <v>131959.3141162577</v>
      </c>
      <c r="J74" s="11">
        <f>J67+J72</f>
        <v>168008.95272577272</v>
      </c>
    </row>
    <row r="75" spans="1:10" ht="15">
      <c r="A75" s="5"/>
      <c r="E75" s="11"/>
      <c r="F75" s="11"/>
      <c r="G75" s="11"/>
      <c r="H75" s="11"/>
      <c r="J75" s="11"/>
    </row>
    <row r="76" spans="1:10" ht="15">
      <c r="A76" s="5"/>
      <c r="B76" t="s">
        <v>9</v>
      </c>
      <c r="C76" s="20">
        <f>C60</f>
        <v>70162619</v>
      </c>
      <c r="E76" s="11">
        <f>E60</f>
        <v>5893685</v>
      </c>
      <c r="F76" s="20">
        <f>+F72+F55</f>
        <v>71518048.42010468</v>
      </c>
      <c r="G76" s="11"/>
      <c r="H76" s="11">
        <f>H74+H60</f>
        <v>6955986.546414256</v>
      </c>
      <c r="J76" s="11">
        <f>J74+J60</f>
        <v>8855542.958510771</v>
      </c>
    </row>
    <row r="77" ht="15">
      <c r="C77" s="51"/>
    </row>
    <row r="78" spans="1:3" ht="15.75">
      <c r="A78" s="33" t="s">
        <v>100</v>
      </c>
      <c r="C78" s="51"/>
    </row>
    <row r="79" ht="15">
      <c r="C79" s="51"/>
    </row>
    <row r="80" spans="1:10" ht="15">
      <c r="A80" s="5">
        <v>1</v>
      </c>
      <c r="B80" t="s">
        <v>142</v>
      </c>
      <c r="C80" s="51">
        <v>368</v>
      </c>
      <c r="D80" s="21">
        <v>1.98</v>
      </c>
      <c r="E80" s="9">
        <f>+D80*$C80</f>
        <v>728.64</v>
      </c>
      <c r="F80" s="51">
        <v>368</v>
      </c>
      <c r="G80" s="114">
        <f>+'Exh. JDG-2'!D34</f>
        <v>2.349</v>
      </c>
      <c r="H80" s="92">
        <f>+G80*$C80</f>
        <v>864.432</v>
      </c>
      <c r="I80" s="114">
        <f>+'Exh. JDG-2'!F34</f>
        <v>2.991</v>
      </c>
      <c r="J80" s="9">
        <f>+I80*$F80</f>
        <v>1100.688</v>
      </c>
    </row>
    <row r="81" spans="1:10" ht="15">
      <c r="A81" s="5">
        <v>2</v>
      </c>
      <c r="B81" t="s">
        <v>73</v>
      </c>
      <c r="C81" s="75">
        <v>134.529</v>
      </c>
      <c r="D81" s="21">
        <v>8.457</v>
      </c>
      <c r="E81" s="45">
        <f>+D81*$C81</f>
        <v>1137.711753</v>
      </c>
      <c r="F81" s="75">
        <v>134.5</v>
      </c>
      <c r="G81" s="21">
        <f>+'Exh. JDG-2'!D35</f>
        <v>9.78</v>
      </c>
      <c r="H81" s="45">
        <f>+G81*$C81</f>
        <v>1315.6936199999998</v>
      </c>
      <c r="I81" s="21">
        <f>+'Exh. JDG-2'!F35</f>
        <v>12.45</v>
      </c>
      <c r="J81" s="45">
        <f>+I81*$F81</f>
        <v>1674.5249999999999</v>
      </c>
    </row>
    <row r="82" spans="1:10" ht="17.25">
      <c r="A82" s="5">
        <v>3</v>
      </c>
      <c r="B82" t="s">
        <v>70</v>
      </c>
      <c r="C82" s="51">
        <v>4907</v>
      </c>
      <c r="D82" s="23">
        <v>0.05059</v>
      </c>
      <c r="E82" s="12">
        <f>+D82*$C82</f>
        <v>248.24513000000002</v>
      </c>
      <c r="F82" s="51">
        <v>4907</v>
      </c>
      <c r="G82" s="23">
        <f>+'Exh. JDG-2'!D36</f>
        <v>0.058514</v>
      </c>
      <c r="H82" s="12">
        <f>+G82*$C82</f>
        <v>287.128198</v>
      </c>
      <c r="I82" s="23">
        <f>+'Exh. JDG-2'!F36</f>
        <v>0.074505</v>
      </c>
      <c r="J82" s="12">
        <f>+I82*$F82</f>
        <v>365.59603500000003</v>
      </c>
    </row>
    <row r="83" spans="1:10" ht="15">
      <c r="A83" s="5">
        <v>4</v>
      </c>
      <c r="B83" t="s">
        <v>71</v>
      </c>
      <c r="C83" s="51"/>
      <c r="E83" s="11">
        <f>SUM(E80:E82)</f>
        <v>2114.596883</v>
      </c>
      <c r="F83" s="11"/>
      <c r="H83" s="11">
        <f>SUM(H80:H82)</f>
        <v>2467.2538179999997</v>
      </c>
      <c r="J83" s="11">
        <f>SUM(J80:J82)</f>
        <v>3140.8090349999998</v>
      </c>
    </row>
    <row r="84" spans="1:10" ht="17.25">
      <c r="A84" s="5">
        <v>5</v>
      </c>
      <c r="B84" t="s">
        <v>147</v>
      </c>
      <c r="C84" s="51"/>
      <c r="E84" s="77">
        <v>-10</v>
      </c>
      <c r="F84" s="53"/>
      <c r="H84" s="53"/>
      <c r="J84" s="53"/>
    </row>
    <row r="85" spans="1:10" ht="17.25">
      <c r="A85" s="5"/>
      <c r="C85" s="51"/>
      <c r="E85" s="53"/>
      <c r="F85" s="53"/>
      <c r="H85" s="53"/>
      <c r="J85" s="53"/>
    </row>
    <row r="86" spans="1:10" ht="15">
      <c r="A86" s="5">
        <v>6</v>
      </c>
      <c r="B86" t="s">
        <v>128</v>
      </c>
      <c r="C86" s="51"/>
      <c r="E86" s="11">
        <f>+E84+E83</f>
        <v>2104.596883</v>
      </c>
      <c r="F86" s="11"/>
      <c r="H86" s="11">
        <f>+H84+H83</f>
        <v>2467.2538179999997</v>
      </c>
      <c r="J86" s="11">
        <f>+J84+J83</f>
        <v>3140.8090349999998</v>
      </c>
    </row>
    <row r="87" spans="1:10" ht="15">
      <c r="A87" s="5"/>
      <c r="C87" s="51"/>
      <c r="E87" s="11"/>
      <c r="F87" s="11"/>
      <c r="G87" s="11"/>
      <c r="H87" s="11"/>
      <c r="J87" s="11"/>
    </row>
    <row r="88" spans="1:3" ht="15.75">
      <c r="A88" s="33" t="s">
        <v>101</v>
      </c>
      <c r="C88" s="51"/>
    </row>
    <row r="89" ht="15">
      <c r="C89" s="51"/>
    </row>
    <row r="90" spans="2:10" ht="15">
      <c r="B90" t="s">
        <v>148</v>
      </c>
      <c r="C90" s="102" t="s">
        <v>157</v>
      </c>
      <c r="D90" s="103" t="s">
        <v>158</v>
      </c>
      <c r="E90" s="92"/>
      <c r="F90" s="51"/>
      <c r="G90" s="103" t="s">
        <v>159</v>
      </c>
      <c r="H90" s="92"/>
      <c r="I90" s="103" t="s">
        <v>159</v>
      </c>
      <c r="J90" s="92"/>
    </row>
    <row r="91" spans="1:10" ht="15">
      <c r="A91">
        <v>1</v>
      </c>
      <c r="B91" t="s">
        <v>154</v>
      </c>
      <c r="C91" s="51">
        <v>336</v>
      </c>
      <c r="D91" s="91">
        <v>3.42</v>
      </c>
      <c r="E91" s="92">
        <f>D91*C91</f>
        <v>1149.12</v>
      </c>
      <c r="F91" s="51"/>
      <c r="G91" s="91"/>
      <c r="H91" s="92"/>
      <c r="I91" s="21"/>
      <c r="J91" s="92"/>
    </row>
    <row r="92" spans="1:10" ht="17.25">
      <c r="A92">
        <v>2</v>
      </c>
      <c r="B92" t="s">
        <v>155</v>
      </c>
      <c r="C92" s="51">
        <v>1</v>
      </c>
      <c r="D92" s="91">
        <v>619.68</v>
      </c>
      <c r="E92" s="52">
        <f>D92*C92</f>
        <v>619.68</v>
      </c>
      <c r="F92" s="51">
        <v>12</v>
      </c>
      <c r="G92" s="21">
        <f>'Exh. JDG-2'!D42</f>
        <v>716.75</v>
      </c>
      <c r="H92" s="52">
        <f>G92*F92</f>
        <v>8601</v>
      </c>
      <c r="I92" s="21">
        <f>'Exh. JDG-2'!F42</f>
        <v>912.63</v>
      </c>
      <c r="J92" s="52">
        <f>I92*$F92</f>
        <v>10951.56</v>
      </c>
    </row>
    <row r="93" spans="1:10" ht="15">
      <c r="A93">
        <v>3</v>
      </c>
      <c r="B93" t="s">
        <v>149</v>
      </c>
      <c r="C93" s="51"/>
      <c r="D93" s="91"/>
      <c r="E93" s="92">
        <f>E92+E91</f>
        <v>1768.7999999999997</v>
      </c>
      <c r="F93" s="51"/>
      <c r="G93" s="21"/>
      <c r="H93" s="92">
        <f>H92+H91</f>
        <v>8601</v>
      </c>
      <c r="I93" s="21"/>
      <c r="J93" s="92">
        <f>J92+J91</f>
        <v>10951.56</v>
      </c>
    </row>
    <row r="94" spans="3:10" ht="15">
      <c r="C94" s="51"/>
      <c r="D94" s="91"/>
      <c r="E94" s="92"/>
      <c r="F94" s="51"/>
      <c r="G94" s="21"/>
      <c r="H94" s="92"/>
      <c r="I94" s="21"/>
      <c r="J94" s="92"/>
    </row>
    <row r="95" ht="15">
      <c r="B95" t="s">
        <v>150</v>
      </c>
    </row>
    <row r="96" spans="1:10" ht="15">
      <c r="A96">
        <v>4</v>
      </c>
      <c r="B96" t="s">
        <v>154</v>
      </c>
      <c r="C96" s="99">
        <v>13123.8</v>
      </c>
      <c r="D96" s="91">
        <v>8.46</v>
      </c>
      <c r="E96" s="92">
        <f>D96*C96</f>
        <v>111027.348</v>
      </c>
      <c r="F96" s="99">
        <v>0</v>
      </c>
      <c r="G96" s="21"/>
      <c r="H96" s="92"/>
      <c r="I96" s="21"/>
      <c r="J96" s="92"/>
    </row>
    <row r="97" spans="1:10" ht="17.25">
      <c r="A97">
        <v>5</v>
      </c>
      <c r="B97" t="s">
        <v>155</v>
      </c>
      <c r="C97" s="100">
        <v>1379.7</v>
      </c>
      <c r="D97" s="91">
        <v>8.08</v>
      </c>
      <c r="E97" s="52">
        <f>D97*C97</f>
        <v>11147.976</v>
      </c>
      <c r="F97" s="100">
        <v>14504</v>
      </c>
      <c r="G97" s="21">
        <f>'Exh. JDG-2'!D45</f>
        <v>9.34</v>
      </c>
      <c r="H97" s="52">
        <f>G97*F97</f>
        <v>135467.36</v>
      </c>
      <c r="I97" s="21">
        <f>'Exh. JDG-2'!F45</f>
        <v>11.89</v>
      </c>
      <c r="J97" s="52">
        <f>I97*$F97</f>
        <v>172452.56</v>
      </c>
    </row>
    <row r="98" spans="1:10" ht="15">
      <c r="A98">
        <v>6</v>
      </c>
      <c r="B98" t="s">
        <v>151</v>
      </c>
      <c r="C98" s="54">
        <f>C97+C96</f>
        <v>14503.5</v>
      </c>
      <c r="E98" s="11">
        <f>E97+E96</f>
        <v>122175.324</v>
      </c>
      <c r="F98" s="101">
        <f>F97+F96</f>
        <v>14504</v>
      </c>
      <c r="H98" s="11">
        <f>H97+H96</f>
        <v>135467.36</v>
      </c>
      <c r="J98" s="11">
        <f>J97+J96</f>
        <v>172452.56</v>
      </c>
    </row>
    <row r="99" spans="3:10" ht="15">
      <c r="C99" s="51"/>
      <c r="E99" s="92"/>
      <c r="F99" s="51"/>
      <c r="H99" s="92"/>
      <c r="J99" s="92"/>
    </row>
    <row r="100" spans="2:10" ht="15">
      <c r="B100" t="s">
        <v>139</v>
      </c>
      <c r="C100" s="51"/>
      <c r="E100" s="92"/>
      <c r="F100" s="51"/>
      <c r="H100" s="92"/>
      <c r="J100" s="92"/>
    </row>
    <row r="101" spans="1:10" ht="15">
      <c r="A101">
        <v>7</v>
      </c>
      <c r="B101" t="s">
        <v>154</v>
      </c>
      <c r="C101" s="51">
        <v>2502000</v>
      </c>
      <c r="D101" s="98">
        <v>0.05059</v>
      </c>
      <c r="E101" s="92">
        <f>D101*C101</f>
        <v>126576.18000000001</v>
      </c>
      <c r="F101" s="51"/>
      <c r="G101" s="98"/>
      <c r="H101" s="92"/>
      <c r="I101" s="94"/>
      <c r="J101" s="92"/>
    </row>
    <row r="102" spans="1:10" ht="15">
      <c r="A102">
        <v>8</v>
      </c>
      <c r="B102" t="s">
        <v>156</v>
      </c>
      <c r="C102" s="51"/>
      <c r="E102" s="92"/>
      <c r="F102" s="51"/>
      <c r="H102" s="92"/>
      <c r="J102" s="92"/>
    </row>
    <row r="103" spans="1:10" ht="15">
      <c r="A103">
        <v>9</v>
      </c>
      <c r="B103" t="s">
        <v>152</v>
      </c>
      <c r="C103" s="51">
        <v>279900</v>
      </c>
      <c r="D103" s="93">
        <v>0.04656</v>
      </c>
      <c r="E103" s="92">
        <f>D103*C103</f>
        <v>13032.143999999998</v>
      </c>
      <c r="F103" s="51">
        <v>2777580</v>
      </c>
      <c r="G103" s="94">
        <f>'Exh. JDG-2'!D47</f>
        <v>0.053853</v>
      </c>
      <c r="H103" s="92">
        <f>G103*F103</f>
        <v>149581.01574</v>
      </c>
      <c r="I103" s="94">
        <f>'Exh. JDG-2'!F47</f>
        <v>0.068571</v>
      </c>
      <c r="J103" s="92">
        <f>I103*$F103</f>
        <v>190461.43817999997</v>
      </c>
    </row>
    <row r="104" spans="1:10" ht="17.25">
      <c r="A104">
        <v>10</v>
      </c>
      <c r="B104" t="s">
        <v>153</v>
      </c>
      <c r="C104" s="89">
        <v>0</v>
      </c>
      <c r="D104" s="93">
        <v>0.04008</v>
      </c>
      <c r="E104" s="52">
        <f>D104*C104</f>
        <v>0</v>
      </c>
      <c r="F104" s="89">
        <v>4320</v>
      </c>
      <c r="G104" s="94">
        <f>'Exh. JDG-2'!D48</f>
        <v>0.046362</v>
      </c>
      <c r="H104" s="52">
        <f>G104*F104</f>
        <v>200.28384</v>
      </c>
      <c r="I104" s="94">
        <f>'Exh. JDG-2'!F48</f>
        <v>0.059032</v>
      </c>
      <c r="J104" s="52">
        <f>I104*$F104</f>
        <v>255.01824</v>
      </c>
    </row>
    <row r="105" spans="1:10" ht="15">
      <c r="A105">
        <v>11</v>
      </c>
      <c r="B105" t="s">
        <v>144</v>
      </c>
      <c r="C105" s="51">
        <f>SUM(C101:C104)</f>
        <v>2781900</v>
      </c>
      <c r="E105" s="11">
        <f>SUM(E101:E104)</f>
        <v>139608.324</v>
      </c>
      <c r="F105" s="51">
        <f>F104+F103</f>
        <v>2781900</v>
      </c>
      <c r="H105" s="11">
        <f>SUM(H101:H104)</f>
        <v>149781.29958</v>
      </c>
      <c r="J105" s="11">
        <f>SUM(J101:J104)</f>
        <v>190716.45641999997</v>
      </c>
    </row>
    <row r="106" spans="3:8" ht="15">
      <c r="C106" s="51"/>
      <c r="E106" s="11"/>
      <c r="F106" s="51"/>
      <c r="H106" s="11"/>
    </row>
    <row r="107" spans="1:10" ht="15">
      <c r="A107">
        <v>12</v>
      </c>
      <c r="B107" t="s">
        <v>128</v>
      </c>
      <c r="C107" s="51"/>
      <c r="E107" s="11">
        <f>E105+E98+E93</f>
        <v>263552.448</v>
      </c>
      <c r="F107" s="51"/>
      <c r="H107" s="11">
        <f>H105+H98+H93</f>
        <v>293849.65958</v>
      </c>
      <c r="I107" s="11"/>
      <c r="J107" s="11">
        <f>J105+J98+J93</f>
        <v>374120.57642</v>
      </c>
    </row>
    <row r="108" ht="15">
      <c r="C108" s="51"/>
    </row>
    <row r="109" spans="1:3" ht="15.75">
      <c r="A109" s="33" t="s">
        <v>83</v>
      </c>
      <c r="C109" s="51"/>
    </row>
    <row r="110" ht="15">
      <c r="C110" s="51"/>
    </row>
    <row r="111" spans="1:12" ht="15">
      <c r="A111" s="5">
        <v>1</v>
      </c>
      <c r="B111" t="s">
        <v>52</v>
      </c>
      <c r="C111" s="51">
        <v>8999</v>
      </c>
      <c r="D111" s="21">
        <v>8.01</v>
      </c>
      <c r="E111" s="9">
        <f aca="true" t="shared" si="0" ref="E111:E117">+D111*C111*12</f>
        <v>864983.8800000001</v>
      </c>
      <c r="F111" s="51">
        <v>8999</v>
      </c>
      <c r="G111" s="21">
        <f>+'Exh. JDG-2'!D53</f>
        <v>9.72</v>
      </c>
      <c r="H111" s="92">
        <f aca="true" t="shared" si="1" ref="H111:H117">+G111*F111*12</f>
        <v>1049643.3599999999</v>
      </c>
      <c r="I111" s="21">
        <f>+'Exh. JDG-2'!F53</f>
        <v>12.38</v>
      </c>
      <c r="J111" s="9">
        <f>+I111*$F111*12</f>
        <v>1336891.4400000002</v>
      </c>
      <c r="L111" s="121">
        <f>+I111/G111</f>
        <v>1.2736625514403292</v>
      </c>
    </row>
    <row r="112" spans="1:12" ht="15">
      <c r="A112" s="5">
        <v>2</v>
      </c>
      <c r="B112" t="s">
        <v>53</v>
      </c>
      <c r="C112" s="51">
        <v>533</v>
      </c>
      <c r="D112" s="21">
        <v>12.02</v>
      </c>
      <c r="E112" s="9">
        <f t="shared" si="0"/>
        <v>76879.92</v>
      </c>
      <c r="F112" s="51">
        <v>533</v>
      </c>
      <c r="G112" s="21">
        <f>+'Exh. JDG-2'!D54</f>
        <v>14.6</v>
      </c>
      <c r="H112" s="92">
        <f t="shared" si="1"/>
        <v>93381.6</v>
      </c>
      <c r="I112" s="21">
        <f>+'Exh. JDG-2'!F54</f>
        <v>18.59</v>
      </c>
      <c r="J112" s="104">
        <f aca="true" t="shared" si="2" ref="J112:J117">+I112*$F112*12</f>
        <v>118901.63999999998</v>
      </c>
      <c r="L112" s="121">
        <f aca="true" t="shared" si="3" ref="L112:L117">+I112/G112</f>
        <v>1.2732876712328767</v>
      </c>
    </row>
    <row r="113" spans="1:12" ht="15">
      <c r="A113" s="5">
        <v>3</v>
      </c>
      <c r="B113" t="s">
        <v>54</v>
      </c>
      <c r="C113" s="51">
        <v>567</v>
      </c>
      <c r="D113" s="21">
        <v>12.02</v>
      </c>
      <c r="E113" s="9">
        <f t="shared" si="0"/>
        <v>81784.08</v>
      </c>
      <c r="F113" s="51">
        <v>567</v>
      </c>
      <c r="G113" s="21">
        <f>+'Exh. JDG-2'!D55</f>
        <v>14.6</v>
      </c>
      <c r="H113" s="92">
        <f t="shared" si="1"/>
        <v>99338.4</v>
      </c>
      <c r="I113" s="21">
        <f>+'Exh. JDG-2'!F55</f>
        <v>18.59</v>
      </c>
      <c r="J113" s="104">
        <f t="shared" si="2"/>
        <v>126486.36000000002</v>
      </c>
      <c r="L113" s="121">
        <f t="shared" si="3"/>
        <v>1.2732876712328767</v>
      </c>
    </row>
    <row r="114" spans="1:12" ht="15">
      <c r="A114" s="5">
        <v>4</v>
      </c>
      <c r="B114" t="s">
        <v>55</v>
      </c>
      <c r="C114" s="51">
        <v>61</v>
      </c>
      <c r="D114" s="21">
        <v>3.49</v>
      </c>
      <c r="E114" s="9">
        <f t="shared" si="0"/>
        <v>2554.6800000000003</v>
      </c>
      <c r="F114" s="51">
        <v>61</v>
      </c>
      <c r="G114" s="21">
        <f>+'Exh. JDG-2'!D56</f>
        <v>4.24</v>
      </c>
      <c r="H114" s="92">
        <f t="shared" si="1"/>
        <v>3103.68</v>
      </c>
      <c r="I114" s="21">
        <f>+'Exh. JDG-2'!F56</f>
        <v>5.4</v>
      </c>
      <c r="J114" s="104">
        <f t="shared" si="2"/>
        <v>3952.8</v>
      </c>
      <c r="L114" s="121">
        <f t="shared" si="3"/>
        <v>1.2735849056603774</v>
      </c>
    </row>
    <row r="115" spans="1:12" ht="15">
      <c r="A115" s="5">
        <v>5</v>
      </c>
      <c r="B115" t="s">
        <v>56</v>
      </c>
      <c r="C115" s="51">
        <v>53</v>
      </c>
      <c r="D115" s="21">
        <v>3.49</v>
      </c>
      <c r="E115" s="9">
        <f t="shared" si="0"/>
        <v>2219.64</v>
      </c>
      <c r="F115" s="51">
        <v>53</v>
      </c>
      <c r="G115" s="21">
        <f>+'Exh. JDG-2'!D57</f>
        <v>4.24</v>
      </c>
      <c r="H115" s="92">
        <f t="shared" si="1"/>
        <v>2696.64</v>
      </c>
      <c r="I115" s="21">
        <f>+'Exh. JDG-2'!F57</f>
        <v>5.4</v>
      </c>
      <c r="J115" s="104">
        <f t="shared" si="2"/>
        <v>3434.4000000000005</v>
      </c>
      <c r="L115" s="121">
        <f t="shared" si="3"/>
        <v>1.2735849056603774</v>
      </c>
    </row>
    <row r="116" spans="1:12" ht="15">
      <c r="A116" s="5">
        <v>6</v>
      </c>
      <c r="B116" t="s">
        <v>57</v>
      </c>
      <c r="C116" s="51">
        <v>87</v>
      </c>
      <c r="D116" s="21">
        <v>3.49</v>
      </c>
      <c r="E116" s="9">
        <f t="shared" si="0"/>
        <v>3643.56</v>
      </c>
      <c r="F116" s="51">
        <v>87</v>
      </c>
      <c r="G116" s="21">
        <f>+'Exh. JDG-2'!D58</f>
        <v>4.24</v>
      </c>
      <c r="H116" s="92">
        <f t="shared" si="1"/>
        <v>4426.5599999999995</v>
      </c>
      <c r="I116" s="21">
        <f>+'Exh. JDG-2'!F58</f>
        <v>5.4</v>
      </c>
      <c r="J116" s="104">
        <f t="shared" si="2"/>
        <v>5637.6</v>
      </c>
      <c r="L116" s="121">
        <f t="shared" si="3"/>
        <v>1.2735849056603774</v>
      </c>
    </row>
    <row r="117" spans="1:12" ht="17.25">
      <c r="A117" s="5">
        <v>7</v>
      </c>
      <c r="B117" t="s">
        <v>58</v>
      </c>
      <c r="C117" s="51">
        <v>2829</v>
      </c>
      <c r="D117" s="21">
        <v>0.42</v>
      </c>
      <c r="E117" s="52">
        <f t="shared" si="0"/>
        <v>14258.16</v>
      </c>
      <c r="F117" s="51">
        <v>2829</v>
      </c>
      <c r="G117" s="21">
        <f>+'Exh. JDG-2'!D59</f>
        <v>0.5</v>
      </c>
      <c r="H117" s="52">
        <f t="shared" si="1"/>
        <v>16974</v>
      </c>
      <c r="I117" s="21">
        <f>+'Exh. JDG-2'!F59</f>
        <v>0.64</v>
      </c>
      <c r="J117" s="52">
        <f t="shared" si="2"/>
        <v>21726.72</v>
      </c>
      <c r="L117" s="121">
        <f t="shared" si="3"/>
        <v>1.28</v>
      </c>
    </row>
    <row r="118" spans="1:10" ht="15">
      <c r="A118" s="5">
        <v>8</v>
      </c>
      <c r="B118" t="s">
        <v>71</v>
      </c>
      <c r="C118" s="51"/>
      <c r="E118" s="11">
        <f>SUM(E111:E117)</f>
        <v>1046323.9200000003</v>
      </c>
      <c r="F118" s="51"/>
      <c r="H118" s="11">
        <f>SUM(H111:H117)</f>
        <v>1269564.2399999998</v>
      </c>
      <c r="J118" s="11">
        <f>SUM(J111:J117)</f>
        <v>1617030.9600000002</v>
      </c>
    </row>
    <row r="119" spans="1:10" ht="17.25">
      <c r="A119" s="5">
        <v>9</v>
      </c>
      <c r="B119" t="s">
        <v>127</v>
      </c>
      <c r="C119" s="51"/>
      <c r="E119" s="53">
        <f>1047248/E118</f>
        <v>1.0008831681875339</v>
      </c>
      <c r="F119" s="51"/>
      <c r="H119" s="53">
        <f>E119</f>
        <v>1.0008831681875339</v>
      </c>
      <c r="J119" s="53">
        <f>E119</f>
        <v>1.0008831681875339</v>
      </c>
    </row>
    <row r="120" spans="1:10" ht="15">
      <c r="A120" s="5">
        <v>10</v>
      </c>
      <c r="B120" t="s">
        <v>128</v>
      </c>
      <c r="C120" s="51">
        <f>SUM(C111:C117)</f>
        <v>13129</v>
      </c>
      <c r="E120" s="11">
        <f>E119*E118</f>
        <v>1047248</v>
      </c>
      <c r="F120" s="51">
        <f>SUM(F111:F117)</f>
        <v>13129</v>
      </c>
      <c r="H120" s="11">
        <f>H119*H118</f>
        <v>1270685.4787487984</v>
      </c>
      <c r="J120" s="11">
        <f>J119*J118</f>
        <v>1618459.0703021295</v>
      </c>
    </row>
    <row r="121" ht="15">
      <c r="C121" s="51"/>
    </row>
    <row r="122" ht="15">
      <c r="C122" s="51"/>
    </row>
    <row r="123" spans="1:3" ht="15.75">
      <c r="A123" s="33" t="s">
        <v>84</v>
      </c>
      <c r="C123" s="51"/>
    </row>
    <row r="124" ht="15">
      <c r="C124" s="51"/>
    </row>
    <row r="125" spans="1:10" ht="15">
      <c r="A125" s="5">
        <v>1</v>
      </c>
      <c r="B125" t="s">
        <v>60</v>
      </c>
      <c r="C125" s="51">
        <v>404</v>
      </c>
      <c r="D125" s="21">
        <v>7.13</v>
      </c>
      <c r="E125" s="9">
        <f>+D125*C125*12</f>
        <v>34566.24</v>
      </c>
      <c r="F125" s="51">
        <v>404</v>
      </c>
      <c r="G125" s="21">
        <f>+'Exh. JDG-2'!D64</f>
        <v>8.88</v>
      </c>
      <c r="H125" s="92">
        <f>+G125*F125*12</f>
        <v>43050.240000000005</v>
      </c>
      <c r="I125" s="21">
        <f>+'Exh. JDG-2'!F64</f>
        <v>11.31</v>
      </c>
      <c r="J125" s="9">
        <f>+I125*$F125*12</f>
        <v>54830.88</v>
      </c>
    </row>
    <row r="126" spans="1:10" ht="17.25">
      <c r="A126" s="5">
        <v>2</v>
      </c>
      <c r="B126" t="s">
        <v>59</v>
      </c>
      <c r="C126" s="51">
        <v>380</v>
      </c>
      <c r="D126" s="21">
        <v>11.23</v>
      </c>
      <c r="E126" s="52">
        <f>+D126*C126*12</f>
        <v>51208.8</v>
      </c>
      <c r="F126" s="51">
        <v>380</v>
      </c>
      <c r="G126" s="21">
        <f>+'Exh. JDG-2'!D65</f>
        <v>13.98</v>
      </c>
      <c r="H126" s="52">
        <f>+G126*F126*12</f>
        <v>63748.8</v>
      </c>
      <c r="I126" s="21">
        <f>+'Exh. JDG-2'!F65</f>
        <v>17.8</v>
      </c>
      <c r="J126" s="52">
        <f>+I126*$F126*12</f>
        <v>81168</v>
      </c>
    </row>
    <row r="127" spans="1:10" ht="15">
      <c r="A127" s="5">
        <v>3</v>
      </c>
      <c r="B127" t="s">
        <v>71</v>
      </c>
      <c r="E127" s="11">
        <f>SUM(E125:E126)</f>
        <v>85775.04000000001</v>
      </c>
      <c r="H127" s="11">
        <f>SUM(H125:H126)</f>
        <v>106799.04000000001</v>
      </c>
      <c r="J127" s="11">
        <f>SUM(J125:J126)</f>
        <v>135998.88</v>
      </c>
    </row>
    <row r="128" spans="1:10" ht="17.25">
      <c r="A128" s="5">
        <v>4</v>
      </c>
      <c r="B128" t="s">
        <v>127</v>
      </c>
      <c r="C128" s="51"/>
      <c r="E128" s="53">
        <f>(85453-203)/E127</f>
        <v>0.9938788719888675</v>
      </c>
      <c r="F128" s="51"/>
      <c r="H128" s="53">
        <f>E128</f>
        <v>0.9938788719888675</v>
      </c>
      <c r="J128" s="53">
        <f>E128</f>
        <v>0.9938788719888675</v>
      </c>
    </row>
    <row r="129" spans="1:10" ht="15">
      <c r="A129" s="5">
        <v>5</v>
      </c>
      <c r="B129" t="s">
        <v>128</v>
      </c>
      <c r="C129" s="51"/>
      <c r="E129" s="11">
        <f>E128*E127</f>
        <v>85250</v>
      </c>
      <c r="F129" s="51"/>
      <c r="H129" s="11">
        <f>H128*H127</f>
        <v>106145.30940469395</v>
      </c>
      <c r="J129" s="11">
        <f>J128*J127</f>
        <v>135166.41344614935</v>
      </c>
    </row>
    <row r="130" spans="3:10" ht="15">
      <c r="C130" s="51"/>
      <c r="E130" s="11"/>
      <c r="F130" s="11"/>
      <c r="G130" s="11"/>
      <c r="H130" s="11"/>
      <c r="J130" s="11"/>
    </row>
    <row r="131" spans="3:10" ht="15">
      <c r="C131" s="51"/>
      <c r="E131" s="11"/>
      <c r="F131" s="11"/>
      <c r="G131" s="11"/>
      <c r="H131" s="11"/>
      <c r="J131" s="11"/>
    </row>
    <row r="132" spans="3:8" ht="15">
      <c r="C132" s="112"/>
      <c r="E132" s="11"/>
      <c r="F132" s="11"/>
      <c r="G132" s="11"/>
      <c r="H132" s="40"/>
    </row>
    <row r="133" spans="3:8" ht="15">
      <c r="C133" s="112"/>
      <c r="E133" s="11"/>
      <c r="F133" s="11"/>
      <c r="G133" s="11"/>
      <c r="H133" s="40"/>
    </row>
    <row r="134" spans="3:9" ht="15">
      <c r="C134" s="112"/>
      <c r="E134" s="11">
        <f>+E17+E32+E60+E86+E107+E120+E129</f>
        <v>38060413.044883</v>
      </c>
      <c r="G134" s="11">
        <f>+H134-E134</f>
        <v>6733907.071869135</v>
      </c>
      <c r="H134" s="11">
        <f>+H17+H32+H60+H86+H107+H120+H129</f>
        <v>44794320.11675213</v>
      </c>
      <c r="I134">
        <f>+H134/E134</f>
        <v>1.1769267996100865</v>
      </c>
    </row>
    <row r="135" spans="3:8" ht="15">
      <c r="C135" s="112"/>
      <c r="G135" s="11">
        <f>+H135+G134</f>
        <v>7098875.966020642</v>
      </c>
      <c r="H135" s="11">
        <f>+H22+H37+H74</f>
        <v>364968.8941515068</v>
      </c>
    </row>
    <row r="136" spans="3:8" ht="15">
      <c r="C136" s="112"/>
      <c r="H136" s="11">
        <f>+'Exh. JDG-1'!G13+'Exh. JDG-1'!G16</f>
        <v>247961.408</v>
      </c>
    </row>
    <row r="137" spans="8:9" ht="15">
      <c r="H137" s="11">
        <f>+H135-H136</f>
        <v>117007.48615150683</v>
      </c>
      <c r="I137" t="s">
        <v>180</v>
      </c>
    </row>
    <row r="140" ht="15">
      <c r="C140" s="54"/>
    </row>
  </sheetData>
  <sheetProtection/>
  <printOptions horizontalCentered="1"/>
  <pageMargins left="0.45" right="0.45" top="0.75" bottom="0.75" header="0.3" footer="0.3"/>
  <pageSetup fitToHeight="6" horizontalDpi="300" verticalDpi="300" orientation="landscape" scale="69" r:id="rId1"/>
  <headerFooter>
    <oddHeader>&amp;RExhibit JDG-4
&amp;P
Witness: Jack Gaines</oddHeader>
  </headerFooter>
  <rowBreaks count="3" manualBreakCount="3">
    <brk id="40" max="11" man="1"/>
    <brk id="77" max="11" man="1"/>
    <brk id="108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B1">
      <selection activeCell="D10" sqref="D10"/>
    </sheetView>
  </sheetViews>
  <sheetFormatPr defaultColWidth="9.140625" defaultRowHeight="15"/>
  <cols>
    <col min="1" max="1" width="5.140625" style="0" customWidth="1"/>
    <col min="2" max="2" width="45.57421875" style="0" customWidth="1"/>
    <col min="4" max="4" width="11.00390625" style="0" bestFit="1" customWidth="1"/>
    <col min="5" max="5" width="12.00390625" style="0" bestFit="1" customWidth="1"/>
    <col min="6" max="6" width="13.28125" style="0" customWidth="1"/>
    <col min="7" max="7" width="14.140625" style="0" customWidth="1"/>
  </cols>
  <sheetData>
    <row r="1" spans="1:7" ht="15">
      <c r="A1" s="49" t="s">
        <v>62</v>
      </c>
      <c r="B1" s="49"/>
      <c r="C1" s="49"/>
      <c r="D1" s="49"/>
      <c r="E1" s="49"/>
      <c r="F1" s="48"/>
      <c r="G1" s="48"/>
    </row>
    <row r="2" spans="1:7" ht="15">
      <c r="A2" s="49" t="s">
        <v>183</v>
      </c>
      <c r="B2" s="49"/>
      <c r="C2" s="49"/>
      <c r="D2" s="49"/>
      <c r="E2" s="49"/>
      <c r="F2" s="48"/>
      <c r="G2" s="48"/>
    </row>
    <row r="3" spans="1:7" ht="15">
      <c r="A3" s="49" t="s">
        <v>94</v>
      </c>
      <c r="B3" s="49"/>
      <c r="C3" s="49"/>
      <c r="D3" s="49"/>
      <c r="E3" s="49"/>
      <c r="F3" s="48"/>
      <c r="G3" s="48"/>
    </row>
    <row r="6" spans="4:5" ht="15">
      <c r="D6" s="64" t="s">
        <v>4</v>
      </c>
      <c r="E6" s="64" t="s">
        <v>7</v>
      </c>
    </row>
    <row r="7" ht="15">
      <c r="B7" s="63" t="s">
        <v>95</v>
      </c>
    </row>
    <row r="9" spans="1:5" ht="15">
      <c r="A9" s="5">
        <v>1</v>
      </c>
      <c r="B9" t="s">
        <v>96</v>
      </c>
      <c r="D9" s="66">
        <v>0.055</v>
      </c>
      <c r="E9" s="66">
        <v>0.055</v>
      </c>
    </row>
    <row r="10" spans="1:5" ht="17.25">
      <c r="A10" s="5">
        <v>2</v>
      </c>
      <c r="B10" t="s">
        <v>97</v>
      </c>
      <c r="C10" s="46" t="s">
        <v>49</v>
      </c>
      <c r="D10" s="67">
        <f>+'Exh. JDG-1'!F16</f>
        <v>0.035</v>
      </c>
      <c r="E10" s="67">
        <f>+'Exh. JDG-1'!H16</f>
        <v>0.035</v>
      </c>
    </row>
    <row r="11" spans="1:5" ht="15">
      <c r="A11" s="5"/>
      <c r="D11" s="65"/>
      <c r="E11" s="65"/>
    </row>
    <row r="12" spans="1:5" ht="15">
      <c r="A12" s="5">
        <v>3</v>
      </c>
      <c r="B12" t="s">
        <v>8</v>
      </c>
      <c r="D12" s="65">
        <f>+D9-D10</f>
        <v>0.019999999999999997</v>
      </c>
      <c r="E12" s="66">
        <f>+E9-E10</f>
        <v>0.019999999999999997</v>
      </c>
    </row>
    <row r="13" spans="1:7" ht="17.25">
      <c r="A13" s="5">
        <v>4</v>
      </c>
      <c r="B13" t="s">
        <v>187</v>
      </c>
      <c r="C13" s="107" t="s">
        <v>19</v>
      </c>
      <c r="D13" s="53">
        <f>+E13</f>
        <v>0.9439333535791667</v>
      </c>
      <c r="E13" s="69">
        <f>1-'Exh. JDG-1'!G59</f>
        <v>0.9439333535791667</v>
      </c>
      <c r="G13" s="68"/>
    </row>
    <row r="14" ht="15">
      <c r="A14" s="5"/>
    </row>
    <row r="15" spans="1:7" ht="15">
      <c r="A15" s="5">
        <v>5</v>
      </c>
      <c r="B15" t="s">
        <v>98</v>
      </c>
      <c r="D15" s="65">
        <f>+D12/D13</f>
        <v>0.0211879365467539</v>
      </c>
      <c r="E15" s="65">
        <f>+E12/E13</f>
        <v>0.0211879365467539</v>
      </c>
      <c r="F15" s="40"/>
      <c r="G15" s="40"/>
    </row>
    <row r="16" ht="15">
      <c r="D16" s="68"/>
    </row>
  </sheetData>
  <sheetProtection/>
  <printOptions/>
  <pageMargins left="0.7" right="0.7" top="0.75" bottom="0.75" header="0" footer="0.3"/>
  <pageSetup horizontalDpi="300" verticalDpi="300" orientation="portrait" r:id="rId1"/>
  <headerFooter>
    <oddHeader>&amp;RExhibit JDG-5
&amp;P
Witness: Jack Gaines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C21" sqref="C21"/>
    </sheetView>
  </sheetViews>
  <sheetFormatPr defaultColWidth="9.140625" defaultRowHeight="15"/>
  <cols>
    <col min="2" max="2" width="10.421875" style="0" customWidth="1"/>
    <col min="3" max="3" width="15.57421875" style="0" customWidth="1"/>
    <col min="4" max="4" width="17.140625" style="0" customWidth="1"/>
  </cols>
  <sheetData>
    <row r="1" spans="1:4" ht="15">
      <c r="A1" s="129" t="s">
        <v>69</v>
      </c>
      <c r="B1" s="129"/>
      <c r="C1" s="129"/>
      <c r="D1" s="129"/>
    </row>
    <row r="2" spans="1:4" ht="15">
      <c r="A2" s="129" t="s">
        <v>196</v>
      </c>
      <c r="B2" s="129"/>
      <c r="C2" s="129"/>
      <c r="D2" s="129"/>
    </row>
    <row r="3" spans="1:4" ht="15">
      <c r="A3" s="129" t="s">
        <v>197</v>
      </c>
      <c r="B3" s="129"/>
      <c r="C3" s="129"/>
      <c r="D3" s="129"/>
    </row>
    <row r="6" spans="2:4" ht="15">
      <c r="B6" s="64" t="s">
        <v>198</v>
      </c>
      <c r="C6" s="64" t="s">
        <v>104</v>
      </c>
      <c r="D6" s="64" t="s">
        <v>103</v>
      </c>
    </row>
    <row r="8" spans="1:4" ht="15">
      <c r="A8" s="5">
        <v>1</v>
      </c>
      <c r="B8" s="127">
        <v>41275</v>
      </c>
      <c r="C8" s="124">
        <v>0.00315</v>
      </c>
      <c r="D8" s="124">
        <v>0.0021905</v>
      </c>
    </row>
    <row r="9" spans="1:4" ht="15">
      <c r="A9" s="5">
        <v>2</v>
      </c>
      <c r="B9" s="127">
        <v>41306</v>
      </c>
      <c r="C9" s="124">
        <v>0.0022299</v>
      </c>
      <c r="D9" s="124">
        <v>0.0025865</v>
      </c>
    </row>
    <row r="10" spans="1:4" ht="15">
      <c r="A10" s="5">
        <v>3</v>
      </c>
      <c r="B10" s="127">
        <v>41334</v>
      </c>
      <c r="C10" s="124">
        <v>0.0021006</v>
      </c>
      <c r="D10" s="124">
        <v>0.0023291</v>
      </c>
    </row>
    <row r="11" spans="1:4" ht="15">
      <c r="A11" s="5">
        <v>4</v>
      </c>
      <c r="B11" s="127">
        <v>41365</v>
      </c>
      <c r="C11" s="124">
        <v>0.0040703</v>
      </c>
      <c r="D11" s="124">
        <v>0.0036695</v>
      </c>
    </row>
    <row r="12" spans="1:4" ht="15">
      <c r="A12" s="5">
        <v>5</v>
      </c>
      <c r="B12" s="127">
        <v>41395</v>
      </c>
      <c r="C12" s="124">
        <v>0.0040017</v>
      </c>
      <c r="D12" s="124">
        <v>0.0027686</v>
      </c>
    </row>
    <row r="13" spans="1:4" ht="15">
      <c r="A13" s="5">
        <v>6</v>
      </c>
      <c r="B13" s="127">
        <v>41426</v>
      </c>
      <c r="C13" s="124">
        <v>0.005115</v>
      </c>
      <c r="D13" s="124">
        <v>0.0042621</v>
      </c>
    </row>
    <row r="14" spans="1:4" ht="15">
      <c r="A14" s="5">
        <v>7</v>
      </c>
      <c r="B14" s="127">
        <v>41456</v>
      </c>
      <c r="C14" s="124">
        <v>0.0039252</v>
      </c>
      <c r="D14" s="124">
        <v>0.0029522</v>
      </c>
    </row>
    <row r="15" spans="1:4" ht="15">
      <c r="A15" s="5">
        <v>8</v>
      </c>
      <c r="B15" s="127">
        <v>41487</v>
      </c>
      <c r="C15" s="124">
        <v>0.0032135</v>
      </c>
      <c r="D15" s="124">
        <v>0.0026412</v>
      </c>
    </row>
    <row r="16" spans="1:4" ht="15">
      <c r="A16" s="5">
        <v>9</v>
      </c>
      <c r="B16" s="127">
        <v>41518</v>
      </c>
      <c r="C16" s="124">
        <v>0.002986</v>
      </c>
      <c r="D16" s="124">
        <v>0.0026577</v>
      </c>
    </row>
    <row r="17" spans="1:4" ht="15">
      <c r="A17" s="5">
        <v>10</v>
      </c>
      <c r="B17" s="127">
        <v>41548</v>
      </c>
      <c r="C17" s="124">
        <v>0.0036944</v>
      </c>
      <c r="D17" s="124">
        <v>0.0034313</v>
      </c>
    </row>
    <row r="18" spans="1:4" ht="15">
      <c r="A18" s="5">
        <v>11</v>
      </c>
      <c r="B18" s="127">
        <v>41579</v>
      </c>
      <c r="C18" s="124">
        <v>0.0032242</v>
      </c>
      <c r="D18" s="124">
        <v>0.0043131</v>
      </c>
    </row>
    <row r="19" spans="1:4" ht="15">
      <c r="A19" s="5">
        <v>12</v>
      </c>
      <c r="B19" s="127">
        <v>41609</v>
      </c>
      <c r="C19" s="124">
        <v>0.0031728</v>
      </c>
      <c r="D19" s="124">
        <v>0.003656</v>
      </c>
    </row>
    <row r="20" spans="1:4" ht="15">
      <c r="A20" s="5">
        <v>13</v>
      </c>
      <c r="C20" s="124"/>
      <c r="D20" s="124"/>
    </row>
    <row r="21" spans="1:4" ht="15">
      <c r="A21" s="5">
        <v>14</v>
      </c>
      <c r="B21" t="s">
        <v>199</v>
      </c>
      <c r="C21" s="124">
        <f>ROUND(AVERAGE(C8:C19),6)</f>
        <v>0.003407</v>
      </c>
      <c r="D21" s="124">
        <f>ROUND(AVERAGE(D8:D19),6)</f>
        <v>0.003121</v>
      </c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2013-12-13T20:50:45Z</dcterms:modified>
  <cp:category/>
  <cp:version/>
  <cp:contentType/>
  <cp:contentStatus/>
</cp:coreProperties>
</file>